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2980" windowHeight="8736" activeTab="24"/>
  </bookViews>
  <sheets>
    <sheet name="Chart" sheetId="1" r:id="rId1"/>
    <sheet name="Master Look Up" sheetId="2" r:id="rId2"/>
    <sheet name="AdultCompanion" sheetId="3" r:id="rId3"/>
    <sheet name="Aut-FamSupCtrs Final" sheetId="4" r:id="rId4"/>
    <sheet name="AWC Admin - Family Nav" sheetId="5" r:id="rId5"/>
    <sheet name="BehavioralSupport" sheetId="6" r:id="rId6"/>
    <sheet name="Family Training " sheetId="7" r:id="rId7"/>
    <sheet name="Peer Suppt" sheetId="8" r:id="rId8"/>
    <sheet name="Respite Recipient Home " sheetId="9" r:id="rId9"/>
    <sheet name="Fin. Assistance Admin" sheetId="10" r:id="rId10"/>
    <sheet name="MCB FAMS" sheetId="11" r:id="rId11"/>
    <sheet name="Med Complex " sheetId="12" r:id="rId12"/>
    <sheet name="Respite Caregiver Home" sheetId="13" r:id="rId13"/>
    <sheet name="Site Based Respite" sheetId="14" r:id="rId14"/>
    <sheet name="IFFS" sheetId="15" r:id="rId15"/>
    <sheet name="Spring 2021 CAF" sheetId="16" r:id="rId16"/>
    <sheet name="DCFClinicalComp" sheetId="17" r:id="rId17"/>
    <sheet name="Ed Coordination" sheetId="18" r:id="rId18"/>
    <sheet name="Specialty Family Skills Group" sheetId="19" r:id="rId19"/>
    <sheet name="Family Skills Dev Group" sheetId="20" r:id="rId20"/>
    <sheet name="Parent Skill Dev Group" sheetId="21" r:id="rId21"/>
    <sheet name="Unbundled IFC Support" sheetId="22" r:id="rId22"/>
    <sheet name="HOURLY &amp; AFTER SCHOOL" sheetId="23" r:id="rId23"/>
    <sheet name="Adolescent Supprt Network model" sheetId="24" r:id="rId24"/>
    <sheet name="Add on Rates " sheetId="25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alldata" localSheetId="24">#REF!</definedName>
    <definedName name="alldata" localSheetId="0">#REF!</definedName>
    <definedName name="alldata" localSheetId="15">#REF!</definedName>
    <definedName name="alldata">#REF!</definedName>
    <definedName name="alled" localSheetId="24">#REF!</definedName>
    <definedName name="alled" localSheetId="0">#REF!</definedName>
    <definedName name="alled" localSheetId="15">#REF!</definedName>
    <definedName name="alled">#REF!</definedName>
    <definedName name="allstem" localSheetId="24">#REF!</definedName>
    <definedName name="allstem" localSheetId="0">#REF!</definedName>
    <definedName name="allstem" localSheetId="15">#REF!</definedName>
    <definedName name="allstem">#REF!</definedName>
    <definedName name="asdfasd" localSheetId="3">'[6]Complete UFR List'!#REF!</definedName>
    <definedName name="asdfasd" localSheetId="6">'[6]Complete UFR List'!#REF!</definedName>
    <definedName name="asdfasd" localSheetId="8">'[6]Complete UFR List'!#REF!</definedName>
    <definedName name="asdfasd" localSheetId="15">'[6]Complete UFR List'!#REF!</definedName>
    <definedName name="asdfasd">'[6]Complete UFR List'!#REF!</definedName>
    <definedName name="asdfasdf" localSheetId="24">#REF!</definedName>
    <definedName name="asdfasdf" localSheetId="6">'[6]Complete UFR List'!#REF!</definedName>
    <definedName name="asdfasdf" localSheetId="8">'[6]Complete UFR List'!#REF!</definedName>
    <definedName name="asdfasdf">'[6]Complete UFR List'!#REF!</definedName>
    <definedName name="autsupp2" localSheetId="3">#REF!</definedName>
    <definedName name="autsupp2" localSheetId="6">#REF!</definedName>
    <definedName name="autsupp2" localSheetId="8">#REF!</definedName>
    <definedName name="autsupp2" localSheetId="15">#REF!</definedName>
    <definedName name="autsupp2">#REF!</definedName>
    <definedName name="Average" localSheetId="24">#REF!</definedName>
    <definedName name="Average" localSheetId="15">#REF!</definedName>
    <definedName name="Average">#REF!</definedName>
    <definedName name="CAF_NEW" localSheetId="24">[22]RawDataCalcs!$L$70:$DB$70</definedName>
    <definedName name="CAF_NEW">[7]RawDataCalcs!$L$70:$DB$70</definedName>
    <definedName name="Cap" localSheetId="24">[23]RawDataCalcs!$L$70:$DB$70</definedName>
    <definedName name="Cap">[8]RawDataCalcs!$L$17:$DB$17</definedName>
    <definedName name="Data" localSheetId="24">#REF!</definedName>
    <definedName name="Data" localSheetId="15">#REF!</definedName>
    <definedName name="Data">#REF!</definedName>
    <definedName name="Fisc" localSheetId="3">'[6]Complete UFR List'!#REF!</definedName>
    <definedName name="Fisc" localSheetId="6">'[6]Complete UFR List'!#REF!</definedName>
    <definedName name="Fisc" localSheetId="8">'[6]Complete UFR List'!#REF!</definedName>
    <definedName name="Fisc" localSheetId="15">'[6]Complete UFR List'!#REF!</definedName>
    <definedName name="Fisc">'[6]Complete UFR List'!#REF!</definedName>
    <definedName name="Floor" localSheetId="24">[23]RawDataCalcs!$L$69:$DB$69</definedName>
    <definedName name="Floor">[8]RawDataCalcs!$L$16:$DB$16</definedName>
    <definedName name="Funds" localSheetId="24">'[24]RawDataCalcs3386&amp;3401'!$L$68:$DB$68</definedName>
    <definedName name="Funds">'[9]RawDataCalcs3386&amp;3401'!$L$68:$DB$68</definedName>
    <definedName name="gk" localSheetId="24">#REF!</definedName>
    <definedName name="gk" localSheetId="2">#REF!</definedName>
    <definedName name="gk" localSheetId="3">#REF!</definedName>
    <definedName name="gk" localSheetId="17">#REF!</definedName>
    <definedName name="gk" localSheetId="19">#REF!</definedName>
    <definedName name="gk" localSheetId="6">#REF!</definedName>
    <definedName name="gk" localSheetId="20">#REF!</definedName>
    <definedName name="gk" localSheetId="8">#REF!</definedName>
    <definedName name="gk" localSheetId="18">#REF!</definedName>
    <definedName name="gk" localSheetId="15">#REF!</definedName>
    <definedName name="gk">#REF!</definedName>
    <definedName name="hhh" localSheetId="24">#REF!</definedName>
    <definedName name="hhh" localSheetId="15">#REF!</definedName>
    <definedName name="hhh">#REF!</definedName>
    <definedName name="JailDAverage" localSheetId="24">#REF!</definedName>
    <definedName name="JailDAverage" localSheetId="15">#REF!</definedName>
    <definedName name="JailDAverage">#REF!</definedName>
    <definedName name="JailDCap" localSheetId="24">[25]ALLRawDataCalcs!$L$80:$DB$80</definedName>
    <definedName name="JailDCap">[10]ALLRawDataCalcs!$L$80:$DB$80</definedName>
    <definedName name="JailDFloor" localSheetId="24">[25]ALLRawDataCalcs!$L$79:$DB$79</definedName>
    <definedName name="JailDFloor">[10]ALLRawDataCalcs!$L$79:$DB$79</definedName>
    <definedName name="JailDgk" localSheetId="24">#REF!</definedName>
    <definedName name="JailDgk" localSheetId="15">#REF!</definedName>
    <definedName name="JailDgk">#REF!</definedName>
    <definedName name="JailDMax" localSheetId="24">#REF!</definedName>
    <definedName name="JailDMax" localSheetId="15">#REF!</definedName>
    <definedName name="JailDMax">#REF!</definedName>
    <definedName name="JailDMedian" localSheetId="24">#REF!</definedName>
    <definedName name="JailDMedian" localSheetId="15">#REF!</definedName>
    <definedName name="JailDMedian">#REF!</definedName>
    <definedName name="jm" localSheetId="3">'[6]Complete UFR List'!#REF!</definedName>
    <definedName name="jm" localSheetId="6">'[6]Complete UFR List'!#REF!</definedName>
    <definedName name="jm" localSheetId="8">'[6]Complete UFR List'!#REF!</definedName>
    <definedName name="jm" localSheetId="15">'[6]Complete UFR List'!#REF!</definedName>
    <definedName name="jm">'[6]Complete UFR List'!#REF!</definedName>
    <definedName name="kls" localSheetId="24">#REF!</definedName>
    <definedName name="kls" localSheetId="15">#REF!</definedName>
    <definedName name="kls">#REF!</definedName>
    <definedName name="ListProviders">'[11]List of Programs'!$A$24:$A$29</definedName>
    <definedName name="Max" localSheetId="24">#REF!</definedName>
    <definedName name="Max" localSheetId="15">#REF!</definedName>
    <definedName name="Max">#REF!</definedName>
    <definedName name="Median" localSheetId="24">#REF!</definedName>
    <definedName name="Median" localSheetId="15">#REF!</definedName>
    <definedName name="Median">#REF!</definedName>
    <definedName name="Min" localSheetId="24">#REF!</definedName>
    <definedName name="Min" localSheetId="15">#REF!</definedName>
    <definedName name="Min">#REF!</definedName>
    <definedName name="MT" localSheetId="24">#REF!</definedName>
    <definedName name="MT" localSheetId="2">#REF!</definedName>
    <definedName name="MT" localSheetId="3">#REF!</definedName>
    <definedName name="MT" localSheetId="17">#REF!</definedName>
    <definedName name="MT" localSheetId="19">#REF!</definedName>
    <definedName name="MT" localSheetId="6">#REF!</definedName>
    <definedName name="MT" localSheetId="20">#REF!</definedName>
    <definedName name="MT" localSheetId="8">#REF!</definedName>
    <definedName name="MT" localSheetId="18">#REF!</definedName>
    <definedName name="MT" localSheetId="15">#REF!</definedName>
    <definedName name="MT">#REF!</definedName>
    <definedName name="new" localSheetId="24">#REF!</definedName>
    <definedName name="new" localSheetId="15">#REF!</definedName>
    <definedName name="new">#REF!</definedName>
    <definedName name="ok" localSheetId="24">#REF!</definedName>
    <definedName name="ok" localSheetId="15">#REF!</definedName>
    <definedName name="ok">#REF!</definedName>
    <definedName name="_xlnm.Print_Area" localSheetId="24">'Add on Rates '!$A$18:$M$42</definedName>
    <definedName name="_xlnm.Print_Area" localSheetId="2">AdultCompanion!$C$13:$M$40</definedName>
    <definedName name="_xlnm.Print_Area" localSheetId="3">'Aut-FamSupCtrs Final'!$U$24:$Z$57</definedName>
    <definedName name="_xlnm.Print_Area" localSheetId="4">'AWC Admin - Family Nav'!$B$1:$S$38</definedName>
    <definedName name="_xlnm.Print_Area" localSheetId="5">BehavioralSupport!$B$2:$J$62</definedName>
    <definedName name="_xlnm.Print_Area" localSheetId="0">Chart!$B$1:$G$36</definedName>
    <definedName name="_xlnm.Print_Area" localSheetId="16">DCFClinicalComp!$A$1:$T$77</definedName>
    <definedName name="_xlnm.Print_Area" localSheetId="17">'Ed Coordination'!$H$1:$V$26</definedName>
    <definedName name="_xlnm.Print_Area" localSheetId="19">'Family Skills Dev Group'!$H$1:$U$34</definedName>
    <definedName name="_xlnm.Print_Area" localSheetId="6">'Family Training '!$N$4:$Y$23</definedName>
    <definedName name="_xlnm.Print_Area" localSheetId="9">'Fin. Assistance Admin'!$B$2:$M$24</definedName>
    <definedName name="_xlnm.Print_Area" localSheetId="22">'HOURLY &amp; AFTER SCHOOL'!$A$1:$AH$39</definedName>
    <definedName name="_xlnm.Print_Area" localSheetId="14">IFFS!$B$2:$O$27</definedName>
    <definedName name="_xlnm.Print_Area" localSheetId="11">'Med Complex '!$B$1:$K$28</definedName>
    <definedName name="_xlnm.Print_Area" localSheetId="20">'Parent Skill Dev Group'!$H$2:$T$34</definedName>
    <definedName name="_xlnm.Print_Area" localSheetId="7">'Peer Suppt'!$F$4:$P$23</definedName>
    <definedName name="_xlnm.Print_Area" localSheetId="12">'Respite Caregiver Home'!$L$1:$Y$45</definedName>
    <definedName name="_xlnm.Print_Area" localSheetId="8">'Respite Recipient Home '!$P$3:$Z$23</definedName>
    <definedName name="_xlnm.Print_Area" localSheetId="13">'Site Based Respite'!$B$1:$Y$58</definedName>
    <definedName name="_xlnm.Print_Area" localSheetId="18">'Specialty Family Skills Group'!$H$2:$AC$38</definedName>
    <definedName name="_xlnm.Print_Area" localSheetId="21">'Unbundled IFC Support'!$C$1:$I$23</definedName>
    <definedName name="_xlnm.Print_Titles" localSheetId="15">'Spring 2021 CAF'!$A:$A</definedName>
    <definedName name="Program_File" localSheetId="24">#REF!</definedName>
    <definedName name="Program_File" localSheetId="15">#REF!</definedName>
    <definedName name="Program_File">#REF!</definedName>
    <definedName name="Programs">'[11]List of Programs'!$B$3:$B$19</definedName>
    <definedName name="ProvFTE" localSheetId="24">'[26]FTE Data'!$A$3:$AW$56</definedName>
    <definedName name="ProvFTE">'[12]FTE Data'!$A$3:$AW$56</definedName>
    <definedName name="PurchasedBy" localSheetId="24">'[26]FTE Data'!$C$263:$AZ$657</definedName>
    <definedName name="PurchasedBy">'[12]FTE Data'!$C$263:$AZ$657</definedName>
    <definedName name="resmay2007" localSheetId="24">#REF!</definedName>
    <definedName name="resmay2007" localSheetId="15">#REF!</definedName>
    <definedName name="resmay2007">#REF!</definedName>
    <definedName name="sheet1" localSheetId="24">#REF!</definedName>
    <definedName name="sheet1" localSheetId="15">#REF!</definedName>
    <definedName name="sheet1">#REF!</definedName>
    <definedName name="Site_list" localSheetId="24">[26]Lists!$A$2:$A$53</definedName>
    <definedName name="Site_list">[12]Lists!$A$2:$A$53</definedName>
    <definedName name="Source" localSheetId="24">#REF!</definedName>
    <definedName name="Source" localSheetId="2">#REF!</definedName>
    <definedName name="Source" localSheetId="3">#REF!</definedName>
    <definedName name="Source" localSheetId="17">#REF!</definedName>
    <definedName name="Source" localSheetId="19">#REF!</definedName>
    <definedName name="Source" localSheetId="6">#REF!</definedName>
    <definedName name="Source" localSheetId="20">#REF!</definedName>
    <definedName name="Source" localSheetId="8">#REF!</definedName>
    <definedName name="Source" localSheetId="18">#REF!</definedName>
    <definedName name="Source" localSheetId="15">#REF!</definedName>
    <definedName name="Source">#REF!</definedName>
    <definedName name="Source_2" localSheetId="24">#REF!</definedName>
    <definedName name="Source_2" localSheetId="3">#REF!</definedName>
    <definedName name="Source_2" localSheetId="17">#REF!</definedName>
    <definedName name="Source_2" localSheetId="19">#REF!</definedName>
    <definedName name="Source_2" localSheetId="6">#REF!</definedName>
    <definedName name="Source_2" localSheetId="20">#REF!</definedName>
    <definedName name="Source_2" localSheetId="8">#REF!</definedName>
    <definedName name="Source_2" localSheetId="18">#REF!</definedName>
    <definedName name="Source_2" localSheetId="15">#REF!</definedName>
    <definedName name="Source_2">#REF!</definedName>
    <definedName name="SourcePathAndFileName" localSheetId="24">#REF!</definedName>
    <definedName name="SourcePathAndFileName" localSheetId="15">#REF!</definedName>
    <definedName name="SourcePathAndFileName">#REF!</definedName>
    <definedName name="Total_UFR" localSheetId="24">#REF!</definedName>
    <definedName name="Total_UFR" localSheetId="2">#REF!</definedName>
    <definedName name="Total_UFR" localSheetId="3">#REF!</definedName>
    <definedName name="Total_UFR" localSheetId="17">#REF!</definedName>
    <definedName name="Total_UFR" localSheetId="19">#REF!</definedName>
    <definedName name="Total_UFR" localSheetId="6">#REF!</definedName>
    <definedName name="Total_UFR" localSheetId="20">#REF!</definedName>
    <definedName name="Total_UFR" localSheetId="8">#REF!</definedName>
    <definedName name="Total_UFR" localSheetId="18">#REF!</definedName>
    <definedName name="Total_UFR" localSheetId="15">#REF!</definedName>
    <definedName name="Total_UFR">#REF!</definedName>
    <definedName name="Total_UFRs" localSheetId="24">#REF!</definedName>
    <definedName name="Total_UFRs" localSheetId="15">#REF!</definedName>
    <definedName name="Total_UFRs">#REF!</definedName>
    <definedName name="Total_UFRs_" localSheetId="24">#REF!</definedName>
    <definedName name="Total_UFRs_" localSheetId="15">#REF!</definedName>
    <definedName name="Total_UFRs_">#REF!</definedName>
    <definedName name="UFR" localSheetId="24">'[6]Complete UFR List'!#REF!</definedName>
    <definedName name="UFR" localSheetId="2">'[6]Complete UFR List'!#REF!</definedName>
    <definedName name="UFR" localSheetId="3">'[6]Complete UFR List'!#REF!</definedName>
    <definedName name="UFR" localSheetId="17">'[6]Complete UFR List'!#REF!</definedName>
    <definedName name="UFR" localSheetId="19">'[6]Complete UFR List'!#REF!</definedName>
    <definedName name="UFR" localSheetId="6">'[6]Complete UFR List'!#REF!</definedName>
    <definedName name="UFR" localSheetId="20">'[6]Complete UFR List'!#REF!</definedName>
    <definedName name="UFR" localSheetId="8">'[6]Complete UFR List'!#REF!</definedName>
    <definedName name="UFR" localSheetId="18">'[6]Complete UFR List'!#REF!</definedName>
    <definedName name="UFR">'[6]Complete UFR List'!#REF!</definedName>
    <definedName name="UFRS" localSheetId="24">'[6]Complete UFR List'!#REF!</definedName>
    <definedName name="UFRS" localSheetId="2">'[6]Complete UFR List'!#REF!</definedName>
    <definedName name="UFRS" localSheetId="3">'[6]Complete UFR List'!#REF!</definedName>
    <definedName name="UFRS" localSheetId="17">'[6]Complete UFR List'!#REF!</definedName>
    <definedName name="UFRS" localSheetId="19">'[6]Complete UFR List'!#REF!</definedName>
    <definedName name="UFRS" localSheetId="6">'[6]Complete UFR List'!#REF!</definedName>
    <definedName name="UFRS" localSheetId="20">'[6]Complete UFR List'!#REF!</definedName>
    <definedName name="UFRS" localSheetId="8">'[6]Complete UFR List'!#REF!</definedName>
    <definedName name="UFRS" localSheetId="18">'[6]Complete UFR List'!#REF!</definedName>
    <definedName name="UFRS">'[6]Complete UFR List'!#REF!</definedName>
    <definedName name="UPDATE" localSheetId="6">'[6]Complete UFR List'!#REF!</definedName>
    <definedName name="UPDATE" localSheetId="8">'[6]Complete UFR List'!#REF!</definedName>
    <definedName name="UPDATE">'[6]Complete UFR List'!#REF!</definedName>
    <definedName name="wefqwerqwe" localSheetId="6">'[6]Complete UFR List'!#REF!</definedName>
    <definedName name="wefqwerqwe" localSheetId="8">'[6]Complete UFR List'!#REF!</definedName>
    <definedName name="wefqwerqwe">'[6]Complete UFR List'!#REF!</definedName>
    <definedName name="Z_4C1AD9FE_DB97_4D30_8CF1_D476DD376A5A_.wvu.Cols" localSheetId="6" hidden="1">'Family Training '!$A:$H</definedName>
    <definedName name="Z_4C1AD9FE_DB97_4D30_8CF1_D476DD376A5A_.wvu.Cols" localSheetId="9" hidden="1">'Fin. Assistance Admin'!$B:$G</definedName>
    <definedName name="Z_4C1AD9FE_DB97_4D30_8CF1_D476DD376A5A_.wvu.Cols" localSheetId="11" hidden="1">'Med Complex '!#REF!</definedName>
    <definedName name="Z_4C1AD9FE_DB97_4D30_8CF1_D476DD376A5A_.wvu.Cols" localSheetId="7" hidden="1">'Peer Suppt'!$A:$E</definedName>
    <definedName name="Z_4C1AD9FE_DB97_4D30_8CF1_D476DD376A5A_.wvu.Cols" localSheetId="12" hidden="1">'Respite Caregiver Home'!$A:$F</definedName>
    <definedName name="Z_4C1AD9FE_DB97_4D30_8CF1_D476DD376A5A_.wvu.Cols" localSheetId="8" hidden="1">'Respite Recipient Home '!$A:$H</definedName>
    <definedName name="Z_4C1AD9FE_DB97_4D30_8CF1_D476DD376A5A_.wvu.PrintArea" localSheetId="12" hidden="1">'Respite Caregiver Home'!$A$1:$F$64</definedName>
    <definedName name="Z_6A16E15D_0E79_4250_8AEC_339F57F63027_.wvu.Cols" localSheetId="6" hidden="1">'Family Training '!$A:$H</definedName>
    <definedName name="Z_6A16E15D_0E79_4250_8AEC_339F57F63027_.wvu.Cols" localSheetId="9" hidden="1">'Fin. Assistance Admin'!$B:$G</definedName>
    <definedName name="Z_6A16E15D_0E79_4250_8AEC_339F57F63027_.wvu.Cols" localSheetId="11" hidden="1">'Med Complex '!#REF!</definedName>
    <definedName name="Z_6A16E15D_0E79_4250_8AEC_339F57F63027_.wvu.Cols" localSheetId="7" hidden="1">'Peer Suppt'!$A:$E</definedName>
    <definedName name="Z_6A16E15D_0E79_4250_8AEC_339F57F63027_.wvu.Cols" localSheetId="12" hidden="1">'Respite Caregiver Home'!$A:$F</definedName>
    <definedName name="Z_6A16E15D_0E79_4250_8AEC_339F57F63027_.wvu.Cols" localSheetId="8" hidden="1">'Respite Recipient Home '!$A:$H</definedName>
    <definedName name="Z_6A16E15D_0E79_4250_8AEC_339F57F63027_.wvu.PrintArea" localSheetId="12" hidden="1">'Respite Caregiver Home'!$A$1:$F$64</definedName>
  </definedNames>
  <calcPr calcId="145621"/>
</workbook>
</file>

<file path=xl/calcChain.xml><?xml version="1.0" encoding="utf-8"?>
<calcChain xmlns="http://schemas.openxmlformats.org/spreadsheetml/2006/main">
  <c r="L37" i="25" l="1"/>
  <c r="D37" i="25"/>
  <c r="L36" i="25"/>
  <c r="L38" i="25" s="1"/>
  <c r="L39" i="25" s="1"/>
  <c r="D36" i="25"/>
  <c r="D38" i="25" s="1"/>
  <c r="D39" i="25" s="1"/>
  <c r="L32" i="25"/>
  <c r="K32" i="25"/>
  <c r="J32" i="25"/>
  <c r="I32" i="25"/>
  <c r="H32" i="25"/>
  <c r="G32" i="25"/>
  <c r="E32" i="25"/>
  <c r="D32" i="25"/>
  <c r="C32" i="25"/>
  <c r="B32" i="25"/>
  <c r="N25" i="25"/>
  <c r="M23" i="25"/>
  <c r="F23" i="25"/>
  <c r="F24" i="25" s="1"/>
  <c r="E23" i="25"/>
  <c r="M20" i="25"/>
  <c r="M21" i="25" s="1"/>
  <c r="M22" i="25" s="1"/>
  <c r="L20" i="25"/>
  <c r="K20" i="25"/>
  <c r="J20" i="25"/>
  <c r="I20" i="25"/>
  <c r="H20" i="25"/>
  <c r="G20" i="25"/>
  <c r="F20" i="25"/>
  <c r="F21" i="25" s="1"/>
  <c r="F22" i="25" s="1"/>
  <c r="E20" i="25"/>
  <c r="E21" i="25" s="1"/>
  <c r="E22" i="25" s="1"/>
  <c r="D20" i="25"/>
  <c r="C20" i="25"/>
  <c r="B20" i="25"/>
  <c r="L19" i="25"/>
  <c r="L23" i="25" s="1"/>
  <c r="K19" i="25"/>
  <c r="K23" i="25" s="1"/>
  <c r="J19" i="25"/>
  <c r="J23" i="25" s="1"/>
  <c r="I19" i="25"/>
  <c r="I23" i="25" s="1"/>
  <c r="H19" i="25"/>
  <c r="H23" i="25" s="1"/>
  <c r="G19" i="25"/>
  <c r="G23" i="25" s="1"/>
  <c r="D19" i="25"/>
  <c r="D23" i="25" s="1"/>
  <c r="C19" i="25"/>
  <c r="C23" i="25" s="1"/>
  <c r="B19" i="25"/>
  <c r="B23" i="25" s="1"/>
  <c r="F7" i="25"/>
  <c r="E7" i="25"/>
  <c r="K4" i="25"/>
  <c r="J4" i="25"/>
  <c r="I4" i="25"/>
  <c r="H4" i="25"/>
  <c r="G4" i="25"/>
  <c r="F4" i="25"/>
  <c r="F5" i="25" s="1"/>
  <c r="F6" i="25" s="1"/>
  <c r="E4" i="25"/>
  <c r="E5" i="25" s="1"/>
  <c r="E6" i="25" s="1"/>
  <c r="D4" i="25"/>
  <c r="C4" i="25"/>
  <c r="B4" i="25"/>
  <c r="K3" i="25"/>
  <c r="J3" i="25"/>
  <c r="I3" i="25"/>
  <c r="H3" i="25"/>
  <c r="G3" i="25"/>
  <c r="D3" i="25"/>
  <c r="C3" i="25"/>
  <c r="B3" i="25"/>
  <c r="E26" i="24"/>
  <c r="P24" i="24"/>
  <c r="P23" i="24"/>
  <c r="P22" i="24"/>
  <c r="P25" i="24" s="1"/>
  <c r="P26" i="24" s="1"/>
  <c r="E24" i="24" s="1"/>
  <c r="E22" i="24"/>
  <c r="E21" i="24"/>
  <c r="Q18" i="24"/>
  <c r="G16" i="24"/>
  <c r="F16" i="24"/>
  <c r="G15" i="24"/>
  <c r="G18" i="24" s="1"/>
  <c r="F15" i="24"/>
  <c r="E11" i="24"/>
  <c r="G11" i="24" s="1"/>
  <c r="G13" i="24" s="1"/>
  <c r="G20" i="24" s="1"/>
  <c r="F9" i="24"/>
  <c r="N8" i="24"/>
  <c r="G8" i="24"/>
  <c r="E8" i="24"/>
  <c r="G7" i="24"/>
  <c r="E7" i="24"/>
  <c r="G6" i="24"/>
  <c r="G9" i="24" s="1"/>
  <c r="E6" i="24"/>
  <c r="J54" i="23"/>
  <c r="D54" i="23"/>
  <c r="J51" i="23"/>
  <c r="D51" i="23"/>
  <c r="J50" i="23"/>
  <c r="D50" i="23"/>
  <c r="K45" i="23"/>
  <c r="F45" i="23"/>
  <c r="E45" i="23"/>
  <c r="K44" i="23"/>
  <c r="F44" i="23"/>
  <c r="E44" i="23"/>
  <c r="K43" i="23"/>
  <c r="F43" i="23"/>
  <c r="F47" i="23" s="1"/>
  <c r="E43" i="23"/>
  <c r="J40" i="23"/>
  <c r="D40" i="23"/>
  <c r="K38" i="23"/>
  <c r="L45" i="23" s="1"/>
  <c r="E38" i="23"/>
  <c r="J37" i="23"/>
  <c r="L37" i="23" s="1"/>
  <c r="D37" i="23"/>
  <c r="F37" i="23" s="1"/>
  <c r="AD36" i="23"/>
  <c r="J36" i="23"/>
  <c r="L36" i="23" s="1"/>
  <c r="D36" i="23"/>
  <c r="F36" i="23" s="1"/>
  <c r="F38" i="23" s="1"/>
  <c r="J26" i="23"/>
  <c r="D26" i="23"/>
  <c r="AG25" i="23"/>
  <c r="J24" i="23"/>
  <c r="D24" i="23"/>
  <c r="J23" i="23"/>
  <c r="D23" i="23"/>
  <c r="K18" i="23"/>
  <c r="E18" i="23"/>
  <c r="K17" i="23"/>
  <c r="E17" i="23"/>
  <c r="K16" i="23"/>
  <c r="E16" i="23"/>
  <c r="L13" i="23"/>
  <c r="L14" i="23" s="1"/>
  <c r="K14" i="23" s="1"/>
  <c r="J13" i="23"/>
  <c r="D13" i="23"/>
  <c r="AD12" i="23"/>
  <c r="AE11" i="23"/>
  <c r="AF11" i="23" s="1"/>
  <c r="AG11" i="23" s="1"/>
  <c r="AH11" i="23" s="1"/>
  <c r="K10" i="23"/>
  <c r="E10" i="23"/>
  <c r="AF9" i="23"/>
  <c r="AG9" i="23" s="1"/>
  <c r="AE9" i="23"/>
  <c r="L8" i="23"/>
  <c r="J8" i="23"/>
  <c r="F8" i="23"/>
  <c r="D8" i="23"/>
  <c r="AE7" i="23"/>
  <c r="AF7" i="23" s="1"/>
  <c r="AF10" i="23" s="1"/>
  <c r="J7" i="23"/>
  <c r="L7" i="23" s="1"/>
  <c r="L10" i="23" s="1"/>
  <c r="D7" i="23"/>
  <c r="F7" i="23" s="1"/>
  <c r="F10" i="23" s="1"/>
  <c r="F13" i="23" s="1"/>
  <c r="F14" i="23" s="1"/>
  <c r="K5" i="23"/>
  <c r="L5" i="23" s="1"/>
  <c r="E5" i="23"/>
  <c r="F5" i="23" s="1"/>
  <c r="M39" i="22"/>
  <c r="M38" i="22"/>
  <c r="T35" i="22"/>
  <c r="M41" i="22" s="1"/>
  <c r="T33" i="22"/>
  <c r="T32" i="22"/>
  <c r="M32" i="22"/>
  <c r="T29" i="22"/>
  <c r="M33" i="22" s="1"/>
  <c r="M29" i="22"/>
  <c r="U26" i="22"/>
  <c r="T26" i="22"/>
  <c r="N26" i="22"/>
  <c r="O33" i="22" s="1"/>
  <c r="U25" i="22"/>
  <c r="T25" i="22"/>
  <c r="M24" i="22" s="1"/>
  <c r="O24" i="22" s="1"/>
  <c r="O26" i="22" s="1"/>
  <c r="M25" i="22"/>
  <c r="O25" i="22" s="1"/>
  <c r="L25" i="22"/>
  <c r="E20" i="22"/>
  <c r="I19" i="22"/>
  <c r="F9" i="22"/>
  <c r="F10" i="22" s="1"/>
  <c r="G10" i="22" s="1"/>
  <c r="H10" i="22" s="1"/>
  <c r="I10" i="22" s="1"/>
  <c r="G7" i="22"/>
  <c r="H7" i="22" s="1"/>
  <c r="I7" i="22" s="1"/>
  <c r="F7" i="22"/>
  <c r="G6" i="22"/>
  <c r="G8" i="22" s="1"/>
  <c r="F6" i="22"/>
  <c r="K35" i="21"/>
  <c r="K34" i="21"/>
  <c r="K33" i="21"/>
  <c r="K32" i="21"/>
  <c r="K31" i="21"/>
  <c r="E27" i="21"/>
  <c r="F26" i="21"/>
  <c r="F27" i="21" s="1"/>
  <c r="E26" i="21"/>
  <c r="F24" i="21"/>
  <c r="D25" i="21" s="1"/>
  <c r="E24" i="21"/>
  <c r="I23" i="21"/>
  <c r="F23" i="21"/>
  <c r="F22" i="21"/>
  <c r="D22" i="21"/>
  <c r="F21" i="21"/>
  <c r="F18" i="21"/>
  <c r="F17" i="21"/>
  <c r="O16" i="21"/>
  <c r="I26" i="21" s="1"/>
  <c r="D16" i="21"/>
  <c r="F15" i="21"/>
  <c r="D15" i="21"/>
  <c r="O13" i="21"/>
  <c r="K18" i="21" s="1"/>
  <c r="I13" i="21"/>
  <c r="F13" i="21"/>
  <c r="O12" i="21"/>
  <c r="I16" i="21" s="1"/>
  <c r="K16" i="21" s="1"/>
  <c r="N12" i="21"/>
  <c r="F12" i="21"/>
  <c r="D12" i="21"/>
  <c r="O11" i="21"/>
  <c r="I22" i="21" s="1"/>
  <c r="O10" i="21"/>
  <c r="J10" i="21"/>
  <c r="H9" i="21"/>
  <c r="F9" i="21"/>
  <c r="E9" i="21"/>
  <c r="P8" i="21"/>
  <c r="O8" i="21"/>
  <c r="I9" i="21" s="1"/>
  <c r="K9" i="21" s="1"/>
  <c r="N8" i="21"/>
  <c r="F8" i="21"/>
  <c r="E8" i="21"/>
  <c r="D8" i="21"/>
  <c r="O7" i="21"/>
  <c r="I8" i="21" s="1"/>
  <c r="K8" i="21" s="1"/>
  <c r="F7" i="21"/>
  <c r="E7" i="21"/>
  <c r="D7" i="21"/>
  <c r="I7" i="21" s="1"/>
  <c r="K7" i="21" s="1"/>
  <c r="P6" i="21"/>
  <c r="O6" i="21"/>
  <c r="N6" i="21"/>
  <c r="H7" i="21" s="1"/>
  <c r="E27" i="20"/>
  <c r="E26" i="20"/>
  <c r="F25" i="20"/>
  <c r="F26" i="20" s="1"/>
  <c r="F27" i="20" s="1"/>
  <c r="D25" i="20"/>
  <c r="F24" i="20"/>
  <c r="E24" i="20"/>
  <c r="F23" i="20"/>
  <c r="F22" i="20"/>
  <c r="D22" i="20"/>
  <c r="I21" i="20"/>
  <c r="H21" i="20"/>
  <c r="F21" i="20"/>
  <c r="F17" i="20"/>
  <c r="I16" i="20"/>
  <c r="K16" i="20" s="1"/>
  <c r="D16" i="20"/>
  <c r="P15" i="20"/>
  <c r="I24" i="20" s="1"/>
  <c r="F15" i="20"/>
  <c r="D15" i="20"/>
  <c r="P13" i="20"/>
  <c r="K17" i="20" s="1"/>
  <c r="O13" i="20"/>
  <c r="F13" i="20"/>
  <c r="P12" i="20"/>
  <c r="F12" i="20"/>
  <c r="D12" i="20"/>
  <c r="P11" i="20"/>
  <c r="I20" i="20" s="1"/>
  <c r="P10" i="20"/>
  <c r="I13" i="20" s="1"/>
  <c r="H9" i="20"/>
  <c r="F9" i="20"/>
  <c r="E9" i="20"/>
  <c r="P8" i="20"/>
  <c r="I9" i="20" s="1"/>
  <c r="K9" i="20" s="1"/>
  <c r="F8" i="20"/>
  <c r="E8" i="20"/>
  <c r="D8" i="20"/>
  <c r="P7" i="20"/>
  <c r="I8" i="20" s="1"/>
  <c r="K8" i="20" s="1"/>
  <c r="H7" i="20"/>
  <c r="F7" i="20"/>
  <c r="E7" i="20"/>
  <c r="D7" i="20"/>
  <c r="Q6" i="20"/>
  <c r="P6" i="20"/>
  <c r="I7" i="20" s="1"/>
  <c r="K7" i="20" s="1"/>
  <c r="K10" i="20" s="1"/>
  <c r="X71" i="19"/>
  <c r="X63" i="19"/>
  <c r="X64" i="19" s="1"/>
  <c r="X60" i="19"/>
  <c r="X56" i="19"/>
  <c r="X57" i="19" s="1"/>
  <c r="S33" i="19"/>
  <c r="T53" i="19" s="1"/>
  <c r="E30" i="19"/>
  <c r="E29" i="19"/>
  <c r="F28" i="19"/>
  <c r="F29" i="19" s="1"/>
  <c r="F30" i="19" s="1"/>
  <c r="J27" i="19"/>
  <c r="F27" i="19"/>
  <c r="F26" i="19"/>
  <c r="F25" i="19"/>
  <c r="F24" i="19"/>
  <c r="D25" i="19" s="1"/>
  <c r="F22" i="19"/>
  <c r="X21" i="19"/>
  <c r="K35" i="19" s="1"/>
  <c r="F21" i="19"/>
  <c r="D21" i="19"/>
  <c r="F20" i="19"/>
  <c r="X19" i="19"/>
  <c r="J26" i="19" s="1"/>
  <c r="X18" i="19"/>
  <c r="D18" i="19"/>
  <c r="P17" i="19"/>
  <c r="F17" i="19"/>
  <c r="D17" i="19"/>
  <c r="X15" i="19"/>
  <c r="L22" i="19" s="1"/>
  <c r="F15" i="19"/>
  <c r="O24" i="19" s="1"/>
  <c r="E15" i="19"/>
  <c r="D15" i="19"/>
  <c r="X14" i="19"/>
  <c r="L21" i="19" s="1"/>
  <c r="X13" i="19"/>
  <c r="R20" i="19" s="1"/>
  <c r="T20" i="19" s="1"/>
  <c r="U23" i="19" s="1"/>
  <c r="R13" i="19"/>
  <c r="J13" i="19"/>
  <c r="F13" i="19"/>
  <c r="X12" i="19"/>
  <c r="T19" i="19" s="1"/>
  <c r="F12" i="19"/>
  <c r="D12" i="19"/>
  <c r="X11" i="19"/>
  <c r="R18" i="19" s="1"/>
  <c r="T18" i="19" s="1"/>
  <c r="X10" i="19"/>
  <c r="R17" i="19" s="1"/>
  <c r="T17" i="19" s="1"/>
  <c r="X9" i="19"/>
  <c r="L16" i="19" s="1"/>
  <c r="F9" i="19"/>
  <c r="E9" i="19"/>
  <c r="F8" i="19"/>
  <c r="E8" i="19"/>
  <c r="D8" i="19"/>
  <c r="X7" i="19"/>
  <c r="R9" i="19" s="1"/>
  <c r="T9" i="19" s="1"/>
  <c r="W7" i="19"/>
  <c r="H9" i="19" s="1"/>
  <c r="H7" i="19"/>
  <c r="F7" i="19"/>
  <c r="E7" i="19"/>
  <c r="K7" i="19" s="1"/>
  <c r="L7" i="19" s="1"/>
  <c r="D7" i="19"/>
  <c r="X6" i="19"/>
  <c r="J8" i="19" s="1"/>
  <c r="L8" i="19" s="1"/>
  <c r="X5" i="19"/>
  <c r="J7" i="19" s="1"/>
  <c r="U4" i="19"/>
  <c r="U24" i="19" s="1"/>
  <c r="E25" i="18"/>
  <c r="E24" i="18"/>
  <c r="F24" i="18" s="1"/>
  <c r="F25" i="18" s="1"/>
  <c r="D25" i="18" s="1"/>
  <c r="I22" i="18"/>
  <c r="Y21" i="18"/>
  <c r="I20" i="18"/>
  <c r="H20" i="18"/>
  <c r="Q17" i="18"/>
  <c r="Y26" i="18" s="1"/>
  <c r="Q15" i="18"/>
  <c r="Y20" i="18" s="1"/>
  <c r="Y14" i="18"/>
  <c r="Q14" i="18"/>
  <c r="AA13" i="18"/>
  <c r="Q12" i="18"/>
  <c r="Y17" i="18" s="1"/>
  <c r="AB17" i="18" s="1"/>
  <c r="I12" i="18"/>
  <c r="R10" i="18"/>
  <c r="Q10" i="18"/>
  <c r="Z12" i="18" s="1"/>
  <c r="AB12" i="18" s="1"/>
  <c r="K10" i="18"/>
  <c r="Q9" i="18"/>
  <c r="Z11" i="18" s="1"/>
  <c r="AB11" i="18" s="1"/>
  <c r="J9" i="18"/>
  <c r="L9" i="18" s="1"/>
  <c r="R8" i="18"/>
  <c r="Q8" i="18"/>
  <c r="Z10" i="18" s="1"/>
  <c r="AB10" i="18" s="1"/>
  <c r="J8" i="18"/>
  <c r="L8" i="18" s="1"/>
  <c r="R7" i="18"/>
  <c r="Q7" i="18"/>
  <c r="Z9" i="18" s="1"/>
  <c r="AB9" i="18" s="1"/>
  <c r="P7" i="18"/>
  <c r="J7" i="18"/>
  <c r="L7" i="18" s="1"/>
  <c r="R6" i="18"/>
  <c r="Q6" i="18"/>
  <c r="Z8" i="18" s="1"/>
  <c r="AB8" i="18" s="1"/>
  <c r="J6" i="18"/>
  <c r="L6" i="18" s="1"/>
  <c r="L10" i="18" s="1"/>
  <c r="L12" i="18" s="1"/>
  <c r="L13" i="18" s="1"/>
  <c r="L15" i="18" s="1"/>
  <c r="L18" i="18" s="1"/>
  <c r="M3" i="18"/>
  <c r="M4" i="18" s="1"/>
  <c r="M73" i="17"/>
  <c r="H73" i="17"/>
  <c r="C73" i="17"/>
  <c r="M72" i="17"/>
  <c r="H72" i="17"/>
  <c r="C72" i="17"/>
  <c r="M69" i="17"/>
  <c r="M76" i="17" s="1"/>
  <c r="H69" i="17"/>
  <c r="H76" i="17" s="1"/>
  <c r="C69" i="17"/>
  <c r="K65" i="17"/>
  <c r="K96" i="17" s="1"/>
  <c r="F61" i="17"/>
  <c r="F92" i="17" s="1"/>
  <c r="B61" i="17"/>
  <c r="B92" i="17" s="1"/>
  <c r="M40" i="17"/>
  <c r="M43" i="17" s="1"/>
  <c r="H40" i="17"/>
  <c r="G40" i="17"/>
  <c r="I40" i="17" s="1"/>
  <c r="C40" i="17"/>
  <c r="H39" i="17"/>
  <c r="C39" i="17"/>
  <c r="C43" i="17" s="1"/>
  <c r="M36" i="17"/>
  <c r="L36" i="17"/>
  <c r="N36" i="17" s="1"/>
  <c r="H36" i="17"/>
  <c r="H43" i="17" s="1"/>
  <c r="C36" i="17"/>
  <c r="B36" i="17"/>
  <c r="D36" i="17" s="1"/>
  <c r="G32" i="17"/>
  <c r="G65" i="17" s="1"/>
  <c r="G96" i="17" s="1"/>
  <c r="F32" i="17"/>
  <c r="F65" i="17" s="1"/>
  <c r="F96" i="17" s="1"/>
  <c r="A32" i="17"/>
  <c r="A65" i="17" s="1"/>
  <c r="A96" i="17" s="1"/>
  <c r="G28" i="17"/>
  <c r="L61" i="17" s="1"/>
  <c r="L92" i="17" s="1"/>
  <c r="F28" i="17"/>
  <c r="K61" i="17" s="1"/>
  <c r="K92" i="17" s="1"/>
  <c r="B28" i="17"/>
  <c r="A28" i="17"/>
  <c r="A61" i="17" s="1"/>
  <c r="A92" i="17" s="1"/>
  <c r="G27" i="17"/>
  <c r="B27" i="17"/>
  <c r="L24" i="17"/>
  <c r="B32" i="17" s="1"/>
  <c r="B65" i="17" s="1"/>
  <c r="B96" i="17" s="1"/>
  <c r="L20" i="17"/>
  <c r="M54" i="17" s="1"/>
  <c r="L19" i="17"/>
  <c r="L18" i="17"/>
  <c r="M52" i="17" s="1"/>
  <c r="L17" i="17"/>
  <c r="L16" i="17"/>
  <c r="M50" i="17" s="1"/>
  <c r="L15" i="17"/>
  <c r="L14" i="17"/>
  <c r="M48" i="17" s="1"/>
  <c r="L13" i="17"/>
  <c r="L12" i="17"/>
  <c r="L10" i="17"/>
  <c r="L9" i="17"/>
  <c r="L8" i="17"/>
  <c r="L71" i="17" s="1"/>
  <c r="N71" i="17" s="1"/>
  <c r="H8" i="17"/>
  <c r="G8" i="17"/>
  <c r="I8" i="17" s="1"/>
  <c r="C8" i="17"/>
  <c r="B8" i="17"/>
  <c r="D8" i="17" s="1"/>
  <c r="L7" i="17"/>
  <c r="L70" i="17" s="1"/>
  <c r="N70" i="17" s="1"/>
  <c r="H7" i="17"/>
  <c r="H11" i="17" s="1"/>
  <c r="C7" i="17"/>
  <c r="L6" i="17"/>
  <c r="L69" i="17" s="1"/>
  <c r="N69" i="17" s="1"/>
  <c r="H6" i="17"/>
  <c r="G6" i="17"/>
  <c r="I6" i="17" s="1"/>
  <c r="C6" i="17"/>
  <c r="B6" i="17"/>
  <c r="D6" i="17" s="1"/>
  <c r="H5" i="17"/>
  <c r="G5" i="17"/>
  <c r="I5" i="17" s="1"/>
  <c r="C5" i="17"/>
  <c r="C11" i="17" s="1"/>
  <c r="B5" i="17"/>
  <c r="D5" i="17" s="1"/>
  <c r="CB24" i="16"/>
  <c r="CA24" i="16"/>
  <c r="BZ24" i="16"/>
  <c r="BY24" i="16"/>
  <c r="BX24" i="16"/>
  <c r="BW24" i="16"/>
  <c r="BV24" i="16"/>
  <c r="BU24" i="16"/>
  <c r="CD24" i="16" s="1"/>
  <c r="CD26" i="16" s="1"/>
  <c r="CB23" i="16"/>
  <c r="CA23" i="16"/>
  <c r="BZ23" i="16"/>
  <c r="BY23" i="16"/>
  <c r="BX23" i="16"/>
  <c r="BW23" i="16"/>
  <c r="BV23" i="16"/>
  <c r="BU23" i="16"/>
  <c r="CD20" i="16"/>
  <c r="BU20" i="16"/>
  <c r="BU19" i="16"/>
  <c r="BU18" i="16"/>
  <c r="X24" i="15"/>
  <c r="S22" i="15"/>
  <c r="Y20" i="15"/>
  <c r="L20" i="15"/>
  <c r="I20" i="15"/>
  <c r="N18" i="15"/>
  <c r="I18" i="15"/>
  <c r="C16" i="15"/>
  <c r="L17" i="15" s="1"/>
  <c r="N15" i="15"/>
  <c r="L12" i="15"/>
  <c r="C12" i="15"/>
  <c r="M8" i="15"/>
  <c r="N19" i="15" s="1"/>
  <c r="X7" i="15"/>
  <c r="V7" i="15"/>
  <c r="Y7" i="15" s="1"/>
  <c r="U7" i="15"/>
  <c r="W7" i="15" s="1"/>
  <c r="X6" i="15"/>
  <c r="V6" i="15"/>
  <c r="V8" i="15" s="1"/>
  <c r="U6" i="15"/>
  <c r="W6" i="15" s="1"/>
  <c r="W5" i="15"/>
  <c r="U5" i="15"/>
  <c r="X5" i="15" s="1"/>
  <c r="Y5" i="15" s="1"/>
  <c r="W213" i="14"/>
  <c r="Y206" i="14"/>
  <c r="Y197" i="14"/>
  <c r="Z199" i="14" s="1"/>
  <c r="Y195" i="14"/>
  <c r="Z197" i="14" s="1"/>
  <c r="Y194" i="14"/>
  <c r="Z196" i="14" s="1"/>
  <c r="Y193" i="14"/>
  <c r="Z195" i="14" s="1"/>
  <c r="Z192" i="14"/>
  <c r="Z206" i="14" s="1"/>
  <c r="Y192" i="14"/>
  <c r="N49" i="14"/>
  <c r="K49" i="14"/>
  <c r="E49" i="14"/>
  <c r="B49" i="14"/>
  <c r="P37" i="14"/>
  <c r="G37" i="14"/>
  <c r="P35" i="14"/>
  <c r="G35" i="14"/>
  <c r="P34" i="14"/>
  <c r="P38" i="14" s="1"/>
  <c r="G34" i="14"/>
  <c r="G38" i="14" s="1"/>
  <c r="Q32" i="14"/>
  <c r="H32" i="14"/>
  <c r="U21" i="14"/>
  <c r="N48" i="14" s="1"/>
  <c r="N21" i="14"/>
  <c r="K21" i="14"/>
  <c r="E21" i="14"/>
  <c r="B21" i="14"/>
  <c r="U20" i="14"/>
  <c r="N45" i="14" s="1"/>
  <c r="Q45" i="14" s="1"/>
  <c r="E20" i="14"/>
  <c r="U19" i="14"/>
  <c r="N44" i="14" s="1"/>
  <c r="Q44" i="14" s="1"/>
  <c r="Q46" i="14" s="1"/>
  <c r="U18" i="14"/>
  <c r="N41" i="14" s="1"/>
  <c r="N18" i="14"/>
  <c r="N17" i="14"/>
  <c r="E17" i="14"/>
  <c r="E16" i="14"/>
  <c r="N14" i="14"/>
  <c r="E13" i="14"/>
  <c r="P10" i="14"/>
  <c r="G9" i="14"/>
  <c r="X7" i="14"/>
  <c r="V7" i="14"/>
  <c r="P7" i="14"/>
  <c r="X6" i="14"/>
  <c r="V6" i="14"/>
  <c r="P6" i="14"/>
  <c r="Q18" i="14" s="1"/>
  <c r="G6" i="14"/>
  <c r="G10" i="14" s="1"/>
  <c r="H16" i="14" s="1"/>
  <c r="X5" i="14"/>
  <c r="X9" i="14" s="1"/>
  <c r="X10" i="14" s="1"/>
  <c r="W196" i="14" s="1"/>
  <c r="Y196" i="14" s="1"/>
  <c r="Z198" i="14" s="1"/>
  <c r="V5" i="14"/>
  <c r="V9" i="14" s="1"/>
  <c r="V10" i="14" s="1"/>
  <c r="E54" i="13"/>
  <c r="E55" i="13" s="1"/>
  <c r="D50" i="13"/>
  <c r="C49" i="13"/>
  <c r="E49" i="13" s="1"/>
  <c r="E50" i="13" s="1"/>
  <c r="E45" i="13"/>
  <c r="E64" i="13" s="1"/>
  <c r="W39" i="13"/>
  <c r="V39" i="13"/>
  <c r="R39" i="13"/>
  <c r="Q39" i="13"/>
  <c r="M39" i="13"/>
  <c r="L39" i="13"/>
  <c r="Y35" i="13"/>
  <c r="V35" i="13"/>
  <c r="T35" i="13"/>
  <c r="Q35" i="13"/>
  <c r="O35" i="13"/>
  <c r="E32" i="13"/>
  <c r="E42" i="13" s="1"/>
  <c r="E31" i="13"/>
  <c r="F31" i="13" s="1"/>
  <c r="E30" i="13"/>
  <c r="V27" i="13"/>
  <c r="Q27" i="13"/>
  <c r="L27" i="13"/>
  <c r="D27" i="13"/>
  <c r="C26" i="13"/>
  <c r="E26" i="13" s="1"/>
  <c r="E27" i="13" s="1"/>
  <c r="E28" i="13" s="1"/>
  <c r="F28" i="13" s="1"/>
  <c r="P21" i="13"/>
  <c r="P18" i="13"/>
  <c r="W38" i="13" s="1"/>
  <c r="P17" i="13"/>
  <c r="W29" i="13" s="1"/>
  <c r="P14" i="13"/>
  <c r="T33" i="13" s="1"/>
  <c r="P13" i="13"/>
  <c r="Y32" i="13" s="1"/>
  <c r="E12" i="13"/>
  <c r="F12" i="13" s="1"/>
  <c r="F11" i="13"/>
  <c r="E11" i="13"/>
  <c r="F10" i="13"/>
  <c r="D7" i="13"/>
  <c r="C6" i="13"/>
  <c r="E6" i="13" s="1"/>
  <c r="E7" i="13" s="1"/>
  <c r="C20" i="12"/>
  <c r="B20" i="12"/>
  <c r="I17" i="12"/>
  <c r="C19" i="12" s="1"/>
  <c r="F17" i="12"/>
  <c r="I16" i="12"/>
  <c r="I14" i="12"/>
  <c r="I13" i="12"/>
  <c r="E16" i="12" s="1"/>
  <c r="F16" i="12" s="1"/>
  <c r="I12" i="12"/>
  <c r="I11" i="12"/>
  <c r="E15" i="12" s="1"/>
  <c r="F15" i="12" s="1"/>
  <c r="C11" i="12"/>
  <c r="I10" i="12"/>
  <c r="E14" i="12" s="1"/>
  <c r="F14" i="12" s="1"/>
  <c r="E10" i="12"/>
  <c r="I9" i="12"/>
  <c r="E13" i="12" s="1"/>
  <c r="F13" i="12" s="1"/>
  <c r="B8" i="12"/>
  <c r="G20" i="11"/>
  <c r="N17" i="11"/>
  <c r="G19" i="11" s="1"/>
  <c r="N16" i="11"/>
  <c r="G14" i="11" s="1"/>
  <c r="H16" i="11"/>
  <c r="I16" i="11" s="1"/>
  <c r="H12" i="11"/>
  <c r="C29" i="10"/>
  <c r="C28" i="10"/>
  <c r="C15" i="10"/>
  <c r="I15" i="10" s="1"/>
  <c r="I14" i="10"/>
  <c r="H14" i="10"/>
  <c r="C13" i="10"/>
  <c r="C11" i="10"/>
  <c r="L12" i="10" s="1"/>
  <c r="B11" i="10"/>
  <c r="I10" i="10"/>
  <c r="K8" i="10"/>
  <c r="E22" i="9"/>
  <c r="G21" i="9"/>
  <c r="G22" i="9" s="1"/>
  <c r="H22" i="9" s="1"/>
  <c r="E21" i="9"/>
  <c r="E20" i="9"/>
  <c r="G19" i="9"/>
  <c r="G17" i="9"/>
  <c r="X16" i="9"/>
  <c r="Q17" i="9" s="1"/>
  <c r="Q16" i="9"/>
  <c r="P16" i="9"/>
  <c r="X14" i="9"/>
  <c r="P14" i="9"/>
  <c r="P13" i="9"/>
  <c r="X12" i="9"/>
  <c r="X11" i="9"/>
  <c r="Q11" i="9"/>
  <c r="S10" i="9"/>
  <c r="T14" i="9" s="1"/>
  <c r="M9" i="9"/>
  <c r="M8" i="9"/>
  <c r="D8" i="9"/>
  <c r="M7" i="9"/>
  <c r="M10" i="9" s="1"/>
  <c r="M11" i="9" s="1"/>
  <c r="R6" i="9" s="1"/>
  <c r="E7" i="9"/>
  <c r="E8" i="9" s="1"/>
  <c r="C7" i="9"/>
  <c r="G7" i="9" s="1"/>
  <c r="H7" i="9" s="1"/>
  <c r="E6" i="9"/>
  <c r="H5" i="9"/>
  <c r="G5" i="9"/>
  <c r="G17" i="8"/>
  <c r="F17" i="8"/>
  <c r="N16" i="8"/>
  <c r="G18" i="8" s="1"/>
  <c r="N14" i="8"/>
  <c r="F14" i="8"/>
  <c r="F13" i="8"/>
  <c r="N12" i="8"/>
  <c r="J14" i="8" s="1"/>
  <c r="N11" i="8"/>
  <c r="J13" i="8" s="1"/>
  <c r="G11" i="8"/>
  <c r="I10" i="8"/>
  <c r="D10" i="8"/>
  <c r="D9" i="8"/>
  <c r="D8" i="8"/>
  <c r="D11" i="8" s="1"/>
  <c r="D12" i="8" s="1"/>
  <c r="H6" i="8" s="1"/>
  <c r="G20" i="7"/>
  <c r="E19" i="7"/>
  <c r="O17" i="7"/>
  <c r="G17" i="7"/>
  <c r="W16" i="7"/>
  <c r="P18" i="7" s="1"/>
  <c r="W14" i="7"/>
  <c r="O14" i="7"/>
  <c r="O13" i="7"/>
  <c r="W12" i="7"/>
  <c r="S14" i="7" s="1"/>
  <c r="W11" i="7"/>
  <c r="S13" i="7" s="1"/>
  <c r="P11" i="7"/>
  <c r="R10" i="7"/>
  <c r="M9" i="7"/>
  <c r="M8" i="7"/>
  <c r="D8" i="7"/>
  <c r="M7" i="7"/>
  <c r="M10" i="7" s="1"/>
  <c r="M11" i="7" s="1"/>
  <c r="Q6" i="7" s="1"/>
  <c r="C7" i="7"/>
  <c r="G7" i="7" s="1"/>
  <c r="H7" i="7" s="1"/>
  <c r="E6" i="7"/>
  <c r="G5" i="7"/>
  <c r="H5" i="7" s="1"/>
  <c r="G55" i="6"/>
  <c r="F55" i="6"/>
  <c r="N54" i="6"/>
  <c r="C53" i="6"/>
  <c r="N51" i="6"/>
  <c r="N50" i="6"/>
  <c r="N49" i="6"/>
  <c r="G49" i="6"/>
  <c r="N48" i="6"/>
  <c r="B48" i="6"/>
  <c r="N47" i="6"/>
  <c r="H47" i="6"/>
  <c r="F47" i="6"/>
  <c r="N46" i="6"/>
  <c r="N52" i="6" s="1"/>
  <c r="N53" i="6" s="1"/>
  <c r="N55" i="6" s="1"/>
  <c r="I45" i="6" s="1"/>
  <c r="F35" i="6"/>
  <c r="C35" i="6"/>
  <c r="G35" i="6" s="1"/>
  <c r="N34" i="6"/>
  <c r="N31" i="6"/>
  <c r="N30" i="6"/>
  <c r="L29" i="6"/>
  <c r="L28" i="6"/>
  <c r="N28" i="6" s="1"/>
  <c r="M27" i="6"/>
  <c r="N27" i="6" s="1"/>
  <c r="L27" i="6"/>
  <c r="H27" i="6"/>
  <c r="F27" i="6"/>
  <c r="M26" i="6"/>
  <c r="L26" i="6"/>
  <c r="N26" i="6" s="1"/>
  <c r="G15" i="6"/>
  <c r="F15" i="6"/>
  <c r="N14" i="6"/>
  <c r="C14" i="6"/>
  <c r="C34" i="6" s="1"/>
  <c r="G36" i="6" s="1"/>
  <c r="C13" i="6"/>
  <c r="C33" i="6" s="1"/>
  <c r="G29" i="6" s="1"/>
  <c r="N11" i="6"/>
  <c r="C11" i="6"/>
  <c r="I12" i="6" s="1"/>
  <c r="N10" i="6"/>
  <c r="C10" i="6"/>
  <c r="C30" i="6" s="1"/>
  <c r="C50" i="6" s="1"/>
  <c r="N9" i="6"/>
  <c r="M9" i="6"/>
  <c r="M29" i="6" s="1"/>
  <c r="N29" i="6" s="1"/>
  <c r="G9" i="6"/>
  <c r="N8" i="6"/>
  <c r="M7" i="6"/>
  <c r="N7" i="6" s="1"/>
  <c r="L7" i="6"/>
  <c r="H7" i="6"/>
  <c r="F7" i="6"/>
  <c r="M6" i="6"/>
  <c r="L6" i="6"/>
  <c r="N6" i="6" s="1"/>
  <c r="G32" i="5"/>
  <c r="G31" i="5"/>
  <c r="G30" i="5"/>
  <c r="G29" i="5"/>
  <c r="G28" i="5"/>
  <c r="G27" i="5"/>
  <c r="G33" i="5" s="1"/>
  <c r="G34" i="5" s="1"/>
  <c r="G36" i="5" s="1"/>
  <c r="L4" i="5" s="1"/>
  <c r="P20" i="5"/>
  <c r="O20" i="5"/>
  <c r="J20" i="5"/>
  <c r="I20" i="5"/>
  <c r="C18" i="5"/>
  <c r="P19" i="5" s="1"/>
  <c r="C17" i="5"/>
  <c r="P16" i="5"/>
  <c r="R16" i="5" s="1"/>
  <c r="O16" i="5"/>
  <c r="J16" i="5"/>
  <c r="L16" i="5" s="1"/>
  <c r="I16" i="5"/>
  <c r="C14" i="5"/>
  <c r="P15" i="5" s="1"/>
  <c r="R15" i="5" s="1"/>
  <c r="C13" i="5"/>
  <c r="C12" i="5"/>
  <c r="P14" i="5" s="1"/>
  <c r="R14" i="5" s="1"/>
  <c r="P11" i="5"/>
  <c r="J11" i="5"/>
  <c r="O8" i="5"/>
  <c r="I8" i="5"/>
  <c r="Q7" i="5"/>
  <c r="O7" i="5"/>
  <c r="K7" i="5"/>
  <c r="I7" i="5"/>
  <c r="Q6" i="5"/>
  <c r="Q9" i="5" s="1"/>
  <c r="O6" i="5"/>
  <c r="K6" i="5"/>
  <c r="H289" i="4"/>
  <c r="L284" i="4"/>
  <c r="K272" i="4"/>
  <c r="P215" i="4"/>
  <c r="J215" i="4"/>
  <c r="D215" i="4"/>
  <c r="Q202" i="4"/>
  <c r="K202" i="4"/>
  <c r="E202" i="4"/>
  <c r="P187" i="4"/>
  <c r="J187" i="4"/>
  <c r="D187" i="4"/>
  <c r="Q174" i="4"/>
  <c r="K174" i="4"/>
  <c r="E174" i="4"/>
  <c r="P159" i="4"/>
  <c r="J159" i="4"/>
  <c r="D159" i="4"/>
  <c r="Q146" i="4"/>
  <c r="K146" i="4"/>
  <c r="E146" i="4"/>
  <c r="P131" i="4"/>
  <c r="J131" i="4"/>
  <c r="D131" i="4"/>
  <c r="Q118" i="4"/>
  <c r="K118" i="4"/>
  <c r="E118" i="4"/>
  <c r="P103" i="4"/>
  <c r="J103" i="4"/>
  <c r="D103" i="4"/>
  <c r="Q90" i="4"/>
  <c r="K90" i="4"/>
  <c r="E90" i="4"/>
  <c r="P75" i="4"/>
  <c r="J75" i="4"/>
  <c r="D75" i="4"/>
  <c r="Q62" i="4"/>
  <c r="K62" i="4"/>
  <c r="E62" i="4"/>
  <c r="P47" i="4"/>
  <c r="J47" i="4"/>
  <c r="D47" i="4"/>
  <c r="Q34" i="4"/>
  <c r="K34" i="4"/>
  <c r="E34" i="4"/>
  <c r="U28" i="4"/>
  <c r="U29" i="4" s="1"/>
  <c r="O22" i="4"/>
  <c r="O50" i="4" s="1"/>
  <c r="I22" i="4"/>
  <c r="I50" i="4" s="1"/>
  <c r="C22" i="4"/>
  <c r="C50" i="4" s="1"/>
  <c r="P19" i="4"/>
  <c r="N19" i="4"/>
  <c r="N47" i="4" s="1"/>
  <c r="N75" i="4" s="1"/>
  <c r="N103" i="4" s="1"/>
  <c r="N131" i="4" s="1"/>
  <c r="N159" i="4" s="1"/>
  <c r="N187" i="4" s="1"/>
  <c r="N215" i="4" s="1"/>
  <c r="J19" i="4"/>
  <c r="L19" i="4" s="1"/>
  <c r="H19" i="4"/>
  <c r="H47" i="4" s="1"/>
  <c r="H75" i="4" s="1"/>
  <c r="H103" i="4" s="1"/>
  <c r="H131" i="4" s="1"/>
  <c r="H159" i="4" s="1"/>
  <c r="H187" i="4" s="1"/>
  <c r="H215" i="4" s="1"/>
  <c r="D19" i="4"/>
  <c r="B19" i="4"/>
  <c r="B47" i="4" s="1"/>
  <c r="B75" i="4" s="1"/>
  <c r="B103" i="4" s="1"/>
  <c r="B131" i="4" s="1"/>
  <c r="B159" i="4" s="1"/>
  <c r="B187" i="4" s="1"/>
  <c r="B215" i="4" s="1"/>
  <c r="W18" i="4"/>
  <c r="O49" i="4" s="1"/>
  <c r="W17" i="4"/>
  <c r="O96" i="4" s="1"/>
  <c r="P15" i="4"/>
  <c r="J15" i="4"/>
  <c r="L15" i="4" s="1"/>
  <c r="D15" i="4"/>
  <c r="F15" i="4" s="1"/>
  <c r="W14" i="4"/>
  <c r="W13" i="4"/>
  <c r="P73" i="4" s="1"/>
  <c r="W12" i="4"/>
  <c r="J128" i="4" s="1"/>
  <c r="O12" i="4"/>
  <c r="I12" i="4"/>
  <c r="C12" i="4"/>
  <c r="W11" i="4"/>
  <c r="W10" i="4"/>
  <c r="P126" i="4" s="1"/>
  <c r="K9" i="4"/>
  <c r="K7" i="4"/>
  <c r="E7" i="4"/>
  <c r="F19" i="4" s="1"/>
  <c r="Q6" i="4"/>
  <c r="K6" i="4"/>
  <c r="E6" i="4"/>
  <c r="E9" i="4" s="1"/>
  <c r="G48" i="3"/>
  <c r="G45" i="3"/>
  <c r="G44" i="3"/>
  <c r="G47" i="3" s="1"/>
  <c r="J27" i="3"/>
  <c r="I27" i="3"/>
  <c r="F27" i="3"/>
  <c r="J28" i="3" s="1"/>
  <c r="F26" i="3"/>
  <c r="I23" i="3"/>
  <c r="F22" i="3"/>
  <c r="L23" i="3" s="1"/>
  <c r="J21" i="3"/>
  <c r="I19" i="3"/>
  <c r="D8" i="3"/>
  <c r="E8" i="3" s="1"/>
  <c r="D7" i="3"/>
  <c r="E7" i="3" s="1"/>
  <c r="D6" i="3"/>
  <c r="E6" i="3" s="1"/>
  <c r="F1" i="3"/>
  <c r="D33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N12" i="2" s="1"/>
  <c r="C26" i="6" s="1"/>
  <c r="G27" i="6" s="1"/>
  <c r="M11" i="2"/>
  <c r="N11" i="2" s="1"/>
  <c r="C46" i="6" s="1"/>
  <c r="G47" i="6" s="1"/>
  <c r="M10" i="2"/>
  <c r="N10" i="2" s="1"/>
  <c r="C6" i="6" s="1"/>
  <c r="G7" i="6" s="1"/>
  <c r="I7" i="6" s="1"/>
  <c r="M9" i="2"/>
  <c r="M8" i="2"/>
  <c r="M7" i="2"/>
  <c r="M6" i="2"/>
  <c r="M5" i="2"/>
  <c r="M4" i="2"/>
  <c r="C30" i="1"/>
  <c r="D26" i="1"/>
  <c r="C26" i="1"/>
  <c r="E26" i="1" s="1"/>
  <c r="H25" i="1"/>
  <c r="C25" i="1"/>
  <c r="J25" i="1" s="1"/>
  <c r="D24" i="1"/>
  <c r="C24" i="1"/>
  <c r="E24" i="1" s="1"/>
  <c r="H23" i="1"/>
  <c r="C23" i="1"/>
  <c r="J23" i="1" s="1"/>
  <c r="D22" i="1"/>
  <c r="C22" i="1"/>
  <c r="E22" i="1" s="1"/>
  <c r="H21" i="1"/>
  <c r="C21" i="1"/>
  <c r="J21" i="1" s="1"/>
  <c r="D20" i="1"/>
  <c r="C20" i="1"/>
  <c r="E20" i="1" s="1"/>
  <c r="H19" i="1"/>
  <c r="C19" i="1"/>
  <c r="J19" i="1" s="1"/>
  <c r="C18" i="1"/>
  <c r="N28" i="2" s="1"/>
  <c r="C7" i="15" s="1"/>
  <c r="L7" i="15" s="1"/>
  <c r="N7" i="15" s="1"/>
  <c r="C17" i="1"/>
  <c r="D16" i="1"/>
  <c r="C16" i="1"/>
  <c r="E16" i="1" s="1"/>
  <c r="H15" i="1"/>
  <c r="C15" i="1"/>
  <c r="J15" i="1" s="1"/>
  <c r="D14" i="1"/>
  <c r="C14" i="1"/>
  <c r="E14" i="1" s="1"/>
  <c r="H13" i="1"/>
  <c r="C13" i="1"/>
  <c r="J13" i="1" s="1"/>
  <c r="D12" i="1"/>
  <c r="C12" i="1"/>
  <c r="E12" i="1" s="1"/>
  <c r="C11" i="1"/>
  <c r="D10" i="1"/>
  <c r="C10" i="1"/>
  <c r="E10" i="1" s="1"/>
  <c r="H9" i="1"/>
  <c r="C9" i="1"/>
  <c r="J9" i="1" s="1"/>
  <c r="D8" i="1"/>
  <c r="C8" i="1"/>
  <c r="E8" i="1" s="1"/>
  <c r="H7" i="1"/>
  <c r="C7" i="1"/>
  <c r="J7" i="1" s="1"/>
  <c r="D6" i="1"/>
  <c r="C6" i="1"/>
  <c r="F18" i="3" s="1"/>
  <c r="J19" i="3" s="1"/>
  <c r="L19" i="3" s="1"/>
  <c r="H5" i="1"/>
  <c r="C5" i="1"/>
  <c r="J5" i="1" s="1"/>
  <c r="R16" i="19" l="1"/>
  <c r="T16" i="19" s="1"/>
  <c r="N48" i="17"/>
  <c r="N50" i="17"/>
  <c r="N52" i="17"/>
  <c r="N54" i="17"/>
  <c r="L72" i="17"/>
  <c r="N72" i="17" s="1"/>
  <c r="N76" i="17" s="1"/>
  <c r="B72" i="17"/>
  <c r="D72" i="17" s="1"/>
  <c r="G7" i="17"/>
  <c r="I7" i="17" s="1"/>
  <c r="I11" i="17" s="1"/>
  <c r="L73" i="17"/>
  <c r="N73" i="17" s="1"/>
  <c r="B73" i="17"/>
  <c r="D73" i="17" s="1"/>
  <c r="G73" i="17"/>
  <c r="I73" i="17" s="1"/>
  <c r="L91" i="17"/>
  <c r="G91" i="17"/>
  <c r="B91" i="17"/>
  <c r="M82" i="17"/>
  <c r="N82" i="17" s="1"/>
  <c r="H82" i="17"/>
  <c r="I82" i="17" s="1"/>
  <c r="C82" i="17"/>
  <c r="C17" i="17"/>
  <c r="D17" i="17" s="1"/>
  <c r="H17" i="17"/>
  <c r="I17" i="17" s="1"/>
  <c r="M84" i="17"/>
  <c r="N84" i="17" s="1"/>
  <c r="H84" i="17"/>
  <c r="I84" i="17" s="1"/>
  <c r="C84" i="17"/>
  <c r="C19" i="17"/>
  <c r="D19" i="17" s="1"/>
  <c r="H19" i="17"/>
  <c r="I19" i="17" s="1"/>
  <c r="M86" i="17"/>
  <c r="N86" i="17" s="1"/>
  <c r="H86" i="17"/>
  <c r="I86" i="17" s="1"/>
  <c r="C86" i="17"/>
  <c r="C21" i="17"/>
  <c r="D21" i="17" s="1"/>
  <c r="H21" i="17"/>
  <c r="I21" i="17" s="1"/>
  <c r="C22" i="17"/>
  <c r="D22" i="17" s="1"/>
  <c r="H22" i="17"/>
  <c r="I22" i="17" s="1"/>
  <c r="G36" i="17"/>
  <c r="I36" i="17" s="1"/>
  <c r="B37" i="17"/>
  <c r="D37" i="17" s="1"/>
  <c r="D43" i="17" s="1"/>
  <c r="G37" i="17"/>
  <c r="I37" i="17" s="1"/>
  <c r="L37" i="17"/>
  <c r="N37" i="17" s="1"/>
  <c r="N43" i="17" s="1"/>
  <c r="B38" i="17"/>
  <c r="D38" i="17" s="1"/>
  <c r="G38" i="17"/>
  <c r="I38" i="17" s="1"/>
  <c r="L38" i="17"/>
  <c r="N38" i="17" s="1"/>
  <c r="B39" i="17"/>
  <c r="D39" i="17" s="1"/>
  <c r="B40" i="17"/>
  <c r="D40" i="17" s="1"/>
  <c r="L40" i="17"/>
  <c r="N40" i="17" s="1"/>
  <c r="C48" i="17"/>
  <c r="D48" i="17" s="1"/>
  <c r="H48" i="17"/>
  <c r="I48" i="17" s="1"/>
  <c r="C49" i="17"/>
  <c r="D49" i="17" s="1"/>
  <c r="H49" i="17"/>
  <c r="I49" i="17" s="1"/>
  <c r="M49" i="17"/>
  <c r="N49" i="17" s="1"/>
  <c r="C50" i="17"/>
  <c r="D50" i="17" s="1"/>
  <c r="H50" i="17"/>
  <c r="I50" i="17" s="1"/>
  <c r="C51" i="17"/>
  <c r="D51" i="17" s="1"/>
  <c r="H51" i="17"/>
  <c r="I51" i="17" s="1"/>
  <c r="M51" i="17"/>
  <c r="N51" i="17" s="1"/>
  <c r="C52" i="17"/>
  <c r="D52" i="17" s="1"/>
  <c r="H52" i="17"/>
  <c r="I52" i="17" s="1"/>
  <c r="C53" i="17"/>
  <c r="D53" i="17" s="1"/>
  <c r="H53" i="17"/>
  <c r="I53" i="17" s="1"/>
  <c r="M53" i="17"/>
  <c r="N53" i="17" s="1"/>
  <c r="C54" i="17"/>
  <c r="D54" i="17" s="1"/>
  <c r="H54" i="17"/>
  <c r="I54" i="17" s="1"/>
  <c r="B60" i="17"/>
  <c r="G60" i="17"/>
  <c r="L60" i="17"/>
  <c r="G61" i="17"/>
  <c r="G92" i="17" s="1"/>
  <c r="L65" i="17"/>
  <c r="L96" i="17" s="1"/>
  <c r="C76" i="17"/>
  <c r="G69" i="17"/>
  <c r="I69" i="17" s="1"/>
  <c r="B70" i="17"/>
  <c r="D70" i="17" s="1"/>
  <c r="G70" i="17"/>
  <c r="I70" i="17" s="1"/>
  <c r="B71" i="17"/>
  <c r="D71" i="17" s="1"/>
  <c r="G71" i="17"/>
  <c r="I71" i="17" s="1"/>
  <c r="G72" i="17"/>
  <c r="I72" i="17" s="1"/>
  <c r="AB13" i="18"/>
  <c r="AB14" i="18"/>
  <c r="L20" i="18"/>
  <c r="R26" i="19"/>
  <c r="K10" i="21"/>
  <c r="B7" i="17"/>
  <c r="D7" i="17" s="1"/>
  <c r="D11" i="17" s="1"/>
  <c r="L79" i="17"/>
  <c r="G79" i="17"/>
  <c r="B79" i="17"/>
  <c r="B14" i="17"/>
  <c r="G14" i="17"/>
  <c r="M81" i="17"/>
  <c r="N81" i="17" s="1"/>
  <c r="H81" i="17"/>
  <c r="I81" i="17" s="1"/>
  <c r="C81" i="17"/>
  <c r="D81" i="17" s="1"/>
  <c r="C16" i="17"/>
  <c r="D16" i="17" s="1"/>
  <c r="H16" i="17"/>
  <c r="I16" i="17" s="1"/>
  <c r="M83" i="17"/>
  <c r="N83" i="17" s="1"/>
  <c r="H83" i="17"/>
  <c r="I83" i="17" s="1"/>
  <c r="C83" i="17"/>
  <c r="D83" i="17" s="1"/>
  <c r="C18" i="17"/>
  <c r="D18" i="17" s="1"/>
  <c r="H18" i="17"/>
  <c r="I18" i="17" s="1"/>
  <c r="M85" i="17"/>
  <c r="N85" i="17" s="1"/>
  <c r="H85" i="17"/>
  <c r="I85" i="17" s="1"/>
  <c r="C85" i="17"/>
  <c r="D85" i="17" s="1"/>
  <c r="C20" i="17"/>
  <c r="D20" i="17" s="1"/>
  <c r="H20" i="17"/>
  <c r="I20" i="17" s="1"/>
  <c r="M87" i="17"/>
  <c r="N87" i="17" s="1"/>
  <c r="H87" i="17"/>
  <c r="I87" i="17" s="1"/>
  <c r="C87" i="17"/>
  <c r="D87" i="17" s="1"/>
  <c r="G39" i="17"/>
  <c r="I39" i="17" s="1"/>
  <c r="B46" i="17"/>
  <c r="G46" i="17"/>
  <c r="L46" i="17"/>
  <c r="B69" i="17"/>
  <c r="D69" i="17" s="1"/>
  <c r="D76" i="17" s="1"/>
  <c r="K21" i="20"/>
  <c r="K14" i="20"/>
  <c r="K19" i="20" s="1"/>
  <c r="K13" i="20"/>
  <c r="K13" i="21"/>
  <c r="K23" i="21"/>
  <c r="I19" i="18"/>
  <c r="L19" i="18" s="1"/>
  <c r="L21" i="18" s="1"/>
  <c r="L22" i="18" s="1"/>
  <c r="L24" i="18" s="1"/>
  <c r="R7" i="19"/>
  <c r="T7" i="19" s="1"/>
  <c r="T10" i="19" s="1"/>
  <c r="J9" i="19"/>
  <c r="L9" i="19" s="1"/>
  <c r="L10" i="19" s="1"/>
  <c r="L18" i="19"/>
  <c r="L19" i="19"/>
  <c r="L20" i="19"/>
  <c r="R21" i="19"/>
  <c r="T21" i="19" s="1"/>
  <c r="J29" i="19"/>
  <c r="H6" i="22"/>
  <c r="G9" i="22"/>
  <c r="H9" i="22" s="1"/>
  <c r="I9" i="22" s="1"/>
  <c r="F12" i="22"/>
  <c r="AG7" i="23"/>
  <c r="AG10" i="23" s="1"/>
  <c r="L16" i="23"/>
  <c r="L17" i="23"/>
  <c r="L18" i="23"/>
  <c r="L38" i="23"/>
  <c r="G22" i="24"/>
  <c r="J24" i="18"/>
  <c r="L17" i="19"/>
  <c r="L24" i="19" s="1"/>
  <c r="O29" i="22"/>
  <c r="O30" i="22" s="1"/>
  <c r="O37" i="22" s="1"/>
  <c r="O32" i="22"/>
  <c r="AE10" i="23"/>
  <c r="AD14" i="23"/>
  <c r="AE12" i="23"/>
  <c r="AF12" i="23" s="1"/>
  <c r="AG12" i="23" s="1"/>
  <c r="AH12" i="23" s="1"/>
  <c r="F16" i="23"/>
  <c r="F17" i="23"/>
  <c r="F18" i="23"/>
  <c r="F40" i="23"/>
  <c r="F41" i="23"/>
  <c r="F49" i="23" s="1"/>
  <c r="G23" i="24"/>
  <c r="G24" i="24" s="1"/>
  <c r="G25" i="24" s="1"/>
  <c r="G26" i="24" s="1"/>
  <c r="G21" i="24"/>
  <c r="C7" i="25"/>
  <c r="G7" i="25"/>
  <c r="I7" i="25"/>
  <c r="K7" i="25"/>
  <c r="K5" i="25"/>
  <c r="K6" i="25" s="1"/>
  <c r="C5" i="25"/>
  <c r="C6" i="25" s="1"/>
  <c r="G5" i="25"/>
  <c r="G6" i="25" s="1"/>
  <c r="I5" i="25"/>
  <c r="I6" i="25" s="1"/>
  <c r="F8" i="25"/>
  <c r="E24" i="25"/>
  <c r="M24" i="25"/>
  <c r="C26" i="25"/>
  <c r="D26" i="25"/>
  <c r="B26" i="25"/>
  <c r="L43" i="23"/>
  <c r="L47" i="23" s="1"/>
  <c r="L44" i="23"/>
  <c r="B7" i="25"/>
  <c r="D7" i="25"/>
  <c r="H7" i="25"/>
  <c r="J7" i="25"/>
  <c r="J5" i="25"/>
  <c r="J6" i="25" s="1"/>
  <c r="B5" i="25"/>
  <c r="B6" i="25" s="1"/>
  <c r="D5" i="25"/>
  <c r="D6" i="25" s="1"/>
  <c r="H5" i="25"/>
  <c r="H6" i="25" s="1"/>
  <c r="E8" i="25"/>
  <c r="F25" i="25"/>
  <c r="F27" i="25" s="1"/>
  <c r="M26" i="25"/>
  <c r="K26" i="25"/>
  <c r="I26" i="25"/>
  <c r="G26" i="25"/>
  <c r="E26" i="25"/>
  <c r="L26" i="25"/>
  <c r="J26" i="25"/>
  <c r="H26" i="25"/>
  <c r="F26" i="25"/>
  <c r="C21" i="25"/>
  <c r="G21" i="25"/>
  <c r="I21" i="25"/>
  <c r="K21" i="25"/>
  <c r="C22" i="25"/>
  <c r="C24" i="25" s="1"/>
  <c r="G22" i="25"/>
  <c r="G24" i="25" s="1"/>
  <c r="I22" i="25"/>
  <c r="I24" i="25" s="1"/>
  <c r="K22" i="25"/>
  <c r="K24" i="25" s="1"/>
  <c r="B21" i="25"/>
  <c r="D21" i="25"/>
  <c r="D22" i="25" s="1"/>
  <c r="D24" i="25" s="1"/>
  <c r="H21" i="25"/>
  <c r="J21" i="25"/>
  <c r="J22" i="25" s="1"/>
  <c r="J24" i="25" s="1"/>
  <c r="L21" i="25"/>
  <c r="B22" i="25"/>
  <c r="B24" i="25" s="1"/>
  <c r="H22" i="25"/>
  <c r="H24" i="25" s="1"/>
  <c r="L22" i="25"/>
  <c r="L24" i="25" s="1"/>
  <c r="I47" i="6"/>
  <c r="I51" i="6"/>
  <c r="L27" i="3"/>
  <c r="I15" i="6"/>
  <c r="I10" i="6"/>
  <c r="I9" i="6"/>
  <c r="I31" i="6"/>
  <c r="I27" i="6"/>
  <c r="L21" i="3"/>
  <c r="L22" i="3" s="1"/>
  <c r="L26" i="3" s="1"/>
  <c r="R15" i="4"/>
  <c r="I78" i="4"/>
  <c r="U30" i="4"/>
  <c r="Q7" i="4"/>
  <c r="C78" i="4"/>
  <c r="O78" i="4"/>
  <c r="C28" i="1"/>
  <c r="C39" i="1"/>
  <c r="U14" i="14" s="1"/>
  <c r="N4" i="2"/>
  <c r="N5" i="2"/>
  <c r="W7" i="4" s="1"/>
  <c r="N6" i="2"/>
  <c r="W6" i="4" s="1"/>
  <c r="N7" i="2"/>
  <c r="C6" i="5" s="1"/>
  <c r="N8" i="2"/>
  <c r="N24" i="2" s="1"/>
  <c r="U13" i="14" s="1"/>
  <c r="N9" i="2"/>
  <c r="C7" i="5" s="1"/>
  <c r="N13" i="2"/>
  <c r="X8" i="9" s="1"/>
  <c r="R9" i="9" s="1"/>
  <c r="T9" i="9" s="1"/>
  <c r="N14" i="2"/>
  <c r="N15" i="2"/>
  <c r="W8" i="7" s="1"/>
  <c r="Q9" i="7" s="1"/>
  <c r="S9" i="7" s="1"/>
  <c r="N16" i="2"/>
  <c r="N8" i="8" s="1"/>
  <c r="H9" i="8" s="1"/>
  <c r="J9" i="8" s="1"/>
  <c r="N17" i="2"/>
  <c r="C7" i="10" s="1"/>
  <c r="J7" i="10" s="1"/>
  <c r="L7" i="10" s="1"/>
  <c r="N18" i="2"/>
  <c r="N19" i="2"/>
  <c r="N8" i="11" s="1"/>
  <c r="G10" i="11" s="1"/>
  <c r="I10" i="11" s="1"/>
  <c r="N20" i="2"/>
  <c r="N9" i="11" s="1"/>
  <c r="G11" i="11" s="1"/>
  <c r="I11" i="11" s="1"/>
  <c r="N21" i="2"/>
  <c r="I7" i="12" s="1"/>
  <c r="D8" i="12" s="1"/>
  <c r="F8" i="12" s="1"/>
  <c r="N22" i="2"/>
  <c r="I6" i="12" s="1"/>
  <c r="D7" i="12" s="1"/>
  <c r="F7" i="12" s="1"/>
  <c r="F10" i="12" s="1"/>
  <c r="N23" i="2"/>
  <c r="P6" i="13" s="1"/>
  <c r="N25" i="2"/>
  <c r="N26" i="2"/>
  <c r="U15" i="14" s="1"/>
  <c r="N27" i="2"/>
  <c r="U16" i="14" s="1"/>
  <c r="N29" i="2"/>
  <c r="C8" i="15" s="1"/>
  <c r="L8" i="15" s="1"/>
  <c r="N8" i="15" s="1"/>
  <c r="N9" i="15" s="1"/>
  <c r="P211" i="4"/>
  <c r="J211" i="4"/>
  <c r="D211" i="4"/>
  <c r="P155" i="4"/>
  <c r="J155" i="4"/>
  <c r="D155" i="4"/>
  <c r="P183" i="4"/>
  <c r="J183" i="4"/>
  <c r="D183" i="4"/>
  <c r="D14" i="4"/>
  <c r="F14" i="4" s="1"/>
  <c r="J14" i="4"/>
  <c r="L14" i="4" s="1"/>
  <c r="P14" i="4"/>
  <c r="R14" i="4" s="1"/>
  <c r="P214" i="4"/>
  <c r="J214" i="4"/>
  <c r="D214" i="4"/>
  <c r="P158" i="4"/>
  <c r="J158" i="4"/>
  <c r="D158" i="4"/>
  <c r="P186" i="4"/>
  <c r="J186" i="4"/>
  <c r="D186" i="4"/>
  <c r="P130" i="4"/>
  <c r="J130" i="4"/>
  <c r="D130" i="4"/>
  <c r="D18" i="4"/>
  <c r="F18" i="4" s="1"/>
  <c r="J18" i="4"/>
  <c r="L18" i="4" s="1"/>
  <c r="P18" i="4"/>
  <c r="R18" i="4" s="1"/>
  <c r="D42" i="4"/>
  <c r="J42" i="4"/>
  <c r="P42" i="4"/>
  <c r="D44" i="4"/>
  <c r="J44" i="4"/>
  <c r="P44" i="4"/>
  <c r="D46" i="4"/>
  <c r="J46" i="4"/>
  <c r="P46" i="4"/>
  <c r="D70" i="4"/>
  <c r="J70" i="4"/>
  <c r="P70" i="4"/>
  <c r="D71" i="4"/>
  <c r="J71" i="4"/>
  <c r="P71" i="4"/>
  <c r="D72" i="4"/>
  <c r="J72" i="4"/>
  <c r="P72" i="4"/>
  <c r="D73" i="4"/>
  <c r="J73" i="4"/>
  <c r="D74" i="4"/>
  <c r="J74" i="4"/>
  <c r="P74" i="4"/>
  <c r="C77" i="4"/>
  <c r="I77" i="4"/>
  <c r="O77" i="4"/>
  <c r="C96" i="4"/>
  <c r="I96" i="4"/>
  <c r="D126" i="4"/>
  <c r="J126" i="4"/>
  <c r="D127" i="4"/>
  <c r="J127" i="4"/>
  <c r="P127" i="4"/>
  <c r="E6" i="1"/>
  <c r="C19" i="15"/>
  <c r="L24" i="15" s="1"/>
  <c r="U23" i="14"/>
  <c r="P20" i="13"/>
  <c r="I19" i="12"/>
  <c r="D22" i="12" s="1"/>
  <c r="N17" i="8"/>
  <c r="H20" i="8" s="1"/>
  <c r="C56" i="6"/>
  <c r="G59" i="6" s="1"/>
  <c r="C36" i="6"/>
  <c r="G39" i="6" s="1"/>
  <c r="N19" i="11"/>
  <c r="G22" i="11" s="1"/>
  <c r="C16" i="10"/>
  <c r="J17" i="10" s="1"/>
  <c r="J27" i="10" s="1"/>
  <c r="X17" i="9"/>
  <c r="R19" i="9" s="1"/>
  <c r="W17" i="7"/>
  <c r="Q20" i="7" s="1"/>
  <c r="C16" i="6"/>
  <c r="G19" i="6" s="1"/>
  <c r="C20" i="5"/>
  <c r="F29" i="3"/>
  <c r="J31" i="3" s="1"/>
  <c r="P210" i="4"/>
  <c r="J210" i="4"/>
  <c r="D210" i="4"/>
  <c r="P154" i="4"/>
  <c r="J154" i="4"/>
  <c r="D154" i="4"/>
  <c r="P182" i="4"/>
  <c r="J182" i="4"/>
  <c r="D182" i="4"/>
  <c r="P212" i="4"/>
  <c r="J212" i="4"/>
  <c r="D212" i="4"/>
  <c r="P156" i="4"/>
  <c r="J156" i="4"/>
  <c r="D156" i="4"/>
  <c r="P184" i="4"/>
  <c r="J184" i="4"/>
  <c r="D184" i="4"/>
  <c r="P213" i="4"/>
  <c r="J213" i="4"/>
  <c r="D213" i="4"/>
  <c r="P157" i="4"/>
  <c r="J157" i="4"/>
  <c r="D157" i="4"/>
  <c r="P185" i="4"/>
  <c r="J185" i="4"/>
  <c r="D185" i="4"/>
  <c r="P129" i="4"/>
  <c r="J129" i="4"/>
  <c r="D129" i="4"/>
  <c r="D16" i="4"/>
  <c r="F16" i="4" s="1"/>
  <c r="J16" i="4"/>
  <c r="L16" i="4" s="1"/>
  <c r="P16" i="4"/>
  <c r="R16" i="4" s="1"/>
  <c r="D17" i="4"/>
  <c r="F17" i="4" s="1"/>
  <c r="J17" i="4"/>
  <c r="L17" i="4" s="1"/>
  <c r="P17" i="4"/>
  <c r="R17" i="4" s="1"/>
  <c r="I277" i="4"/>
  <c r="O180" i="4"/>
  <c r="I180" i="4"/>
  <c r="C180" i="4"/>
  <c r="O208" i="4"/>
  <c r="I208" i="4"/>
  <c r="C208" i="4"/>
  <c r="O152" i="4"/>
  <c r="I152" i="4"/>
  <c r="C152" i="4"/>
  <c r="C21" i="4"/>
  <c r="I21" i="4"/>
  <c r="O21" i="4"/>
  <c r="W21" i="4"/>
  <c r="C40" i="4"/>
  <c r="I40" i="4"/>
  <c r="O40" i="4"/>
  <c r="D43" i="4"/>
  <c r="J43" i="4"/>
  <c r="P43" i="4"/>
  <c r="D45" i="4"/>
  <c r="J45" i="4"/>
  <c r="P45" i="4"/>
  <c r="C49" i="4"/>
  <c r="I49" i="4"/>
  <c r="AG59" i="4"/>
  <c r="C68" i="4"/>
  <c r="I68" i="4"/>
  <c r="O68" i="4"/>
  <c r="D98" i="4"/>
  <c r="J98" i="4"/>
  <c r="P98" i="4"/>
  <c r="D99" i="4"/>
  <c r="J99" i="4"/>
  <c r="P99" i="4"/>
  <c r="D100" i="4"/>
  <c r="J100" i="4"/>
  <c r="P100" i="4"/>
  <c r="D101" i="4"/>
  <c r="J101" i="4"/>
  <c r="P101" i="4"/>
  <c r="D102" i="4"/>
  <c r="J102" i="4"/>
  <c r="P102" i="4"/>
  <c r="C124" i="4"/>
  <c r="I124" i="4"/>
  <c r="O124" i="4"/>
  <c r="D128" i="4"/>
  <c r="P128" i="4"/>
  <c r="N12" i="6"/>
  <c r="N13" i="6" s="1"/>
  <c r="I29" i="6"/>
  <c r="N15" i="6"/>
  <c r="I5" i="6" s="1"/>
  <c r="I35" i="6"/>
  <c r="I49" i="6"/>
  <c r="E11" i="9"/>
  <c r="E10" i="9"/>
  <c r="N32" i="6"/>
  <c r="N33" i="6" s="1"/>
  <c r="N35" i="6" s="1"/>
  <c r="I25" i="6" s="1"/>
  <c r="I55" i="6"/>
  <c r="J14" i="5"/>
  <c r="L14" i="5" s="1"/>
  <c r="J15" i="5"/>
  <c r="L15" i="5" s="1"/>
  <c r="J19" i="5"/>
  <c r="C31" i="6"/>
  <c r="C51" i="6" s="1"/>
  <c r="I52" i="6" s="1"/>
  <c r="C54" i="6"/>
  <c r="G56" i="6" s="1"/>
  <c r="E7" i="7"/>
  <c r="E8" i="7" s="1"/>
  <c r="T13" i="9"/>
  <c r="G20" i="9"/>
  <c r="E9" i="13"/>
  <c r="F9" i="13" s="1"/>
  <c r="E8" i="13"/>
  <c r="E17" i="13" s="1"/>
  <c r="Y36" i="13"/>
  <c r="Y38" i="13" s="1"/>
  <c r="A44" i="13"/>
  <c r="B45" i="13" s="1"/>
  <c r="F45" i="13" s="1"/>
  <c r="F35" i="13"/>
  <c r="F30" i="13"/>
  <c r="F29" i="13"/>
  <c r="F42" i="13"/>
  <c r="I11" i="6"/>
  <c r="G16" i="6"/>
  <c r="F20" i="12"/>
  <c r="E56" i="13"/>
  <c r="E51" i="13"/>
  <c r="E52" i="13"/>
  <c r="M29" i="13"/>
  <c r="R29" i="13"/>
  <c r="F32" i="13"/>
  <c r="T32" i="13"/>
  <c r="T36" i="13" s="1"/>
  <c r="O33" i="13"/>
  <c r="Y33" i="13"/>
  <c r="H17" i="14"/>
  <c r="H18" i="14" s="1"/>
  <c r="Y198" i="14"/>
  <c r="Y8" i="15"/>
  <c r="O32" i="13"/>
  <c r="E36" i="13"/>
  <c r="M38" i="13"/>
  <c r="R38" i="13"/>
  <c r="T38" i="13" s="1"/>
  <c r="P11" i="14"/>
  <c r="Q17" i="14"/>
  <c r="Q19" i="14" s="1"/>
  <c r="W8" i="15"/>
  <c r="Z207" i="14"/>
  <c r="Z208" i="14" s="1"/>
  <c r="Y6" i="15"/>
  <c r="M9" i="15"/>
  <c r="N22" i="14"/>
  <c r="E41" i="14"/>
  <c r="E44" i="14"/>
  <c r="H44" i="14" s="1"/>
  <c r="E45" i="14"/>
  <c r="H45" i="14" s="1"/>
  <c r="E48" i="14"/>
  <c r="Z194" i="14"/>
  <c r="Z200" i="14" s="1"/>
  <c r="H25" i="25" l="1"/>
  <c r="H27" i="25" s="1"/>
  <c r="I27" i="25"/>
  <c r="I25" i="25"/>
  <c r="C27" i="25"/>
  <c r="C25" i="25"/>
  <c r="F51" i="23"/>
  <c r="F53" i="23" s="1"/>
  <c r="F54" i="23" s="1"/>
  <c r="F55" i="23" s="1"/>
  <c r="F50" i="23"/>
  <c r="L13" i="19"/>
  <c r="L14" i="19"/>
  <c r="L25" i="19" s="1"/>
  <c r="L27" i="19"/>
  <c r="D28" i="17"/>
  <c r="I28" i="17"/>
  <c r="N92" i="17"/>
  <c r="L25" i="25"/>
  <c r="L27" i="25" s="1"/>
  <c r="B25" i="25"/>
  <c r="B28" i="25" s="1"/>
  <c r="B27" i="25"/>
  <c r="J25" i="25"/>
  <c r="J27" i="25"/>
  <c r="D25" i="25"/>
  <c r="D27" i="25"/>
  <c r="K25" i="25"/>
  <c r="K27" i="25" s="1"/>
  <c r="G25" i="25"/>
  <c r="G27" i="25" s="1"/>
  <c r="O38" i="22"/>
  <c r="O40" i="22" s="1"/>
  <c r="O39" i="22"/>
  <c r="N61" i="17"/>
  <c r="N46" i="17"/>
  <c r="N47" i="17" s="1"/>
  <c r="N59" i="17" s="1"/>
  <c r="D61" i="17"/>
  <c r="E9" i="25"/>
  <c r="E10" i="25" s="1"/>
  <c r="J8" i="25"/>
  <c r="H8" i="25"/>
  <c r="D8" i="25"/>
  <c r="B8" i="25"/>
  <c r="M27" i="25"/>
  <c r="M25" i="25"/>
  <c r="F10" i="25"/>
  <c r="F9" i="25"/>
  <c r="K8" i="25"/>
  <c r="I8" i="25"/>
  <c r="G8" i="25"/>
  <c r="C8" i="25"/>
  <c r="AE14" i="23"/>
  <c r="L40" i="23"/>
  <c r="L41" i="23" s="1"/>
  <c r="L49" i="23" s="1"/>
  <c r="L20" i="23"/>
  <c r="L22" i="23" s="1"/>
  <c r="T27" i="19"/>
  <c r="O27" i="19"/>
  <c r="O10" i="19"/>
  <c r="G12" i="22"/>
  <c r="K22" i="20"/>
  <c r="K23" i="20" s="1"/>
  <c r="K24" i="20" s="1"/>
  <c r="T13" i="19"/>
  <c r="D92" i="17"/>
  <c r="I25" i="17"/>
  <c r="N89" i="17"/>
  <c r="D14" i="17"/>
  <c r="D15" i="17" s="1"/>
  <c r="D26" i="17" s="1"/>
  <c r="K20" i="20"/>
  <c r="D58" i="17"/>
  <c r="I43" i="17"/>
  <c r="D84" i="17"/>
  <c r="E25" i="25"/>
  <c r="E27" i="25" s="1"/>
  <c r="F20" i="23"/>
  <c r="F22" i="23" s="1"/>
  <c r="AF14" i="23"/>
  <c r="AG13" i="23"/>
  <c r="AH10" i="23"/>
  <c r="AG14" i="23"/>
  <c r="AH14" i="23" s="1"/>
  <c r="H8" i="22"/>
  <c r="H12" i="22" s="1"/>
  <c r="I6" i="22"/>
  <c r="I8" i="22" s="1"/>
  <c r="K24" i="21"/>
  <c r="K25" i="21" s="1"/>
  <c r="K26" i="21" s="1"/>
  <c r="D46" i="17"/>
  <c r="D47" i="17" s="1"/>
  <c r="D59" i="17" s="1"/>
  <c r="D25" i="17"/>
  <c r="I89" i="17"/>
  <c r="I14" i="17"/>
  <c r="I15" i="17" s="1"/>
  <c r="I26" i="17" s="1"/>
  <c r="D79" i="17"/>
  <c r="D80" i="17" s="1"/>
  <c r="N79" i="17"/>
  <c r="N80" i="17" s="1"/>
  <c r="N90" i="17" s="1"/>
  <c r="K14" i="21"/>
  <c r="K21" i="21" s="1"/>
  <c r="K22" i="21" s="1"/>
  <c r="AB15" i="18"/>
  <c r="AB19" i="18" s="1"/>
  <c r="I76" i="17"/>
  <c r="I58" i="17"/>
  <c r="D86" i="17"/>
  <c r="D89" i="17" s="1"/>
  <c r="D90" i="17" s="1"/>
  <c r="D82" i="17"/>
  <c r="N58" i="17"/>
  <c r="E20" i="13"/>
  <c r="F17" i="13"/>
  <c r="N20" i="15"/>
  <c r="N13" i="15"/>
  <c r="N16" i="15" s="1"/>
  <c r="N12" i="15"/>
  <c r="E11" i="7"/>
  <c r="E10" i="7"/>
  <c r="L29" i="3"/>
  <c r="L31" i="3" s="1"/>
  <c r="L33" i="3" s="1"/>
  <c r="L34" i="3" s="1"/>
  <c r="K37" i="3" s="1"/>
  <c r="L28" i="3"/>
  <c r="W11" i="15"/>
  <c r="W12" i="15" s="1"/>
  <c r="W15" i="15" s="1"/>
  <c r="Y11" i="15"/>
  <c r="Y12" i="15" s="1"/>
  <c r="Y15" i="15" s="1"/>
  <c r="H46" i="14"/>
  <c r="O36" i="13"/>
  <c r="I289" i="4"/>
  <c r="O221" i="4"/>
  <c r="I221" i="4"/>
  <c r="C221" i="4"/>
  <c r="O165" i="4"/>
  <c r="I165" i="4"/>
  <c r="C165" i="4"/>
  <c r="O193" i="4"/>
  <c r="I193" i="4"/>
  <c r="C193" i="4"/>
  <c r="O137" i="4"/>
  <c r="I137" i="4"/>
  <c r="C137" i="4"/>
  <c r="I109" i="4"/>
  <c r="C109" i="4"/>
  <c r="O53" i="4"/>
  <c r="I53" i="4"/>
  <c r="C53" i="4"/>
  <c r="O81" i="4"/>
  <c r="I81" i="4"/>
  <c r="C81" i="4"/>
  <c r="AG61" i="4"/>
  <c r="O109" i="4" s="1"/>
  <c r="O25" i="4"/>
  <c r="I25" i="4"/>
  <c r="C25" i="4"/>
  <c r="N53" i="14"/>
  <c r="E53" i="14"/>
  <c r="N26" i="14"/>
  <c r="E26" i="14"/>
  <c r="I105" i="4"/>
  <c r="R23" i="4"/>
  <c r="F23" i="4"/>
  <c r="F37" i="14"/>
  <c r="H37" i="14" s="1"/>
  <c r="O37" i="14"/>
  <c r="Q37" i="14" s="1"/>
  <c r="F9" i="14"/>
  <c r="H9" i="14" s="1"/>
  <c r="O10" i="14"/>
  <c r="Q10" i="14" s="1"/>
  <c r="R27" i="13"/>
  <c r="T27" i="13" s="1"/>
  <c r="T28" i="13" s="1"/>
  <c r="W27" i="13"/>
  <c r="Y27" i="13" s="1"/>
  <c r="Y28" i="13" s="1"/>
  <c r="M27" i="13"/>
  <c r="O27" i="13" s="1"/>
  <c r="O28" i="13" s="1"/>
  <c r="I12" i="11"/>
  <c r="F34" i="14"/>
  <c r="H34" i="14" s="1"/>
  <c r="O34" i="14"/>
  <c r="Q34" i="14" s="1"/>
  <c r="O6" i="14"/>
  <c r="Q6" i="14" s="1"/>
  <c r="F6" i="14"/>
  <c r="H6" i="14" s="1"/>
  <c r="J272" i="4"/>
  <c r="L272" i="4" s="1"/>
  <c r="J202" i="4"/>
  <c r="L202" i="4" s="1"/>
  <c r="P174" i="4"/>
  <c r="R174" i="4" s="1"/>
  <c r="D174" i="4"/>
  <c r="F174" i="4" s="1"/>
  <c r="J146" i="4"/>
  <c r="L146" i="4" s="1"/>
  <c r="P202" i="4"/>
  <c r="R202" i="4" s="1"/>
  <c r="D202" i="4"/>
  <c r="F202" i="4" s="1"/>
  <c r="J174" i="4"/>
  <c r="L174" i="4" s="1"/>
  <c r="P146" i="4"/>
  <c r="R146" i="4" s="1"/>
  <c r="D146" i="4"/>
  <c r="F146" i="4" s="1"/>
  <c r="P118" i="4"/>
  <c r="R118" i="4" s="1"/>
  <c r="D118" i="4"/>
  <c r="F118" i="4" s="1"/>
  <c r="J90" i="4"/>
  <c r="L90" i="4" s="1"/>
  <c r="J62" i="4"/>
  <c r="L62" i="4" s="1"/>
  <c r="P34" i="4"/>
  <c r="R34" i="4" s="1"/>
  <c r="D34" i="4"/>
  <c r="F34" i="4" s="1"/>
  <c r="J6" i="4"/>
  <c r="L6" i="4" s="1"/>
  <c r="J118" i="4"/>
  <c r="L118" i="4" s="1"/>
  <c r="P90" i="4"/>
  <c r="R90" i="4" s="1"/>
  <c r="D90" i="4"/>
  <c r="F90" i="4" s="1"/>
  <c r="P62" i="4"/>
  <c r="R62" i="4" s="1"/>
  <c r="D62" i="4"/>
  <c r="F62" i="4" s="1"/>
  <c r="J34" i="4"/>
  <c r="L34" i="4" s="1"/>
  <c r="P6" i="4"/>
  <c r="R6" i="4" s="1"/>
  <c r="D6" i="4"/>
  <c r="R19" i="4"/>
  <c r="I106" i="4"/>
  <c r="Q9" i="4"/>
  <c r="Z203" i="14"/>
  <c r="Z204" i="14" s="1"/>
  <c r="E38" i="13"/>
  <c r="F38" i="13" s="1"/>
  <c r="F36" i="13"/>
  <c r="O29" i="13"/>
  <c r="E58" i="13"/>
  <c r="E16" i="9"/>
  <c r="E13" i="9"/>
  <c r="E14" i="9" s="1"/>
  <c r="P23" i="5"/>
  <c r="J23" i="5"/>
  <c r="W41" i="13"/>
  <c r="R41" i="13"/>
  <c r="M41" i="13"/>
  <c r="AG10" i="13"/>
  <c r="AG9" i="13"/>
  <c r="AG11" i="13"/>
  <c r="O105" i="4"/>
  <c r="C105" i="4"/>
  <c r="L23" i="4"/>
  <c r="O36" i="14"/>
  <c r="Q36" i="14" s="1"/>
  <c r="F36" i="14"/>
  <c r="H36" i="14" s="1"/>
  <c r="O8" i="14"/>
  <c r="Q8" i="14" s="1"/>
  <c r="F7" i="14"/>
  <c r="H7" i="14" s="1"/>
  <c r="F11" i="12"/>
  <c r="F12" i="12" s="1"/>
  <c r="F18" i="12" s="1"/>
  <c r="C6" i="10"/>
  <c r="J6" i="10" s="1"/>
  <c r="L6" i="10" s="1"/>
  <c r="L8" i="10" s="1"/>
  <c r="C5" i="5"/>
  <c r="X7" i="9"/>
  <c r="R8" i="9" s="1"/>
  <c r="T8" i="9" s="1"/>
  <c r="T10" i="9" s="1"/>
  <c r="N7" i="8"/>
  <c r="H8" i="8" s="1"/>
  <c r="J8" i="8" s="1"/>
  <c r="J10" i="8" s="1"/>
  <c r="W7" i="7"/>
  <c r="Q8" i="7" s="1"/>
  <c r="S8" i="7" s="1"/>
  <c r="S10" i="7" s="1"/>
  <c r="J8" i="5"/>
  <c r="L8" i="5" s="1"/>
  <c r="P8" i="5"/>
  <c r="R8" i="5" s="1"/>
  <c r="P7" i="5"/>
  <c r="R7" i="5" s="1"/>
  <c r="J7" i="5"/>
  <c r="L7" i="5" s="1"/>
  <c r="J273" i="4"/>
  <c r="P203" i="4"/>
  <c r="D203" i="4"/>
  <c r="J175" i="4"/>
  <c r="P147" i="4"/>
  <c r="D147" i="4"/>
  <c r="J203" i="4"/>
  <c r="P175" i="4"/>
  <c r="D175" i="4"/>
  <c r="J147" i="4"/>
  <c r="J119" i="4"/>
  <c r="P91" i="4"/>
  <c r="D91" i="4"/>
  <c r="J63" i="4"/>
  <c r="AG58" i="4"/>
  <c r="AI58" i="4" s="1"/>
  <c r="P35" i="4"/>
  <c r="D35" i="4"/>
  <c r="J7" i="4"/>
  <c r="L7" i="4" s="1"/>
  <c r="P119" i="4"/>
  <c r="D119" i="4"/>
  <c r="J91" i="4"/>
  <c r="P63" i="4"/>
  <c r="D63" i="4"/>
  <c r="J35" i="4"/>
  <c r="P7" i="4"/>
  <c r="R7" i="4" s="1"/>
  <c r="D7" i="4"/>
  <c r="F7" i="4" s="1"/>
  <c r="F35" i="14"/>
  <c r="H35" i="14" s="1"/>
  <c r="O35" i="14"/>
  <c r="Q35" i="14" s="1"/>
  <c r="O7" i="14"/>
  <c r="Q7" i="14" s="1"/>
  <c r="O106" i="4"/>
  <c r="C106" i="4"/>
  <c r="U31" i="4"/>
  <c r="E35" i="4"/>
  <c r="I30" i="6"/>
  <c r="I32" i="6"/>
  <c r="I14" i="6"/>
  <c r="I50" i="6"/>
  <c r="I54" i="6" s="1"/>
  <c r="I56" i="6" s="1"/>
  <c r="D93" i="17" l="1"/>
  <c r="D95" i="17" s="1"/>
  <c r="D96" i="17" s="1"/>
  <c r="D91" i="17"/>
  <c r="D62" i="17"/>
  <c r="D64" i="17" s="1"/>
  <c r="D65" i="17" s="1"/>
  <c r="D60" i="17"/>
  <c r="D29" i="17"/>
  <c r="D31" i="17" s="1"/>
  <c r="D32" i="17" s="1"/>
  <c r="D27" i="17"/>
  <c r="O42" i="22"/>
  <c r="O43" i="22" s="1"/>
  <c r="O41" i="22"/>
  <c r="B31" i="25"/>
  <c r="B29" i="25"/>
  <c r="B30" i="25"/>
  <c r="L26" i="19"/>
  <c r="L28" i="19" s="1"/>
  <c r="L29" i="19" s="1"/>
  <c r="L30" i="19" s="1"/>
  <c r="N91" i="17"/>
  <c r="N93" i="17" s="1"/>
  <c r="N95" i="17" s="1"/>
  <c r="N96" i="17" s="1"/>
  <c r="I27" i="17"/>
  <c r="I29" i="17" s="1"/>
  <c r="I31" i="17" s="1"/>
  <c r="I32" i="17" s="1"/>
  <c r="L51" i="23"/>
  <c r="L50" i="23"/>
  <c r="E13" i="25"/>
  <c r="E12" i="25"/>
  <c r="E11" i="25"/>
  <c r="N62" i="17"/>
  <c r="N64" i="17" s="1"/>
  <c r="N65" i="17" s="1"/>
  <c r="N60" i="17"/>
  <c r="I80" i="17"/>
  <c r="I90" i="17" s="1"/>
  <c r="I79" i="17"/>
  <c r="I92" i="17"/>
  <c r="AB21" i="18"/>
  <c r="AB20" i="18"/>
  <c r="AB23" i="18" s="1"/>
  <c r="AB24" i="18" s="1"/>
  <c r="AB26" i="18" s="1"/>
  <c r="I12" i="22"/>
  <c r="I11" i="22"/>
  <c r="AG15" i="23"/>
  <c r="F24" i="23"/>
  <c r="F23" i="23"/>
  <c r="F25" i="23" s="1"/>
  <c r="F26" i="23" s="1"/>
  <c r="F27" i="23" s="1"/>
  <c r="T14" i="19"/>
  <c r="T25" i="19" s="1"/>
  <c r="O13" i="19"/>
  <c r="O14" i="19" s="1"/>
  <c r="O25" i="19" s="1"/>
  <c r="L24" i="23"/>
  <c r="L23" i="23"/>
  <c r="L25" i="23" s="1"/>
  <c r="L26" i="23" s="1"/>
  <c r="L27" i="23" s="1"/>
  <c r="C10" i="25"/>
  <c r="C9" i="25"/>
  <c r="I10" i="25"/>
  <c r="I9" i="25"/>
  <c r="D10" i="25"/>
  <c r="D9" i="25"/>
  <c r="J10" i="25"/>
  <c r="J9" i="25"/>
  <c r="I61" i="17"/>
  <c r="I46" i="17"/>
  <c r="I47" i="17" s="1"/>
  <c r="I59" i="17" s="1"/>
  <c r="G10" i="25"/>
  <c r="G9" i="25"/>
  <c r="K10" i="25"/>
  <c r="K9" i="25"/>
  <c r="F13" i="25"/>
  <c r="F12" i="25"/>
  <c r="F11" i="25"/>
  <c r="B9" i="25"/>
  <c r="B10" i="25" s="1"/>
  <c r="H9" i="25"/>
  <c r="H10" i="25" s="1"/>
  <c r="F56" i="23"/>
  <c r="F21" i="12"/>
  <c r="F22" i="12" s="1"/>
  <c r="F24" i="12" s="1"/>
  <c r="F19" i="12"/>
  <c r="Y202" i="14"/>
  <c r="Z209" i="14"/>
  <c r="W18" i="15"/>
  <c r="W21" i="15" s="1"/>
  <c r="W22" i="15" s="1"/>
  <c r="W16" i="15"/>
  <c r="W14" i="15"/>
  <c r="Y14" i="15"/>
  <c r="Y18" i="15"/>
  <c r="Y22" i="15" s="1"/>
  <c r="Y23" i="15" s="1"/>
  <c r="Y24" i="15" s="1"/>
  <c r="Y16" i="15"/>
  <c r="F47" i="4"/>
  <c r="E37" i="4"/>
  <c r="F35" i="4"/>
  <c r="I34" i="6"/>
  <c r="K35" i="4"/>
  <c r="L35" i="4" s="1"/>
  <c r="L37" i="4" s="1"/>
  <c r="U32" i="4"/>
  <c r="W32" i="4"/>
  <c r="C134" i="4"/>
  <c r="O134" i="4"/>
  <c r="S17" i="7"/>
  <c r="S11" i="7"/>
  <c r="S12" i="7" s="1"/>
  <c r="S16" i="7" s="1"/>
  <c r="S18" i="7" s="1"/>
  <c r="S19" i="7" s="1"/>
  <c r="S20" i="7" s="1"/>
  <c r="S21" i="7" s="1"/>
  <c r="T16" i="9"/>
  <c r="T12" i="9"/>
  <c r="T15" i="9" s="1"/>
  <c r="T11" i="9"/>
  <c r="L10" i="10"/>
  <c r="L14" i="10"/>
  <c r="L11" i="10"/>
  <c r="L13" i="10" s="1"/>
  <c r="F44" i="4"/>
  <c r="E59" i="13"/>
  <c r="D9" i="4"/>
  <c r="F6" i="4"/>
  <c r="F9" i="4" s="1"/>
  <c r="L9" i="4"/>
  <c r="Q11" i="14"/>
  <c r="H38" i="14"/>
  <c r="O39" i="13"/>
  <c r="O30" i="13"/>
  <c r="T39" i="13"/>
  <c r="F46" i="4"/>
  <c r="I133" i="4"/>
  <c r="T29" i="13"/>
  <c r="T30" i="13" s="1"/>
  <c r="T37" i="13" s="1"/>
  <c r="T40" i="13" s="1"/>
  <c r="T41" i="13" s="1"/>
  <c r="T42" i="13" s="1"/>
  <c r="T43" i="13" s="1"/>
  <c r="O37" i="13"/>
  <c r="I57" i="6"/>
  <c r="I59" i="6" s="1"/>
  <c r="I60" i="6" s="1"/>
  <c r="I61" i="6" s="1"/>
  <c r="J17" i="8"/>
  <c r="J11" i="8"/>
  <c r="J12" i="8" s="1"/>
  <c r="J16" i="8" s="1"/>
  <c r="J18" i="8" s="1"/>
  <c r="J19" i="8" s="1"/>
  <c r="J20" i="8" s="1"/>
  <c r="J21" i="8" s="1"/>
  <c r="P6" i="5"/>
  <c r="R6" i="5" s="1"/>
  <c r="R9" i="5" s="1"/>
  <c r="J6" i="5"/>
  <c r="L6" i="5" s="1"/>
  <c r="L9" i="5" s="1"/>
  <c r="C133" i="4"/>
  <c r="O133" i="4"/>
  <c r="F45" i="4"/>
  <c r="I134" i="4"/>
  <c r="R9" i="4"/>
  <c r="F37" i="4"/>
  <c r="H10" i="14"/>
  <c r="Q38" i="14"/>
  <c r="I14" i="11"/>
  <c r="I15" i="11" s="1"/>
  <c r="I17" i="11" s="1"/>
  <c r="I20" i="11"/>
  <c r="Y39" i="13"/>
  <c r="Y29" i="13"/>
  <c r="Y30" i="13" s="1"/>
  <c r="Y37" i="13" s="1"/>
  <c r="Y40" i="13" s="1"/>
  <c r="Y41" i="13" s="1"/>
  <c r="Y42" i="13" s="1"/>
  <c r="Y43" i="13" s="1"/>
  <c r="F42" i="4"/>
  <c r="F43" i="4"/>
  <c r="AI59" i="4"/>
  <c r="AI60" i="4" s="1"/>
  <c r="AI61" i="4" s="1"/>
  <c r="AI62" i="4" s="1"/>
  <c r="I16" i="6"/>
  <c r="I17" i="6" s="1"/>
  <c r="I19" i="6" s="1"/>
  <c r="I20" i="6" s="1"/>
  <c r="I21" i="6" s="1"/>
  <c r="K39" i="3"/>
  <c r="L39" i="3" s="1"/>
  <c r="K38" i="3"/>
  <c r="L38" i="3" s="1"/>
  <c r="L37" i="3"/>
  <c r="E13" i="7"/>
  <c r="E14" i="7" s="1"/>
  <c r="E16" i="7" s="1"/>
  <c r="G19" i="7" s="1"/>
  <c r="N21" i="15"/>
  <c r="N23" i="15" s="1"/>
  <c r="N24" i="15" s="1"/>
  <c r="N17" i="15"/>
  <c r="E21" i="13"/>
  <c r="F21" i="13" s="1"/>
  <c r="F20" i="13"/>
  <c r="B13" i="25" l="1"/>
  <c r="B12" i="25"/>
  <c r="B11" i="25"/>
  <c r="I60" i="17"/>
  <c r="I62" i="17" s="1"/>
  <c r="I64" i="17" s="1"/>
  <c r="I65" i="17" s="1"/>
  <c r="O26" i="19"/>
  <c r="O28" i="19" s="1"/>
  <c r="O29" i="19" s="1"/>
  <c r="O30" i="19" s="1"/>
  <c r="H13" i="25"/>
  <c r="H12" i="25"/>
  <c r="H11" i="25"/>
  <c r="K13" i="25"/>
  <c r="K12" i="25"/>
  <c r="K11" i="25"/>
  <c r="G13" i="25"/>
  <c r="G12" i="25"/>
  <c r="G11" i="25"/>
  <c r="J13" i="25"/>
  <c r="J12" i="25"/>
  <c r="J11" i="25"/>
  <c r="D13" i="25"/>
  <c r="D12" i="25"/>
  <c r="D11" i="25"/>
  <c r="C13" i="25"/>
  <c r="C12" i="25"/>
  <c r="C11" i="25"/>
  <c r="I16" i="22"/>
  <c r="I13" i="22"/>
  <c r="T26" i="19"/>
  <c r="T28" i="19" s="1"/>
  <c r="T29" i="19" s="1"/>
  <c r="T30" i="19" s="1"/>
  <c r="T33" i="19" s="1"/>
  <c r="AJ26" i="23"/>
  <c r="AG20" i="23" s="1"/>
  <c r="AB22" i="18"/>
  <c r="L53" i="23"/>
  <c r="L54" i="23" s="1"/>
  <c r="L55" i="23" s="1"/>
  <c r="I13" i="25"/>
  <c r="I12" i="25"/>
  <c r="I11" i="25"/>
  <c r="I91" i="17"/>
  <c r="I93" i="17" s="1"/>
  <c r="I95" i="17" s="1"/>
  <c r="I96" i="17" s="1"/>
  <c r="J23" i="8"/>
  <c r="J22" i="8"/>
  <c r="S23" i="7"/>
  <c r="S22" i="7"/>
  <c r="L50" i="4"/>
  <c r="L40" i="4"/>
  <c r="L41" i="4" s="1"/>
  <c r="H14" i="14"/>
  <c r="H13" i="14"/>
  <c r="H21" i="14"/>
  <c r="R22" i="4"/>
  <c r="R12" i="4"/>
  <c r="R13" i="4" s="1"/>
  <c r="R20" i="4" s="1"/>
  <c r="L40" i="3"/>
  <c r="F51" i="4"/>
  <c r="Q41" i="14"/>
  <c r="Q42" i="14" s="1"/>
  <c r="Q49" i="14"/>
  <c r="O161" i="4"/>
  <c r="C161" i="4"/>
  <c r="R20" i="5"/>
  <c r="R11" i="5"/>
  <c r="R12" i="5" s="1"/>
  <c r="R18" i="5" s="1"/>
  <c r="O38" i="13"/>
  <c r="O40" i="13" s="1"/>
  <c r="O41" i="13" s="1"/>
  <c r="I161" i="4"/>
  <c r="H49" i="14"/>
  <c r="H41" i="14"/>
  <c r="H42" i="14" s="1"/>
  <c r="L22" i="4"/>
  <c r="L12" i="4"/>
  <c r="L13" i="4" s="1"/>
  <c r="L20" i="4" s="1"/>
  <c r="F22" i="4"/>
  <c r="F12" i="4"/>
  <c r="F13" i="4" s="1"/>
  <c r="F20" i="4" s="1"/>
  <c r="E61" i="13"/>
  <c r="F59" i="13" s="1"/>
  <c r="O162" i="4"/>
  <c r="C162" i="4"/>
  <c r="Q35" i="4"/>
  <c r="U33" i="4"/>
  <c r="I36" i="6"/>
  <c r="I37" i="6" s="1"/>
  <c r="I39" i="6" s="1"/>
  <c r="I40" i="6" s="1"/>
  <c r="I41" i="6" s="1"/>
  <c r="Z210" i="14"/>
  <c r="Z211" i="14"/>
  <c r="Z214" i="14" s="1"/>
  <c r="Z215" i="14" s="1"/>
  <c r="I19" i="11"/>
  <c r="I21" i="11" s="1"/>
  <c r="F50" i="4"/>
  <c r="F40" i="4"/>
  <c r="F41" i="4" s="1"/>
  <c r="F48" i="4" s="1"/>
  <c r="I162" i="4"/>
  <c r="L20" i="5"/>
  <c r="L12" i="5"/>
  <c r="L18" i="5" s="1"/>
  <c r="L11" i="5"/>
  <c r="Q21" i="14"/>
  <c r="Q14" i="14"/>
  <c r="Q15" i="14" s="1"/>
  <c r="L15" i="10"/>
  <c r="L16" i="10" s="1"/>
  <c r="T17" i="9"/>
  <c r="T18" i="9" s="1"/>
  <c r="T19" i="9" s="1"/>
  <c r="T20" i="9" s="1"/>
  <c r="W33" i="4"/>
  <c r="K37" i="4"/>
  <c r="L47" i="4"/>
  <c r="L45" i="4"/>
  <c r="L44" i="4"/>
  <c r="L42" i="4"/>
  <c r="L43" i="4"/>
  <c r="L46" i="4"/>
  <c r="I15" i="22" l="1"/>
  <c r="I18" i="22" s="1"/>
  <c r="I20" i="22" s="1"/>
  <c r="I21" i="22" s="1"/>
  <c r="L56" i="23"/>
  <c r="AG23" i="23"/>
  <c r="L17" i="10"/>
  <c r="L18" i="10" s="1"/>
  <c r="L19" i="10" s="1"/>
  <c r="L26" i="10"/>
  <c r="L27" i="10" s="1"/>
  <c r="L28" i="10" s="1"/>
  <c r="T23" i="9"/>
  <c r="T22" i="9"/>
  <c r="T21" i="9"/>
  <c r="Q20" i="14"/>
  <c r="P15" i="14"/>
  <c r="I22" i="11"/>
  <c r="I23" i="11"/>
  <c r="I24" i="11" s="1"/>
  <c r="P42" i="14"/>
  <c r="Q47" i="14"/>
  <c r="L21" i="4"/>
  <c r="L24" i="4" s="1"/>
  <c r="H47" i="14"/>
  <c r="G42" i="14"/>
  <c r="R19" i="5"/>
  <c r="R21" i="5" s="1"/>
  <c r="R23" i="5" s="1"/>
  <c r="I190" i="4"/>
  <c r="R47" i="4"/>
  <c r="Q37" i="4"/>
  <c r="R46" i="4"/>
  <c r="R44" i="4"/>
  <c r="R43" i="4"/>
  <c r="R42" i="4"/>
  <c r="R45" i="4"/>
  <c r="R35" i="4"/>
  <c r="R37" i="4" s="1"/>
  <c r="C190" i="4"/>
  <c r="O190" i="4"/>
  <c r="I189" i="4"/>
  <c r="L48" i="4"/>
  <c r="L51" i="4"/>
  <c r="L21" i="5"/>
  <c r="L23" i="5" s="1"/>
  <c r="L24" i="5" s="1"/>
  <c r="L19" i="5"/>
  <c r="F52" i="4"/>
  <c r="F49" i="4"/>
  <c r="Z217" i="14"/>
  <c r="Z216" i="14"/>
  <c r="E63" i="4"/>
  <c r="U34" i="4"/>
  <c r="F61" i="13"/>
  <c r="F57" i="13"/>
  <c r="A63" i="13"/>
  <c r="B64" i="13" s="1"/>
  <c r="F64" i="13" s="1"/>
  <c r="F54" i="13"/>
  <c r="F53" i="13"/>
  <c r="F55" i="13"/>
  <c r="F52" i="13"/>
  <c r="F56" i="13"/>
  <c r="F58" i="13"/>
  <c r="F21" i="4"/>
  <c r="F24" i="4" s="1"/>
  <c r="O42" i="13"/>
  <c r="O43" i="13" s="1"/>
  <c r="C189" i="4"/>
  <c r="O189" i="4"/>
  <c r="R24" i="4"/>
  <c r="R21" i="4"/>
  <c r="H19" i="14"/>
  <c r="G14" i="14"/>
  <c r="AG28" i="23" l="1"/>
  <c r="AG26" i="23"/>
  <c r="F25" i="4"/>
  <c r="F26" i="4" s="1"/>
  <c r="F28" i="4" s="1"/>
  <c r="Y27" i="4" s="1"/>
  <c r="L26" i="4"/>
  <c r="L28" i="4" s="1"/>
  <c r="Y28" i="4" s="1"/>
  <c r="L25" i="4"/>
  <c r="R25" i="4"/>
  <c r="R26" i="4" s="1"/>
  <c r="R28" i="4" s="1"/>
  <c r="Y29" i="4" s="1"/>
  <c r="C217" i="4"/>
  <c r="K63" i="4"/>
  <c r="U35" i="4"/>
  <c r="R50" i="4"/>
  <c r="R40" i="4"/>
  <c r="R41" i="4" s="1"/>
  <c r="R48" i="4" s="1"/>
  <c r="R51" i="4"/>
  <c r="W34" i="4"/>
  <c r="W35" i="4" s="1"/>
  <c r="H50" i="14"/>
  <c r="H52" i="14" s="1"/>
  <c r="H53" i="14" s="1"/>
  <c r="H48" i="14"/>
  <c r="Q23" i="14"/>
  <c r="Q25" i="14" s="1"/>
  <c r="Q26" i="14" s="1"/>
  <c r="Q22" i="14"/>
  <c r="L31" i="10"/>
  <c r="L30" i="10"/>
  <c r="H22" i="14"/>
  <c r="H20" i="14"/>
  <c r="O217" i="4"/>
  <c r="E65" i="4"/>
  <c r="F75" i="4"/>
  <c r="F74" i="4"/>
  <c r="F71" i="4"/>
  <c r="F70" i="4"/>
  <c r="F73" i="4"/>
  <c r="F72" i="4"/>
  <c r="F63" i="4"/>
  <c r="F65" i="4" s="1"/>
  <c r="F54" i="4"/>
  <c r="F56" i="4" s="1"/>
  <c r="Y30" i="4" s="1"/>
  <c r="F53" i="4"/>
  <c r="L25" i="5"/>
  <c r="R24" i="5"/>
  <c r="R25" i="5" s="1"/>
  <c r="L52" i="4"/>
  <c r="L49" i="4"/>
  <c r="I217" i="4"/>
  <c r="O218" i="4"/>
  <c r="C218" i="4"/>
  <c r="I218" i="4"/>
  <c r="Q50" i="14"/>
  <c r="Q52" i="14" s="1"/>
  <c r="Q53" i="14" s="1"/>
  <c r="Q48" i="14"/>
  <c r="AG36" i="23" l="1"/>
  <c r="AG38" i="23" s="1"/>
  <c r="AG30" i="23"/>
  <c r="AH25" i="23"/>
  <c r="AH15" i="23"/>
  <c r="AH20" i="23"/>
  <c r="Q55" i="14"/>
  <c r="Q54" i="14"/>
  <c r="Q56" i="14" s="1"/>
  <c r="Q57" i="14" s="1"/>
  <c r="F68" i="4"/>
  <c r="F69" i="4" s="1"/>
  <c r="F76" i="4" s="1"/>
  <c r="F78" i="4"/>
  <c r="R52" i="4"/>
  <c r="R49" i="4"/>
  <c r="Q63" i="4"/>
  <c r="U36" i="4"/>
  <c r="L53" i="4"/>
  <c r="L54" i="4" s="1"/>
  <c r="L56" i="4" s="1"/>
  <c r="Y31" i="4" s="1"/>
  <c r="F79" i="4"/>
  <c r="G27" i="14"/>
  <c r="H25" i="14"/>
  <c r="H26" i="14" s="1"/>
  <c r="G28" i="14"/>
  <c r="Q27" i="14"/>
  <c r="Q28" i="14"/>
  <c r="H55" i="14"/>
  <c r="H54" i="14"/>
  <c r="H56" i="14" s="1"/>
  <c r="H57" i="14" s="1"/>
  <c r="L75" i="4"/>
  <c r="K65" i="4"/>
  <c r="L72" i="4"/>
  <c r="L74" i="4"/>
  <c r="L71" i="4"/>
  <c r="L70" i="4"/>
  <c r="L79" i="4" s="1"/>
  <c r="L73" i="4"/>
  <c r="L63" i="4"/>
  <c r="L65" i="4" s="1"/>
  <c r="AH26" i="23" l="1"/>
  <c r="H28" i="14"/>
  <c r="H27" i="14"/>
  <c r="E91" i="4"/>
  <c r="U37" i="4"/>
  <c r="W36" i="4"/>
  <c r="W37" i="4" s="1"/>
  <c r="L68" i="4"/>
  <c r="L69" i="4" s="1"/>
  <c r="L76" i="4" s="1"/>
  <c r="L78" i="4"/>
  <c r="R75" i="4"/>
  <c r="R73" i="4"/>
  <c r="Q65" i="4"/>
  <c r="R72" i="4"/>
  <c r="R74" i="4"/>
  <c r="R71" i="4"/>
  <c r="R70" i="4"/>
  <c r="R63" i="4"/>
  <c r="R65" i="4" s="1"/>
  <c r="R53" i="4"/>
  <c r="R54" i="4" s="1"/>
  <c r="R56" i="4" s="1"/>
  <c r="Y32" i="4" s="1"/>
  <c r="F77" i="4"/>
  <c r="F80" i="4" s="1"/>
  <c r="F82" i="4" l="1"/>
  <c r="F84" i="4" s="1"/>
  <c r="Y33" i="4" s="1"/>
  <c r="F81" i="4"/>
  <c r="R79" i="4"/>
  <c r="L77" i="4"/>
  <c r="L80" i="4" s="1"/>
  <c r="K91" i="4"/>
  <c r="U38" i="4"/>
  <c r="W38" i="4" s="1"/>
  <c r="R68" i="4"/>
  <c r="R69" i="4" s="1"/>
  <c r="R76" i="4" s="1"/>
  <c r="R78" i="4"/>
  <c r="F103" i="4"/>
  <c r="E93" i="4"/>
  <c r="F102" i="4"/>
  <c r="F98" i="4"/>
  <c r="F99" i="4"/>
  <c r="F100" i="4"/>
  <c r="F101" i="4"/>
  <c r="F91" i="4"/>
  <c r="F93" i="4" s="1"/>
  <c r="L81" i="4" l="1"/>
  <c r="L82" i="4" s="1"/>
  <c r="L84" i="4" s="1"/>
  <c r="Y34" i="4" s="1"/>
  <c r="F96" i="4"/>
  <c r="F97" i="4" s="1"/>
  <c r="F104" i="4" s="1"/>
  <c r="F106" i="4"/>
  <c r="F107" i="4"/>
  <c r="R80" i="4"/>
  <c r="R77" i="4"/>
  <c r="L103" i="4"/>
  <c r="K93" i="4"/>
  <c r="L99" i="4"/>
  <c r="L100" i="4"/>
  <c r="L101" i="4"/>
  <c r="L102" i="4"/>
  <c r="L98" i="4"/>
  <c r="L107" i="4" s="1"/>
  <c r="L91" i="4"/>
  <c r="L93" i="4" s="1"/>
  <c r="Q91" i="4"/>
  <c r="U39" i="4"/>
  <c r="E119" i="4" l="1"/>
  <c r="U40" i="4"/>
  <c r="L96" i="4"/>
  <c r="L97" i="4" s="1"/>
  <c r="L104" i="4" s="1"/>
  <c r="L106" i="4"/>
  <c r="F108" i="4"/>
  <c r="F105" i="4"/>
  <c r="R103" i="4"/>
  <c r="Q93" i="4"/>
  <c r="R100" i="4"/>
  <c r="R101" i="4"/>
  <c r="R102" i="4"/>
  <c r="R98" i="4"/>
  <c r="R99" i="4"/>
  <c r="R91" i="4"/>
  <c r="R93" i="4" s="1"/>
  <c r="R82" i="4"/>
  <c r="R84" i="4" s="1"/>
  <c r="Y35" i="4" s="1"/>
  <c r="R81" i="4"/>
  <c r="W39" i="4"/>
  <c r="W40" i="4" s="1"/>
  <c r="F109" i="4" l="1"/>
  <c r="F110" i="4" s="1"/>
  <c r="F112" i="4" s="1"/>
  <c r="Y36" i="4" s="1"/>
  <c r="R96" i="4"/>
  <c r="R97" i="4" s="1"/>
  <c r="R104" i="4" s="1"/>
  <c r="R106" i="4"/>
  <c r="R107" i="4"/>
  <c r="U41" i="4"/>
  <c r="K119" i="4"/>
  <c r="L105" i="4"/>
  <c r="L108" i="4" s="1"/>
  <c r="F131" i="4"/>
  <c r="E121" i="4"/>
  <c r="F129" i="4"/>
  <c r="F127" i="4"/>
  <c r="F128" i="4"/>
  <c r="F126" i="4"/>
  <c r="F135" i="4" s="1"/>
  <c r="F130" i="4"/>
  <c r="F119" i="4"/>
  <c r="F121" i="4" s="1"/>
  <c r="L110" i="4" l="1"/>
  <c r="L112" i="4" s="1"/>
  <c r="Y37" i="4" s="1"/>
  <c r="L109" i="4"/>
  <c r="F125" i="4"/>
  <c r="F132" i="4" s="1"/>
  <c r="F124" i="4"/>
  <c r="F134" i="4"/>
  <c r="K121" i="4"/>
  <c r="L128" i="4"/>
  <c r="L131" i="4"/>
  <c r="L126" i="4"/>
  <c r="L129" i="4"/>
  <c r="L127" i="4"/>
  <c r="L130" i="4"/>
  <c r="L119" i="4"/>
  <c r="L121" i="4" s="1"/>
  <c r="R105" i="4"/>
  <c r="R108" i="4" s="1"/>
  <c r="Q119" i="4"/>
  <c r="U42" i="4"/>
  <c r="W41" i="4"/>
  <c r="R110" i="4" l="1"/>
  <c r="R112" i="4" s="1"/>
  <c r="Y38" i="4" s="1"/>
  <c r="R109" i="4"/>
  <c r="L125" i="4"/>
  <c r="L132" i="4" s="1"/>
  <c r="L124" i="4"/>
  <c r="L134" i="4"/>
  <c r="W42" i="4"/>
  <c r="R131" i="4"/>
  <c r="Q121" i="4"/>
  <c r="R126" i="4"/>
  <c r="R130" i="4"/>
  <c r="R128" i="4"/>
  <c r="R129" i="4"/>
  <c r="R127" i="4"/>
  <c r="R119" i="4"/>
  <c r="R121" i="4" s="1"/>
  <c r="E147" i="4"/>
  <c r="U43" i="4"/>
  <c r="L135" i="4"/>
  <c r="F133" i="4"/>
  <c r="F136" i="4" s="1"/>
  <c r="F138" i="4" l="1"/>
  <c r="F140" i="4" s="1"/>
  <c r="Y39" i="4" s="1"/>
  <c r="F137" i="4"/>
  <c r="K147" i="4"/>
  <c r="U44" i="4"/>
  <c r="R124" i="4"/>
  <c r="R125" i="4" s="1"/>
  <c r="R132" i="4" s="1"/>
  <c r="R134" i="4"/>
  <c r="W43" i="4"/>
  <c r="W44" i="4" s="1"/>
  <c r="F159" i="4"/>
  <c r="E149" i="4"/>
  <c r="F154" i="4"/>
  <c r="F158" i="4"/>
  <c r="F155" i="4"/>
  <c r="F156" i="4"/>
  <c r="F157" i="4"/>
  <c r="F147" i="4"/>
  <c r="F149" i="4" s="1"/>
  <c r="R135" i="4"/>
  <c r="L136" i="4"/>
  <c r="L133" i="4"/>
  <c r="F153" i="4" l="1"/>
  <c r="F160" i="4" s="1"/>
  <c r="F152" i="4"/>
  <c r="F162" i="4"/>
  <c r="F163" i="4"/>
  <c r="K273" i="4"/>
  <c r="L273" i="4" s="1"/>
  <c r="L274" i="4" s="1"/>
  <c r="L277" i="4" s="1"/>
  <c r="L278" i="4" s="1"/>
  <c r="L285" i="4" s="1"/>
  <c r="L286" i="4" s="1"/>
  <c r="L289" i="4" s="1"/>
  <c r="Q147" i="4"/>
  <c r="U45" i="4"/>
  <c r="L137" i="4"/>
  <c r="L138" i="4" s="1"/>
  <c r="L140" i="4" s="1"/>
  <c r="Y40" i="4" s="1"/>
  <c r="R136" i="4"/>
  <c r="R133" i="4"/>
  <c r="K149" i="4"/>
  <c r="L159" i="4"/>
  <c r="L156" i="4"/>
  <c r="L157" i="4"/>
  <c r="L158" i="4"/>
  <c r="L155" i="4"/>
  <c r="L154" i="4"/>
  <c r="L163" i="4" s="1"/>
  <c r="L147" i="4"/>
  <c r="L149" i="4" s="1"/>
  <c r="R138" i="4" l="1"/>
  <c r="R140" i="4" s="1"/>
  <c r="Y41" i="4" s="1"/>
  <c r="R137" i="4"/>
  <c r="E175" i="4"/>
  <c r="U46" i="4"/>
  <c r="L152" i="4"/>
  <c r="L153" i="4" s="1"/>
  <c r="L160" i="4" s="1"/>
  <c r="L162" i="4"/>
  <c r="W45" i="4"/>
  <c r="W46" i="4" s="1"/>
  <c r="R159" i="4"/>
  <c r="R147" i="4"/>
  <c r="R149" i="4" s="1"/>
  <c r="Q149" i="4"/>
  <c r="R157" i="4"/>
  <c r="R154" i="4"/>
  <c r="R158" i="4"/>
  <c r="R155" i="4"/>
  <c r="R156" i="4"/>
  <c r="F161" i="4"/>
  <c r="F164" i="4" s="1"/>
  <c r="F166" i="4" l="1"/>
  <c r="F168" i="4" s="1"/>
  <c r="Y42" i="4" s="1"/>
  <c r="F165" i="4"/>
  <c r="W47" i="4"/>
  <c r="F187" i="4"/>
  <c r="E177" i="4"/>
  <c r="F184" i="4"/>
  <c r="F185" i="4"/>
  <c r="F186" i="4"/>
  <c r="F183" i="4"/>
  <c r="F182" i="4"/>
  <c r="F175" i="4"/>
  <c r="F177" i="4" s="1"/>
  <c r="R163" i="4"/>
  <c r="K175" i="4"/>
  <c r="U47" i="4"/>
  <c r="R153" i="4"/>
  <c r="R160" i="4" s="1"/>
  <c r="R152" i="4"/>
  <c r="R162" i="4"/>
  <c r="L161" i="4"/>
  <c r="L164" i="4" s="1"/>
  <c r="L166" i="4" l="1"/>
  <c r="L168" i="4" s="1"/>
  <c r="Y43" i="4" s="1"/>
  <c r="L165" i="4"/>
  <c r="R164" i="4"/>
  <c r="R161" i="4"/>
  <c r="F180" i="4"/>
  <c r="F181" i="4" s="1"/>
  <c r="F188" i="4" s="1"/>
  <c r="F190" i="4"/>
  <c r="Q175" i="4"/>
  <c r="U48" i="4"/>
  <c r="F191" i="4"/>
  <c r="K177" i="4"/>
  <c r="L187" i="4"/>
  <c r="L185" i="4"/>
  <c r="L182" i="4"/>
  <c r="L186" i="4"/>
  <c r="L183" i="4"/>
  <c r="L184" i="4"/>
  <c r="L175" i="4"/>
  <c r="L177" i="4" s="1"/>
  <c r="W48" i="4"/>
  <c r="L191" i="4" l="1"/>
  <c r="R187" i="4"/>
  <c r="Q177" i="4"/>
  <c r="R182" i="4"/>
  <c r="R184" i="4"/>
  <c r="R185" i="4"/>
  <c r="R186" i="4"/>
  <c r="R183" i="4"/>
  <c r="R175" i="4"/>
  <c r="R177" i="4" s="1"/>
  <c r="E203" i="4"/>
  <c r="U49" i="4"/>
  <c r="L180" i="4"/>
  <c r="L181" i="4" s="1"/>
  <c r="L188" i="4" s="1"/>
  <c r="L190" i="4"/>
  <c r="F192" i="4"/>
  <c r="F189" i="4"/>
  <c r="R166" i="4"/>
  <c r="R168" i="4" s="1"/>
  <c r="Y44" i="4" s="1"/>
  <c r="R165" i="4"/>
  <c r="F194" i="4" l="1"/>
  <c r="F196" i="4" s="1"/>
  <c r="Y45" i="4" s="1"/>
  <c r="F193" i="4"/>
  <c r="R181" i="4"/>
  <c r="R188" i="4" s="1"/>
  <c r="R180" i="4"/>
  <c r="R190" i="4"/>
  <c r="K203" i="4"/>
  <c r="U50" i="4"/>
  <c r="Q203" i="4" s="1"/>
  <c r="W49" i="4"/>
  <c r="R191" i="4"/>
  <c r="L189" i="4"/>
  <c r="L192" i="4" s="1"/>
  <c r="F215" i="4"/>
  <c r="E205" i="4"/>
  <c r="F210" i="4"/>
  <c r="F212" i="4"/>
  <c r="F213" i="4"/>
  <c r="F214" i="4"/>
  <c r="F211" i="4"/>
  <c r="F203" i="4"/>
  <c r="F205" i="4" s="1"/>
  <c r="L194" i="4" l="1"/>
  <c r="L196" i="4" s="1"/>
  <c r="Y46" i="4" s="1"/>
  <c r="L193" i="4"/>
  <c r="F208" i="4"/>
  <c r="F209" i="4" s="1"/>
  <c r="F216" i="4" s="1"/>
  <c r="F218" i="4"/>
  <c r="R215" i="4"/>
  <c r="Q205" i="4"/>
  <c r="R212" i="4"/>
  <c r="R214" i="4"/>
  <c r="R210" i="4"/>
  <c r="R203" i="4"/>
  <c r="R205" i="4" s="1"/>
  <c r="F219" i="4"/>
  <c r="W50" i="4"/>
  <c r="R213" i="4" s="1"/>
  <c r="K205" i="4"/>
  <c r="L215" i="4"/>
  <c r="L210" i="4"/>
  <c r="L214" i="4"/>
  <c r="L211" i="4"/>
  <c r="L212" i="4"/>
  <c r="L213" i="4"/>
  <c r="L203" i="4"/>
  <c r="L205" i="4" s="1"/>
  <c r="R192" i="4"/>
  <c r="R189" i="4"/>
  <c r="L208" i="4" l="1"/>
  <c r="L209" i="4" s="1"/>
  <c r="L216" i="4" s="1"/>
  <c r="L218" i="4"/>
  <c r="R208" i="4"/>
  <c r="R209" i="4" s="1"/>
  <c r="R218" i="4"/>
  <c r="R211" i="4"/>
  <c r="R193" i="4"/>
  <c r="R194" i="4" s="1"/>
  <c r="R196" i="4" s="1"/>
  <c r="Y47" i="4" s="1"/>
  <c r="L219" i="4"/>
  <c r="R219" i="4"/>
  <c r="F217" i="4"/>
  <c r="F220" i="4" s="1"/>
  <c r="F222" i="4" l="1"/>
  <c r="F224" i="4" s="1"/>
  <c r="Y48" i="4" s="1"/>
  <c r="F221" i="4"/>
  <c r="R216" i="4"/>
  <c r="L217" i="4"/>
  <c r="L220" i="4" s="1"/>
  <c r="L222" i="4" l="1"/>
  <c r="L224" i="4" s="1"/>
  <c r="Y49" i="4" s="1"/>
  <c r="L221" i="4"/>
  <c r="R220" i="4"/>
  <c r="R217" i="4"/>
  <c r="R222" i="4" l="1"/>
  <c r="R224" i="4" s="1"/>
  <c r="Y50" i="4" s="1"/>
  <c r="R221" i="4"/>
</calcChain>
</file>

<file path=xl/comments1.xml><?xml version="1.0" encoding="utf-8"?>
<comments xmlns="http://schemas.openxmlformats.org/spreadsheetml/2006/main">
  <authors>
    <author>kara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# of checks for FY19 based on MCB (3 contracts) is 507
</t>
        </r>
      </text>
    </comment>
  </commentList>
</comments>
</file>

<file path=xl/comments2.xml><?xml version="1.0" encoding="utf-8"?>
<comments xmlns="http://schemas.openxmlformats.org/spreadsheetml/2006/main">
  <authors>
    <author>EHS</author>
  </authors>
  <commentList>
    <comment ref="D89" authorId="0">
      <text>
        <r>
          <rPr>
            <sz val="8"/>
            <color indexed="81"/>
            <rFont val="Tahoma"/>
            <family val="2"/>
          </rPr>
          <t>Previously $74,913</t>
        </r>
      </text>
    </comment>
    <comment ref="I89" authorId="0">
      <text>
        <r>
          <rPr>
            <b/>
            <sz val="8"/>
            <color indexed="81"/>
            <rFont val="Tahoma"/>
            <family val="2"/>
          </rPr>
          <t>EHS:</t>
        </r>
        <r>
          <rPr>
            <sz val="8"/>
            <color indexed="81"/>
            <rFont val="Tahoma"/>
            <family val="2"/>
          </rPr>
          <t xml:space="preserve">
Previously $73,785</t>
        </r>
      </text>
    </comment>
    <comment ref="N89" authorId="0">
      <text>
        <r>
          <rPr>
            <sz val="8"/>
            <color indexed="81"/>
            <rFont val="Tahoma"/>
            <family val="2"/>
          </rPr>
          <t>Previously $103,029</t>
        </r>
      </text>
    </comment>
  </commentList>
</comments>
</file>

<file path=xl/comments3.xml><?xml version="1.0" encoding="utf-8"?>
<comments xmlns="http://schemas.openxmlformats.org/spreadsheetml/2006/main">
  <authors>
    <author>EHS</author>
  </authors>
  <commentList>
    <comment ref="I22" authorId="0">
      <text>
        <r>
          <rPr>
            <b/>
            <sz val="8"/>
            <color indexed="81"/>
            <rFont val="Tahoma"/>
            <family val="2"/>
          </rPr>
          <t>EHS:</t>
        </r>
        <r>
          <rPr>
            <sz val="8"/>
            <color indexed="81"/>
            <rFont val="Tahoma"/>
            <family val="2"/>
          </rPr>
          <t xml:space="preserve">
365 days * 33 clients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EHS:</t>
        </r>
        <r>
          <rPr>
            <sz val="8"/>
            <color indexed="81"/>
            <rFont val="Tahoma"/>
            <family val="2"/>
          </rPr>
          <t xml:space="preserve">
CURRRENT RATE for Jan 2018 - Dec 2019</t>
        </r>
      </text>
    </comment>
  </commentList>
</comments>
</file>

<file path=xl/comments4.xml><?xml version="1.0" encoding="utf-8"?>
<comments xmlns="http://schemas.openxmlformats.org/spreadsheetml/2006/main">
  <authors>
    <author>EHS</author>
  </authors>
  <commentList>
    <comment ref="F30" authorId="0">
      <text>
        <r>
          <rPr>
            <sz val="8"/>
            <color indexed="81"/>
            <rFont val="Tahoma"/>
            <family val="2"/>
          </rPr>
          <t xml:space="preserve">CURRENT RATE Jan 2018 - Dec 2019
</t>
        </r>
      </text>
    </comment>
  </commentList>
</comments>
</file>

<file path=xl/comments5.xml><?xml version="1.0" encoding="utf-8"?>
<comments xmlns="http://schemas.openxmlformats.org/spreadsheetml/2006/main">
  <authors>
    <author>EHS</author>
  </authors>
  <commentList>
    <comment ref="F27" authorId="0">
      <text>
        <r>
          <rPr>
            <b/>
            <sz val="8"/>
            <color indexed="81"/>
            <rFont val="Tahoma"/>
            <family val="2"/>
          </rPr>
          <t>EHS:</t>
        </r>
        <r>
          <rPr>
            <sz val="8"/>
            <color indexed="81"/>
            <rFont val="Tahoma"/>
            <family val="2"/>
          </rPr>
          <t xml:space="preserve">
CURRENT RATE</t>
        </r>
      </text>
    </comment>
  </commentList>
</comments>
</file>

<file path=xl/sharedStrings.xml><?xml version="1.0" encoding="utf-8"?>
<sst xmlns="http://schemas.openxmlformats.org/spreadsheetml/2006/main" count="2827" uniqueCount="819">
  <si>
    <t>Source:</t>
  </si>
  <si>
    <t>2017/2018</t>
  </si>
  <si>
    <t>BLS / OES</t>
  </si>
  <si>
    <t>Position</t>
  </si>
  <si>
    <r>
      <t>Median</t>
    </r>
    <r>
      <rPr>
        <b/>
        <sz val="16"/>
        <color rgb="FFFF0000"/>
        <rFont val="Calibri"/>
        <family val="2"/>
        <scheme val="minor"/>
      </rPr>
      <t xml:space="preserve"> </t>
    </r>
  </si>
  <si>
    <t>Median</t>
  </si>
  <si>
    <t>Change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</si>
  <si>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</si>
  <si>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</si>
  <si>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</si>
  <si>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</si>
  <si>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</si>
  <si>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</si>
  <si>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</si>
  <si>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</si>
  <si>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</si>
  <si>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</si>
  <si>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</si>
  <si>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</si>
  <si>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</si>
  <si>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</si>
  <si>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</si>
  <si>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</si>
  <si>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</si>
  <si>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</si>
  <si>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</si>
  <si>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</si>
  <si>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</si>
  <si>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</si>
  <si>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</si>
  <si>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</si>
  <si>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</si>
  <si>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</si>
  <si>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</si>
  <si>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</si>
  <si>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</si>
  <si>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</si>
  <si>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Program Management (hourly)</t>
  </si>
  <si>
    <t xml:space="preserve">Program manager, management, </t>
  </si>
  <si>
    <t>BA Level w/ 3+ years related work experience</t>
  </si>
  <si>
    <t>Program Management (annual)</t>
  </si>
  <si>
    <t xml:space="preserve"> program director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</si>
  <si>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</si>
  <si>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</si>
  <si>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</si>
  <si>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</si>
  <si>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</si>
  <si>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</si>
  <si>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</si>
  <si>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</si>
  <si>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</si>
  <si>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</si>
  <si>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</si>
  <si>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</si>
  <si>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</si>
  <si>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&amp; Direct Care Relief Staff are benched to Direct Care</t>
  </si>
  <si>
    <t>Overnight staff (asleep or awake) benchmarked to $14.63 / hr (avg CY22 &amp; CY23)</t>
  </si>
  <si>
    <t>CY21 min. wage = $13.50 and CY22 min. wage = $14.25 and CY23 = $15.00</t>
  </si>
  <si>
    <t xml:space="preserve">Tax and Fringe  =  </t>
  </si>
  <si>
    <t xml:space="preserve">Benchmarked to FY21 (proposed) Commonwealth (office of the Comptroller) T&amp;F rate, less </t>
  </si>
  <si>
    <t>Terminal leave, retirement and Paid Family Medical Leave tax (actual FY21 approved was 22.28% )
FY22 Proposed is 21.87% with same parameters as above</t>
  </si>
  <si>
    <t>PFMLA</t>
  </si>
  <si>
    <t>Admin Allocation</t>
  </si>
  <si>
    <t>C.257 Benchmark</t>
  </si>
  <si>
    <t>NURSING BLEND</t>
  </si>
  <si>
    <t>Below the Line</t>
  </si>
  <si>
    <t>Current (FY18 Wt Avg)</t>
  </si>
  <si>
    <t>FY20 Wt Avg</t>
  </si>
  <si>
    <t xml:space="preserve">ALL ORIGINAL SALARIES PER PROGRAM  </t>
  </si>
  <si>
    <t>WITH CAF</t>
  </si>
  <si>
    <t>BLS SALARY</t>
  </si>
  <si>
    <t>Bencmark</t>
  </si>
  <si>
    <t>17E</t>
  </si>
  <si>
    <t>Total Occupancy</t>
  </si>
  <si>
    <t>Adult Companion</t>
  </si>
  <si>
    <t>Direct Care</t>
  </si>
  <si>
    <t>Prior Salary with FY18 CAF compuonded</t>
  </si>
  <si>
    <t>BLS 2020 Direct Care</t>
  </si>
  <si>
    <t>20E</t>
  </si>
  <si>
    <t>Stipends</t>
  </si>
  <si>
    <t>Aut Fam Supports</t>
  </si>
  <si>
    <t>Case Manager</t>
  </si>
  <si>
    <t>BLS 2020 Case Worker</t>
  </si>
  <si>
    <t>22E</t>
  </si>
  <si>
    <t>Staff Training 204</t>
  </si>
  <si>
    <t>Program Director</t>
  </si>
  <si>
    <t xml:space="preserve">BLS 2020 Program Management </t>
  </si>
  <si>
    <t>23E</t>
  </si>
  <si>
    <t>Staff Mileage / Travel 205</t>
  </si>
  <si>
    <t>AWC</t>
  </si>
  <si>
    <t>Family Naviagtor</t>
  </si>
  <si>
    <t>24E</t>
  </si>
  <si>
    <t>Meals 207</t>
  </si>
  <si>
    <t>25E</t>
  </si>
  <si>
    <t>Client Transportation 208</t>
  </si>
  <si>
    <t>Clerical</t>
  </si>
  <si>
    <t>$15 / hr</t>
  </si>
  <si>
    <t>26E</t>
  </si>
  <si>
    <t>Vehicle Expenses 208</t>
  </si>
  <si>
    <t>Behav. Support</t>
  </si>
  <si>
    <t>Behav.Supp. - Bachelor's</t>
  </si>
  <si>
    <t>Prior Rate with CAF</t>
  </si>
  <si>
    <t>27E</t>
  </si>
  <si>
    <t>Vehicle Depreciation 208</t>
  </si>
  <si>
    <t>Behav. Supp. - Doctorate</t>
  </si>
  <si>
    <t>28E</t>
  </si>
  <si>
    <t>Incidental Medical /Medicine/Pharmacy 209</t>
  </si>
  <si>
    <t>Behav. Supp. - Master's</t>
  </si>
  <si>
    <t>29E</t>
  </si>
  <si>
    <t>Client Personal Allowances 211</t>
  </si>
  <si>
    <t>Fam Trn/ PS/ Respite</t>
  </si>
  <si>
    <t xml:space="preserve">Direct Care </t>
  </si>
  <si>
    <t>BLS Direct Care</t>
  </si>
  <si>
    <t>30E</t>
  </si>
  <si>
    <t>Provision Material Goods/Svs./Benefits 212</t>
  </si>
  <si>
    <t>31E</t>
  </si>
  <si>
    <t>Direct Client Wages 214</t>
  </si>
  <si>
    <t>Case Worker</t>
  </si>
  <si>
    <t>FY18 UFR Avg</t>
  </si>
  <si>
    <t>BLS Case Worker</t>
  </si>
  <si>
    <t>32E</t>
  </si>
  <si>
    <t>Other Commercial Prod. &amp; Svs. 214</t>
  </si>
  <si>
    <t>Peer Mentor</t>
  </si>
  <si>
    <t>Purchaser Reccomendation</t>
  </si>
  <si>
    <t>33E</t>
  </si>
  <si>
    <t>Program Supplies &amp; Materials 215</t>
  </si>
  <si>
    <t>Fin Asst Admin</t>
  </si>
  <si>
    <t>Bookkeeper</t>
  </si>
  <si>
    <t>35E</t>
  </si>
  <si>
    <t>Other Expense</t>
  </si>
  <si>
    <t>36E</t>
  </si>
  <si>
    <t>Total Other Program Expense per FTE</t>
  </si>
  <si>
    <t>MCB FAMS</t>
  </si>
  <si>
    <t xml:space="preserve">Avg MGMT Salaries </t>
  </si>
  <si>
    <t>A/P Staff Accountant</t>
  </si>
  <si>
    <t>BLS 202 DC III</t>
  </si>
  <si>
    <t>Med Complex</t>
  </si>
  <si>
    <t>T &amp; F FY20 Data</t>
  </si>
  <si>
    <t>average</t>
  </si>
  <si>
    <t>Respit care Giver Home</t>
  </si>
  <si>
    <t>weighted average</t>
  </si>
  <si>
    <t>Site Based Respite</t>
  </si>
  <si>
    <t xml:space="preserve">DC Management </t>
  </si>
  <si>
    <t>FY21 Commonwealth (office of the Comptroller)</t>
  </si>
  <si>
    <t>Med- Nurse</t>
  </si>
  <si>
    <t>BLS RN (BA)</t>
  </si>
  <si>
    <t>DC Support</t>
  </si>
  <si>
    <t>Admin Alloc. FY20 Data</t>
  </si>
  <si>
    <t>IFFS</t>
  </si>
  <si>
    <t>Avg of all FSTB model with compounded CAFs</t>
  </si>
  <si>
    <t>FY18 UFR Wt Avg Salary</t>
  </si>
  <si>
    <t>c. 257 Benchmark</t>
  </si>
  <si>
    <t>Spring 2021 CAF</t>
  </si>
  <si>
    <t>Prospective rate period: 1/1/22-12/31/23</t>
  </si>
  <si>
    <t>MODEL BUDGET Adult Companion Group</t>
  </si>
  <si>
    <t>FY18 CAF</t>
  </si>
  <si>
    <t>Adopted May 2011</t>
  </si>
  <si>
    <t>Individual Adult Companion Base Rate per 15 min</t>
  </si>
  <si>
    <t>Current Rate</t>
  </si>
  <si>
    <t>Proposed Rate</t>
  </si>
  <si>
    <t>Additional Activity Cost per 15 min for a group</t>
  </si>
  <si>
    <t>Total Group Cost per 15 min</t>
  </si>
  <si>
    <t>Group Size</t>
  </si>
  <si>
    <t>Group Cost per Person per 15 Minutes</t>
  </si>
  <si>
    <t>ADULT COMPANION</t>
  </si>
  <si>
    <t>Master Data Look-Up Table</t>
  </si>
  <si>
    <t>Benchmark Salary</t>
  </si>
  <si>
    <t>Source</t>
  </si>
  <si>
    <t>Available Client Hours Per Site</t>
  </si>
  <si>
    <t>Direct Care I</t>
  </si>
  <si>
    <t>BLS Direct Care I Benchmark</t>
  </si>
  <si>
    <t>Postion</t>
  </si>
  <si>
    <t>Salary</t>
  </si>
  <si>
    <t xml:space="preserve"> FTEs</t>
  </si>
  <si>
    <t>Expense</t>
  </si>
  <si>
    <t>Direct Care FTEs</t>
  </si>
  <si>
    <t>Purchaser Recommendation</t>
  </si>
  <si>
    <t>Benchmark Expenses</t>
  </si>
  <si>
    <t>Tax and Fringe</t>
  </si>
  <si>
    <t xml:space="preserve">Staff Mileage / Travel </t>
  </si>
  <si>
    <t>FY20 UFR Wt Avg</t>
  </si>
  <si>
    <t>TOTAL COMPENSATION</t>
  </si>
  <si>
    <t>Admin Costs</t>
  </si>
  <si>
    <t>Taxes &amp; Fringe</t>
  </si>
  <si>
    <t>TOTAL REIMB EXP W/O M&amp;G</t>
  </si>
  <si>
    <t>Admin. Allocation</t>
  </si>
  <si>
    <t>Effective FY20</t>
  </si>
  <si>
    <t>1/1/22 Rate Review CAF</t>
  </si>
  <si>
    <t>TOTAL</t>
  </si>
  <si>
    <t>CAF</t>
  </si>
  <si>
    <t>Hourly Rate</t>
  </si>
  <si>
    <t>Rate per 15 Minutes</t>
  </si>
  <si>
    <t>* Behaviorial Support Position renanmed to DC I</t>
  </si>
  <si>
    <t>* Salary changed from $47,142 to $31,200 to benchmark to $15 / hr</t>
  </si>
  <si>
    <t>% Increase</t>
  </si>
  <si>
    <t>* Previous generic 12% "other ditrect cost" has been removed and replaced with FY18 UFR data relevant to the position</t>
  </si>
  <si>
    <t>* Client Hours per site increased from 1,144 to 1,975</t>
  </si>
  <si>
    <t>Adult Companion Group of 2</t>
  </si>
  <si>
    <t>Adult Companion Group of 3</t>
  </si>
  <si>
    <t>Productivity Standard - Per FTE</t>
  </si>
  <si>
    <t>Total Yearly Hours</t>
  </si>
  <si>
    <t>Total Availble Hours</t>
  </si>
  <si>
    <t>Hours</t>
  </si>
  <si>
    <t>Weeks</t>
  </si>
  <si>
    <t>Vacation</t>
  </si>
  <si>
    <t>Sick &amp; Personal</t>
  </si>
  <si>
    <t>Training</t>
  </si>
  <si>
    <t>Subtotal Unproductive Hours</t>
  </si>
  <si>
    <t xml:space="preserve">Total Yearly Available Hours </t>
  </si>
  <si>
    <t>Aut -Fam Supports</t>
  </si>
  <si>
    <t>.5 Case Manager FTE Model (Culturally Linguistic)</t>
  </si>
  <si>
    <t>1 Case Manager  FTE Model</t>
  </si>
  <si>
    <t>1.5 Case Manager  FTE Model</t>
  </si>
  <si>
    <t>MASTER DATA LOOK-UP TABLE - COMPOUNDED CAFs</t>
  </si>
  <si>
    <t>Percent of Total Cost</t>
  </si>
  <si>
    <t>Sal</t>
  </si>
  <si>
    <t>FTE</t>
  </si>
  <si>
    <t>Exp</t>
  </si>
  <si>
    <t>Title</t>
  </si>
  <si>
    <t>Rebased</t>
  </si>
  <si>
    <t>BLS Management Benchmark</t>
  </si>
  <si>
    <t>BLS Case Manager Benchmark</t>
  </si>
  <si>
    <t>Total Staff</t>
  </si>
  <si>
    <t>Occupancy</t>
  </si>
  <si>
    <t>Expenses</t>
  </si>
  <si>
    <t>Total Compensation</t>
  </si>
  <si>
    <t>Flex Funding Administration</t>
  </si>
  <si>
    <t xml:space="preserve">Admin. Alloc. </t>
  </si>
  <si>
    <t>1/1/22 Rate Review</t>
  </si>
  <si>
    <t>Ctr Cat</t>
  </si>
  <si>
    <t>STAFFING - FTES</t>
  </si>
  <si>
    <t>Monthly Rate</t>
  </si>
  <si>
    <t>Prog. Dir.</t>
  </si>
  <si>
    <t>BTL Scale</t>
  </si>
  <si>
    <t>Current</t>
  </si>
  <si>
    <t>Proposed</t>
  </si>
  <si>
    <t>Small</t>
  </si>
  <si>
    <t>RATE:</t>
  </si>
  <si>
    <t>Base</t>
  </si>
  <si>
    <t xml:space="preserve"> 2 Case Manager  FTE Model (Base Program)</t>
  </si>
  <si>
    <t>2.5 Case Manager  FTE Model</t>
  </si>
  <si>
    <t>3 Case Manager  FTE Model</t>
  </si>
  <si>
    <t>Medium</t>
  </si>
  <si>
    <t>Large</t>
  </si>
  <si>
    <t>Direct Care Add-On</t>
  </si>
  <si>
    <t>Direct Care Staffing</t>
  </si>
  <si>
    <t>3.5 Case Manager  FTE Model</t>
  </si>
  <si>
    <t>4 Case Manager  FTE Model</t>
  </si>
  <si>
    <t>4.5 Case Manager  FTE Model</t>
  </si>
  <si>
    <t>5 Case Manager  FTE Model</t>
  </si>
  <si>
    <t>5.5 Case Manager  FTE Model</t>
  </si>
  <si>
    <t>6 Case Manager  FTE Model</t>
  </si>
  <si>
    <t>6.5 Case Manager  FTE Model</t>
  </si>
  <si>
    <t>7 Case Manager  FTE Model</t>
  </si>
  <si>
    <t>7.5 Case Manager  FTE Model</t>
  </si>
  <si>
    <t>8 Case Manager  FTE Model</t>
  </si>
  <si>
    <t>8.5 Case Manager FTE Model</t>
  </si>
  <si>
    <t>9 Case Manager  FTE Model</t>
  </si>
  <si>
    <t>9.5 Case Manager  FTE Model</t>
  </si>
  <si>
    <t>10 Case Manager FTE Model</t>
  </si>
  <si>
    <t>10.5 Case Manager FTE Model</t>
  </si>
  <si>
    <t>11 Case Manager FTE Model</t>
  </si>
  <si>
    <t>11.5 Case Manager FTE Model</t>
  </si>
  <si>
    <t>12 Case Manager FTE Model</t>
  </si>
  <si>
    <t>9 Direct Care FTE Model</t>
  </si>
  <si>
    <t>Direct Mgmt Staffing</t>
  </si>
  <si>
    <t>Total Dir Care Staff</t>
  </si>
  <si>
    <t>Other</t>
  </si>
  <si>
    <t>Subtotal non-staff</t>
  </si>
  <si>
    <t>Agency With Choice</t>
  </si>
  <si>
    <t>MASTER DATA LOOKUP TABLE</t>
  </si>
  <si>
    <t>Family Stabilization - Family Navigation 3700 - Hourly</t>
  </si>
  <si>
    <t>Family Stabilization - AWC Administration  - 6753 - Monthly</t>
  </si>
  <si>
    <t>BENCHMARK SALARIES</t>
  </si>
  <si>
    <t>SOURCE</t>
  </si>
  <si>
    <t>Unit - Per Client Hour</t>
  </si>
  <si>
    <t>Total Hours</t>
  </si>
  <si>
    <t>Unit - Per Client Per Month</t>
  </si>
  <si>
    <t>Family Navigator</t>
  </si>
  <si>
    <t>BLS Case Worker Benchmark</t>
  </si>
  <si>
    <t>BENCHMARK FTES</t>
  </si>
  <si>
    <t>Total Program Staff</t>
  </si>
  <si>
    <t>BENCHMARK EXPENSES</t>
  </si>
  <si>
    <t>FY20 UFR Weighted Avg</t>
  </si>
  <si>
    <t>Program Supplies &amp; Materials &amp; Training</t>
  </si>
  <si>
    <t xml:space="preserve">Flex Spending </t>
  </si>
  <si>
    <t>Tax &amp; Fringe</t>
  </si>
  <si>
    <t>Total Reimb excl M&amp;G</t>
  </si>
  <si>
    <t xml:space="preserve">Proposed </t>
  </si>
  <si>
    <t>Family Navigation Productivity Standard</t>
  </si>
  <si>
    <t>Days</t>
  </si>
  <si>
    <t>Total</t>
  </si>
  <si>
    <t xml:space="preserve">Hourly Rate </t>
  </si>
  <si>
    <t>Hourly Rate with CAF</t>
  </si>
  <si>
    <t>Max # of Billable  Hours</t>
  </si>
  <si>
    <t>Rate for 15 minutes</t>
  </si>
  <si>
    <t>RATE - PER CLIENT PER MONTH</t>
  </si>
  <si>
    <t>Non-Billable Hours</t>
  </si>
  <si>
    <t>vacation</t>
  </si>
  <si>
    <t xml:space="preserve">sick and personal </t>
  </si>
  <si>
    <t>holidays (10 days)</t>
  </si>
  <si>
    <t>training (3 days)</t>
  </si>
  <si>
    <t>Travel</t>
  </si>
  <si>
    <t>Admin / Paperwork</t>
  </si>
  <si>
    <t>Subtotal non-billable hours</t>
  </si>
  <si>
    <t>Productive hours per FTE</t>
  </si>
  <si>
    <t>Total Family Navigator FTEs</t>
  </si>
  <si>
    <t>Total Productive Hours</t>
  </si>
  <si>
    <t>BEHAVIORAL SUPPORT</t>
  </si>
  <si>
    <t>Family Stabilization - Behavioral Support - Bachelor Level</t>
  </si>
  <si>
    <t>Behavioral Support - Bachelor's</t>
  </si>
  <si>
    <t>Rebased with FY18 Rate Review CAF</t>
  </si>
  <si>
    <t>Holidays</t>
  </si>
  <si>
    <t xml:space="preserve">Transportation </t>
  </si>
  <si>
    <t>Admin/Supervision</t>
  </si>
  <si>
    <t xml:space="preserve">Average FTEs </t>
  </si>
  <si>
    <t>Total Productive Hours per FTE</t>
  </si>
  <si>
    <t>Family Stabilization - Behavioral Support - Master's Level</t>
  </si>
  <si>
    <t>Behavioral Support - Master's</t>
  </si>
  <si>
    <t>Rebased with Compounded CAFs</t>
  </si>
  <si>
    <t>CAF:</t>
  </si>
  <si>
    <t>Family Stabilization - Behavioral Support -  Doctorate Level</t>
  </si>
  <si>
    <t xml:space="preserve">Total Yearly </t>
  </si>
  <si>
    <t>Behavioral Support - Doctorate</t>
  </si>
  <si>
    <t>Unit Rate Per Available Client Hour</t>
  </si>
  <si>
    <t>Proposed Rate per 15 Minutes</t>
  </si>
  <si>
    <t>Family Training- Peer Support- Respite</t>
  </si>
  <si>
    <t>PROGRAM COSTS</t>
  </si>
  <si>
    <t>Direct Costs:</t>
  </si>
  <si>
    <t>Salary/Rate</t>
  </si>
  <si>
    <t># FTEs</t>
  </si>
  <si>
    <t>Cost</t>
  </si>
  <si>
    <t>Source for figures</t>
  </si>
  <si>
    <t xml:space="preserve">   Staff Salary</t>
  </si>
  <si>
    <t xml:space="preserve">Family Training </t>
  </si>
  <si>
    <t>Direct Care Staff</t>
  </si>
  <si>
    <t>Direct Care I FY09 UFR all HHS Staff</t>
  </si>
  <si>
    <t xml:space="preserve">   Subtotal salary</t>
  </si>
  <si>
    <t xml:space="preserve">   Taxes &amp; Benefits</t>
  </si>
  <si>
    <t>% of salary</t>
  </si>
  <si>
    <t xml:space="preserve">Total </t>
  </si>
  <si>
    <t xml:space="preserve">   Subtotal direct costs</t>
  </si>
  <si>
    <t>Indirect Costs</t>
  </si>
  <si>
    <t>Overhead (% of total direct cost)</t>
  </si>
  <si>
    <t xml:space="preserve">     Subtotal indirect costs</t>
  </si>
  <si>
    <t>Total program costs</t>
  </si>
  <si>
    <t>Total Direct Expenses</t>
  </si>
  <si>
    <t>Admin M&amp;G</t>
  </si>
  <si>
    <t>CAF Rate</t>
  </si>
  <si>
    <t>BILLABLE UNITS</t>
  </si>
  <si>
    <t xml:space="preserve"> RATE</t>
  </si>
  <si>
    <t>Max # of compensable hours</t>
  </si>
  <si>
    <t>Total program cost</t>
  </si>
  <si>
    <t>Maximum productivity hours per FTE</t>
  </si>
  <si>
    <t>Total with CAF</t>
  </si>
  <si>
    <t>FT / PS Rate per Hour</t>
  </si>
  <si>
    <t>FT / PS Group of 2</t>
  </si>
  <si>
    <t>FT / PS Group of 5</t>
  </si>
  <si>
    <t xml:space="preserve"> Peer Support </t>
  </si>
  <si>
    <t>Respite - Recipient Home</t>
  </si>
  <si>
    <t>Non-direct service hours</t>
  </si>
  <si>
    <t>Total CM FTE</t>
  </si>
  <si>
    <t>Leave/Comp.(3 weeks)</t>
  </si>
  <si>
    <t xml:space="preserve">Rate per 15 min </t>
  </si>
  <si>
    <t>Respite 1:1 (recipients home)</t>
  </si>
  <si>
    <t>Rate per hour</t>
  </si>
  <si>
    <t>FY16</t>
  </si>
  <si>
    <t>Respite 1:2 (recipients home)</t>
  </si>
  <si>
    <t>Admin/Supervision (4 hours per week)</t>
  </si>
  <si>
    <t>CAF 3.27</t>
  </si>
  <si>
    <t>Respite 1:3 (recipients home)</t>
  </si>
  <si>
    <t>Respite Day (recipients home)</t>
  </si>
  <si>
    <t>Financial Assistance Admin Fee</t>
  </si>
  <si>
    <t>Client Financial Assistance Admin Fee</t>
  </si>
  <si>
    <t>Supplies &amp; Materials</t>
  </si>
  <si>
    <t>Monthly Cost</t>
  </si>
  <si>
    <t>Rate per Transaction</t>
  </si>
  <si>
    <t>* Prior "non direct staff direct exp" &amp; respective amount of 1732 removed</t>
  </si>
  <si>
    <t>* Program and Supplies line item added with FY18 UFR Wt Avg amount of $800</t>
  </si>
  <si>
    <t xml:space="preserve">Total Hours/ Month </t>
  </si>
  <si>
    <t>Cost / Month</t>
  </si>
  <si>
    <t>Annual</t>
  </si>
  <si>
    <t>Cost / Hour</t>
  </si>
  <si>
    <t>Monthly</t>
  </si>
  <si>
    <t>Cost/ Check</t>
  </si>
  <si>
    <t>Total/ Check (40 per 7 Hills)</t>
  </si>
  <si>
    <t>Total / Hr (15.25 per 7 Hills)</t>
  </si>
  <si>
    <t>MCB Family Navigation Administrative Service</t>
  </si>
  <si>
    <t>Model Budget</t>
  </si>
  <si>
    <t>MASTER DATA LOOK-UP TABLE</t>
  </si>
  <si>
    <t>Annual Checks</t>
  </si>
  <si>
    <t xml:space="preserve">Benchmark Salaries </t>
  </si>
  <si>
    <t>Benchmark FTE</t>
  </si>
  <si>
    <t>2 hours per week / Purchaser Recommendation</t>
  </si>
  <si>
    <t>Admin Expenses &amp; Supplies &amp; Materials</t>
  </si>
  <si>
    <t>PFMLA Trust Contribution</t>
  </si>
  <si>
    <t>PFLMA</t>
  </si>
  <si>
    <t>Unit Rate</t>
  </si>
  <si>
    <t>Medically Complex</t>
  </si>
  <si>
    <t>Medically Complex Programs</t>
  </si>
  <si>
    <t>Master Look-Up Table</t>
  </si>
  <si>
    <t>Ratio (Client to Staff)</t>
  </si>
  <si>
    <t>Case Worker (BA Level)</t>
  </si>
  <si>
    <t>Program Supplies, Materials &amp; Other</t>
  </si>
  <si>
    <t>Flex Spending</t>
  </si>
  <si>
    <t>No. of Clients per Program</t>
  </si>
  <si>
    <t>Rate Per Enrolled Month</t>
  </si>
  <si>
    <t>Respite in Caregivers Home</t>
  </si>
  <si>
    <t>RESPITE CAREGIVER'S HOME</t>
  </si>
  <si>
    <t>A</t>
  </si>
  <si>
    <t>Total Staff Cost</t>
  </si>
  <si>
    <t xml:space="preserve">Stipend - Level 1 </t>
  </si>
  <si>
    <t>Prior rate with compounding CAFs</t>
  </si>
  <si>
    <t>Direct program costs</t>
  </si>
  <si>
    <t>Stipend - Level 2</t>
  </si>
  <si>
    <t>Stipend</t>
  </si>
  <si>
    <t>65*365</t>
  </si>
  <si>
    <t>Stipend - Level 3</t>
  </si>
  <si>
    <t>Subtotal Caregiver costs</t>
  </si>
  <si>
    <t>Client Transportation</t>
  </si>
  <si>
    <t>FY20 UFR Wt Avg per FTE</t>
  </si>
  <si>
    <t xml:space="preserve">Prior CAF Rate </t>
  </si>
  <si>
    <t>FY18Q2 - Prospective Period 1/1/18-12/31/19</t>
  </si>
  <si>
    <t>B</t>
  </si>
  <si>
    <t>Respite In Caregiver's Home - Level 1</t>
  </si>
  <si>
    <t>Respite In Caregiver's Home - Level 2</t>
  </si>
  <si>
    <t>Respite In Caregiver's Home - Level 3</t>
  </si>
  <si>
    <t xml:space="preserve">  Direct program costs</t>
  </si>
  <si>
    <t>75*365</t>
  </si>
  <si>
    <t>Direct Costs</t>
  </si>
  <si>
    <t>Stipend - Level 1</t>
  </si>
  <si>
    <t>TOTAL DIRECT COSTS</t>
  </si>
  <si>
    <t>Admin allocation</t>
  </si>
  <si>
    <t>Total Program Costs</t>
  </si>
  <si>
    <t>Daily Rate</t>
  </si>
  <si>
    <t>Per day</t>
  </si>
  <si>
    <t>CAF 3.27%</t>
  </si>
  <si>
    <t>C</t>
  </si>
  <si>
    <t>95*365</t>
  </si>
  <si>
    <t>Subtotal direct costs</t>
  </si>
  <si>
    <t>SITE BASED RESPITE</t>
  </si>
  <si>
    <t>SITE BASED RESPITE WITH NURSING</t>
  </si>
  <si>
    <t>Relief Assumptions:</t>
  </si>
  <si>
    <t>Beds</t>
  </si>
  <si>
    <t>Days:</t>
  </si>
  <si>
    <t>ADULT MODELS</t>
  </si>
  <si>
    <t>CHILDREN MODELS</t>
  </si>
  <si>
    <t>Beds per FTE</t>
  </si>
  <si>
    <t>Days Staffed per Week</t>
  </si>
  <si>
    <t>%</t>
  </si>
  <si>
    <t>sick/ personal</t>
  </si>
  <si>
    <t>holidays</t>
  </si>
  <si>
    <t>Total Hours per FTE:</t>
  </si>
  <si>
    <t>% of FTE</t>
  </si>
  <si>
    <t>Unit Cost</t>
  </si>
  <si>
    <t>Benchmark Salaries</t>
  </si>
  <si>
    <t>BLS RN/LPN 50/50 Blend</t>
  </si>
  <si>
    <t xml:space="preserve">Other Exp. </t>
  </si>
  <si>
    <t>Total reimb excl M&amp;G</t>
  </si>
  <si>
    <t xml:space="preserve">CAF </t>
  </si>
  <si>
    <t>FY18 Rate Review CAF</t>
  </si>
  <si>
    <t>Utilization RATE:</t>
  </si>
  <si>
    <t>PLANNED SITE BASED RESPITE FOR CHILDREN</t>
  </si>
  <si>
    <t>PLANNED SITE BASED RESPITE FOR CHILDREN WITH HIGH INTESITY SUPPORT NEEDS</t>
  </si>
  <si>
    <t>Rate per 30 minutes</t>
  </si>
  <si>
    <t>Children's Program - weekends only without Nurse</t>
  </si>
  <si>
    <t>Direct Care- Shift 1</t>
  </si>
  <si>
    <t>Direct Care- Shift 2</t>
  </si>
  <si>
    <t>Direct Care- Overnight Awake</t>
  </si>
  <si>
    <t>Direct Care Relief (% of Dir Care)</t>
  </si>
  <si>
    <t>Intensive Family Flexible Supports</t>
  </si>
  <si>
    <t>DDS IFFS model</t>
  </si>
  <si>
    <t>Rebased with 3.27% CAF</t>
  </si>
  <si>
    <t>% of Direct Program Exp.</t>
  </si>
  <si>
    <t>Ratio (Clients per staff memebr)</t>
  </si>
  <si>
    <t>Master Look Up</t>
  </si>
  <si>
    <t>Staff</t>
  </si>
  <si>
    <t>Benchmark</t>
  </si>
  <si>
    <t>Clinical</t>
  </si>
  <si>
    <t>of Staff cost</t>
  </si>
  <si>
    <t>Non Staff Direct Exp.</t>
  </si>
  <si>
    <t>Prior Benchmark with compounded CAFs</t>
  </si>
  <si>
    <t>Specialty Consulations</t>
  </si>
  <si>
    <t>Purchaser Reccomentation</t>
  </si>
  <si>
    <t>CAF - FY20</t>
  </si>
  <si>
    <t xml:space="preserve">Capacity </t>
  </si>
  <si>
    <t>Rate Per Enrolled Day</t>
  </si>
  <si>
    <t>Notes:</t>
  </si>
  <si>
    <t>Assumes staffing represents 75% of Total Direct</t>
  </si>
  <si>
    <t>Program Director Salary Median Salary for all HHS programs in FY09 UFR data</t>
  </si>
  <si>
    <t>Clinical Salary median for all HHS programs for UFR title Licensed Councilor</t>
  </si>
  <si>
    <t xml:space="preserve">Direct care salary Median Non Specialized Direct Care Salary FY09 </t>
  </si>
  <si>
    <t>Tax and fringe was set 22%  of Staff salary cost and Adim Allocation M&amp;G was set at 11% of Direct Expense this is similar to what has been observed in other POS services</t>
  </si>
  <si>
    <t>The Cost Adjustment Factor (CAF) of 3.27% brings the Data from FY 09 through Calendar 2012</t>
  </si>
  <si>
    <t>Massachusetts Economic Indicators</t>
  </si>
  <si>
    <t>IHS Markit, Spring 2021 Forecast</t>
  </si>
  <si>
    <t>Prepared by Michael Lynch, 781-301-9129</t>
  </si>
  <si>
    <t>FY22Q1</t>
  </si>
  <si>
    <t>FY22Q2</t>
  </si>
  <si>
    <t>FY22Q3</t>
  </si>
  <si>
    <t>FY22Q4</t>
  </si>
  <si>
    <t>FY23Q1</t>
  </si>
  <si>
    <t>FY23Q2</t>
  </si>
  <si>
    <t>FY23Q3</t>
  </si>
  <si>
    <t>FY23Q4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</si>
  <si>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</si>
  <si>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</si>
  <si>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</si>
  <si>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</si>
  <si>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</si>
  <si>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</si>
  <si>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</si>
  <si>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</si>
  <si>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</si>
  <si>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</si>
  <si>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</si>
  <si>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</si>
  <si>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</si>
  <si>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</si>
  <si>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</si>
  <si>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</si>
  <si>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</si>
  <si>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</si>
  <si>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</si>
  <si>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</si>
  <si>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</si>
  <si>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</si>
  <si>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</si>
  <si>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</si>
  <si>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</si>
  <si>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</si>
  <si>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</si>
  <si>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</si>
  <si>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</si>
  <si>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</si>
  <si>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</si>
  <si>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</si>
  <si>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</si>
  <si>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</si>
  <si>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</si>
  <si>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</si>
  <si>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</si>
  <si>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</si>
  <si>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</si>
  <si>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</si>
  <si>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</si>
  <si>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</si>
  <si>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</si>
  <si>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</si>
  <si>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</si>
  <si>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</si>
  <si>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</si>
  <si>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</si>
  <si>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</si>
  <si>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</si>
  <si>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</si>
  <si>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</si>
  <si>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</si>
  <si>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</si>
  <si>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</si>
  <si>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</si>
  <si>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</si>
  <si>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</si>
  <si>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</si>
  <si>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</si>
  <si>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</si>
  <si>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</si>
  <si>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</si>
  <si>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</si>
  <si>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</si>
  <si>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</si>
  <si>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</si>
  <si>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</si>
  <si>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</si>
  <si>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</si>
  <si>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</si>
  <si>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</si>
  <si>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</si>
  <si>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</si>
  <si>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</si>
  <si>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</si>
  <si>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</si>
  <si>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</si>
  <si>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</si>
  <si>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</si>
  <si>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</si>
  <si>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</si>
  <si>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</si>
  <si>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</si>
  <si>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</si>
  <si>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</si>
  <si>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</si>
  <si>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</si>
  <si>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</si>
  <si>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</si>
  <si>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</si>
  <si>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</si>
  <si>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</si>
  <si>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</si>
  <si>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</si>
  <si>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</si>
  <si>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FSTAB Rate Reviews effective 1/1/2022</t>
  </si>
  <si>
    <t xml:space="preserve">Base period: </t>
  </si>
  <si>
    <t>Average</t>
  </si>
  <si>
    <t xml:space="preserve">Prospective rate period: </t>
  </si>
  <si>
    <t>Model A-1 Direct Care Non Clinical Less Intensive</t>
  </si>
  <si>
    <t>Model A-2 Direct Care Non Clinical More Intensive</t>
  </si>
  <si>
    <t>Benchmark Salaries - BLS Spring 2020</t>
  </si>
  <si>
    <t>Benchmark FTEs</t>
  </si>
  <si>
    <t>A-1</t>
  </si>
  <si>
    <t>A-2</t>
  </si>
  <si>
    <t>D</t>
  </si>
  <si>
    <t>E</t>
  </si>
  <si>
    <t>F</t>
  </si>
  <si>
    <t>G</t>
  </si>
  <si>
    <t>Program Support-Clerical</t>
  </si>
  <si>
    <t xml:space="preserve">Case Manager </t>
  </si>
  <si>
    <t>Non Staff Direct Expense (% of total Comp)</t>
  </si>
  <si>
    <t>CAF (Jan 2022)</t>
  </si>
  <si>
    <t>Total Staff EXPENSES</t>
  </si>
  <si>
    <t>PFLMA Trust Contribution</t>
  </si>
  <si>
    <t>Model B Direct Care and Clinical Less Intensive</t>
  </si>
  <si>
    <t>Model C Direct Care and Clinical More Intensive</t>
  </si>
  <si>
    <t>Model D Clinical</t>
  </si>
  <si>
    <t>Model E Direct Care and Clinical High Intensive</t>
  </si>
  <si>
    <t>Model F Direct Care and Clinical Highest Intensive</t>
  </si>
  <si>
    <t>Model G Direct Care and Clinical Higher Intensive</t>
  </si>
  <si>
    <t>Educational Coordinator ("Treehouse")</t>
  </si>
  <si>
    <t xml:space="preserve">Model Budget </t>
  </si>
  <si>
    <t>Ratio</t>
  </si>
  <si>
    <t>Staff Salary</t>
  </si>
  <si>
    <t>FTEs</t>
  </si>
  <si>
    <t>Education Coordinator</t>
  </si>
  <si>
    <t>Non-Specialized Direct Care</t>
  </si>
  <si>
    <t>Program Support</t>
  </si>
  <si>
    <t>Direct Care III</t>
  </si>
  <si>
    <t>BLS 2020 Direct Care III</t>
  </si>
  <si>
    <t>Supplies &amp; Allowances</t>
  </si>
  <si>
    <t>Other Costs</t>
  </si>
  <si>
    <t xml:space="preserve"> CAF</t>
  </si>
  <si>
    <t>TOTAL excl m &amp; g</t>
  </si>
  <si>
    <t>Total with admin allocation</t>
  </si>
  <si>
    <t>Total  with CAF</t>
  </si>
  <si>
    <t>RATE: (per enrolled day)</t>
  </si>
  <si>
    <t>TOTAL COSTS</t>
  </si>
  <si>
    <t>Total with Cost adjustment factor (2015)</t>
  </si>
  <si>
    <t>Total with CAF (2020)</t>
  </si>
  <si>
    <t>Total with Cost adjustment factor (2018)</t>
  </si>
  <si>
    <t xml:space="preserve">With CAF </t>
  </si>
  <si>
    <t>Specialty Family Skills Development Group</t>
  </si>
  <si>
    <t xml:space="preserve">Proposed Model Budget </t>
  </si>
  <si>
    <t>Per 15 session group</t>
  </si>
  <si>
    <t>Total Sessions Group</t>
  </si>
  <si>
    <t>Particpants per Session:</t>
  </si>
  <si>
    <t>Management</t>
  </si>
  <si>
    <t>BLS 2020</t>
  </si>
  <si>
    <t>BLS 2020 Case Manager</t>
  </si>
  <si>
    <t xml:space="preserve">Management </t>
  </si>
  <si>
    <t>Direct Management Staffing</t>
  </si>
  <si>
    <t>BLS 2020 Direct Care I</t>
  </si>
  <si>
    <t>Direct care</t>
  </si>
  <si>
    <t>Total Direct Care Staff</t>
  </si>
  <si>
    <t>Non specialized direct care</t>
  </si>
  <si>
    <t>Tax and fringe</t>
  </si>
  <si>
    <t>avg cost</t>
  </si>
  <si>
    <t>#</t>
  </si>
  <si>
    <t>Facilitator/Coordinator Stipends</t>
  </si>
  <si>
    <t>Coordinator Stipends</t>
  </si>
  <si>
    <t>Occupancy (fixed)</t>
  </si>
  <si>
    <t>Meals</t>
  </si>
  <si>
    <t>Supplies / Cirriculum</t>
  </si>
  <si>
    <t>Curriculum</t>
  </si>
  <si>
    <t>Child Care</t>
  </si>
  <si>
    <t>Transportation</t>
  </si>
  <si>
    <t>FY20 Rate Review CAF</t>
  </si>
  <si>
    <t>Total reimb exp excl m&amp;g</t>
  </si>
  <si>
    <t>Total (independent of sessions)</t>
  </si>
  <si>
    <t>Total with Cost adjustment factor (CAF)</t>
  </si>
  <si>
    <t>Rate per session</t>
  </si>
  <si>
    <t>Total with Cost adjustment factor (2020)</t>
  </si>
  <si>
    <t>Add-ons</t>
  </si>
  <si>
    <t>Proposed Jan 2022</t>
  </si>
  <si>
    <t>Occupancy (purchase of space)</t>
  </si>
  <si>
    <t>Facilitators / Session</t>
  </si>
  <si>
    <t>Per 101 CMR 414.02 Program Description</t>
  </si>
  <si>
    <t>Participants</t>
  </si>
  <si>
    <t>If using add-ons</t>
  </si>
  <si>
    <t>per session</t>
  </si>
  <si>
    <t>Session</t>
  </si>
  <si>
    <t>Occupancy purchase of space</t>
  </si>
  <si>
    <t>Source of $125: provider specific contractual total of $1,875, divided by 15 sessions); used also as basis for other family groups</t>
  </si>
  <si>
    <t xml:space="preserve">Stipends based off FY18UFR Data st avg per FTE </t>
  </si>
  <si>
    <t>Stipends per Session</t>
  </si>
  <si>
    <t>9 Stipends per Session Group</t>
  </si>
  <si>
    <t>Occupancy based off FY18 Data Wt avg per FTE</t>
  </si>
  <si>
    <t>Occupancy Cost per FTE's Per session</t>
  </si>
  <si>
    <t>Meals based off FY18 Data St avg per FTE</t>
  </si>
  <si>
    <t>Meals Per Session</t>
  </si>
  <si>
    <t>Meals per FTE</t>
  </si>
  <si>
    <t>Program Supplies/ Cirriculum 30E &amp; 33E</t>
  </si>
  <si>
    <t>Rate from Prior models</t>
  </si>
  <si>
    <t>Transportation based off FY18 Data Wt avg per FTE</t>
  </si>
  <si>
    <t>Family Skills Development Group</t>
  </si>
  <si>
    <t>Per 12 session group</t>
  </si>
  <si>
    <t xml:space="preserve">Direct Care  </t>
  </si>
  <si>
    <t xml:space="preserve">Occupancy </t>
  </si>
  <si>
    <t>FY20 UFR Wt AVg</t>
  </si>
  <si>
    <t>FY20 UFR Wt Avg (Supplies &amp;Materials)</t>
  </si>
  <si>
    <t>Occupancy (fixed -Standard/session)</t>
  </si>
  <si>
    <t xml:space="preserve">Total Rate </t>
  </si>
  <si>
    <t>Rate w/ CAF (2020)</t>
  </si>
  <si>
    <t>Parent Skill Development Group</t>
  </si>
  <si>
    <t>Per 13 session group</t>
  </si>
  <si>
    <t>Transportation (incidental cost)</t>
  </si>
  <si>
    <t>Rate w/ Cost adjustment factor (2020)</t>
  </si>
  <si>
    <t>Facilitator/Coordinators</t>
  </si>
  <si>
    <t>Transportation (beyond incidentals)</t>
  </si>
  <si>
    <t>Unbundled IFC Support Services</t>
  </si>
  <si>
    <t>Proposed Model 5/26/2021</t>
  </si>
  <si>
    <t>Unbundled IFC Special Supports</t>
  </si>
  <si>
    <t># children</t>
  </si>
  <si>
    <t>Annual cost</t>
  </si>
  <si>
    <t xml:space="preserve"> Cost per child</t>
  </si>
  <si>
    <t xml:space="preserve"> Cost per child week</t>
  </si>
  <si>
    <t>Cost per child day</t>
  </si>
  <si>
    <t>Child Care Worker: Ratio 1:8</t>
  </si>
  <si>
    <t>Supervisor: Ratio 1:6 workers</t>
  </si>
  <si>
    <t>Sub Total Dir Care</t>
  </si>
  <si>
    <t>Additional Support @ 19.50/hr x 5 hrs/wk</t>
  </si>
  <si>
    <t>Program director @ 10% salaries</t>
  </si>
  <si>
    <t>Sub Total Salary &amp; Wage</t>
  </si>
  <si>
    <t>Tax/Fringe @ 25% personnel</t>
  </si>
  <si>
    <t>Total Empl Comp &amp; Exp</t>
  </si>
  <si>
    <t>Other @ 20% total cost</t>
  </si>
  <si>
    <t>Sub Total excl Flex</t>
  </si>
  <si>
    <t>Flex pool ( provider to maintain pool, amt is not child-specific)</t>
  </si>
  <si>
    <t>Cost Adjustment Factor</t>
  </si>
  <si>
    <t>TOTAL SUPPORT RATE</t>
  </si>
  <si>
    <t xml:space="preserve">Case Worker </t>
  </si>
  <si>
    <t>IFC Staff</t>
  </si>
  <si>
    <t>FY20 UFR Wt Avg (23E, 25E, 26E, 27E)</t>
  </si>
  <si>
    <t>FY20 UFR Wt Avg (22E)</t>
  </si>
  <si>
    <t xml:space="preserve">Revised Model Budgets  </t>
  </si>
  <si>
    <t>After School / Day Respite</t>
  </si>
  <si>
    <t>Combined Hourly Services</t>
  </si>
  <si>
    <t>Revised Unbundled IFC Support Services</t>
  </si>
  <si>
    <t>MODEL BUDGET- (half day)</t>
  </si>
  <si>
    <t>MODEL BUDGET (full day)</t>
  </si>
  <si>
    <t>Model Budget-Non Clinical</t>
  </si>
  <si>
    <t xml:space="preserve">Model Budget - Clinical </t>
  </si>
  <si>
    <t>Clients:</t>
  </si>
  <si>
    <t>Revision as Basis of Extracting Family Resource Worker</t>
  </si>
  <si>
    <t>NON-CLINICAL (half day)</t>
  </si>
  <si>
    <t>NON-CLINICAL (full day)</t>
  </si>
  <si>
    <t>Input - Where Providers proposed to hire staff as "Additional Support"</t>
  </si>
  <si>
    <t>% Total Reimb Exp.</t>
  </si>
  <si>
    <t xml:space="preserve">Program Management </t>
  </si>
  <si>
    <t>Family Resource Worker ratio 1:30</t>
  </si>
  <si>
    <t>Additional Support @  5 hrs/wk</t>
  </si>
  <si>
    <t>Direct Admin</t>
  </si>
  <si>
    <t>CAF Adj @ 2.00% 2006-2010</t>
  </si>
  <si>
    <t>Flex Pool ( included above)</t>
  </si>
  <si>
    <t>COMBINED HOURLY SERVICES</t>
  </si>
  <si>
    <t>Non Clinical</t>
  </si>
  <si>
    <t>Rolling the existing rate forward:</t>
  </si>
  <si>
    <t>Flex Pool:</t>
  </si>
  <si>
    <t>Proposed Rate:</t>
  </si>
  <si>
    <t>Taxes &amp; Benefits</t>
  </si>
  <si>
    <t>TOTAl w/ CAF</t>
  </si>
  <si>
    <t>Rate (Hourly)</t>
  </si>
  <si>
    <t>Rate (15 min)</t>
  </si>
  <si>
    <t>Adolescent Support Network Model</t>
  </si>
  <si>
    <t>Program Management</t>
  </si>
  <si>
    <t>Clerical Support</t>
  </si>
  <si>
    <t>Admin Alloc.</t>
  </si>
  <si>
    <t xml:space="preserve">Monthly Add-on Rates </t>
  </si>
  <si>
    <t>Certified Nursing Assistant</t>
  </si>
  <si>
    <t>Occupantional Therapist</t>
  </si>
  <si>
    <t>Occupantional Therapist Assistant</t>
  </si>
  <si>
    <t>Case Manager, Social Worker, Clinician (MA level-not Indep Licensed)</t>
  </si>
  <si>
    <t>LPN</t>
  </si>
  <si>
    <t>Registered Nurse</t>
  </si>
  <si>
    <t>Clinician w/Independent License</t>
  </si>
  <si>
    <t>Social / Caseworker (BA Level)</t>
  </si>
  <si>
    <t>BLS /OES Massachusetts Median 2019</t>
  </si>
  <si>
    <t>Commonwealth CY22 Rate</t>
  </si>
  <si>
    <t>Total Tax &amp; Fringe</t>
  </si>
  <si>
    <t>Subtotal Compensation</t>
  </si>
  <si>
    <t>Proposed FY22 Monthly Rates (1.0 FTE)</t>
  </si>
  <si>
    <t>Proposed FY22 Monthly Rates (0.75FTE)</t>
  </si>
  <si>
    <t>Proposed FY22 Monthly Rates (0.50FTE)</t>
  </si>
  <si>
    <t>Proposed FY22 Monthly Rates (0.25FTE)</t>
  </si>
  <si>
    <t xml:space="preserve">  </t>
  </si>
  <si>
    <t>Hourly Add-on Rates</t>
  </si>
  <si>
    <t>Case Mgr, Social Worker, Clinician (MA level but not Indep Lic)</t>
  </si>
  <si>
    <t>Clinician w/Independent Lic</t>
  </si>
  <si>
    <t>Nurse Practioner / APRN</t>
  </si>
  <si>
    <t>Psycologist / Phychiatrist (PhD Lvl)</t>
  </si>
  <si>
    <t>BLS /OES Massachusetts Median Spring 2020</t>
  </si>
  <si>
    <t>Billable Hours</t>
  </si>
  <si>
    <t>Proposed FY21 Rates (per hour)</t>
  </si>
  <si>
    <t>Monthly Rate (1.0 FTE Add-on)</t>
  </si>
  <si>
    <t>Monthly Rate (0.75 FTE Add-on)</t>
  </si>
  <si>
    <t>Monthly Rate (0.50 FTE Add-on)</t>
  </si>
  <si>
    <t>Monthly Rate (0.25 FTE Add-on)</t>
  </si>
  <si>
    <t>Direct Care Productivity Chart</t>
  </si>
  <si>
    <t>Nursing and Other Staff Productivity Chart</t>
  </si>
  <si>
    <t>Paid Time Off (PTO)</t>
  </si>
  <si>
    <t>Training (not OJT)</t>
  </si>
  <si>
    <t>Travel / Admin / Supervision / Training / Misc</t>
  </si>
  <si>
    <t>The above "add-on's can be used as a Cultural Facilitator and/or "as needed" clinical / clinical type consultation services</t>
  </si>
  <si>
    <t>Chart for Regulation</t>
  </si>
  <si>
    <t>Monthly Rates</t>
  </si>
  <si>
    <t>Hourly</t>
  </si>
  <si>
    <t>1.0 FTE</t>
  </si>
  <si>
    <t>0.75 FTE</t>
  </si>
  <si>
    <t>0.50 FTE</t>
  </si>
  <si>
    <t>0.25 FTE</t>
  </si>
  <si>
    <t>Case Mgr, Social Worker, Clinician (MA level not Indep Lic)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</si>
</sst>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_(&quot;$&quot;* #,##0_);_(&quot;$&quot;* \(#,##0\);_(&quot;$&quot;* &quot;-&quot;??_);_(@_)"/>
    <numFmt numFmtId="168" formatCode="\$#,##0"/>
    <numFmt numFmtId="169" formatCode="0.0"/>
    <numFmt numFmtId="170" formatCode="0.000%"/>
    <numFmt numFmtId="171" formatCode="\$#,##0.00"/>
    <numFmt numFmtId="172" formatCode="_(* #,##0_);_(* \(#,##0\);_(* &quot;-&quot;??_);_(@_)"/>
    <numFmt numFmtId="173" formatCode="_(* #,##0.0_);_(* \(#,##0.0\);_(* &quot;-&quot;??_);_(@_)"/>
    <numFmt numFmtId="174" formatCode="0.0%"/>
    <numFmt numFmtId="175" formatCode="#,##0.000"/>
    <numFmt numFmtId="176" formatCode="_(* #,##0.000_);_(* \(#,##0.000\);_(* &quot;-&quot;??_);_(@_)"/>
    <numFmt numFmtId="177" formatCode="0.000"/>
    <numFmt numFmtId="178" formatCode="0.00000000000"/>
    <numFmt numFmtId="179" formatCode="&quot;$&quot;#,##0.000000000"/>
    <numFmt numFmtId="180" formatCode="0.0000"/>
    <numFmt numFmtId="181" formatCode="#,##0.0_);\(#,##0.0\)"/>
    <numFmt numFmtId="182" formatCode="_(&quot;$&quot;* #,##0.000_);_(&quot;$&quot;* \(#,##0.000\);_(&quot;$&quot;* &quot;-&quot;??_);_(@_)"/>
    <numFmt numFmtId="183" formatCode="\$#,##0.0000"/>
    <numFmt numFmtId="184" formatCode="&quot;$&quot;#,##0.000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MS Sans Serif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0"/>
      <color theme="0"/>
      <name val="Arial"/>
      <family val="2"/>
    </font>
    <font>
      <i/>
      <sz val="8"/>
      <color theme="0"/>
      <name val="Arial"/>
      <family val="2"/>
    </font>
    <font>
      <b/>
      <sz val="10"/>
      <color rgb="FFFF0000"/>
      <name val="Calibri"/>
      <family val="2"/>
      <scheme val="minor"/>
    </font>
    <font>
      <sz val="2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24"/>
      <name val="Calibri"/>
      <family val="2"/>
      <scheme val="minor"/>
    </font>
    <font>
      <i/>
      <sz val="14"/>
      <name val="Arial"/>
      <family val="2"/>
    </font>
    <font>
      <sz val="14"/>
      <name val="Times New Roman"/>
      <family val="1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name val="Microsoft Sans Serif"/>
      <family val="2"/>
    </font>
    <font>
      <sz val="9"/>
      <name val="Microsoft Sans Serif"/>
      <family val="2"/>
      <charset val="204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2"/>
      <color indexed="3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Symbol"/>
      <family val="1"/>
      <charset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"/>
      <family val="2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1"/>
      <name val="Calibri"/>
      <family val="2"/>
    </font>
    <font>
      <b/>
      <sz val="14"/>
      <color rgb="FF7030A0"/>
      <name val="Calibri"/>
      <family val="2"/>
    </font>
    <font>
      <b/>
      <sz val="11"/>
      <color rgb="FF7030A0"/>
      <name val="Calibri"/>
      <family val="2"/>
    </font>
    <font>
      <i/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12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7FDB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FC9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58"/>
      </bottom>
      <diagonal/>
    </border>
    <border>
      <left/>
      <right/>
      <top/>
      <bottom style="thin">
        <color indexed="58"/>
      </bottom>
      <diagonal/>
    </border>
    <border>
      <left style="medium">
        <color indexed="64"/>
      </left>
      <right/>
      <top style="thin">
        <color indexed="58"/>
      </top>
      <bottom style="double">
        <color indexed="58"/>
      </bottom>
      <diagonal/>
    </border>
    <border>
      <left/>
      <right/>
      <top style="thin">
        <color indexed="58"/>
      </top>
      <bottom style="double">
        <color indexed="58"/>
      </bottom>
      <diagonal/>
    </border>
    <border>
      <left/>
      <right style="medium">
        <color indexed="64"/>
      </right>
      <top style="thin">
        <color indexed="58"/>
      </top>
      <bottom style="double">
        <color indexed="58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58"/>
      </bottom>
      <diagonal/>
    </border>
    <border>
      <left/>
      <right/>
      <top/>
      <bottom style="double">
        <color indexed="58"/>
      </bottom>
      <diagonal/>
    </border>
    <border>
      <left/>
      <right style="medium">
        <color indexed="64"/>
      </right>
      <top style="thin">
        <color indexed="64"/>
      </top>
      <bottom style="double">
        <color indexed="58"/>
      </bottom>
      <diagonal/>
    </border>
    <border>
      <left style="medium">
        <color indexed="64"/>
      </left>
      <right/>
      <top style="double">
        <color indexed="58"/>
      </top>
      <bottom style="thin">
        <color indexed="64"/>
      </bottom>
      <diagonal/>
    </border>
    <border>
      <left/>
      <right/>
      <top style="double">
        <color indexed="58"/>
      </top>
      <bottom style="thin">
        <color indexed="64"/>
      </bottom>
      <diagonal/>
    </border>
    <border>
      <left/>
      <right style="medium">
        <color indexed="64"/>
      </right>
      <top style="double">
        <color indexed="5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58"/>
      </top>
      <bottom style="double">
        <color indexed="64"/>
      </bottom>
      <diagonal/>
    </border>
    <border>
      <left/>
      <right/>
      <top style="thin">
        <color indexed="58"/>
      </top>
      <bottom style="double">
        <color indexed="64"/>
      </bottom>
      <diagonal/>
    </border>
    <border>
      <left/>
      <right style="medium">
        <color indexed="64"/>
      </right>
      <top style="thin">
        <color indexed="5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rgb="FF003300"/>
      </top>
      <bottom style="thin">
        <color rgb="FF003300"/>
      </bottom>
      <diagonal/>
    </border>
    <border>
      <left style="medium">
        <color indexed="64"/>
      </left>
      <right/>
      <top style="thin">
        <color rgb="FF003300"/>
      </top>
      <bottom/>
      <diagonal/>
    </border>
  </borders>
  <cellStyleXfs count="12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21" fillId="0" borderId="0"/>
    <xf numFmtId="0" fontId="24" fillId="0" borderId="0"/>
    <xf numFmtId="44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1" fillId="0" borderId="0"/>
    <xf numFmtId="44" fontId="42" fillId="0" borderId="0" applyFont="0" applyFill="0" applyBorder="0" applyAlignment="0" applyProtection="0"/>
    <xf numFmtId="0" fontId="43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37" borderId="0" applyNumberFormat="0" applyBorder="0" applyAlignment="0" applyProtection="0"/>
    <xf numFmtId="0" fontId="42" fillId="40" borderId="0" applyNumberFormat="0" applyBorder="0" applyAlignment="0" applyProtection="0"/>
    <xf numFmtId="0" fontId="42" fillId="43" borderId="0" applyNumberFormat="0" applyBorder="0" applyAlignment="0" applyProtection="0"/>
    <xf numFmtId="0" fontId="61" fillId="44" borderId="0" applyNumberFormat="0" applyBorder="0" applyAlignment="0" applyProtection="0"/>
    <xf numFmtId="0" fontId="11" fillId="5" borderId="0" applyNumberFormat="0" applyBorder="0" applyAlignment="0" applyProtection="0"/>
    <xf numFmtId="0" fontId="61" fillId="41" borderId="0" applyNumberFormat="0" applyBorder="0" applyAlignment="0" applyProtection="0"/>
    <xf numFmtId="0" fontId="11" fillId="6" borderId="0" applyNumberFormat="0" applyBorder="0" applyAlignment="0" applyProtection="0"/>
    <xf numFmtId="0" fontId="61" fillId="42" borderId="0" applyNumberFormat="0" applyBorder="0" applyAlignment="0" applyProtection="0"/>
    <xf numFmtId="0" fontId="11" fillId="7" borderId="0" applyNumberFormat="0" applyBorder="0" applyAlignment="0" applyProtection="0"/>
    <xf numFmtId="0" fontId="61" fillId="45" borderId="0" applyNumberFormat="0" applyBorder="0" applyAlignment="0" applyProtection="0"/>
    <xf numFmtId="0" fontId="11" fillId="8" borderId="0" applyNumberFormat="0" applyBorder="0" applyAlignment="0" applyProtection="0"/>
    <xf numFmtId="0" fontId="61" fillId="46" borderId="0" applyNumberFormat="0" applyBorder="0" applyAlignment="0" applyProtection="0"/>
    <xf numFmtId="0" fontId="11" fillId="9" borderId="0" applyNumberFormat="0" applyBorder="0" applyAlignment="0" applyProtection="0"/>
    <xf numFmtId="0" fontId="61" fillId="47" borderId="0" applyNumberFormat="0" applyBorder="0" applyAlignment="0" applyProtection="0"/>
    <xf numFmtId="0" fontId="11" fillId="10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51" borderId="0" applyNumberFormat="0" applyBorder="0" applyAlignment="0" applyProtection="0"/>
    <xf numFmtId="0" fontId="62" fillId="35" borderId="0" applyNumberFormat="0" applyBorder="0" applyAlignment="0" applyProtection="0"/>
    <xf numFmtId="0" fontId="63" fillId="2" borderId="0" applyNumberFormat="0" applyBorder="0" applyAlignment="0" applyProtection="0"/>
    <xf numFmtId="0" fontId="64" fillId="0" borderId="103" applyNumberFormat="0" applyFont="0" applyProtection="0">
      <alignment wrapText="1"/>
    </xf>
    <xf numFmtId="0" fontId="65" fillId="52" borderId="104" applyNumberFormat="0" applyAlignment="0" applyProtection="0"/>
    <xf numFmtId="0" fontId="65" fillId="52" borderId="104" applyNumberFormat="0" applyAlignment="0" applyProtection="0"/>
    <xf numFmtId="0" fontId="65" fillId="52" borderId="104" applyNumberFormat="0" applyAlignment="0" applyProtection="0"/>
    <xf numFmtId="0" fontId="66" fillId="4" borderId="4" applyNumberFormat="0" applyAlignment="0" applyProtection="0"/>
    <xf numFmtId="0" fontId="67" fillId="53" borderId="105" applyNumberFormat="0" applyAlignment="0" applyProtection="0"/>
    <xf numFmtId="41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106" applyNumberFormat="0" applyProtection="0">
      <alignment wrapText="1"/>
    </xf>
    <xf numFmtId="0" fontId="71" fillId="36" borderId="0" applyNumberFormat="0" applyBorder="0" applyAlignment="0" applyProtection="0"/>
    <xf numFmtId="0" fontId="72" fillId="0" borderId="107" applyNumberFormat="0" applyProtection="0">
      <alignment wrapText="1"/>
    </xf>
    <xf numFmtId="0" fontId="73" fillId="0" borderId="108" applyNumberFormat="0" applyFill="0" applyAlignment="0" applyProtection="0"/>
    <xf numFmtId="0" fontId="3" fillId="0" borderId="1" applyNumberFormat="0" applyFill="0" applyAlignment="0" applyProtection="0"/>
    <xf numFmtId="0" fontId="73" fillId="0" borderId="108" applyNumberFormat="0" applyFill="0" applyAlignment="0" applyProtection="0"/>
    <xf numFmtId="0" fontId="74" fillId="0" borderId="109" applyNumberFormat="0" applyFill="0" applyAlignment="0" applyProtection="0"/>
    <xf numFmtId="0" fontId="4" fillId="0" borderId="2" applyNumberFormat="0" applyFill="0" applyAlignment="0" applyProtection="0"/>
    <xf numFmtId="0" fontId="74" fillId="0" borderId="109" applyNumberFormat="0" applyFill="0" applyAlignment="0" applyProtection="0"/>
    <xf numFmtId="0" fontId="75" fillId="0" borderId="110" applyNumberFormat="0" applyFill="0" applyAlignment="0" applyProtection="0"/>
    <xf numFmtId="0" fontId="5" fillId="0" borderId="3" applyNumberFormat="0" applyFill="0" applyAlignment="0" applyProtection="0"/>
    <xf numFmtId="0" fontId="75" fillId="0" borderId="110" applyNumberFormat="0" applyFill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39" borderId="104" applyNumberFormat="0" applyAlignment="0" applyProtection="0"/>
    <xf numFmtId="0" fontId="77" fillId="39" borderId="104" applyNumberFormat="0" applyAlignment="0" applyProtection="0"/>
    <xf numFmtId="0" fontId="77" fillId="39" borderId="104" applyNumberFormat="0" applyAlignment="0" applyProtection="0"/>
    <xf numFmtId="0" fontId="78" fillId="0" borderId="111" applyNumberFormat="0" applyFill="0" applyAlignment="0" applyProtection="0"/>
    <xf numFmtId="0" fontId="7" fillId="0" borderId="5" applyNumberFormat="0" applyFill="0" applyAlignment="0" applyProtection="0"/>
    <xf numFmtId="0" fontId="78" fillId="0" borderId="111" applyNumberFormat="0" applyFill="0" applyAlignment="0" applyProtection="0"/>
    <xf numFmtId="0" fontId="79" fillId="54" borderId="0" applyNumberFormat="0" applyBorder="0" applyAlignment="0" applyProtection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6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69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5" borderId="112" applyNumberFormat="0" applyFont="0" applyAlignment="0" applyProtection="0"/>
    <xf numFmtId="0" fontId="68" fillId="55" borderId="112" applyNumberFormat="0" applyFont="0" applyAlignment="0" applyProtection="0"/>
    <xf numFmtId="0" fontId="68" fillId="55" borderId="112" applyNumberFormat="0" applyFont="0" applyAlignment="0" applyProtection="0"/>
    <xf numFmtId="0" fontId="21" fillId="55" borderId="112" applyNumberFormat="0" applyFont="0" applyAlignment="0" applyProtection="0"/>
    <xf numFmtId="0" fontId="82" fillId="52" borderId="113" applyNumberFormat="0" applyAlignment="0" applyProtection="0"/>
    <xf numFmtId="0" fontId="82" fillId="52" borderId="113" applyNumberFormat="0" applyAlignment="0" applyProtection="0"/>
    <xf numFmtId="0" fontId="82" fillId="52" borderId="113" applyNumberFormat="0" applyAlignment="0" applyProtection="0"/>
    <xf numFmtId="0" fontId="72" fillId="0" borderId="114" applyNumberFormat="0" applyProtection="0">
      <alignment wrapText="1"/>
    </xf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8" fontId="28" fillId="56" borderId="66" applyFont="0" applyFill="0" applyAlignment="0">
      <alignment horizontal="left" vertical="center" wrapText="1"/>
    </xf>
    <xf numFmtId="8" fontId="28" fillId="56" borderId="66" applyFont="0" applyFill="0" applyAlignment="0">
      <alignment horizontal="left" vertical="center" wrapText="1"/>
    </xf>
    <xf numFmtId="0" fontId="84" fillId="0" borderId="0" applyNumberFormat="0" applyProtection="0">
      <alignment horizontal="left"/>
    </xf>
    <xf numFmtId="0" fontId="8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6" fillId="0" borderId="115" applyNumberFormat="0" applyFill="0" applyAlignment="0" applyProtection="0"/>
    <xf numFmtId="0" fontId="86" fillId="0" borderId="115" applyNumberFormat="0" applyFill="0" applyAlignment="0" applyProtection="0"/>
    <xf numFmtId="0" fontId="86" fillId="0" borderId="115" applyNumberFormat="0" applyFill="0" applyAlignment="0" applyProtection="0"/>
    <xf numFmtId="0" fontId="8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44" fontId="21" fillId="0" borderId="0" applyFont="0" applyFill="0" applyBorder="0" applyAlignment="0" applyProtection="0"/>
  </cellStyleXfs>
  <cellXfs count="3104">
    <xf numFmtId="0" fontId="0" fillId="0" borderId="0" xfId="0"/>
    <xf numFmtId="0" fontId="0" fillId="0" borderId="0" xfId="4" applyFont="1"/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1" fillId="0" borderId="0" xfId="4"/>
    <xf numFmtId="0" fontId="1" fillId="0" borderId="0" xfId="4" applyAlignment="1">
      <alignment wrapText="1"/>
    </xf>
    <xf numFmtId="0" fontId="14" fillId="0" borderId="0" xfId="4" applyFont="1" applyAlignment="1">
      <alignment horizontal="center"/>
    </xf>
    <xf numFmtId="0" fontId="15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15" fillId="0" borderId="0" xfId="4" applyNumberFormat="1" applyFont="1" applyAlignment="1">
      <alignment horizontal="left" vertical="top"/>
    </xf>
    <xf numFmtId="0" fontId="16" fillId="0" borderId="0" xfId="4" applyFont="1"/>
    <xf numFmtId="0" fontId="16" fillId="0" borderId="0" xfId="4" applyFont="1" applyAlignment="1">
      <alignment wrapText="1"/>
    </xf>
    <xf numFmtId="0" fontId="15" fillId="0" borderId="0" xfId="4" applyFont="1"/>
    <xf numFmtId="9" fontId="15" fillId="0" borderId="0" xfId="4" applyNumberFormat="1" applyFont="1" applyAlignment="1">
      <alignment horizontal="center" wrapText="1"/>
    </xf>
    <xf numFmtId="9" fontId="15" fillId="0" borderId="0" xfId="4" applyNumberFormat="1" applyFont="1" applyAlignment="1">
      <alignment horizontal="center"/>
    </xf>
    <xf numFmtId="0" fontId="15" fillId="0" borderId="0" xfId="4" applyFont="1" applyAlignment="1">
      <alignment horizontal="left" wrapText="1"/>
    </xf>
    <xf numFmtId="0" fontId="16" fillId="0" borderId="6" xfId="4" applyFont="1" applyBorder="1"/>
    <xf numFmtId="165" fontId="16" fillId="0" borderId="7" xfId="4" applyNumberFormat="1" applyFont="1" applyBorder="1" applyAlignment="1">
      <alignment horizontal="center"/>
    </xf>
    <xf numFmtId="9" fontId="16" fillId="0" borderId="7" xfId="5" applyFont="1" applyBorder="1" applyAlignment="1">
      <alignment horizontal="center"/>
    </xf>
    <xf numFmtId="0" fontId="16" fillId="0" borderId="8" xfId="4" applyFont="1" applyBorder="1" applyAlignment="1">
      <alignment horizontal="left" vertical="top" wrapText="1"/>
    </xf>
    <xf numFmtId="0" fontId="16" fillId="0" borderId="9" xfId="4" applyFont="1" applyBorder="1" applyAlignment="1">
      <alignment horizontal="left" vertical="center" wrapText="1"/>
    </xf>
    <xf numFmtId="165" fontId="1" fillId="0" borderId="10" xfId="4" applyNumberFormat="1" applyBorder="1"/>
    <xf numFmtId="165" fontId="1" fillId="0" borderId="0" xfId="4" applyNumberFormat="1"/>
    <xf numFmtId="0" fontId="16" fillId="0" borderId="11" xfId="4" applyFont="1" applyBorder="1"/>
    <xf numFmtId="166" fontId="16" fillId="0" borderId="12" xfId="4" applyNumberFormat="1" applyFont="1" applyFill="1" applyBorder="1" applyAlignment="1">
      <alignment horizontal="center"/>
    </xf>
    <xf numFmtId="166" fontId="16" fillId="0" borderId="12" xfId="4" applyNumberFormat="1" applyFont="1" applyBorder="1" applyAlignment="1">
      <alignment horizontal="center"/>
    </xf>
    <xf numFmtId="9" fontId="16" fillId="0" borderId="13" xfId="5" applyFont="1" applyBorder="1" applyAlignment="1">
      <alignment horizontal="center"/>
    </xf>
    <xf numFmtId="0" fontId="16" fillId="0" borderId="12" xfId="4" applyFont="1" applyBorder="1" applyAlignment="1">
      <alignment horizontal="left" vertical="top" wrapText="1"/>
    </xf>
    <xf numFmtId="0" fontId="16" fillId="0" borderId="14" xfId="4" applyFont="1" applyBorder="1" applyAlignment="1">
      <alignment horizontal="left" vertical="center" wrapText="1"/>
    </xf>
    <xf numFmtId="166" fontId="1" fillId="0" borderId="15" xfId="4" applyNumberFormat="1" applyBorder="1"/>
    <xf numFmtId="165" fontId="16" fillId="0" borderId="7" xfId="4" applyNumberFormat="1" applyFont="1" applyFill="1" applyBorder="1" applyAlignment="1">
      <alignment horizontal="center"/>
    </xf>
    <xf numFmtId="0" fontId="16" fillId="0" borderId="8" xfId="4" applyFont="1" applyBorder="1"/>
    <xf numFmtId="0" fontId="16" fillId="0" borderId="16" xfId="4" applyFont="1" applyBorder="1"/>
    <xf numFmtId="166" fontId="16" fillId="0" borderId="0" xfId="4" applyNumberFormat="1" applyFont="1" applyFill="1" applyBorder="1" applyAlignment="1">
      <alignment horizontal="center"/>
    </xf>
    <xf numFmtId="166" fontId="16" fillId="0" borderId="0" xfId="4" applyNumberFormat="1" applyFont="1" applyBorder="1" applyAlignment="1">
      <alignment horizontal="center"/>
    </xf>
    <xf numFmtId="9" fontId="16" fillId="0" borderId="17" xfId="5" applyFont="1" applyBorder="1" applyAlignment="1">
      <alignment horizontal="center"/>
    </xf>
    <xf numFmtId="0" fontId="16" fillId="0" borderId="0" xfId="4" applyFont="1" applyBorder="1"/>
    <xf numFmtId="0" fontId="16" fillId="0" borderId="18" xfId="4" applyFont="1" applyBorder="1" applyAlignment="1">
      <alignment horizontal="left" vertical="center" wrapText="1"/>
    </xf>
    <xf numFmtId="0" fontId="16" fillId="0" borderId="8" xfId="4" applyFont="1" applyFill="1" applyBorder="1"/>
    <xf numFmtId="165" fontId="8" fillId="0" borderId="0" xfId="4" applyNumberFormat="1" applyFont="1"/>
    <xf numFmtId="0" fontId="16" fillId="0" borderId="12" xfId="4" applyFont="1" applyBorder="1"/>
    <xf numFmtId="165" fontId="1" fillId="0" borderId="10" xfId="4" applyNumberFormat="1" applyBorder="1" applyAlignment="1">
      <alignment horizontal="right" vertical="center"/>
    </xf>
    <xf numFmtId="165" fontId="1" fillId="0" borderId="15" xfId="4" applyNumberFormat="1" applyBorder="1" applyAlignment="1">
      <alignment horizontal="right" vertical="center"/>
    </xf>
    <xf numFmtId="0" fontId="16" fillId="0" borderId="6" xfId="4" applyFont="1" applyBorder="1" applyAlignment="1">
      <alignment wrapText="1"/>
    </xf>
    <xf numFmtId="0" fontId="16" fillId="0" borderId="11" xfId="4" applyFont="1" applyBorder="1" applyAlignment="1">
      <alignment wrapText="1"/>
    </xf>
    <xf numFmtId="0" fontId="16" fillId="0" borderId="8" xfId="4" applyFont="1" applyBorder="1" applyAlignment="1">
      <alignment vertical="top" wrapText="1"/>
    </xf>
    <xf numFmtId="0" fontId="16" fillId="0" borderId="12" xfId="4" applyFont="1" applyBorder="1" applyAlignment="1">
      <alignment vertical="top" wrapText="1"/>
    </xf>
    <xf numFmtId="165" fontId="1" fillId="0" borderId="19" xfId="4" applyNumberFormat="1" applyBorder="1"/>
    <xf numFmtId="0" fontId="18" fillId="0" borderId="0" xfId="4" applyFont="1" applyAlignment="1">
      <alignment horizontal="right" wrapText="1"/>
    </xf>
    <xf numFmtId="166" fontId="18" fillId="0" borderId="0" xfId="4" applyNumberFormat="1" applyFont="1"/>
    <xf numFmtId="0" fontId="18" fillId="0" borderId="0" xfId="4" applyFont="1"/>
    <xf numFmtId="0" fontId="18" fillId="0" borderId="0" xfId="4" applyFont="1" applyAlignment="1">
      <alignment wrapText="1"/>
    </xf>
    <xf numFmtId="165" fontId="18" fillId="0" borderId="0" xfId="4" applyNumberFormat="1" applyFont="1"/>
    <xf numFmtId="0" fontId="18" fillId="0" borderId="0" xfId="4" applyFont="1" applyAlignment="1">
      <alignment horizontal="right"/>
    </xf>
    <xf numFmtId="10" fontId="18" fillId="0" borderId="0" xfId="3" applyNumberFormat="1" applyFont="1"/>
    <xf numFmtId="0" fontId="18" fillId="0" borderId="0" xfId="4" applyFont="1" applyFill="1" applyAlignment="1">
      <alignment horizontal="right"/>
    </xf>
    <xf numFmtId="9" fontId="18" fillId="0" borderId="0" xfId="3" applyNumberFormat="1" applyFont="1"/>
    <xf numFmtId="0" fontId="0" fillId="0" borderId="0" xfId="0" applyFill="1" applyBorder="1"/>
    <xf numFmtId="10" fontId="0" fillId="0" borderId="0" xfId="3" applyNumberFormat="1" applyFont="1"/>
    <xf numFmtId="0" fontId="0" fillId="11" borderId="20" xfId="0" applyFill="1" applyBorder="1" applyAlignment="1"/>
    <xf numFmtId="0" fontId="0" fillId="11" borderId="21" xfId="0" applyFill="1" applyBorder="1" applyAlignment="1"/>
    <xf numFmtId="0" fontId="0" fillId="11" borderId="22" xfId="0" applyFill="1" applyBorder="1" applyAlignment="1"/>
    <xf numFmtId="0" fontId="0" fillId="0" borderId="0" xfId="0" applyFill="1" applyBorder="1" applyAlignment="1"/>
    <xf numFmtId="0" fontId="10" fillId="0" borderId="0" xfId="0" applyFont="1" applyFill="1"/>
    <xf numFmtId="0" fontId="0" fillId="12" borderId="20" xfId="0" applyFill="1" applyBorder="1" applyAlignment="1"/>
    <xf numFmtId="0" fontId="0" fillId="12" borderId="21" xfId="0" applyFill="1" applyBorder="1" applyAlignment="1"/>
    <xf numFmtId="0" fontId="0" fillId="12" borderId="22" xfId="0" applyFill="1" applyBorder="1" applyAlignment="1"/>
    <xf numFmtId="0" fontId="10" fillId="13" borderId="23" xfId="0" applyFont="1" applyFill="1" applyBorder="1"/>
    <xf numFmtId="0" fontId="10" fillId="14" borderId="20" xfId="0" applyFont="1" applyFill="1" applyBorder="1"/>
    <xf numFmtId="0" fontId="0" fillId="14" borderId="21" xfId="0" applyFill="1" applyBorder="1" applyAlignment="1">
      <alignment horizontal="center"/>
    </xf>
    <xf numFmtId="0" fontId="0" fillId="0" borderId="16" xfId="0" applyBorder="1"/>
    <xf numFmtId="0" fontId="0" fillId="0" borderId="0" xfId="0" applyBorder="1"/>
    <xf numFmtId="44" fontId="1" fillId="0" borderId="0" xfId="2" applyFont="1" applyBorder="1"/>
    <xf numFmtId="44" fontId="1" fillId="0" borderId="18" xfId="2" applyFont="1" applyBorder="1"/>
    <xf numFmtId="9" fontId="0" fillId="0" borderId="0" xfId="3" applyFont="1" applyFill="1" applyBorder="1"/>
    <xf numFmtId="0" fontId="0" fillId="15" borderId="16" xfId="0" applyFill="1" applyBorder="1"/>
    <xf numFmtId="167" fontId="1" fillId="0" borderId="18" xfId="2" applyNumberFormat="1" applyFont="1" applyBorder="1"/>
    <xf numFmtId="167" fontId="0" fillId="13" borderId="24" xfId="2" applyNumberFormat="1" applyFont="1" applyFill="1" applyBorder="1"/>
    <xf numFmtId="167" fontId="0" fillId="0" borderId="16" xfId="2" applyNumberFormat="1" applyFont="1" applyBorder="1"/>
    <xf numFmtId="0" fontId="0" fillId="0" borderId="16" xfId="0" applyFill="1" applyBorder="1"/>
    <xf numFmtId="167" fontId="1" fillId="0" borderId="18" xfId="2" applyNumberFormat="1" applyFont="1" applyFill="1" applyBorder="1"/>
    <xf numFmtId="167" fontId="0" fillId="0" borderId="16" xfId="0" applyNumberFormat="1" applyBorder="1"/>
    <xf numFmtId="0" fontId="19" fillId="0" borderId="11" xfId="0" applyFont="1" applyBorder="1"/>
    <xf numFmtId="0" fontId="19" fillId="0" borderId="12" xfId="0" applyFont="1" applyBorder="1" applyAlignment="1"/>
    <xf numFmtId="44" fontId="19" fillId="0" borderId="12" xfId="2" applyFont="1" applyBorder="1"/>
    <xf numFmtId="44" fontId="19" fillId="0" borderId="14" xfId="2" applyFont="1" applyBorder="1"/>
    <xf numFmtId="167" fontId="0" fillId="0" borderId="16" xfId="2" applyNumberFormat="1" applyFont="1" applyFill="1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6" xfId="0" applyFont="1" applyBorder="1" applyAlignment="1">
      <alignment horizontal="left"/>
    </xf>
    <xf numFmtId="10" fontId="20" fillId="0" borderId="9" xfId="3" applyNumberFormat="1" applyFont="1" applyBorder="1"/>
    <xf numFmtId="0" fontId="20" fillId="0" borderId="16" xfId="0" applyFont="1" applyBorder="1" applyAlignment="1">
      <alignment horizontal="left"/>
    </xf>
    <xf numFmtId="10" fontId="20" fillId="0" borderId="18" xfId="3" applyNumberFormat="1" applyFont="1" applyBorder="1"/>
    <xf numFmtId="0" fontId="22" fillId="0" borderId="0" xfId="6" applyFont="1" applyFill="1" applyBorder="1" applyAlignment="1">
      <alignment horizontal="left"/>
    </xf>
    <xf numFmtId="0" fontId="23" fillId="0" borderId="11" xfId="0" applyFont="1" applyBorder="1"/>
    <xf numFmtId="10" fontId="23" fillId="0" borderId="14" xfId="3" applyNumberFormat="1" applyFont="1" applyBorder="1"/>
    <xf numFmtId="168" fontId="22" fillId="0" borderId="0" xfId="7" applyNumberFormat="1" applyFont="1" applyBorder="1"/>
    <xf numFmtId="167" fontId="0" fillId="13" borderId="0" xfId="2" applyNumberFormat="1" applyFont="1" applyFill="1" applyBorder="1"/>
    <xf numFmtId="0" fontId="0" fillId="15" borderId="11" xfId="0" applyFill="1" applyBorder="1"/>
    <xf numFmtId="168" fontId="22" fillId="0" borderId="12" xfId="7" applyNumberFormat="1" applyFont="1" applyBorder="1"/>
    <xf numFmtId="167" fontId="1" fillId="0" borderId="14" xfId="2" applyNumberFormat="1" applyFont="1" applyBorder="1"/>
    <xf numFmtId="0" fontId="0" fillId="0" borderId="12" xfId="0" applyBorder="1"/>
    <xf numFmtId="167" fontId="0" fillId="13" borderId="12" xfId="2" applyNumberFormat="1" applyFont="1" applyFill="1" applyBorder="1"/>
    <xf numFmtId="167" fontId="0" fillId="0" borderId="11" xfId="2" applyNumberFormat="1" applyFont="1" applyBorder="1"/>
    <xf numFmtId="167" fontId="0" fillId="0" borderId="0" xfId="0" applyNumberFormat="1"/>
    <xf numFmtId="167" fontId="0" fillId="0" borderId="0" xfId="2" applyNumberFormat="1" applyFont="1"/>
    <xf numFmtId="0" fontId="0" fillId="0" borderId="11" xfId="0" applyBorder="1"/>
    <xf numFmtId="10" fontId="0" fillId="0" borderId="14" xfId="0" applyNumberFormat="1" applyBorder="1"/>
    <xf numFmtId="44" fontId="0" fillId="0" borderId="0" xfId="0" applyNumberFormat="1" applyBorder="1"/>
    <xf numFmtId="0" fontId="25" fillId="0" borderId="0" xfId="6" applyFont="1" applyFill="1" applyBorder="1" applyAlignment="1"/>
    <xf numFmtId="0" fontId="25" fillId="0" borderId="0" xfId="6" applyFont="1" applyFill="1" applyBorder="1" applyAlignment="1">
      <alignment horizontal="left"/>
    </xf>
    <xf numFmtId="2" fontId="25" fillId="0" borderId="0" xfId="6" applyNumberFormat="1" applyFont="1" applyFill="1" applyBorder="1" applyAlignment="1"/>
    <xf numFmtId="4" fontId="25" fillId="0" borderId="0" xfId="6" applyNumberFormat="1" applyFont="1" applyFill="1" applyBorder="1" applyAlignment="1"/>
    <xf numFmtId="10" fontId="26" fillId="0" borderId="0" xfId="6" applyNumberFormat="1" applyFont="1" applyFill="1" applyAlignment="1">
      <alignment horizontal="left"/>
    </xf>
    <xf numFmtId="0" fontId="26" fillId="0" borderId="0" xfId="6" applyFont="1" applyFill="1" applyAlignment="1">
      <alignment horizontal="left"/>
    </xf>
    <xf numFmtId="0" fontId="25" fillId="0" borderId="0" xfId="6" applyFont="1" applyFill="1" applyAlignment="1">
      <alignment horizontal="left"/>
    </xf>
    <xf numFmtId="0" fontId="21" fillId="0" borderId="0" xfId="6"/>
    <xf numFmtId="0" fontId="21" fillId="0" borderId="0" xfId="6" applyFont="1" applyFill="1" applyAlignment="1">
      <alignment horizontal="left" wrapText="1"/>
    </xf>
    <xf numFmtId="44" fontId="0" fillId="0" borderId="0" xfId="8" applyFont="1" applyFill="1" applyAlignment="1">
      <alignment horizontal="left"/>
    </xf>
    <xf numFmtId="4" fontId="25" fillId="0" borderId="0" xfId="6" applyNumberFormat="1" applyFont="1" applyFill="1" applyAlignment="1">
      <alignment horizontal="center"/>
    </xf>
    <xf numFmtId="0" fontId="21" fillId="0" borderId="0" xfId="6" applyFill="1"/>
    <xf numFmtId="0" fontId="21" fillId="0" borderId="0" xfId="6" applyFill="1" applyAlignment="1">
      <alignment horizontal="left" wrapText="1"/>
    </xf>
    <xf numFmtId="0" fontId="25" fillId="0" borderId="0" xfId="6" applyFont="1" applyFill="1" applyAlignment="1">
      <alignment horizontal="center" wrapText="1"/>
    </xf>
    <xf numFmtId="2" fontId="25" fillId="0" borderId="0" xfId="6" applyNumberFormat="1" applyFont="1" applyFill="1" applyAlignment="1">
      <alignment horizontal="center" wrapText="1"/>
    </xf>
    <xf numFmtId="4" fontId="25" fillId="13" borderId="0" xfId="6" applyNumberFormat="1" applyFont="1" applyFill="1" applyAlignment="1">
      <alignment horizontal="center" wrapText="1"/>
    </xf>
    <xf numFmtId="0" fontId="21" fillId="0" borderId="0" xfId="6" applyFill="1" applyAlignment="1">
      <alignment wrapText="1"/>
    </xf>
    <xf numFmtId="0" fontId="21" fillId="0" borderId="0" xfId="6" applyFill="1" applyAlignment="1">
      <alignment horizontal="center" vertical="center" wrapText="1"/>
    </xf>
    <xf numFmtId="4" fontId="21" fillId="0" borderId="0" xfId="6" applyNumberFormat="1" applyFill="1" applyAlignment="1">
      <alignment horizontal="center" vertical="center" wrapText="1"/>
    </xf>
    <xf numFmtId="2" fontId="21" fillId="0" borderId="0" xfId="6" applyNumberFormat="1" applyFill="1" applyAlignment="1">
      <alignment horizontal="center" vertical="center" wrapText="1"/>
    </xf>
    <xf numFmtId="2" fontId="21" fillId="13" borderId="0" xfId="6" applyNumberFormat="1" applyFill="1" applyAlignment="1">
      <alignment horizontal="center" vertical="center" wrapText="1"/>
    </xf>
    <xf numFmtId="44" fontId="0" fillId="0" borderId="0" xfId="8" applyFont="1" applyFill="1"/>
    <xf numFmtId="0" fontId="21" fillId="0" borderId="0" xfId="6" applyFill="1" applyAlignment="1">
      <alignment horizontal="center"/>
    </xf>
    <xf numFmtId="44" fontId="21" fillId="0" borderId="0" xfId="8" applyFont="1" applyFill="1"/>
    <xf numFmtId="44" fontId="21" fillId="13" borderId="0" xfId="6" applyNumberFormat="1" applyFill="1"/>
    <xf numFmtId="2" fontId="21" fillId="0" borderId="0" xfId="6" applyNumberFormat="1" applyFill="1"/>
    <xf numFmtId="4" fontId="21" fillId="0" borderId="0" xfId="6" applyNumberFormat="1" applyFill="1"/>
    <xf numFmtId="0" fontId="21" fillId="0" borderId="0" xfId="6" applyFill="1" applyAlignment="1">
      <alignment horizontal="left"/>
    </xf>
    <xf numFmtId="44" fontId="21" fillId="0" borderId="0" xfId="2" applyFont="1" applyFill="1"/>
    <xf numFmtId="44" fontId="21" fillId="0" borderId="0" xfId="6" applyNumberFormat="1" applyFill="1"/>
    <xf numFmtId="0" fontId="27" fillId="0" borderId="0" xfId="6" applyFont="1" applyFill="1" applyAlignment="1">
      <alignment horizontal="center"/>
    </xf>
    <xf numFmtId="0" fontId="28" fillId="16" borderId="20" xfId="0" applyFont="1" applyFill="1" applyBorder="1" applyAlignment="1">
      <alignment horizontal="center"/>
    </xf>
    <xf numFmtId="0" fontId="28" fillId="16" borderId="21" xfId="0" applyFont="1" applyFill="1" applyBorder="1" applyAlignment="1">
      <alignment horizontal="center"/>
    </xf>
    <xf numFmtId="0" fontId="28" fillId="16" borderId="22" xfId="0" applyFont="1" applyFill="1" applyBorder="1" applyAlignment="1">
      <alignment horizontal="center"/>
    </xf>
    <xf numFmtId="0" fontId="28" fillId="16" borderId="20" xfId="0" applyFont="1" applyFill="1" applyBorder="1" applyAlignment="1">
      <alignment horizontal="center" vertical="center"/>
    </xf>
    <xf numFmtId="0" fontId="28" fillId="16" borderId="21" xfId="0" applyFont="1" applyFill="1" applyBorder="1" applyAlignment="1">
      <alignment horizontal="center" vertical="center"/>
    </xf>
    <xf numFmtId="0" fontId="28" fillId="16" borderId="22" xfId="0" applyFont="1" applyFill="1" applyBorder="1" applyAlignment="1">
      <alignment horizontal="center" vertical="center"/>
    </xf>
    <xf numFmtId="168" fontId="29" fillId="0" borderId="25" xfId="0" applyNumberFormat="1" applyFont="1" applyBorder="1" applyAlignment="1">
      <alignment horizontal="center" vertical="center"/>
    </xf>
    <xf numFmtId="168" fontId="29" fillId="0" borderId="26" xfId="0" applyNumberFormat="1" applyFont="1" applyBorder="1" applyAlignment="1">
      <alignment horizontal="center" vertical="center"/>
    </xf>
    <xf numFmtId="0" fontId="28" fillId="17" borderId="27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right"/>
    </xf>
    <xf numFmtId="0" fontId="30" fillId="0" borderId="0" xfId="0" applyFont="1" applyFill="1"/>
    <xf numFmtId="37" fontId="20" fillId="0" borderId="18" xfId="0" applyNumberFormat="1" applyFont="1" applyBorder="1"/>
    <xf numFmtId="168" fontId="31" fillId="0" borderId="28" xfId="0" applyNumberFormat="1" applyFont="1" applyBorder="1" applyAlignment="1"/>
    <xf numFmtId="168" fontId="31" fillId="0" borderId="29" xfId="0" applyNumberFormat="1" applyFont="1" applyBorder="1" applyAlignment="1"/>
    <xf numFmtId="168" fontId="31" fillId="0" borderId="29" xfId="0" applyNumberFormat="1" applyFont="1" applyFill="1" applyBorder="1" applyAlignment="1">
      <alignment horizontal="right"/>
    </xf>
    <xf numFmtId="49" fontId="30" fillId="0" borderId="30" xfId="0" applyNumberFormat="1" applyFont="1" applyBorder="1" applyAlignment="1"/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2" fontId="21" fillId="0" borderId="28" xfId="6" applyNumberFormat="1" applyFill="1" applyBorder="1"/>
    <xf numFmtId="168" fontId="28" fillId="0" borderId="29" xfId="0" applyNumberFormat="1" applyFont="1" applyBorder="1" applyAlignment="1">
      <alignment horizontal="center"/>
    </xf>
    <xf numFmtId="49" fontId="28" fillId="0" borderId="29" xfId="0" quotePrefix="1" applyNumberFormat="1" applyFont="1" applyBorder="1" applyAlignment="1">
      <alignment horizontal="right"/>
    </xf>
    <xf numFmtId="49" fontId="30" fillId="0" borderId="32" xfId="0" applyNumberFormat="1" applyFont="1" applyBorder="1" applyAlignment="1"/>
    <xf numFmtId="168" fontId="30" fillId="0" borderId="16" xfId="0" applyNumberFormat="1" applyFont="1" applyBorder="1" applyAlignment="1">
      <alignment horizontal="left"/>
    </xf>
    <xf numFmtId="6" fontId="30" fillId="0" borderId="0" xfId="0" applyNumberFormat="1" applyFont="1" applyBorder="1"/>
    <xf numFmtId="39" fontId="30" fillId="0" borderId="0" xfId="0" applyNumberFormat="1" applyFont="1" applyBorder="1"/>
    <xf numFmtId="6" fontId="30" fillId="0" borderId="18" xfId="0" applyNumberFormat="1" applyFont="1" applyBorder="1"/>
    <xf numFmtId="2" fontId="31" fillId="0" borderId="26" xfId="0" applyNumberFormat="1" applyFont="1" applyBorder="1" applyAlignment="1">
      <alignment horizontal="right"/>
    </xf>
    <xf numFmtId="0" fontId="30" fillId="0" borderId="16" xfId="0" applyFont="1" applyBorder="1"/>
    <xf numFmtId="37" fontId="30" fillId="0" borderId="0" xfId="0" applyNumberFormat="1" applyFont="1" applyBorder="1"/>
    <xf numFmtId="39" fontId="20" fillId="0" borderId="0" xfId="0" applyNumberFormat="1" applyFont="1" applyBorder="1"/>
    <xf numFmtId="37" fontId="30" fillId="0" borderId="18" xfId="0" applyNumberFormat="1" applyFont="1" applyBorder="1"/>
    <xf numFmtId="0" fontId="29" fillId="0" borderId="33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30" fillId="0" borderId="19" xfId="0" applyFont="1" applyBorder="1" applyAlignment="1">
      <alignment horizontal="left"/>
    </xf>
    <xf numFmtId="0" fontId="30" fillId="0" borderId="34" xfId="0" applyFont="1" applyBorder="1"/>
    <xf numFmtId="10" fontId="30" fillId="0" borderId="35" xfId="0" applyNumberFormat="1" applyFont="1" applyBorder="1"/>
    <xf numFmtId="37" fontId="30" fillId="0" borderId="35" xfId="0" applyNumberFormat="1" applyFont="1" applyBorder="1"/>
    <xf numFmtId="6" fontId="30" fillId="0" borderId="36" xfId="0" applyNumberFormat="1" applyFont="1" applyBorder="1"/>
    <xf numFmtId="0" fontId="31" fillId="0" borderId="16" xfId="0" applyFont="1" applyBorder="1" applyAlignment="1"/>
    <xf numFmtId="0" fontId="31" fillId="0" borderId="0" xfId="0" applyFont="1" applyBorder="1" applyAlignment="1"/>
    <xf numFmtId="167" fontId="31" fillId="0" borderId="0" xfId="0" applyNumberFormat="1" applyFont="1" applyFill="1" applyBorder="1" applyAlignment="1">
      <alignment horizontal="right" vertical="center"/>
    </xf>
    <xf numFmtId="49" fontId="30" fillId="0" borderId="19" xfId="0" applyNumberFormat="1" applyFont="1" applyBorder="1" applyAlignment="1"/>
    <xf numFmtId="0" fontId="20" fillId="0" borderId="34" xfId="0" applyFont="1" applyBorder="1"/>
    <xf numFmtId="37" fontId="20" fillId="0" borderId="35" xfId="0" applyNumberFormat="1" applyFont="1" applyBorder="1"/>
    <xf numFmtId="6" fontId="20" fillId="0" borderId="36" xfId="0" applyNumberFormat="1" applyFont="1" applyBorder="1"/>
    <xf numFmtId="0" fontId="31" fillId="0" borderId="16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0" fontId="31" fillId="0" borderId="0" xfId="0" applyNumberFormat="1" applyFont="1" applyFill="1" applyBorder="1" applyAlignment="1">
      <alignment horizontal="right" vertical="center"/>
    </xf>
    <xf numFmtId="10" fontId="30" fillId="0" borderId="0" xfId="3" applyNumberFormat="1" applyFont="1" applyBorder="1"/>
    <xf numFmtId="0" fontId="28" fillId="0" borderId="16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10" fontId="32" fillId="0" borderId="0" xfId="0" applyNumberFormat="1" applyFont="1" applyFill="1" applyBorder="1" applyAlignment="1">
      <alignment horizontal="right" vertical="center"/>
    </xf>
    <xf numFmtId="49" fontId="30" fillId="0" borderId="19" xfId="0" applyNumberFormat="1" applyFont="1" applyFill="1" applyBorder="1" applyAlignment="1"/>
    <xf numFmtId="0" fontId="20" fillId="0" borderId="28" xfId="0" applyFont="1" applyBorder="1"/>
    <xf numFmtId="37" fontId="20" fillId="0" borderId="29" xfId="0" applyNumberFormat="1" applyFont="1" applyBorder="1"/>
    <xf numFmtId="6" fontId="20" fillId="0" borderId="31" xfId="0" applyNumberFormat="1" applyFont="1" applyBorder="1"/>
    <xf numFmtId="0" fontId="30" fillId="0" borderId="16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2" fontId="33" fillId="0" borderId="16" xfId="0" applyNumberFormat="1" applyFont="1" applyBorder="1"/>
    <xf numFmtId="10" fontId="33" fillId="0" borderId="0" xfId="3" applyNumberFormat="1" applyFont="1" applyBorder="1"/>
    <xf numFmtId="37" fontId="33" fillId="0" borderId="0" xfId="0" applyNumberFormat="1" applyFont="1" applyBorder="1"/>
    <xf numFmtId="167" fontId="33" fillId="0" borderId="18" xfId="2" applyNumberFormat="1" applyFont="1" applyBorder="1"/>
    <xf numFmtId="2" fontId="33" fillId="0" borderId="11" xfId="6" applyNumberFormat="1" applyFont="1" applyFill="1" applyBorder="1" applyAlignment="1">
      <alignment horizontal="center"/>
    </xf>
    <xf numFmtId="2" fontId="33" fillId="0" borderId="12" xfId="6" applyNumberFormat="1" applyFont="1" applyFill="1" applyBorder="1" applyAlignment="1">
      <alignment horizontal="center"/>
    </xf>
    <xf numFmtId="10" fontId="33" fillId="0" borderId="12" xfId="3" applyNumberFormat="1" applyFont="1" applyFill="1" applyBorder="1"/>
    <xf numFmtId="0" fontId="33" fillId="0" borderId="15" xfId="6" applyFont="1" applyFill="1" applyBorder="1"/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10" fontId="34" fillId="0" borderId="21" xfId="9" applyNumberFormat="1" applyFont="1" applyFill="1" applyBorder="1" applyAlignment="1">
      <alignment horizontal="right"/>
    </xf>
    <xf numFmtId="0" fontId="30" fillId="0" borderId="23" xfId="0" applyFont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10" fontId="35" fillId="0" borderId="0" xfId="9" applyNumberFormat="1" applyFont="1" applyFill="1" applyBorder="1" applyAlignment="1">
      <alignment horizontal="right"/>
    </xf>
    <xf numFmtId="0" fontId="30" fillId="0" borderId="0" xfId="0" applyFont="1" applyFill="1" applyBorder="1" applyAlignment="1">
      <alignment horizontal="left"/>
    </xf>
    <xf numFmtId="2" fontId="30" fillId="0" borderId="0" xfId="0" applyNumberFormat="1" applyFont="1" applyBorder="1"/>
    <xf numFmtId="0" fontId="30" fillId="0" borderId="0" xfId="0" applyFont="1" applyBorder="1"/>
    <xf numFmtId="0" fontId="30" fillId="0" borderId="18" xfId="0" applyFont="1" applyBorder="1"/>
    <xf numFmtId="0" fontId="20" fillId="0" borderId="16" xfId="0" applyFont="1" applyBorder="1"/>
    <xf numFmtId="10" fontId="20" fillId="0" borderId="0" xfId="3" applyNumberFormat="1" applyFont="1" applyBorder="1"/>
    <xf numFmtId="0" fontId="20" fillId="0" borderId="0" xfId="0" applyFont="1" applyBorder="1"/>
    <xf numFmtId="6" fontId="20" fillId="0" borderId="18" xfId="0" applyNumberFormat="1" applyFont="1" applyBorder="1"/>
    <xf numFmtId="0" fontId="20" fillId="0" borderId="18" xfId="0" applyFont="1" applyBorder="1" applyAlignment="1">
      <alignment horizontal="right"/>
    </xf>
    <xf numFmtId="2" fontId="36" fillId="0" borderId="0" xfId="6" applyNumberFormat="1" applyFont="1" applyFill="1"/>
    <xf numFmtId="0" fontId="20" fillId="0" borderId="37" xfId="0" applyFont="1" applyBorder="1"/>
    <xf numFmtId="0" fontId="20" fillId="0" borderId="13" xfId="0" applyFont="1" applyBorder="1"/>
    <xf numFmtId="39" fontId="20" fillId="0" borderId="13" xfId="0" applyNumberFormat="1" applyFont="1" applyBorder="1"/>
    <xf numFmtId="7" fontId="20" fillId="13" borderId="38" xfId="0" applyNumberFormat="1" applyFont="1" applyFill="1" applyBorder="1"/>
    <xf numFmtId="0" fontId="20" fillId="0" borderId="11" xfId="0" applyFont="1" applyBorder="1"/>
    <xf numFmtId="0" fontId="20" fillId="0" borderId="12" xfId="0" applyFont="1" applyBorder="1"/>
    <xf numFmtId="39" fontId="20" fillId="0" borderId="12" xfId="0" applyNumberFormat="1" applyFont="1" applyBorder="1"/>
    <xf numFmtId="7" fontId="20" fillId="12" borderId="15" xfId="0" applyNumberFormat="1" applyFont="1" applyFill="1" applyBorder="1"/>
    <xf numFmtId="2" fontId="37" fillId="0" borderId="0" xfId="6" applyNumberFormat="1" applyFont="1" applyFill="1"/>
    <xf numFmtId="0" fontId="31" fillId="0" borderId="20" xfId="6" applyFont="1" applyFill="1" applyBorder="1"/>
    <xf numFmtId="0" fontId="31" fillId="0" borderId="21" xfId="6" applyFont="1" applyFill="1" applyBorder="1" applyAlignment="1">
      <alignment horizontal="center" wrapText="1"/>
    </xf>
    <xf numFmtId="0" fontId="31" fillId="0" borderId="22" xfId="6" applyFont="1" applyFill="1" applyBorder="1" applyAlignment="1">
      <alignment horizontal="center" wrapText="1"/>
    </xf>
    <xf numFmtId="0" fontId="31" fillId="0" borderId="16" xfId="6" applyFont="1" applyFill="1" applyBorder="1"/>
    <xf numFmtId="44" fontId="31" fillId="0" borderId="0" xfId="2" applyFont="1" applyFill="1" applyBorder="1" applyAlignment="1">
      <alignment horizontal="center"/>
    </xf>
    <xf numFmtId="7" fontId="31" fillId="0" borderId="0" xfId="6" applyNumberFormat="1" applyFont="1" applyFill="1" applyBorder="1" applyAlignment="1">
      <alignment horizontal="center"/>
    </xf>
    <xf numFmtId="10" fontId="38" fillId="12" borderId="18" xfId="3" applyNumberFormat="1" applyFont="1" applyFill="1" applyBorder="1"/>
    <xf numFmtId="0" fontId="31" fillId="0" borderId="11" xfId="6" applyFont="1" applyFill="1" applyBorder="1"/>
    <xf numFmtId="44" fontId="31" fillId="0" borderId="12" xfId="2" applyFont="1" applyFill="1" applyBorder="1" applyAlignment="1">
      <alignment horizontal="center"/>
    </xf>
    <xf numFmtId="7" fontId="31" fillId="0" borderId="12" xfId="6" applyNumberFormat="1" applyFont="1" applyFill="1" applyBorder="1" applyAlignment="1">
      <alignment horizontal="center"/>
    </xf>
    <xf numFmtId="10" fontId="38" fillId="12" borderId="14" xfId="3" applyNumberFormat="1" applyFont="1" applyFill="1" applyBorder="1"/>
    <xf numFmtId="10" fontId="21" fillId="0" borderId="0" xfId="6" applyNumberFormat="1" applyFill="1"/>
    <xf numFmtId="0" fontId="28" fillId="16" borderId="39" xfId="0" applyFont="1" applyFill="1" applyBorder="1" applyAlignment="1">
      <alignment horizontal="center" vertical="center"/>
    </xf>
    <xf numFmtId="0" fontId="28" fillId="16" borderId="40" xfId="0" applyFont="1" applyFill="1" applyBorder="1" applyAlignment="1">
      <alignment horizontal="center" wrapText="1"/>
    </xf>
    <xf numFmtId="3" fontId="20" fillId="0" borderId="41" xfId="0" applyNumberFormat="1" applyFont="1" applyBorder="1" applyAlignment="1">
      <alignment wrapText="1"/>
    </xf>
    <xf numFmtId="3" fontId="20" fillId="0" borderId="21" xfId="0" applyNumberFormat="1" applyFont="1" applyBorder="1" applyAlignment="1">
      <alignment horizontal="center" wrapText="1"/>
    </xf>
    <xf numFmtId="3" fontId="20" fillId="0" borderId="42" xfId="0" applyNumberFormat="1" applyFont="1" applyBorder="1" applyAlignment="1">
      <alignment horizontal="center" wrapText="1"/>
    </xf>
    <xf numFmtId="3" fontId="20" fillId="0" borderId="40" xfId="0" applyNumberFormat="1" applyFont="1" applyBorder="1"/>
    <xf numFmtId="0" fontId="30" fillId="0" borderId="43" xfId="0" applyFont="1" applyBorder="1" applyAlignment="1">
      <alignment wrapText="1"/>
    </xf>
    <xf numFmtId="1" fontId="30" fillId="0" borderId="26" xfId="0" applyNumberFormat="1" applyFont="1" applyBorder="1" applyAlignment="1">
      <alignment horizontal="right" wrapText="1"/>
    </xf>
    <xf numFmtId="169" fontId="30" fillId="0" borderId="44" xfId="0" applyNumberFormat="1" applyFont="1" applyBorder="1" applyAlignment="1">
      <alignment horizontal="right" wrapText="1"/>
    </xf>
    <xf numFmtId="3" fontId="30" fillId="17" borderId="45" xfId="0" applyNumberFormat="1" applyFont="1" applyFill="1" applyBorder="1"/>
    <xf numFmtId="0" fontId="30" fillId="0" borderId="46" xfId="0" applyFont="1" applyBorder="1" applyAlignment="1">
      <alignment vertical="center" wrapText="1"/>
    </xf>
    <xf numFmtId="169" fontId="30" fillId="0" borderId="47" xfId="0" applyNumberFormat="1" applyFont="1" applyBorder="1" applyAlignment="1">
      <alignment horizontal="right" vertical="center" wrapText="1"/>
    </xf>
    <xf numFmtId="0" fontId="30" fillId="0" borderId="46" xfId="0" applyFont="1" applyBorder="1" applyAlignment="1">
      <alignment wrapText="1"/>
    </xf>
    <xf numFmtId="2" fontId="30" fillId="0" borderId="47" xfId="0" applyNumberFormat="1" applyFont="1" applyBorder="1" applyAlignment="1">
      <alignment horizontal="right" wrapText="1"/>
    </xf>
    <xf numFmtId="0" fontId="20" fillId="0" borderId="41" xfId="0" applyFont="1" applyBorder="1" applyAlignment="1">
      <alignment wrapText="1"/>
    </xf>
    <xf numFmtId="0" fontId="20" fillId="0" borderId="21" xfId="0" applyFont="1" applyBorder="1" applyAlignment="1">
      <alignment horizontal="right" wrapText="1"/>
    </xf>
    <xf numFmtId="0" fontId="20" fillId="0" borderId="42" xfId="0" applyFont="1" applyBorder="1" applyAlignment="1">
      <alignment horizontal="right" wrapText="1"/>
    </xf>
    <xf numFmtId="0" fontId="20" fillId="0" borderId="43" xfId="0" applyFont="1" applyBorder="1" applyAlignment="1">
      <alignment wrapText="1"/>
    </xf>
    <xf numFmtId="0" fontId="20" fillId="0" borderId="26" xfId="0" applyFont="1" applyBorder="1" applyAlignment="1">
      <alignment horizontal="right" wrapText="1"/>
    </xf>
    <xf numFmtId="0" fontId="20" fillId="0" borderId="48" xfId="0" applyFont="1" applyBorder="1" applyAlignment="1">
      <alignment horizontal="right" wrapText="1"/>
    </xf>
    <xf numFmtId="3" fontId="20" fillId="0" borderId="45" xfId="0" applyNumberFormat="1" applyFont="1" applyBorder="1"/>
    <xf numFmtId="0" fontId="22" fillId="0" borderId="0" xfId="0" applyFont="1"/>
    <xf numFmtId="166" fontId="22" fillId="0" borderId="0" xfId="0" applyNumberFormat="1" applyFont="1"/>
    <xf numFmtId="166" fontId="22" fillId="0" borderId="0" xfId="0" applyNumberFormat="1" applyFont="1" applyFill="1"/>
    <xf numFmtId="170" fontId="22" fillId="0" borderId="0" xfId="3" applyNumberFormat="1" applyFont="1"/>
    <xf numFmtId="0" fontId="39" fillId="0" borderId="0" xfId="0" applyFont="1" applyAlignment="1">
      <alignment horizontal="center" vertical="center"/>
    </xf>
    <xf numFmtId="0" fontId="13" fillId="14" borderId="6" xfId="0" applyFont="1" applyFill="1" applyBorder="1" applyAlignment="1">
      <alignment horizontal="center" wrapText="1"/>
    </xf>
    <xf numFmtId="0" fontId="13" fillId="14" borderId="8" xfId="0" applyFont="1" applyFill="1" applyBorder="1" applyAlignment="1">
      <alignment horizontal="center" wrapText="1"/>
    </xf>
    <xf numFmtId="0" fontId="13" fillId="14" borderId="9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168" fontId="13" fillId="18" borderId="20" xfId="0" applyNumberFormat="1" applyFont="1" applyFill="1" applyBorder="1" applyAlignment="1">
      <alignment horizontal="center" vertical="center"/>
    </xf>
    <xf numFmtId="168" fontId="13" fillId="18" borderId="21" xfId="0" applyNumberFormat="1" applyFont="1" applyFill="1" applyBorder="1" applyAlignment="1">
      <alignment horizontal="center" vertical="center"/>
    </xf>
    <xf numFmtId="168" fontId="13" fillId="18" borderId="22" xfId="0" applyNumberFormat="1" applyFont="1" applyFill="1" applyBorder="1" applyAlignment="1">
      <alignment horizontal="center" vertical="center"/>
    </xf>
    <xf numFmtId="0" fontId="31" fillId="0" borderId="0" xfId="0" applyFont="1"/>
    <xf numFmtId="0" fontId="13" fillId="0" borderId="16" xfId="0" applyFont="1" applyBorder="1"/>
    <xf numFmtId="0" fontId="13" fillId="0" borderId="0" xfId="0" applyFont="1" applyBorder="1" applyAlignment="1">
      <alignment horizontal="center" wrapText="1"/>
    </xf>
    <xf numFmtId="168" fontId="13" fillId="0" borderId="0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66" fontId="13" fillId="0" borderId="18" xfId="0" applyNumberFormat="1" applyFont="1" applyBorder="1" applyAlignment="1">
      <alignment horizontal="center"/>
    </xf>
    <xf numFmtId="166" fontId="13" fillId="0" borderId="0" xfId="0" applyNumberFormat="1" applyFont="1" applyFill="1" applyBorder="1" applyAlignment="1">
      <alignment horizontal="center"/>
    </xf>
    <xf numFmtId="0" fontId="13" fillId="17" borderId="20" xfId="0" applyFont="1" applyFill="1" applyBorder="1" applyAlignment="1">
      <alignment horizontal="center" vertical="center"/>
    </xf>
    <xf numFmtId="0" fontId="13" fillId="17" borderId="21" xfId="0" applyFont="1" applyFill="1" applyBorder="1" applyAlignment="1">
      <alignment horizontal="center" vertical="center"/>
    </xf>
    <xf numFmtId="168" fontId="13" fillId="17" borderId="39" xfId="0" applyNumberFormat="1" applyFont="1" applyFill="1" applyBorder="1" applyAlignment="1">
      <alignment horizontal="center" vertical="center"/>
    </xf>
    <xf numFmtId="3" fontId="13" fillId="0" borderId="49" xfId="0" applyNumberFormat="1" applyFont="1" applyFill="1" applyBorder="1" applyAlignment="1">
      <alignment horizontal="center" vertical="center"/>
    </xf>
    <xf numFmtId="3" fontId="13" fillId="0" borderId="21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168" fontId="22" fillId="0" borderId="16" xfId="0" applyNumberFormat="1" applyFont="1" applyBorder="1"/>
    <xf numFmtId="168" fontId="22" fillId="0" borderId="0" xfId="0" applyNumberFormat="1" applyFont="1" applyBorder="1"/>
    <xf numFmtId="2" fontId="22" fillId="0" borderId="0" xfId="0" applyNumberFormat="1" applyFont="1" applyFill="1" applyBorder="1" applyAlignment="1">
      <alignment horizontal="center"/>
    </xf>
    <xf numFmtId="166" fontId="22" fillId="0" borderId="18" xfId="0" applyNumberFormat="1" applyFont="1" applyBorder="1"/>
    <xf numFmtId="166" fontId="22" fillId="0" borderId="0" xfId="0" applyNumberFormat="1" applyFont="1" applyFill="1" applyBorder="1"/>
    <xf numFmtId="168" fontId="22" fillId="0" borderId="25" xfId="0" applyNumberFormat="1" applyFont="1" applyFill="1" applyBorder="1"/>
    <xf numFmtId="168" fontId="22" fillId="0" borderId="26" xfId="0" applyNumberFormat="1" applyFont="1" applyFill="1" applyBorder="1"/>
    <xf numFmtId="167" fontId="13" fillId="0" borderId="50" xfId="2" applyNumberFormat="1" applyFont="1" applyFill="1" applyBorder="1" applyAlignment="1">
      <alignment horizontal="center"/>
    </xf>
    <xf numFmtId="0" fontId="22" fillId="0" borderId="0" xfId="0" applyFont="1" applyFill="1" applyBorder="1"/>
    <xf numFmtId="168" fontId="22" fillId="0" borderId="26" xfId="0" applyNumberFormat="1" applyFont="1" applyFill="1" applyBorder="1" applyAlignment="1">
      <alignment horizontal="left"/>
    </xf>
    <xf numFmtId="168" fontId="22" fillId="0" borderId="51" xfId="0" applyNumberFormat="1" applyFont="1" applyFill="1" applyBorder="1" applyAlignment="1">
      <alignment horizontal="left"/>
    </xf>
    <xf numFmtId="169" fontId="22" fillId="0" borderId="16" xfId="0" applyNumberFormat="1" applyFont="1" applyBorder="1"/>
    <xf numFmtId="169" fontId="22" fillId="0" borderId="0" xfId="0" applyNumberFormat="1" applyFont="1" applyBorder="1"/>
    <xf numFmtId="168" fontId="22" fillId="0" borderId="33" xfId="0" applyNumberFormat="1" applyFont="1" applyFill="1" applyBorder="1"/>
    <xf numFmtId="168" fontId="22" fillId="0" borderId="17" xfId="0" applyNumberFormat="1" applyFont="1" applyFill="1" applyBorder="1"/>
    <xf numFmtId="167" fontId="13" fillId="0" borderId="52" xfId="2" applyNumberFormat="1" applyFont="1" applyFill="1" applyBorder="1" applyAlignment="1">
      <alignment horizontal="center"/>
    </xf>
    <xf numFmtId="168" fontId="22" fillId="0" borderId="53" xfId="0" applyNumberFormat="1" applyFont="1" applyFill="1" applyBorder="1" applyAlignment="1">
      <alignment horizontal="left"/>
    </xf>
    <xf numFmtId="168" fontId="22" fillId="0" borderId="17" xfId="0" applyNumberFormat="1" applyFont="1" applyFill="1" applyBorder="1" applyAlignment="1">
      <alignment horizontal="left"/>
    </xf>
    <xf numFmtId="168" fontId="22" fillId="0" borderId="54" xfId="0" applyNumberFormat="1" applyFont="1" applyFill="1" applyBorder="1" applyAlignment="1">
      <alignment horizontal="left"/>
    </xf>
    <xf numFmtId="0" fontId="22" fillId="0" borderId="0" xfId="0" applyFont="1" applyFill="1"/>
    <xf numFmtId="0" fontId="22" fillId="0" borderId="6" xfId="0" applyFont="1" applyFill="1" applyBorder="1"/>
    <xf numFmtId="0" fontId="22" fillId="0" borderId="8" xfId="0" applyFont="1" applyFill="1" applyBorder="1"/>
    <xf numFmtId="167" fontId="13" fillId="0" borderId="8" xfId="2" applyNumberFormat="1" applyFont="1" applyFill="1" applyBorder="1" applyAlignment="1">
      <alignment horizontal="center"/>
    </xf>
    <xf numFmtId="0" fontId="22" fillId="0" borderId="55" xfId="0" applyFont="1" applyFill="1" applyBorder="1"/>
    <xf numFmtId="0" fontId="22" fillId="0" borderId="9" xfId="0" applyFont="1" applyFill="1" applyBorder="1"/>
    <xf numFmtId="0" fontId="13" fillId="0" borderId="56" xfId="0" applyFont="1" applyBorder="1"/>
    <xf numFmtId="0" fontId="13" fillId="0" borderId="57" xfId="0" applyFont="1" applyBorder="1"/>
    <xf numFmtId="168" fontId="13" fillId="0" borderId="57" xfId="0" applyNumberFormat="1" applyFont="1" applyBorder="1"/>
    <xf numFmtId="2" fontId="13" fillId="0" borderId="57" xfId="0" applyNumberFormat="1" applyFont="1" applyBorder="1" applyAlignment="1">
      <alignment horizontal="center"/>
    </xf>
    <xf numFmtId="166" fontId="13" fillId="0" borderId="58" xfId="0" applyNumberFormat="1" applyFont="1" applyBorder="1"/>
    <xf numFmtId="166" fontId="13" fillId="0" borderId="0" xfId="0" applyNumberFormat="1" applyFont="1" applyFill="1" applyBorder="1"/>
    <xf numFmtId="168" fontId="22" fillId="0" borderId="16" xfId="0" applyNumberFormat="1" applyFont="1" applyFill="1" applyBorder="1"/>
    <xf numFmtId="168" fontId="22" fillId="0" borderId="0" xfId="0" applyNumberFormat="1" applyFont="1" applyFill="1" applyBorder="1"/>
    <xf numFmtId="167" fontId="22" fillId="0" borderId="0" xfId="2" applyNumberFormat="1" applyFont="1" applyFill="1" applyBorder="1" applyAlignment="1">
      <alignment horizontal="center"/>
    </xf>
    <xf numFmtId="168" fontId="22" fillId="0" borderId="24" xfId="0" applyNumberFormat="1" applyFont="1" applyFill="1" applyBorder="1" applyAlignment="1">
      <alignment vertical="top" wrapText="1"/>
    </xf>
    <xf numFmtId="168" fontId="22" fillId="0" borderId="0" xfId="0" applyNumberFormat="1" applyFont="1" applyFill="1" applyBorder="1" applyAlignment="1">
      <alignment vertical="top" wrapText="1"/>
    </xf>
    <xf numFmtId="168" fontId="22" fillId="0" borderId="18" xfId="0" applyNumberFormat="1" applyFont="1" applyFill="1" applyBorder="1" applyAlignment="1">
      <alignment vertical="top" wrapText="1"/>
    </xf>
    <xf numFmtId="0" fontId="13" fillId="0" borderId="0" xfId="0" applyFont="1" applyBorder="1"/>
    <xf numFmtId="168" fontId="13" fillId="0" borderId="0" xfId="0" applyNumberFormat="1" applyFont="1" applyBorder="1"/>
    <xf numFmtId="2" fontId="13" fillId="0" borderId="0" xfId="0" applyNumberFormat="1" applyFont="1" applyBorder="1" applyAlignment="1">
      <alignment horizontal="center"/>
    </xf>
    <xf numFmtId="166" fontId="13" fillId="0" borderId="18" xfId="0" applyNumberFormat="1" applyFont="1" applyBorder="1"/>
    <xf numFmtId="2" fontId="13" fillId="0" borderId="0" xfId="0" applyNumberFormat="1" applyFont="1" applyBorder="1"/>
    <xf numFmtId="0" fontId="22" fillId="0" borderId="16" xfId="0" applyFont="1" applyFill="1" applyBorder="1"/>
    <xf numFmtId="168" fontId="22" fillId="0" borderId="24" xfId="0" applyNumberFormat="1" applyFont="1" applyFill="1" applyBorder="1" applyAlignment="1">
      <alignment horizontal="left" wrapText="1"/>
    </xf>
    <xf numFmtId="168" fontId="22" fillId="0" borderId="0" xfId="0" applyNumberFormat="1" applyFont="1" applyFill="1" applyBorder="1" applyAlignment="1">
      <alignment horizontal="left" wrapText="1"/>
    </xf>
    <xf numFmtId="168" fontId="22" fillId="0" borderId="18" xfId="0" applyNumberFormat="1" applyFont="1" applyFill="1" applyBorder="1" applyAlignment="1">
      <alignment horizontal="left" wrapText="1"/>
    </xf>
    <xf numFmtId="1" fontId="13" fillId="0" borderId="0" xfId="0" applyNumberFormat="1" applyFont="1" applyBorder="1"/>
    <xf numFmtId="10" fontId="22" fillId="0" borderId="0" xfId="0" applyNumberFormat="1" applyFont="1" applyFill="1" applyBorder="1"/>
    <xf numFmtId="10" fontId="22" fillId="0" borderId="0" xfId="0" applyNumberFormat="1" applyFont="1" applyBorder="1" applyAlignment="1"/>
    <xf numFmtId="1" fontId="22" fillId="0" borderId="0" xfId="0" applyNumberFormat="1" applyFont="1" applyBorder="1"/>
    <xf numFmtId="165" fontId="22" fillId="0" borderId="18" xfId="0" applyNumberFormat="1" applyFont="1" applyBorder="1"/>
    <xf numFmtId="0" fontId="22" fillId="0" borderId="56" xfId="0" applyFont="1" applyBorder="1"/>
    <xf numFmtId="9" fontId="13" fillId="0" borderId="57" xfId="0" applyNumberFormat="1" applyFont="1" applyBorder="1"/>
    <xf numFmtId="168" fontId="22" fillId="0" borderId="57" xfId="0" applyNumberFormat="1" applyFont="1" applyBorder="1"/>
    <xf numFmtId="2" fontId="22" fillId="0" borderId="57" xfId="0" applyNumberFormat="1" applyFont="1" applyFill="1" applyBorder="1"/>
    <xf numFmtId="0" fontId="22" fillId="0" borderId="16" xfId="0" applyFont="1" applyBorder="1"/>
    <xf numFmtId="0" fontId="22" fillId="0" borderId="0" xfId="0" applyFont="1" applyBorder="1"/>
    <xf numFmtId="10" fontId="22" fillId="0" borderId="0" xfId="3" applyNumberFormat="1" applyFont="1" applyBorder="1"/>
    <xf numFmtId="10" fontId="22" fillId="0" borderId="0" xfId="3" applyNumberFormat="1" applyFont="1" applyFill="1" applyBorder="1"/>
    <xf numFmtId="168" fontId="22" fillId="0" borderId="11" xfId="0" applyNumberFormat="1" applyFont="1" applyFill="1" applyBorder="1"/>
    <xf numFmtId="168" fontId="22" fillId="0" borderId="12" xfId="0" applyNumberFormat="1" applyFont="1" applyFill="1" applyBorder="1"/>
    <xf numFmtId="167" fontId="13" fillId="0" borderId="12" xfId="2" applyNumberFormat="1" applyFont="1" applyFill="1" applyBorder="1" applyAlignment="1">
      <alignment horizontal="center"/>
    </xf>
    <xf numFmtId="168" fontId="22" fillId="0" borderId="59" xfId="0" applyNumberFormat="1" applyFont="1" applyFill="1" applyBorder="1" applyAlignment="1">
      <alignment vertical="top" wrapText="1"/>
    </xf>
    <xf numFmtId="168" fontId="22" fillId="0" borderId="12" xfId="0" applyNumberFormat="1" applyFont="1" applyFill="1" applyBorder="1" applyAlignment="1">
      <alignment vertical="top" wrapText="1"/>
    </xf>
    <xf numFmtId="168" fontId="22" fillId="0" borderId="14" xfId="0" applyNumberFormat="1" applyFont="1" applyFill="1" applyBorder="1" applyAlignment="1">
      <alignment vertical="top" wrapText="1"/>
    </xf>
    <xf numFmtId="168" fontId="22" fillId="17" borderId="6" xfId="0" applyNumberFormat="1" applyFont="1" applyFill="1" applyBorder="1"/>
    <xf numFmtId="168" fontId="22" fillId="17" borderId="8" xfId="0" applyNumberFormat="1" applyFont="1" applyFill="1" applyBorder="1"/>
    <xf numFmtId="10" fontId="22" fillId="17" borderId="8" xfId="3" applyNumberFormat="1" applyFont="1" applyFill="1" applyBorder="1" applyAlignment="1">
      <alignment horizontal="center"/>
    </xf>
    <xf numFmtId="168" fontId="22" fillId="0" borderId="55" xfId="0" applyNumberFormat="1" applyFont="1" applyFill="1" applyBorder="1" applyAlignment="1">
      <alignment horizontal="left"/>
    </xf>
    <xf numFmtId="168" fontId="22" fillId="0" borderId="8" xfId="0" applyNumberFormat="1" applyFont="1" applyFill="1" applyBorder="1" applyAlignment="1">
      <alignment horizontal="left"/>
    </xf>
    <xf numFmtId="168" fontId="22" fillId="0" borderId="9" xfId="0" applyNumberFormat="1" applyFont="1" applyFill="1" applyBorder="1" applyAlignment="1">
      <alignment horizontal="left"/>
    </xf>
    <xf numFmtId="9" fontId="22" fillId="0" borderId="0" xfId="3" applyFont="1"/>
    <xf numFmtId="10" fontId="22" fillId="0" borderId="0" xfId="0" applyNumberFormat="1" applyFont="1" applyBorder="1"/>
    <xf numFmtId="2" fontId="22" fillId="0" borderId="0" xfId="0" applyNumberFormat="1" applyFont="1" applyFill="1" applyBorder="1" applyAlignment="1">
      <alignment wrapText="1"/>
    </xf>
    <xf numFmtId="168" fontId="22" fillId="17" borderId="16" xfId="0" applyNumberFormat="1" applyFont="1" applyFill="1" applyBorder="1"/>
    <xf numFmtId="168" fontId="22" fillId="17" borderId="0" xfId="0" applyNumberFormat="1" applyFont="1" applyFill="1" applyBorder="1"/>
    <xf numFmtId="10" fontId="22" fillId="17" borderId="0" xfId="3" applyNumberFormat="1" applyFont="1" applyFill="1" applyBorder="1" applyAlignment="1">
      <alignment horizontal="center"/>
    </xf>
    <xf numFmtId="168" fontId="22" fillId="0" borderId="24" xfId="0" applyNumberFormat="1" applyFont="1" applyFill="1" applyBorder="1" applyAlignment="1">
      <alignment horizontal="left"/>
    </xf>
    <xf numFmtId="168" fontId="22" fillId="0" borderId="0" xfId="0" applyNumberFormat="1" applyFont="1" applyFill="1" applyBorder="1" applyAlignment="1">
      <alignment horizontal="left"/>
    </xf>
    <xf numFmtId="168" fontId="22" fillId="0" borderId="18" xfId="0" applyNumberFormat="1" applyFont="1" applyFill="1" applyBorder="1" applyAlignment="1">
      <alignment horizontal="left"/>
    </xf>
    <xf numFmtId="168" fontId="22" fillId="0" borderId="25" xfId="0" applyNumberFormat="1" applyFont="1" applyBorder="1"/>
    <xf numFmtId="10" fontId="13" fillId="0" borderId="26" xfId="0" applyNumberFormat="1" applyFont="1" applyBorder="1"/>
    <xf numFmtId="168" fontId="22" fillId="0" borderId="26" xfId="0" applyNumberFormat="1" applyFont="1" applyBorder="1"/>
    <xf numFmtId="9" fontId="22" fillId="0" borderId="26" xfId="3" applyFont="1" applyFill="1" applyBorder="1"/>
    <xf numFmtId="166" fontId="22" fillId="0" borderId="51" xfId="0" applyNumberFormat="1" applyFont="1" applyBorder="1"/>
    <xf numFmtId="0" fontId="13" fillId="0" borderId="60" xfId="0" applyFont="1" applyBorder="1"/>
    <xf numFmtId="0" fontId="13" fillId="0" borderId="61" xfId="0" applyFont="1" applyBorder="1"/>
    <xf numFmtId="168" fontId="13" fillId="0" borderId="61" xfId="0" applyNumberFormat="1" applyFont="1" applyBorder="1"/>
    <xf numFmtId="2" fontId="13" fillId="0" borderId="61" xfId="0" applyNumberFormat="1" applyFont="1" applyBorder="1"/>
    <xf numFmtId="166" fontId="13" fillId="0" borderId="62" xfId="0" applyNumberFormat="1" applyFont="1" applyBorder="1"/>
    <xf numFmtId="10" fontId="13" fillId="0" borderId="0" xfId="0" applyNumberFormat="1" applyFont="1" applyBorder="1"/>
    <xf numFmtId="168" fontId="22" fillId="17" borderId="11" xfId="0" applyNumberFormat="1" applyFont="1" applyFill="1" applyBorder="1"/>
    <xf numFmtId="168" fontId="22" fillId="17" borderId="12" xfId="0" applyNumberFormat="1" applyFont="1" applyFill="1" applyBorder="1"/>
    <xf numFmtId="10" fontId="22" fillId="17" borderId="12" xfId="0" applyNumberFormat="1" applyFont="1" applyFill="1" applyBorder="1" applyAlignment="1">
      <alignment horizontal="center"/>
    </xf>
    <xf numFmtId="168" fontId="22" fillId="0" borderId="59" xfId="0" applyNumberFormat="1" applyFont="1" applyFill="1" applyBorder="1" applyAlignment="1">
      <alignment horizontal="left"/>
    </xf>
    <xf numFmtId="168" fontId="22" fillId="0" borderId="12" xfId="0" applyNumberFormat="1" applyFont="1" applyFill="1" applyBorder="1" applyAlignment="1">
      <alignment horizontal="left"/>
    </xf>
    <xf numFmtId="168" fontId="22" fillId="0" borderId="14" xfId="0" applyNumberFormat="1" applyFont="1" applyFill="1" applyBorder="1" applyAlignment="1">
      <alignment horizontal="left"/>
    </xf>
    <xf numFmtId="0" fontId="13" fillId="0" borderId="0" xfId="0" applyFont="1"/>
    <xf numFmtId="165" fontId="13" fillId="0" borderId="14" xfId="0" applyNumberFormat="1" applyFont="1" applyBorder="1"/>
    <xf numFmtId="165" fontId="13" fillId="0" borderId="0" xfId="0" applyNumberFormat="1" applyFont="1" applyFill="1" applyBorder="1"/>
    <xf numFmtId="165" fontId="13" fillId="0" borderId="18" xfId="0" applyNumberFormat="1" applyFont="1" applyBorder="1"/>
    <xf numFmtId="0" fontId="22" fillId="0" borderId="10" xfId="0" applyFont="1" applyBorder="1" applyAlignment="1">
      <alignment horizontal="center" vertical="center"/>
    </xf>
    <xf numFmtId="0" fontId="13" fillId="18" borderId="20" xfId="0" applyFont="1" applyFill="1" applyBorder="1" applyAlignment="1">
      <alignment horizontal="center"/>
    </xf>
    <xf numFmtId="0" fontId="13" fillId="18" borderId="21" xfId="0" applyFont="1" applyFill="1" applyBorder="1" applyAlignment="1">
      <alignment horizontal="center"/>
    </xf>
    <xf numFmtId="0" fontId="13" fillId="18" borderId="22" xfId="0" applyFont="1" applyFill="1" applyBorder="1" applyAlignment="1">
      <alignment horizontal="center"/>
    </xf>
    <xf numFmtId="0" fontId="13" fillId="18" borderId="6" xfId="0" applyFont="1" applyFill="1" applyBorder="1" applyAlignment="1">
      <alignment horizontal="center"/>
    </xf>
    <xf numFmtId="0" fontId="13" fillId="18" borderId="8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0" fontId="22" fillId="0" borderId="0" xfId="0" applyNumberFormat="1" applyFont="1"/>
    <xf numFmtId="0" fontId="22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166" fontId="13" fillId="0" borderId="36" xfId="0" applyNumberFormat="1" applyFont="1" applyBorder="1"/>
    <xf numFmtId="169" fontId="22" fillId="0" borderId="63" xfId="0" applyNumberFormat="1" applyFont="1" applyBorder="1" applyAlignment="1">
      <alignment horizontal="center"/>
    </xf>
    <xf numFmtId="2" fontId="22" fillId="0" borderId="44" xfId="0" applyNumberFormat="1" applyFont="1" applyFill="1" applyBorder="1" applyAlignment="1">
      <alignment horizontal="center"/>
    </xf>
    <xf numFmtId="0" fontId="22" fillId="0" borderId="64" xfId="0" applyFont="1" applyFill="1" applyBorder="1" applyAlignment="1">
      <alignment horizontal="center"/>
    </xf>
    <xf numFmtId="44" fontId="22" fillId="0" borderId="6" xfId="0" applyNumberFormat="1" applyFont="1" applyBorder="1"/>
    <xf numFmtId="44" fontId="22" fillId="0" borderId="65" xfId="0" applyNumberFormat="1" applyFont="1" applyBorder="1"/>
    <xf numFmtId="10" fontId="22" fillId="0" borderId="18" xfId="0" applyNumberFormat="1" applyFont="1" applyFill="1" applyBorder="1"/>
    <xf numFmtId="171" fontId="13" fillId="0" borderId="11" xfId="0" applyNumberFormat="1" applyFont="1" applyBorder="1"/>
    <xf numFmtId="171" fontId="13" fillId="0" borderId="12" xfId="0" applyNumberFormat="1" applyFont="1" applyBorder="1"/>
    <xf numFmtId="167" fontId="13" fillId="12" borderId="14" xfId="2" applyNumberFormat="1" applyFont="1" applyFill="1" applyBorder="1"/>
    <xf numFmtId="167" fontId="13" fillId="12" borderId="14" xfId="0" applyNumberFormat="1" applyFont="1" applyFill="1" applyBorder="1"/>
    <xf numFmtId="1" fontId="22" fillId="0" borderId="46" xfId="0" applyNumberFormat="1" applyFont="1" applyBorder="1" applyAlignment="1">
      <alignment horizontal="center"/>
    </xf>
    <xf numFmtId="2" fontId="22" fillId="0" borderId="47" xfId="0" applyNumberFormat="1" applyFont="1" applyFill="1" applyBorder="1" applyAlignment="1">
      <alignment horizontal="center"/>
    </xf>
    <xf numFmtId="0" fontId="22" fillId="0" borderId="66" xfId="0" applyFont="1" applyFill="1" applyBorder="1" applyAlignment="1">
      <alignment horizontal="center"/>
    </xf>
    <xf numFmtId="44" fontId="22" fillId="0" borderId="16" xfId="0" applyNumberFormat="1" applyFont="1" applyBorder="1"/>
    <xf numFmtId="44" fontId="22" fillId="0" borderId="67" xfId="0" applyNumberFormat="1" applyFont="1" applyBorder="1"/>
    <xf numFmtId="167" fontId="13" fillId="0" borderId="0" xfId="2" applyNumberFormat="1" applyFont="1" applyFill="1"/>
    <xf numFmtId="167" fontId="22" fillId="0" borderId="0" xfId="2" applyNumberFormat="1" applyFont="1"/>
    <xf numFmtId="169" fontId="22" fillId="0" borderId="46" xfId="0" applyNumberFormat="1" applyFont="1" applyBorder="1" applyAlignment="1">
      <alignment horizontal="center"/>
    </xf>
    <xf numFmtId="10" fontId="22" fillId="0" borderId="0" xfId="3" applyNumberFormat="1" applyFont="1" applyFill="1"/>
    <xf numFmtId="1" fontId="22" fillId="0" borderId="68" xfId="0" applyNumberFormat="1" applyFont="1" applyBorder="1" applyAlignment="1">
      <alignment horizontal="center"/>
    </xf>
    <xf numFmtId="2" fontId="22" fillId="0" borderId="69" xfId="0" applyNumberFormat="1" applyFont="1" applyFill="1" applyBorder="1" applyAlignment="1">
      <alignment horizontal="center"/>
    </xf>
    <xf numFmtId="0" fontId="22" fillId="0" borderId="70" xfId="0" applyFont="1" applyFill="1" applyBorder="1" applyAlignment="1">
      <alignment horizontal="center"/>
    </xf>
    <xf numFmtId="166" fontId="13" fillId="0" borderId="0" xfId="0" applyNumberFormat="1" applyFont="1" applyFill="1"/>
    <xf numFmtId="10" fontId="22" fillId="0" borderId="9" xfId="0" applyNumberFormat="1" applyFont="1" applyFill="1" applyBorder="1"/>
    <xf numFmtId="2" fontId="22" fillId="0" borderId="66" xfId="0" applyNumberFormat="1" applyFont="1" applyFill="1" applyBorder="1" applyAlignment="1">
      <alignment horizontal="center"/>
    </xf>
    <xf numFmtId="169" fontId="22" fillId="0" borderId="71" xfId="0" applyNumberFormat="1" applyFont="1" applyBorder="1" applyAlignment="1">
      <alignment horizontal="center"/>
    </xf>
    <xf numFmtId="2" fontId="22" fillId="0" borderId="72" xfId="0" applyNumberFormat="1" applyFont="1" applyFill="1" applyBorder="1" applyAlignment="1">
      <alignment horizontal="center"/>
    </xf>
    <xf numFmtId="2" fontId="22" fillId="0" borderId="73" xfId="0" applyNumberFormat="1" applyFont="1" applyFill="1" applyBorder="1" applyAlignment="1">
      <alignment horizontal="center"/>
    </xf>
    <xf numFmtId="44" fontId="22" fillId="0" borderId="11" xfId="0" applyNumberFormat="1" applyFont="1" applyBorder="1"/>
    <xf numFmtId="44" fontId="22" fillId="0" borderId="74" xfId="0" applyNumberFormat="1" applyFont="1" applyBorder="1"/>
    <xf numFmtId="10" fontId="22" fillId="0" borderId="14" xfId="0" applyNumberFormat="1" applyFont="1" applyFill="1" applyBorder="1"/>
    <xf numFmtId="1" fontId="22" fillId="0" borderId="63" xfId="0" applyNumberFormat="1" applyFont="1" applyBorder="1" applyAlignment="1">
      <alignment horizontal="center"/>
    </xf>
    <xf numFmtId="2" fontId="22" fillId="0" borderId="64" xfId="0" applyNumberFormat="1" applyFont="1" applyFill="1" applyBorder="1" applyAlignment="1">
      <alignment horizontal="center"/>
    </xf>
    <xf numFmtId="2" fontId="22" fillId="0" borderId="45" xfId="0" applyNumberFormat="1" applyFont="1" applyFill="1" applyBorder="1" applyAlignment="1">
      <alignment horizontal="center"/>
    </xf>
    <xf numFmtId="2" fontId="22" fillId="0" borderId="74" xfId="0" applyNumberFormat="1" applyFont="1" applyFill="1" applyBorder="1" applyAlignment="1">
      <alignment horizontal="center"/>
    </xf>
    <xf numFmtId="44" fontId="22" fillId="0" borderId="8" xfId="0" applyNumberFormat="1" applyFont="1" applyBorder="1"/>
    <xf numFmtId="44" fontId="22" fillId="0" borderId="0" xfId="0" applyNumberFormat="1" applyFont="1" applyBorder="1"/>
    <xf numFmtId="1" fontId="22" fillId="0" borderId="71" xfId="0" applyNumberFormat="1" applyFont="1" applyBorder="1" applyAlignment="1">
      <alignment horizontal="center"/>
    </xf>
    <xf numFmtId="44" fontId="22" fillId="0" borderId="12" xfId="0" applyNumberFormat="1" applyFont="1" applyBorder="1"/>
    <xf numFmtId="1" fontId="22" fillId="0" borderId="0" xfId="0" applyNumberFormat="1" applyFont="1" applyBorder="1" applyAlignment="1">
      <alignment horizontal="center"/>
    </xf>
    <xf numFmtId="2" fontId="22" fillId="0" borderId="0" xfId="0" applyNumberFormat="1" applyFont="1" applyBorder="1" applyAlignment="1">
      <alignment horizontal="center"/>
    </xf>
    <xf numFmtId="165" fontId="40" fillId="0" borderId="0" xfId="0" applyNumberFormat="1" applyFont="1" applyFill="1" applyBorder="1" applyAlignment="1">
      <alignment wrapText="1"/>
    </xf>
    <xf numFmtId="165" fontId="13" fillId="0" borderId="36" xfId="0" applyNumberFormat="1" applyFont="1" applyBorder="1"/>
    <xf numFmtId="0" fontId="13" fillId="18" borderId="21" xfId="0" applyFont="1" applyFill="1" applyBorder="1" applyAlignment="1">
      <alignment horizontal="center"/>
    </xf>
    <xf numFmtId="0" fontId="13" fillId="18" borderId="22" xfId="0" applyFont="1" applyFill="1" applyBorder="1" applyAlignment="1">
      <alignment horizontal="center"/>
    </xf>
    <xf numFmtId="0" fontId="31" fillId="0" borderId="0" xfId="10" applyFont="1" applyFill="1" applyBorder="1"/>
    <xf numFmtId="6" fontId="28" fillId="0" borderId="0" xfId="11" applyNumberFormat="1" applyFont="1" applyFill="1" applyBorder="1"/>
    <xf numFmtId="0" fontId="22" fillId="0" borderId="16" xfId="10" applyFont="1" applyFill="1" applyBorder="1"/>
    <xf numFmtId="0" fontId="22" fillId="0" borderId="0" xfId="10" applyFont="1" applyFill="1" applyBorder="1"/>
    <xf numFmtId="167" fontId="22" fillId="0" borderId="0" xfId="3" applyNumberFormat="1" applyFont="1" applyFill="1" applyBorder="1" applyAlignment="1">
      <alignment horizontal="center"/>
    </xf>
    <xf numFmtId="40" fontId="22" fillId="0" borderId="0" xfId="3" applyNumberFormat="1" applyFont="1" applyFill="1" applyBorder="1" applyAlignment="1">
      <alignment horizontal="center"/>
    </xf>
    <xf numFmtId="167" fontId="22" fillId="0" borderId="18" xfId="0" applyNumberFormat="1" applyFont="1" applyFill="1" applyBorder="1"/>
    <xf numFmtId="0" fontId="28" fillId="0" borderId="0" xfId="10" applyFont="1" applyFill="1" applyBorder="1" applyAlignment="1"/>
    <xf numFmtId="0" fontId="22" fillId="0" borderId="25" xfId="0" applyFont="1" applyFill="1" applyBorder="1"/>
    <xf numFmtId="0" fontId="40" fillId="0" borderId="26" xfId="0" applyFont="1" applyFill="1" applyBorder="1"/>
    <xf numFmtId="10" fontId="22" fillId="0" borderId="26" xfId="3" applyNumberFormat="1" applyFont="1" applyFill="1" applyBorder="1" applyAlignment="1">
      <alignment horizontal="right"/>
    </xf>
    <xf numFmtId="10" fontId="22" fillId="0" borderId="26" xfId="3" applyNumberFormat="1" applyFont="1" applyFill="1" applyBorder="1" applyAlignment="1">
      <alignment horizontal="center"/>
    </xf>
    <xf numFmtId="167" fontId="22" fillId="0" borderId="51" xfId="0" applyNumberFormat="1" applyFont="1" applyFill="1" applyBorder="1"/>
    <xf numFmtId="0" fontId="31" fillId="0" borderId="0" xfId="10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2" fontId="31" fillId="0" borderId="0" xfId="10" applyNumberFormat="1" applyFont="1" applyFill="1" applyBorder="1" applyAlignment="1">
      <alignment horizontal="center"/>
    </xf>
    <xf numFmtId="0" fontId="13" fillId="0" borderId="16" xfId="0" applyFont="1" applyFill="1" applyBorder="1"/>
    <xf numFmtId="0" fontId="40" fillId="0" borderId="0" xfId="0" applyFont="1" applyFill="1" applyBorder="1"/>
    <xf numFmtId="10" fontId="22" fillId="0" borderId="0" xfId="3" applyNumberFormat="1" applyFont="1" applyFill="1" applyBorder="1" applyAlignment="1">
      <alignment horizontal="right"/>
    </xf>
    <xf numFmtId="10" fontId="22" fillId="0" borderId="0" xfId="3" applyNumberFormat="1" applyFont="1" applyFill="1" applyBorder="1" applyAlignment="1">
      <alignment horizontal="center"/>
    </xf>
    <xf numFmtId="0" fontId="13" fillId="0" borderId="11" xfId="0" applyFont="1" applyFill="1" applyBorder="1"/>
    <xf numFmtId="0" fontId="22" fillId="0" borderId="12" xfId="0" applyFont="1" applyFill="1" applyBorder="1"/>
    <xf numFmtId="0" fontId="22" fillId="0" borderId="12" xfId="0" applyFont="1" applyFill="1" applyBorder="1" applyAlignment="1">
      <alignment horizontal="right"/>
    </xf>
    <xf numFmtId="167" fontId="31" fillId="0" borderId="0" xfId="11" applyNumberFormat="1" applyFont="1" applyFill="1" applyBorder="1" applyAlignment="1">
      <alignment horizontal="center"/>
    </xf>
    <xf numFmtId="0" fontId="44" fillId="0" borderId="0" xfId="12" applyFont="1" applyFill="1" applyBorder="1"/>
    <xf numFmtId="10" fontId="31" fillId="0" borderId="0" xfId="10" applyNumberFormat="1" applyFont="1" applyFill="1" applyBorder="1" applyAlignment="1">
      <alignment horizontal="center"/>
    </xf>
    <xf numFmtId="10" fontId="31" fillId="0" borderId="0" xfId="3" applyNumberFormat="1" applyFont="1" applyFill="1" applyBorder="1" applyAlignment="1">
      <alignment horizontal="center"/>
    </xf>
    <xf numFmtId="0" fontId="31" fillId="0" borderId="0" xfId="6" applyFont="1" applyFill="1" applyBorder="1"/>
    <xf numFmtId="167" fontId="22" fillId="0" borderId="16" xfId="0" applyNumberFormat="1" applyFont="1" applyBorder="1"/>
    <xf numFmtId="171" fontId="13" fillId="0" borderId="0" xfId="0" applyNumberFormat="1" applyFont="1" applyFill="1" applyBorder="1"/>
    <xf numFmtId="171" fontId="22" fillId="0" borderId="0" xfId="0" applyNumberFormat="1" applyFont="1" applyFill="1" applyBorder="1"/>
    <xf numFmtId="167" fontId="22" fillId="0" borderId="11" xfId="0" applyNumberFormat="1" applyFont="1" applyBorder="1"/>
    <xf numFmtId="167" fontId="22" fillId="0" borderId="6" xfId="0" applyNumberFormat="1" applyFont="1" applyBorder="1"/>
    <xf numFmtId="10" fontId="22" fillId="0" borderId="0" xfId="3" applyNumberFormat="1" applyFont="1"/>
    <xf numFmtId="167" fontId="22" fillId="0" borderId="8" xfId="0" applyNumberFormat="1" applyFont="1" applyBorder="1"/>
    <xf numFmtId="167" fontId="22" fillId="0" borderId="0" xfId="0" applyNumberFormat="1" applyFont="1" applyBorder="1"/>
    <xf numFmtId="165" fontId="22" fillId="0" borderId="0" xfId="0" applyNumberFormat="1" applyFont="1"/>
    <xf numFmtId="167" fontId="22" fillId="0" borderId="12" xfId="0" applyNumberFormat="1" applyFont="1" applyBorder="1"/>
    <xf numFmtId="165" fontId="22" fillId="0" borderId="0" xfId="0" applyNumberFormat="1" applyFont="1" applyFill="1"/>
    <xf numFmtId="166" fontId="13" fillId="0" borderId="0" xfId="0" applyNumberFormat="1" applyFont="1" applyFill="1" applyBorder="1" applyAlignment="1">
      <alignment horizontal="center" wrapText="1"/>
    </xf>
    <xf numFmtId="168" fontId="22" fillId="0" borderId="0" xfId="0" applyNumberFormat="1" applyFont="1"/>
    <xf numFmtId="0" fontId="13" fillId="0" borderId="0" xfId="0" applyFont="1" applyBorder="1" applyAlignment="1">
      <alignment horizontal="left" wrapText="1"/>
    </xf>
    <xf numFmtId="2" fontId="22" fillId="0" borderId="0" xfId="0" applyNumberFormat="1" applyFont="1" applyFill="1" applyBorder="1" applyAlignment="1">
      <alignment horizontal="right"/>
    </xf>
    <xf numFmtId="2" fontId="22" fillId="0" borderId="0" xfId="0" applyNumberFormat="1" applyFont="1" applyFill="1" applyBorder="1"/>
    <xf numFmtId="2" fontId="13" fillId="0" borderId="57" xfId="0" applyNumberFormat="1" applyFont="1" applyBorder="1"/>
    <xf numFmtId="9" fontId="22" fillId="0" borderId="0" xfId="0" applyNumberFormat="1" applyFont="1" applyFill="1" applyBorder="1"/>
    <xf numFmtId="10" fontId="22" fillId="0" borderId="0" xfId="0" applyNumberFormat="1" applyFont="1" applyFill="1" applyBorder="1" applyAlignment="1">
      <alignment horizontal="right" vertical="center"/>
    </xf>
    <xf numFmtId="0" fontId="13" fillId="0" borderId="25" xfId="0" applyFont="1" applyBorder="1"/>
    <xf numFmtId="168" fontId="13" fillId="0" borderId="26" xfId="0" applyNumberFormat="1" applyFont="1" applyBorder="1"/>
    <xf numFmtId="166" fontId="13" fillId="0" borderId="51" xfId="0" applyNumberFormat="1" applyFont="1" applyBorder="1"/>
    <xf numFmtId="166" fontId="13" fillId="0" borderId="14" xfId="0" applyNumberFormat="1" applyFont="1" applyBorder="1"/>
    <xf numFmtId="171" fontId="13" fillId="0" borderId="20" xfId="0" applyNumberFormat="1" applyFont="1" applyBorder="1"/>
    <xf numFmtId="10" fontId="13" fillId="0" borderId="21" xfId="0" applyNumberFormat="1" applyFont="1" applyBorder="1"/>
    <xf numFmtId="171" fontId="13" fillId="0" borderId="21" xfId="0" applyNumberFormat="1" applyFont="1" applyBorder="1"/>
    <xf numFmtId="166" fontId="13" fillId="0" borderId="22" xfId="0" applyNumberFormat="1" applyFont="1" applyFill="1" applyBorder="1"/>
    <xf numFmtId="171" fontId="22" fillId="0" borderId="6" xfId="0" applyNumberFormat="1" applyFont="1" applyBorder="1"/>
    <xf numFmtId="10" fontId="13" fillId="0" borderId="8" xfId="0" applyNumberFormat="1" applyFont="1" applyBorder="1"/>
    <xf numFmtId="171" fontId="13" fillId="0" borderId="8" xfId="0" applyNumberFormat="1" applyFont="1" applyBorder="1"/>
    <xf numFmtId="166" fontId="22" fillId="0" borderId="9" xfId="0" applyNumberFormat="1" applyFont="1" applyBorder="1"/>
    <xf numFmtId="171" fontId="22" fillId="0" borderId="11" xfId="0" applyNumberFormat="1" applyFont="1" applyBorder="1"/>
    <xf numFmtId="10" fontId="22" fillId="0" borderId="12" xfId="3" applyNumberFormat="1" applyFont="1" applyBorder="1"/>
    <xf numFmtId="171" fontId="22" fillId="0" borderId="12" xfId="0" applyNumberFormat="1" applyFont="1" applyBorder="1"/>
    <xf numFmtId="0" fontId="22" fillId="0" borderId="12" xfId="0" applyFont="1" applyBorder="1"/>
    <xf numFmtId="166" fontId="13" fillId="19" borderId="23" xfId="0" applyNumberFormat="1" applyFont="1" applyFill="1" applyBorder="1"/>
    <xf numFmtId="166" fontId="13" fillId="20" borderId="0" xfId="0" applyNumberFormat="1" applyFont="1" applyFill="1"/>
    <xf numFmtId="0" fontId="28" fillId="0" borderId="0" xfId="10" applyFont="1" applyFill="1" applyBorder="1" applyAlignment="1">
      <alignment horizontal="center" vertical="center"/>
    </xf>
    <xf numFmtId="0" fontId="31" fillId="0" borderId="0" xfId="13" applyFont="1" applyFill="1" applyBorder="1"/>
    <xf numFmtId="37" fontId="31" fillId="0" borderId="0" xfId="11" applyNumberFormat="1" applyFont="1" applyFill="1" applyBorder="1" applyAlignment="1">
      <alignment horizontal="center"/>
    </xf>
    <xf numFmtId="44" fontId="28" fillId="0" borderId="0" xfId="11" applyFont="1" applyFill="1" applyBorder="1"/>
    <xf numFmtId="3" fontId="31" fillId="0" borderId="0" xfId="10" applyNumberFormat="1" applyFont="1" applyFill="1" applyBorder="1"/>
    <xf numFmtId="14" fontId="45" fillId="0" borderId="0" xfId="10" applyNumberFormat="1" applyFont="1" applyFill="1" applyBorder="1" applyAlignment="1">
      <alignment horizontal="left"/>
    </xf>
    <xf numFmtId="0" fontId="28" fillId="0" borderId="12" xfId="10" applyFont="1" applyFill="1" applyBorder="1" applyAlignment="1">
      <alignment horizontal="center" vertical="center"/>
    </xf>
    <xf numFmtId="0" fontId="28" fillId="21" borderId="20" xfId="10" applyFont="1" applyFill="1" applyBorder="1" applyAlignment="1">
      <alignment horizontal="center"/>
    </xf>
    <xf numFmtId="0" fontId="28" fillId="21" borderId="21" xfId="10" applyFont="1" applyFill="1" applyBorder="1" applyAlignment="1">
      <alignment horizontal="center"/>
    </xf>
    <xf numFmtId="0" fontId="28" fillId="21" borderId="22" xfId="10" applyFont="1" applyFill="1" applyBorder="1" applyAlignment="1">
      <alignment horizontal="center"/>
    </xf>
    <xf numFmtId="0" fontId="28" fillId="22" borderId="20" xfId="13" applyFont="1" applyFill="1" applyBorder="1" applyAlignment="1">
      <alignment horizontal="center"/>
    </xf>
    <xf numFmtId="0" fontId="28" fillId="22" borderId="21" xfId="13" applyFont="1" applyFill="1" applyBorder="1" applyAlignment="1">
      <alignment horizontal="center"/>
    </xf>
    <xf numFmtId="0" fontId="28" fillId="22" borderId="22" xfId="13" applyFont="1" applyFill="1" applyBorder="1" applyAlignment="1">
      <alignment horizontal="center"/>
    </xf>
    <xf numFmtId="0" fontId="28" fillId="0" borderId="0" xfId="13" applyFont="1" applyFill="1" applyBorder="1"/>
    <xf numFmtId="0" fontId="28" fillId="17" borderId="75" xfId="10" applyFont="1" applyFill="1" applyBorder="1" applyAlignment="1">
      <alignment horizontal="center"/>
    </xf>
    <xf numFmtId="0" fontId="28" fillId="17" borderId="76" xfId="10" applyFont="1" applyFill="1" applyBorder="1" applyAlignment="1">
      <alignment horizontal="center"/>
    </xf>
    <xf numFmtId="0" fontId="28" fillId="17" borderId="77" xfId="10" applyFont="1" applyFill="1" applyBorder="1" applyAlignment="1">
      <alignment horizontal="center"/>
    </xf>
    <xf numFmtId="0" fontId="28" fillId="17" borderId="7" xfId="10" applyFont="1" applyFill="1" applyBorder="1" applyAlignment="1">
      <alignment horizontal="center"/>
    </xf>
    <xf numFmtId="0" fontId="28" fillId="17" borderId="78" xfId="10" applyFont="1" applyFill="1" applyBorder="1" applyAlignment="1">
      <alignment horizontal="center"/>
    </xf>
    <xf numFmtId="0" fontId="28" fillId="0" borderId="75" xfId="13" applyFont="1" applyFill="1" applyBorder="1"/>
    <xf numFmtId="0" fontId="28" fillId="0" borderId="7" xfId="13" applyFont="1" applyFill="1" applyBorder="1" applyAlignment="1">
      <alignment horizontal="right"/>
    </xf>
    <xf numFmtId="3" fontId="28" fillId="0" borderId="78" xfId="13" applyNumberFormat="1" applyFont="1" applyFill="1" applyBorder="1" applyAlignment="1">
      <alignment horizontal="center"/>
    </xf>
    <xf numFmtId="0" fontId="31" fillId="17" borderId="16" xfId="10" applyFont="1" applyFill="1" applyBorder="1"/>
    <xf numFmtId="6" fontId="28" fillId="17" borderId="0" xfId="11" applyNumberFormat="1" applyFont="1" applyFill="1" applyBorder="1"/>
    <xf numFmtId="0" fontId="31" fillId="17" borderId="24" xfId="10" applyFont="1" applyFill="1" applyBorder="1"/>
    <xf numFmtId="0" fontId="31" fillId="17" borderId="0" xfId="10" applyFont="1" applyFill="1" applyBorder="1"/>
    <xf numFmtId="0" fontId="31" fillId="17" borderId="18" xfId="10" applyFont="1" applyFill="1" applyBorder="1"/>
    <xf numFmtId="0" fontId="28" fillId="0" borderId="25" xfId="13" applyFont="1" applyFill="1" applyBorder="1"/>
    <xf numFmtId="0" fontId="28" fillId="0" borderId="26" xfId="13" applyFont="1" applyFill="1" applyBorder="1" applyAlignment="1">
      <alignment horizontal="center"/>
    </xf>
    <xf numFmtId="0" fontId="28" fillId="0" borderId="51" xfId="13" applyFont="1" applyFill="1" applyBorder="1" applyAlignment="1">
      <alignment horizontal="right"/>
    </xf>
    <xf numFmtId="0" fontId="31" fillId="0" borderId="16" xfId="14" applyFont="1" applyFill="1" applyBorder="1" applyAlignment="1"/>
    <xf numFmtId="6" fontId="31" fillId="0" borderId="0" xfId="13" applyNumberFormat="1" applyFont="1" applyFill="1" applyBorder="1"/>
    <xf numFmtId="4" fontId="31" fillId="0" borderId="0" xfId="13" applyNumberFormat="1" applyFont="1" applyFill="1" applyBorder="1" applyAlignment="1">
      <alignment horizontal="center"/>
    </xf>
    <xf numFmtId="42" fontId="31" fillId="0" borderId="18" xfId="13" applyNumberFormat="1" applyFont="1" applyFill="1" applyBorder="1"/>
    <xf numFmtId="0" fontId="22" fillId="0" borderId="18" xfId="10" applyFont="1" applyFill="1" applyBorder="1"/>
    <xf numFmtId="0" fontId="28" fillId="17" borderId="28" xfId="10" applyFont="1" applyFill="1" applyBorder="1" applyAlignment="1">
      <alignment horizontal="center"/>
    </xf>
    <xf numFmtId="0" fontId="28" fillId="17" borderId="79" xfId="10" applyFont="1" applyFill="1" applyBorder="1" applyAlignment="1">
      <alignment horizontal="center"/>
    </xf>
    <xf numFmtId="0" fontId="31" fillId="17" borderId="80" xfId="10" applyFont="1" applyFill="1" applyBorder="1"/>
    <xf numFmtId="0" fontId="31" fillId="17" borderId="29" xfId="10" applyFont="1" applyFill="1" applyBorder="1"/>
    <xf numFmtId="0" fontId="31" fillId="17" borderId="31" xfId="10" applyFont="1" applyFill="1" applyBorder="1"/>
    <xf numFmtId="0" fontId="31" fillId="17" borderId="33" xfId="10" applyFont="1" applyFill="1" applyBorder="1"/>
    <xf numFmtId="0" fontId="31" fillId="17" borderId="17" xfId="10" applyFont="1" applyFill="1" applyBorder="1" applyAlignment="1">
      <alignment horizontal="center"/>
    </xf>
    <xf numFmtId="0" fontId="31" fillId="17" borderId="53" xfId="10" applyFont="1" applyFill="1" applyBorder="1"/>
    <xf numFmtId="0" fontId="31" fillId="17" borderId="17" xfId="10" applyFont="1" applyFill="1" applyBorder="1"/>
    <xf numFmtId="0" fontId="31" fillId="17" borderId="54" xfId="10" applyFont="1" applyFill="1" applyBorder="1"/>
    <xf numFmtId="0" fontId="28" fillId="0" borderId="28" xfId="13" applyFont="1" applyFill="1" applyBorder="1"/>
    <xf numFmtId="0" fontId="28" fillId="0" borderId="29" xfId="13" applyFont="1" applyFill="1" applyBorder="1"/>
    <xf numFmtId="4" fontId="28" fillId="0" borderId="29" xfId="13" applyNumberFormat="1" applyFont="1" applyFill="1" applyBorder="1" applyAlignment="1">
      <alignment horizontal="center"/>
    </xf>
    <xf numFmtId="42" fontId="28" fillId="0" borderId="31" xfId="13" applyNumberFormat="1" applyFont="1" applyFill="1" applyBorder="1"/>
    <xf numFmtId="0" fontId="31" fillId="17" borderId="25" xfId="10" applyFont="1" applyFill="1" applyBorder="1"/>
    <xf numFmtId="2" fontId="31" fillId="17" borderId="26" xfId="10" applyNumberFormat="1" applyFont="1" applyFill="1" applyBorder="1" applyAlignment="1">
      <alignment horizontal="center"/>
    </xf>
    <xf numFmtId="0" fontId="31" fillId="17" borderId="81" xfId="10" applyFont="1" applyFill="1" applyBorder="1"/>
    <xf numFmtId="0" fontId="31" fillId="17" borderId="26" xfId="10" applyFont="1" applyFill="1" applyBorder="1"/>
    <xf numFmtId="0" fontId="31" fillId="17" borderId="51" xfId="10" applyFont="1" applyFill="1" applyBorder="1"/>
    <xf numFmtId="0" fontId="28" fillId="0" borderId="16" xfId="13" applyFont="1" applyFill="1" applyBorder="1"/>
    <xf numFmtId="0" fontId="31" fillId="0" borderId="18" xfId="13" applyFont="1" applyFill="1" applyBorder="1"/>
    <xf numFmtId="0" fontId="28" fillId="17" borderId="33" xfId="10" applyFont="1" applyFill="1" applyBorder="1" applyAlignment="1">
      <alignment horizontal="center"/>
    </xf>
    <xf numFmtId="0" fontId="28" fillId="17" borderId="17" xfId="10" applyFont="1" applyFill="1" applyBorder="1" applyAlignment="1">
      <alignment horizontal="center"/>
    </xf>
    <xf numFmtId="0" fontId="31" fillId="0" borderId="16" xfId="13" applyFont="1" applyFill="1" applyBorder="1"/>
    <xf numFmtId="10" fontId="31" fillId="0" borderId="0" xfId="13" applyNumberFormat="1" applyFont="1" applyFill="1" applyBorder="1"/>
    <xf numFmtId="167" fontId="31" fillId="17" borderId="0" xfId="11" applyNumberFormat="1" applyFont="1" applyFill="1" applyBorder="1" applyAlignment="1">
      <alignment horizontal="center"/>
    </xf>
    <xf numFmtId="0" fontId="28" fillId="0" borderId="60" xfId="13" applyFont="1" applyFill="1" applyBorder="1"/>
    <xf numFmtId="0" fontId="28" fillId="0" borderId="61" xfId="13" applyFont="1" applyFill="1" applyBorder="1"/>
    <xf numFmtId="44" fontId="28" fillId="0" borderId="61" xfId="13" applyNumberFormat="1" applyFont="1" applyFill="1" applyBorder="1"/>
    <xf numFmtId="42" fontId="28" fillId="0" borderId="62" xfId="13" applyNumberFormat="1" applyFont="1" applyFill="1" applyBorder="1"/>
    <xf numFmtId="44" fontId="28" fillId="0" borderId="0" xfId="13" applyNumberFormat="1" applyFont="1" applyFill="1" applyBorder="1"/>
    <xf numFmtId="42" fontId="28" fillId="0" borderId="18" xfId="13" applyNumberFormat="1" applyFont="1" applyFill="1" applyBorder="1"/>
    <xf numFmtId="167" fontId="31" fillId="0" borderId="0" xfId="13" applyNumberFormat="1" applyFont="1" applyFill="1" applyBorder="1"/>
    <xf numFmtId="44" fontId="31" fillId="0" borderId="0" xfId="13" applyNumberFormat="1" applyFont="1" applyFill="1" applyBorder="1"/>
    <xf numFmtId="6" fontId="31" fillId="17" borderId="0" xfId="11" applyNumberFormat="1" applyFont="1" applyFill="1" applyBorder="1" applyAlignment="1">
      <alignment horizontal="center"/>
    </xf>
    <xf numFmtId="10" fontId="31" fillId="17" borderId="0" xfId="10" applyNumberFormat="1" applyFont="1" applyFill="1" applyBorder="1" applyAlignment="1">
      <alignment horizontal="center"/>
    </xf>
    <xf numFmtId="169" fontId="31" fillId="0" borderId="16" xfId="10" applyNumberFormat="1" applyFont="1" applyFill="1" applyBorder="1"/>
    <xf numFmtId="10" fontId="31" fillId="17" borderId="0" xfId="3" applyNumberFormat="1" applyFont="1" applyFill="1" applyBorder="1" applyAlignment="1">
      <alignment horizontal="center"/>
    </xf>
    <xf numFmtId="0" fontId="31" fillId="0" borderId="19" xfId="6" applyFont="1" applyFill="1" applyBorder="1"/>
    <xf numFmtId="44" fontId="31" fillId="0" borderId="0" xfId="10" applyNumberFormat="1" applyFont="1" applyFill="1" applyBorder="1"/>
    <xf numFmtId="0" fontId="31" fillId="17" borderId="20" xfId="10" applyFont="1" applyFill="1" applyBorder="1"/>
    <xf numFmtId="10" fontId="31" fillId="17" borderId="21" xfId="10" applyNumberFormat="1" applyFont="1" applyFill="1" applyBorder="1" applyAlignment="1">
      <alignment horizontal="center"/>
    </xf>
    <xf numFmtId="0" fontId="31" fillId="17" borderId="49" xfId="10" applyFont="1" applyFill="1" applyBorder="1"/>
    <xf numFmtId="0" fontId="31" fillId="17" borderId="21" xfId="10" applyFont="1" applyFill="1" applyBorder="1"/>
    <xf numFmtId="0" fontId="31" fillId="17" borderId="22" xfId="10" applyFont="1" applyFill="1" applyBorder="1"/>
    <xf numFmtId="0" fontId="31" fillId="0" borderId="61" xfId="13" applyFont="1" applyFill="1" applyBorder="1"/>
    <xf numFmtId="167" fontId="31" fillId="0" borderId="18" xfId="11" applyNumberFormat="1" applyFont="1" applyFill="1" applyBorder="1"/>
    <xf numFmtId="2" fontId="31" fillId="0" borderId="0" xfId="10" applyNumberFormat="1" applyFont="1" applyFill="1" applyBorder="1"/>
    <xf numFmtId="0" fontId="28" fillId="21" borderId="6" xfId="10" applyFont="1" applyFill="1" applyBorder="1"/>
    <xf numFmtId="0" fontId="28" fillId="21" borderId="8" xfId="10" applyFont="1" applyFill="1" applyBorder="1"/>
    <xf numFmtId="0" fontId="28" fillId="21" borderId="8" xfId="10" applyFont="1" applyFill="1" applyBorder="1" applyAlignment="1">
      <alignment horizontal="center"/>
    </xf>
    <xf numFmtId="0" fontId="28" fillId="21" borderId="44" xfId="10" applyFont="1" applyFill="1" applyBorder="1" applyAlignment="1">
      <alignment horizontal="center"/>
    </xf>
    <xf numFmtId="3" fontId="28" fillId="21" borderId="64" xfId="10" applyNumberFormat="1" applyFont="1" applyFill="1" applyBorder="1" applyAlignment="1">
      <alignment horizontal="center"/>
    </xf>
    <xf numFmtId="0" fontId="31" fillId="0" borderId="11" xfId="13" applyFont="1" applyFill="1" applyBorder="1"/>
    <xf numFmtId="0" fontId="31" fillId="0" borderId="12" xfId="13" applyFont="1" applyFill="1" applyBorder="1"/>
    <xf numFmtId="44" fontId="31" fillId="0" borderId="12" xfId="11" applyFont="1" applyFill="1" applyBorder="1"/>
    <xf numFmtId="44" fontId="31" fillId="0" borderId="14" xfId="11" applyFont="1" applyFill="1" applyBorder="1"/>
    <xf numFmtId="0" fontId="28" fillId="0" borderId="28" xfId="10" applyFont="1" applyFill="1" applyBorder="1" applyAlignment="1">
      <alignment horizontal="center"/>
    </xf>
    <xf numFmtId="0" fontId="28" fillId="0" borderId="29" xfId="10" applyFont="1" applyFill="1" applyBorder="1" applyAlignment="1">
      <alignment horizontal="center"/>
    </xf>
    <xf numFmtId="0" fontId="28" fillId="0" borderId="47" xfId="10" applyFont="1" applyFill="1" applyBorder="1" applyAlignment="1">
      <alignment horizontal="center"/>
    </xf>
    <xf numFmtId="0" fontId="31" fillId="0" borderId="79" xfId="10" applyFont="1" applyFill="1" applyBorder="1" applyAlignment="1">
      <alignment horizontal="center"/>
    </xf>
    <xf numFmtId="1" fontId="31" fillId="0" borderId="29" xfId="10" applyNumberFormat="1" applyFont="1" applyFill="1" applyBorder="1" applyAlignment="1">
      <alignment horizontal="center"/>
    </xf>
    <xf numFmtId="3" fontId="31" fillId="0" borderId="66" xfId="15" applyNumberFormat="1" applyFont="1" applyFill="1" applyBorder="1" applyAlignment="1">
      <alignment horizontal="center"/>
    </xf>
    <xf numFmtId="0" fontId="31" fillId="0" borderId="20" xfId="13" applyFont="1" applyFill="1" applyBorder="1"/>
    <xf numFmtId="0" fontId="31" fillId="0" borderId="21" xfId="13" applyFont="1" applyFill="1" applyBorder="1"/>
    <xf numFmtId="37" fontId="31" fillId="0" borderId="21" xfId="11" applyNumberFormat="1" applyFont="1" applyFill="1" applyBorder="1" applyAlignment="1">
      <alignment horizontal="center"/>
    </xf>
    <xf numFmtId="44" fontId="28" fillId="12" borderId="23" xfId="11" applyFont="1" applyFill="1" applyBorder="1"/>
    <xf numFmtId="0" fontId="28" fillId="0" borderId="16" xfId="10" applyFont="1" applyFill="1" applyBorder="1" applyAlignment="1">
      <alignment horizontal="center"/>
    </xf>
    <xf numFmtId="0" fontId="28" fillId="0" borderId="0" xfId="10" applyFont="1" applyFill="1" applyBorder="1" applyAlignment="1">
      <alignment horizontal="center"/>
    </xf>
    <xf numFmtId="0" fontId="28" fillId="0" borderId="82" xfId="10" applyFont="1" applyFill="1" applyBorder="1" applyAlignment="1">
      <alignment horizontal="center"/>
    </xf>
    <xf numFmtId="0" fontId="31" fillId="0" borderId="69" xfId="10" applyFont="1" applyFill="1" applyBorder="1" applyAlignment="1">
      <alignment horizontal="center"/>
    </xf>
    <xf numFmtId="1" fontId="31" fillId="0" borderId="69" xfId="10" applyNumberFormat="1" applyFont="1" applyFill="1" applyBorder="1" applyAlignment="1">
      <alignment horizontal="center"/>
    </xf>
    <xf numFmtId="3" fontId="31" fillId="0" borderId="70" xfId="15" applyNumberFormat="1" applyFont="1" applyFill="1" applyBorder="1" applyAlignment="1">
      <alignment horizontal="center"/>
    </xf>
    <xf numFmtId="0" fontId="31" fillId="0" borderId="0" xfId="10" applyFont="1" applyFill="1" applyBorder="1" applyAlignment="1">
      <alignment horizontal="center"/>
    </xf>
    <xf numFmtId="44" fontId="31" fillId="0" borderId="0" xfId="2" applyFont="1" applyFill="1" applyBorder="1"/>
    <xf numFmtId="0" fontId="31" fillId="0" borderId="16" xfId="10" applyFont="1" applyFill="1" applyBorder="1" applyAlignment="1">
      <alignment horizontal="left"/>
    </xf>
    <xf numFmtId="0" fontId="31" fillId="0" borderId="0" xfId="10" applyFont="1" applyFill="1" applyBorder="1" applyAlignment="1">
      <alignment horizontal="left"/>
    </xf>
    <xf numFmtId="0" fontId="31" fillId="0" borderId="82" xfId="10" applyFont="1" applyFill="1" applyBorder="1" applyAlignment="1">
      <alignment horizontal="center"/>
    </xf>
    <xf numFmtId="1" fontId="31" fillId="0" borderId="82" xfId="10" applyNumberFormat="1" applyFont="1" applyFill="1" applyBorder="1" applyAlignment="1">
      <alignment horizontal="center"/>
    </xf>
    <xf numFmtId="3" fontId="31" fillId="0" borderId="67" xfId="15" applyNumberFormat="1" applyFont="1" applyFill="1" applyBorder="1" applyAlignment="1">
      <alignment horizontal="center"/>
    </xf>
    <xf numFmtId="10" fontId="31" fillId="0" borderId="0" xfId="3" applyNumberFormat="1" applyFont="1" applyFill="1" applyBorder="1"/>
    <xf numFmtId="0" fontId="46" fillId="0" borderId="0" xfId="10" applyFont="1" applyFill="1" applyBorder="1"/>
    <xf numFmtId="1" fontId="31" fillId="0" borderId="0" xfId="10" applyNumberFormat="1" applyFont="1" applyFill="1" applyBorder="1" applyAlignment="1">
      <alignment horizontal="center"/>
    </xf>
    <xf numFmtId="0" fontId="28" fillId="0" borderId="26" xfId="10" applyFont="1" applyFill="1" applyBorder="1" applyAlignment="1">
      <alignment horizontal="center"/>
    </xf>
    <xf numFmtId="0" fontId="31" fillId="0" borderId="26" xfId="10" applyFont="1" applyFill="1" applyBorder="1" applyAlignment="1">
      <alignment horizontal="center"/>
    </xf>
    <xf numFmtId="1" fontId="31" fillId="0" borderId="26" xfId="10" applyNumberFormat="1" applyFont="1" applyFill="1" applyBorder="1" applyAlignment="1">
      <alignment horizontal="center"/>
    </xf>
    <xf numFmtId="3" fontId="28" fillId="0" borderId="45" xfId="15" applyNumberFormat="1" applyFont="1" applyFill="1" applyBorder="1" applyAlignment="1">
      <alignment horizontal="center"/>
    </xf>
    <xf numFmtId="0" fontId="28" fillId="0" borderId="33" xfId="10" applyFont="1" applyFill="1" applyBorder="1"/>
    <xf numFmtId="0" fontId="28" fillId="0" borderId="0" xfId="10" applyFont="1" applyFill="1" applyBorder="1"/>
    <xf numFmtId="0" fontId="31" fillId="0" borderId="37" xfId="10" applyFont="1" applyBorder="1"/>
    <xf numFmtId="0" fontId="31" fillId="0" borderId="13" xfId="10" applyFont="1" applyBorder="1"/>
    <xf numFmtId="0" fontId="31" fillId="0" borderId="13" xfId="10" applyFont="1" applyBorder="1" applyAlignment="1">
      <alignment horizontal="center"/>
    </xf>
    <xf numFmtId="4" fontId="31" fillId="0" borderId="73" xfId="10" applyNumberFormat="1" applyFont="1" applyBorder="1" applyAlignment="1">
      <alignment horizontal="center"/>
    </xf>
    <xf numFmtId="0" fontId="28" fillId="0" borderId="83" xfId="10" applyFont="1" applyFill="1" applyBorder="1"/>
    <xf numFmtId="0" fontId="28" fillId="0" borderId="84" xfId="10" applyFont="1" applyFill="1" applyBorder="1"/>
    <xf numFmtId="0" fontId="31" fillId="0" borderId="84" xfId="10" applyFont="1" applyBorder="1"/>
    <xf numFmtId="0" fontId="31" fillId="0" borderId="84" xfId="10" applyFont="1" applyBorder="1" applyAlignment="1">
      <alignment horizontal="center"/>
    </xf>
    <xf numFmtId="0" fontId="31" fillId="0" borderId="85" xfId="10" applyFont="1" applyBorder="1" applyAlignment="1">
      <alignment horizontal="center"/>
    </xf>
    <xf numFmtId="3" fontId="28" fillId="0" borderId="86" xfId="10" applyNumberFormat="1" applyFont="1" applyBorder="1" applyAlignment="1">
      <alignment horizontal="center"/>
    </xf>
    <xf numFmtId="0" fontId="22" fillId="0" borderId="0" xfId="10" applyFont="1" applyFill="1"/>
    <xf numFmtId="0" fontId="22" fillId="0" borderId="0" xfId="10" applyFont="1" applyFill="1" applyBorder="1" applyAlignment="1">
      <alignment horizontal="left"/>
    </xf>
    <xf numFmtId="3" fontId="22" fillId="0" borderId="0" xfId="10" applyNumberFormat="1" applyFont="1" applyFill="1" applyBorder="1"/>
    <xf numFmtId="0" fontId="31" fillId="0" borderId="0" xfId="0" applyFont="1" applyFill="1"/>
    <xf numFmtId="0" fontId="31" fillId="0" borderId="0" xfId="0" applyFont="1" applyFill="1" applyAlignment="1">
      <alignment horizontal="left"/>
    </xf>
    <xf numFmtId="2" fontId="28" fillId="0" borderId="0" xfId="0" applyNumberFormat="1" applyFont="1" applyFill="1" applyAlignment="1">
      <alignment horizontal="center"/>
    </xf>
    <xf numFmtId="4" fontId="31" fillId="0" borderId="0" xfId="0" applyNumberFormat="1" applyFont="1" applyFill="1"/>
    <xf numFmtId="0" fontId="31" fillId="0" borderId="0" xfId="0" applyFont="1" applyFill="1" applyAlignment="1">
      <alignment horizontal="center"/>
    </xf>
    <xf numFmtId="14" fontId="45" fillId="0" borderId="0" xfId="0" applyNumberFormat="1" applyFont="1" applyFill="1" applyAlignment="1">
      <alignment horizontal="left"/>
    </xf>
    <xf numFmtId="2" fontId="31" fillId="0" borderId="0" xfId="0" applyNumberFormat="1" applyFont="1" applyFill="1"/>
    <xf numFmtId="0" fontId="28" fillId="16" borderId="41" xfId="0" applyFont="1" applyFill="1" applyBorder="1" applyAlignment="1">
      <alignment horizontal="center" vertical="center"/>
    </xf>
    <xf numFmtId="0" fontId="28" fillId="16" borderId="21" xfId="0" applyFont="1" applyFill="1" applyBorder="1" applyAlignment="1">
      <alignment horizontal="center" vertical="center"/>
    </xf>
    <xf numFmtId="0" fontId="28" fillId="0" borderId="0" xfId="0" applyFont="1" applyFill="1"/>
    <xf numFmtId="0" fontId="28" fillId="0" borderId="75" xfId="0" applyFont="1" applyBorder="1" applyAlignment="1">
      <alignment vertical="center"/>
    </xf>
    <xf numFmtId="168" fontId="28" fillId="0" borderId="7" xfId="0" applyNumberFormat="1" applyFont="1" applyBorder="1" applyAlignment="1">
      <alignment horizontal="right" vertical="center"/>
    </xf>
    <xf numFmtId="0" fontId="28" fillId="0" borderId="16" xfId="0" applyFont="1" applyBorder="1" applyAlignment="1">
      <alignment horizontal="right"/>
    </xf>
    <xf numFmtId="0" fontId="31" fillId="0" borderId="0" xfId="0" applyFont="1" applyFill="1" applyBorder="1"/>
    <xf numFmtId="37" fontId="28" fillId="0" borderId="18" xfId="0" applyNumberFormat="1" applyFont="1" applyBorder="1"/>
    <xf numFmtId="3" fontId="28" fillId="0" borderId="41" xfId="0" applyNumberFormat="1" applyFont="1" applyBorder="1" applyAlignment="1">
      <alignment wrapText="1"/>
    </xf>
    <xf numFmtId="3" fontId="28" fillId="0" borderId="21" xfId="0" applyNumberFormat="1" applyFont="1" applyBorder="1" applyAlignment="1">
      <alignment horizontal="center" wrapText="1"/>
    </xf>
    <xf numFmtId="3" fontId="28" fillId="0" borderId="42" xfId="0" applyNumberFormat="1" applyFont="1" applyBorder="1" applyAlignment="1">
      <alignment horizontal="center" wrapText="1"/>
    </xf>
    <xf numFmtId="3" fontId="28" fillId="0" borderId="40" xfId="0" applyNumberFormat="1" applyFont="1" applyBorder="1"/>
    <xf numFmtId="168" fontId="31" fillId="0" borderId="16" xfId="0" applyNumberFormat="1" applyFont="1" applyBorder="1" applyAlignment="1">
      <alignment horizontal="left"/>
    </xf>
    <xf numFmtId="168" fontId="31" fillId="0" borderId="0" xfId="0" applyNumberFormat="1" applyFont="1" applyFill="1" applyBorder="1" applyAlignment="1">
      <alignment horizontal="right"/>
    </xf>
    <xf numFmtId="49" fontId="31" fillId="0" borderId="19" xfId="0" applyNumberFormat="1" applyFont="1" applyBorder="1" applyAlignment="1"/>
    <xf numFmtId="0" fontId="31" fillId="0" borderId="43" xfId="0" applyFont="1" applyBorder="1" applyAlignment="1">
      <alignment wrapText="1"/>
    </xf>
    <xf numFmtId="1" fontId="31" fillId="0" borderId="26" xfId="0" applyNumberFormat="1" applyFont="1" applyBorder="1" applyAlignment="1">
      <alignment horizontal="right" wrapText="1"/>
    </xf>
    <xf numFmtId="1" fontId="31" fillId="0" borderId="44" xfId="0" applyNumberFormat="1" applyFont="1" applyBorder="1" applyAlignment="1">
      <alignment horizontal="right" wrapText="1"/>
    </xf>
    <xf numFmtId="3" fontId="31" fillId="17" borderId="45" xfId="0" applyNumberFormat="1" applyFont="1" applyFill="1" applyBorder="1"/>
    <xf numFmtId="168" fontId="28" fillId="0" borderId="25" xfId="0" applyNumberFormat="1" applyFont="1" applyBorder="1" applyAlignment="1">
      <alignment horizontal="center"/>
    </xf>
    <xf numFmtId="49" fontId="28" fillId="0" borderId="26" xfId="0" quotePrefix="1" applyNumberFormat="1" applyFont="1" applyBorder="1" applyAlignment="1">
      <alignment horizontal="right"/>
    </xf>
    <xf numFmtId="49" fontId="31" fillId="0" borderId="32" xfId="0" applyNumberFormat="1" applyFont="1" applyBorder="1" applyAlignment="1"/>
    <xf numFmtId="6" fontId="28" fillId="0" borderId="0" xfId="0" applyNumberFormat="1" applyFont="1" applyBorder="1"/>
    <xf numFmtId="39" fontId="28" fillId="0" borderId="0" xfId="0" applyNumberFormat="1" applyFont="1" applyBorder="1"/>
    <xf numFmtId="6" fontId="28" fillId="0" borderId="18" xfId="0" applyNumberFormat="1" applyFont="1" applyBorder="1"/>
    <xf numFmtId="0" fontId="31" fillId="0" borderId="46" xfId="0" applyFont="1" applyBorder="1" applyAlignment="1">
      <alignment vertical="center" wrapText="1"/>
    </xf>
    <xf numFmtId="1" fontId="31" fillId="0" borderId="47" xfId="0" applyNumberFormat="1" applyFont="1" applyBorder="1" applyAlignment="1">
      <alignment horizontal="right" vertical="center" wrapText="1"/>
    </xf>
    <xf numFmtId="2" fontId="31" fillId="0" borderId="29" xfId="0" applyNumberFormat="1" applyFont="1" applyBorder="1" applyAlignment="1">
      <alignment horizontal="right"/>
    </xf>
    <xf numFmtId="49" fontId="31" fillId="0" borderId="30" xfId="0" applyNumberFormat="1" applyFont="1" applyBorder="1" applyAlignment="1"/>
    <xf numFmtId="0" fontId="31" fillId="0" borderId="16" xfId="0" applyFont="1" applyBorder="1"/>
    <xf numFmtId="37" fontId="31" fillId="0" borderId="0" xfId="0" applyNumberFormat="1" applyFont="1" applyBorder="1"/>
    <xf numFmtId="37" fontId="31" fillId="0" borderId="18" xfId="0" applyNumberFormat="1" applyFont="1" applyBorder="1"/>
    <xf numFmtId="0" fontId="31" fillId="0" borderId="46" xfId="0" applyFont="1" applyBorder="1" applyAlignment="1">
      <alignment wrapText="1"/>
    </xf>
    <xf numFmtId="1" fontId="31" fillId="0" borderId="47" xfId="0" applyNumberFormat="1" applyFont="1" applyBorder="1" applyAlignment="1">
      <alignment horizontal="right" wrapText="1"/>
    </xf>
    <xf numFmtId="0" fontId="28" fillId="0" borderId="33" xfId="0" applyFont="1" applyBorder="1" applyAlignment="1">
      <alignment horizontal="right"/>
    </xf>
    <xf numFmtId="0" fontId="31" fillId="0" borderId="19" xfId="0" applyFont="1" applyBorder="1" applyAlignment="1">
      <alignment horizontal="left"/>
    </xf>
    <xf numFmtId="0" fontId="31" fillId="0" borderId="34" xfId="0" applyFont="1" applyBorder="1"/>
    <xf numFmtId="10" fontId="31" fillId="0" borderId="35" xfId="0" applyNumberFormat="1" applyFont="1" applyBorder="1"/>
    <xf numFmtId="37" fontId="31" fillId="0" borderId="35" xfId="0" applyNumberFormat="1" applyFont="1" applyBorder="1"/>
    <xf numFmtId="6" fontId="31" fillId="0" borderId="36" xfId="0" applyNumberFormat="1" applyFont="1" applyBorder="1"/>
    <xf numFmtId="0" fontId="31" fillId="0" borderId="16" xfId="0" applyFont="1" applyFill="1" applyBorder="1" applyAlignment="1">
      <alignment horizontal="left"/>
    </xf>
    <xf numFmtId="167" fontId="31" fillId="0" borderId="0" xfId="0" applyNumberFormat="1" applyFont="1" applyFill="1" applyBorder="1"/>
    <xf numFmtId="2" fontId="31" fillId="0" borderId="19" xfId="0" applyNumberFormat="1" applyFont="1" applyFill="1" applyBorder="1"/>
    <xf numFmtId="0" fontId="28" fillId="0" borderId="34" xfId="0" applyFont="1" applyBorder="1"/>
    <xf numFmtId="37" fontId="28" fillId="0" borderId="35" xfId="0" applyNumberFormat="1" applyFont="1" applyBorder="1"/>
    <xf numFmtId="6" fontId="28" fillId="0" borderId="36" xfId="0" applyNumberFormat="1" applyFont="1" applyBorder="1"/>
    <xf numFmtId="0" fontId="31" fillId="17" borderId="46" xfId="16" applyFont="1" applyFill="1" applyBorder="1"/>
    <xf numFmtId="1" fontId="31" fillId="0" borderId="26" xfId="0" applyNumberFormat="1" applyFont="1" applyBorder="1" applyAlignment="1">
      <alignment horizontal="right" vertical="top" wrapText="1"/>
    </xf>
    <xf numFmtId="1" fontId="31" fillId="17" borderId="47" xfId="16" applyNumberFormat="1" applyFont="1" applyFill="1" applyBorder="1" applyAlignment="1">
      <alignment horizontal="right"/>
    </xf>
    <xf numFmtId="167" fontId="31" fillId="0" borderId="18" xfId="0" applyNumberFormat="1" applyFont="1" applyBorder="1"/>
    <xf numFmtId="0" fontId="31" fillId="17" borderId="87" xfId="16" applyFont="1" applyFill="1" applyBorder="1"/>
    <xf numFmtId="1" fontId="31" fillId="17" borderId="0" xfId="0" applyNumberFormat="1" applyFont="1" applyFill="1" applyBorder="1" applyAlignment="1">
      <alignment horizontal="right" wrapText="1"/>
    </xf>
    <xf numFmtId="1" fontId="31" fillId="17" borderId="82" xfId="16" applyNumberFormat="1" applyFont="1" applyFill="1" applyBorder="1" applyAlignment="1">
      <alignment horizontal="right"/>
    </xf>
    <xf numFmtId="3" fontId="31" fillId="17" borderId="45" xfId="0" applyNumberFormat="1" applyFont="1" applyFill="1" applyBorder="1" applyAlignment="1">
      <alignment horizontal="right"/>
    </xf>
    <xf numFmtId="10" fontId="31" fillId="0" borderId="0" xfId="3" applyNumberFormat="1" applyFont="1" applyBorder="1"/>
    <xf numFmtId="0" fontId="28" fillId="0" borderId="41" xfId="0" applyFont="1" applyBorder="1" applyAlignment="1">
      <alignment wrapText="1"/>
    </xf>
    <xf numFmtId="0" fontId="28" fillId="0" borderId="21" xfId="0" applyFont="1" applyBorder="1" applyAlignment="1">
      <alignment horizontal="right" wrapText="1"/>
    </xf>
    <xf numFmtId="0" fontId="28" fillId="0" borderId="42" xfId="0" applyFont="1" applyBorder="1" applyAlignment="1">
      <alignment horizontal="right" wrapText="1"/>
    </xf>
    <xf numFmtId="0" fontId="31" fillId="0" borderId="16" xfId="0" applyFont="1" applyFill="1" applyBorder="1"/>
    <xf numFmtId="0" fontId="31" fillId="0" borderId="18" xfId="0" applyFont="1" applyFill="1" applyBorder="1"/>
    <xf numFmtId="0" fontId="28" fillId="0" borderId="43" xfId="0" applyFont="1" applyBorder="1" applyAlignment="1">
      <alignment wrapText="1"/>
    </xf>
    <xf numFmtId="0" fontId="28" fillId="0" borderId="26" xfId="0" applyFont="1" applyBorder="1" applyAlignment="1">
      <alignment horizontal="right" wrapText="1"/>
    </xf>
    <xf numFmtId="0" fontId="28" fillId="0" borderId="48" xfId="0" applyFont="1" applyBorder="1" applyAlignment="1">
      <alignment horizontal="right" wrapText="1"/>
    </xf>
    <xf numFmtId="3" fontId="28" fillId="0" borderId="45" xfId="0" applyNumberFormat="1" applyFont="1" applyBorder="1"/>
    <xf numFmtId="0" fontId="28" fillId="0" borderId="28" xfId="0" applyFont="1" applyBorder="1"/>
    <xf numFmtId="37" fontId="28" fillId="0" borderId="29" xfId="0" applyNumberFormat="1" applyFont="1" applyBorder="1"/>
    <xf numFmtId="6" fontId="28" fillId="0" borderId="31" xfId="0" applyNumberFormat="1" applyFont="1" applyBorder="1"/>
    <xf numFmtId="0" fontId="31" fillId="0" borderId="87" xfId="0" applyFont="1" applyFill="1" applyBorder="1" applyAlignment="1">
      <alignment wrapText="1"/>
    </xf>
    <xf numFmtId="0" fontId="31" fillId="0" borderId="0" xfId="0" applyFont="1" applyFill="1" applyBorder="1" applyAlignment="1">
      <alignment horizontal="right" wrapText="1"/>
    </xf>
    <xf numFmtId="0" fontId="31" fillId="0" borderId="82" xfId="0" applyFont="1" applyFill="1" applyBorder="1" applyAlignment="1">
      <alignment horizontal="right" wrapText="1"/>
    </xf>
    <xf numFmtId="4" fontId="31" fillId="0" borderId="67" xfId="0" applyNumberFormat="1" applyFont="1" applyBorder="1"/>
    <xf numFmtId="0" fontId="31" fillId="0" borderId="68" xfId="0" applyFont="1" applyFill="1" applyBorder="1" applyAlignment="1">
      <alignment horizontal="left"/>
    </xf>
    <xf numFmtId="10" fontId="31" fillId="0" borderId="53" xfId="3" applyNumberFormat="1" applyFont="1" applyFill="1" applyBorder="1"/>
    <xf numFmtId="2" fontId="31" fillId="0" borderId="88" xfId="0" applyNumberFormat="1" applyFont="1" applyFill="1" applyBorder="1"/>
    <xf numFmtId="0" fontId="31" fillId="0" borderId="20" xfId="0" applyFont="1" applyBorder="1" applyAlignment="1"/>
    <xf numFmtId="10" fontId="31" fillId="0" borderId="22" xfId="3" applyNumberFormat="1" applyFont="1" applyBorder="1" applyAlignment="1"/>
    <xf numFmtId="0" fontId="28" fillId="0" borderId="23" xfId="0" applyFont="1" applyBorder="1" applyAlignment="1">
      <alignment horizontal="left" wrapText="1"/>
    </xf>
    <xf numFmtId="6" fontId="31" fillId="0" borderId="18" xfId="0" applyNumberFormat="1" applyFont="1" applyBorder="1"/>
    <xf numFmtId="0" fontId="28" fillId="0" borderId="0" xfId="0" applyFont="1" applyBorder="1" applyAlignment="1">
      <alignment wrapText="1"/>
    </xf>
    <xf numFmtId="10" fontId="28" fillId="0" borderId="0" xfId="3" applyNumberFormat="1" applyFont="1" applyBorder="1" applyAlignment="1">
      <alignment horizontal="right" wrapText="1"/>
    </xf>
    <xf numFmtId="0" fontId="28" fillId="0" borderId="0" xfId="0" applyFont="1" applyBorder="1" applyAlignment="1">
      <alignment horizontal="right" wrapText="1"/>
    </xf>
    <xf numFmtId="3" fontId="28" fillId="0" borderId="0" xfId="0" applyNumberFormat="1" applyFont="1" applyBorder="1"/>
    <xf numFmtId="10" fontId="31" fillId="0" borderId="0" xfId="9" applyNumberFormat="1" applyFont="1" applyFill="1" applyBorder="1" applyAlignment="1">
      <alignment horizontal="right"/>
    </xf>
    <xf numFmtId="0" fontId="31" fillId="0" borderId="0" xfId="0" applyFont="1" applyFill="1" applyBorder="1" applyAlignment="1">
      <alignment horizontal="left"/>
    </xf>
    <xf numFmtId="0" fontId="47" fillId="0" borderId="0" xfId="0" applyFont="1" applyBorder="1" applyAlignment="1">
      <alignment vertical="top"/>
    </xf>
    <xf numFmtId="172" fontId="31" fillId="0" borderId="0" xfId="1" applyNumberFormat="1" applyFont="1" applyFill="1"/>
    <xf numFmtId="2" fontId="31" fillId="0" borderId="0" xfId="0" applyNumberFormat="1" applyFont="1" applyBorder="1"/>
    <xf numFmtId="0" fontId="31" fillId="0" borderId="0" xfId="0" applyFont="1" applyBorder="1"/>
    <xf numFmtId="0" fontId="31" fillId="0" borderId="18" xfId="0" applyFont="1" applyBorder="1"/>
    <xf numFmtId="0" fontId="28" fillId="0" borderId="16" xfId="0" applyFont="1" applyBorder="1"/>
    <xf numFmtId="10" fontId="28" fillId="0" borderId="0" xfId="3" applyNumberFormat="1" applyFont="1" applyBorder="1"/>
    <xf numFmtId="0" fontId="28" fillId="0" borderId="0" xfId="0" applyFont="1" applyBorder="1"/>
    <xf numFmtId="7" fontId="28" fillId="0" borderId="0" xfId="0" applyNumberFormat="1" applyFont="1" applyBorder="1" applyAlignment="1">
      <alignment horizontal="right" wrapText="1"/>
    </xf>
    <xf numFmtId="0" fontId="28" fillId="0" borderId="0" xfId="0" applyFont="1" applyBorder="1" applyAlignment="1">
      <alignment horizontal="center" wrapText="1"/>
    </xf>
    <xf numFmtId="0" fontId="28" fillId="0" borderId="37" xfId="0" applyFont="1" applyBorder="1"/>
    <xf numFmtId="0" fontId="28" fillId="0" borderId="13" xfId="0" applyFont="1" applyBorder="1"/>
    <xf numFmtId="39" fontId="28" fillId="0" borderId="13" xfId="0" applyNumberFormat="1" applyFont="1" applyBorder="1"/>
    <xf numFmtId="7" fontId="28" fillId="13" borderId="38" xfId="0" applyNumberFormat="1" applyFont="1" applyFill="1" applyBorder="1"/>
    <xf numFmtId="0" fontId="47" fillId="0" borderId="0" xfId="0" applyFont="1" applyBorder="1" applyAlignment="1">
      <alignment horizontal="right" wrapText="1"/>
    </xf>
    <xf numFmtId="172" fontId="31" fillId="0" borderId="0" xfId="1" applyNumberFormat="1" applyFont="1" applyBorder="1" applyAlignment="1">
      <alignment horizontal="right" wrapText="1"/>
    </xf>
    <xf numFmtId="7" fontId="28" fillId="0" borderId="0" xfId="0" applyNumberFormat="1" applyFont="1" applyBorder="1" applyAlignment="1">
      <alignment horizontal="center" wrapText="1"/>
    </xf>
    <xf numFmtId="0" fontId="28" fillId="0" borderId="11" xfId="0" applyFont="1" applyBorder="1"/>
    <xf numFmtId="0" fontId="28" fillId="0" borderId="12" xfId="0" applyFont="1" applyBorder="1"/>
    <xf numFmtId="39" fontId="28" fillId="0" borderId="12" xfId="0" applyNumberFormat="1" applyFont="1" applyBorder="1"/>
    <xf numFmtId="7" fontId="28" fillId="12" borderId="15" xfId="0" applyNumberFormat="1" applyFont="1" applyFill="1" applyBorder="1"/>
    <xf numFmtId="0" fontId="47" fillId="0" borderId="0" xfId="0" applyFont="1" applyBorder="1" applyAlignment="1">
      <alignment vertical="top" wrapText="1"/>
    </xf>
    <xf numFmtId="0" fontId="47" fillId="0" borderId="0" xfId="0" applyFont="1" applyBorder="1" applyAlignment="1"/>
    <xf numFmtId="0" fontId="47" fillId="0" borderId="0" xfId="0" applyFont="1" applyBorder="1" applyAlignment="1">
      <alignment horizontal="right"/>
    </xf>
    <xf numFmtId="3" fontId="47" fillId="0" borderId="0" xfId="0" applyNumberFormat="1" applyFont="1" applyBorder="1" applyAlignment="1"/>
    <xf numFmtId="0" fontId="28" fillId="0" borderId="0" xfId="0" applyFont="1" applyFill="1" applyBorder="1"/>
    <xf numFmtId="0" fontId="28" fillId="0" borderId="8" xfId="0" applyFont="1" applyFill="1" applyBorder="1" applyAlignment="1">
      <alignment horizontal="center"/>
    </xf>
    <xf numFmtId="7" fontId="28" fillId="0" borderId="0" xfId="0" applyNumberFormat="1" applyFont="1" applyFill="1" applyBorder="1"/>
    <xf numFmtId="10" fontId="31" fillId="0" borderId="0" xfId="3" applyNumberFormat="1" applyFont="1" applyFill="1"/>
    <xf numFmtId="0" fontId="28" fillId="0" borderId="0" xfId="0" applyFont="1" applyBorder="1" applyAlignment="1"/>
    <xf numFmtId="3" fontId="28" fillId="0" borderId="0" xfId="0" applyNumberFormat="1" applyFont="1" applyBorder="1" applyAlignment="1"/>
    <xf numFmtId="0" fontId="28" fillId="23" borderId="20" xfId="0" applyFont="1" applyFill="1" applyBorder="1" applyAlignment="1">
      <alignment horizontal="center"/>
    </xf>
    <xf numFmtId="0" fontId="28" fillId="23" borderId="21" xfId="0" applyFont="1" applyFill="1" applyBorder="1" applyAlignment="1">
      <alignment horizontal="center"/>
    </xf>
    <xf numFmtId="0" fontId="28" fillId="23" borderId="22" xfId="0" applyFont="1" applyFill="1" applyBorder="1" applyAlignment="1">
      <alignment horizontal="center"/>
    </xf>
    <xf numFmtId="0" fontId="28" fillId="23" borderId="20" xfId="0" applyFont="1" applyFill="1" applyBorder="1" applyAlignment="1">
      <alignment horizontal="center" vertical="center"/>
    </xf>
    <xf numFmtId="0" fontId="28" fillId="23" borderId="21" xfId="0" applyFont="1" applyFill="1" applyBorder="1" applyAlignment="1">
      <alignment horizontal="center" vertical="center"/>
    </xf>
    <xf numFmtId="0" fontId="28" fillId="23" borderId="22" xfId="0" applyFont="1" applyFill="1" applyBorder="1" applyAlignment="1">
      <alignment horizontal="center" vertical="center"/>
    </xf>
    <xf numFmtId="0" fontId="28" fillId="23" borderId="41" xfId="0" applyFont="1" applyFill="1" applyBorder="1" applyAlignment="1">
      <alignment horizontal="center" vertical="center"/>
    </xf>
    <xf numFmtId="0" fontId="28" fillId="23" borderId="21" xfId="0" applyFont="1" applyFill="1" applyBorder="1" applyAlignment="1">
      <alignment horizontal="center" vertical="center"/>
    </xf>
    <xf numFmtId="0" fontId="28" fillId="23" borderId="40" xfId="0" applyFont="1" applyFill="1" applyBorder="1" applyAlignment="1">
      <alignment horizontal="center" wrapText="1"/>
    </xf>
    <xf numFmtId="37" fontId="28" fillId="0" borderId="0" xfId="0" applyNumberFormat="1" applyFont="1" applyBorder="1"/>
    <xf numFmtId="37" fontId="31" fillId="0" borderId="36" xfId="0" applyNumberFormat="1" applyFont="1" applyBorder="1"/>
    <xf numFmtId="37" fontId="28" fillId="0" borderId="36" xfId="0" applyNumberFormat="1" applyFont="1" applyBorder="1"/>
    <xf numFmtId="167" fontId="31" fillId="0" borderId="0" xfId="2" applyNumberFormat="1" applyFont="1" applyFill="1"/>
    <xf numFmtId="0" fontId="31" fillId="0" borderId="25" xfId="0" applyFont="1" applyBorder="1"/>
    <xf numFmtId="10" fontId="31" fillId="0" borderId="26" xfId="0" applyNumberFormat="1" applyFont="1" applyFill="1" applyBorder="1" applyAlignment="1">
      <alignment horizontal="right" vertical="center"/>
    </xf>
    <xf numFmtId="37" fontId="28" fillId="0" borderId="31" xfId="0" applyNumberFormat="1" applyFont="1" applyBorder="1"/>
    <xf numFmtId="0" fontId="31" fillId="0" borderId="46" xfId="0" applyFont="1" applyFill="1" applyBorder="1" applyAlignment="1">
      <alignment horizontal="left"/>
    </xf>
    <xf numFmtId="10" fontId="31" fillId="0" borderId="80" xfId="3" applyNumberFormat="1" applyFont="1" applyFill="1" applyBorder="1"/>
    <xf numFmtId="2" fontId="31" fillId="0" borderId="30" xfId="0" applyNumberFormat="1" applyFont="1" applyFill="1" applyBorder="1"/>
    <xf numFmtId="0" fontId="28" fillId="0" borderId="89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left"/>
    </xf>
    <xf numFmtId="0" fontId="28" fillId="0" borderId="20" xfId="0" applyFont="1" applyBorder="1"/>
    <xf numFmtId="0" fontId="28" fillId="0" borderId="21" xfId="0" applyFont="1" applyBorder="1"/>
    <xf numFmtId="39" fontId="28" fillId="0" borderId="21" xfId="0" applyNumberFormat="1" applyFont="1" applyBorder="1"/>
    <xf numFmtId="7" fontId="28" fillId="0" borderId="0" xfId="0" applyNumberFormat="1" applyFont="1" applyBorder="1" applyAlignment="1">
      <alignment wrapText="1"/>
    </xf>
    <xf numFmtId="39" fontId="28" fillId="0" borderId="0" xfId="0" applyNumberFormat="1" applyFont="1" applyFill="1" applyBorder="1"/>
    <xf numFmtId="0" fontId="28" fillId="24" borderId="20" xfId="0" applyFont="1" applyFill="1" applyBorder="1" applyAlignment="1">
      <alignment horizontal="center"/>
    </xf>
    <xf numFmtId="0" fontId="28" fillId="24" borderId="21" xfId="0" applyFont="1" applyFill="1" applyBorder="1" applyAlignment="1">
      <alignment horizontal="center"/>
    </xf>
    <xf numFmtId="0" fontId="28" fillId="24" borderId="22" xfId="0" applyFont="1" applyFill="1" applyBorder="1" applyAlignment="1">
      <alignment horizontal="center"/>
    </xf>
    <xf numFmtId="0" fontId="28" fillId="24" borderId="20" xfId="0" applyFont="1" applyFill="1" applyBorder="1" applyAlignment="1">
      <alignment horizontal="center" vertical="center"/>
    </xf>
    <xf numFmtId="0" fontId="28" fillId="24" borderId="21" xfId="0" applyFont="1" applyFill="1" applyBorder="1" applyAlignment="1">
      <alignment horizontal="center" vertical="center"/>
    </xf>
    <xf numFmtId="0" fontId="28" fillId="24" borderId="22" xfId="0" applyFont="1" applyFill="1" applyBorder="1" applyAlignment="1">
      <alignment horizontal="center" vertical="center"/>
    </xf>
    <xf numFmtId="0" fontId="28" fillId="24" borderId="41" xfId="0" applyFont="1" applyFill="1" applyBorder="1" applyAlignment="1">
      <alignment horizontal="center" vertical="center"/>
    </xf>
    <xf numFmtId="0" fontId="28" fillId="24" borderId="21" xfId="0" applyFont="1" applyFill="1" applyBorder="1" applyAlignment="1">
      <alignment horizontal="center" vertical="center"/>
    </xf>
    <xf numFmtId="0" fontId="28" fillId="24" borderId="40" xfId="0" applyFont="1" applyFill="1" applyBorder="1" applyAlignment="1">
      <alignment horizontal="center"/>
    </xf>
    <xf numFmtId="4" fontId="31" fillId="0" borderId="0" xfId="0" applyNumberFormat="1" applyFont="1" applyFill="1" applyBorder="1"/>
    <xf numFmtId="7" fontId="28" fillId="0" borderId="22" xfId="0" applyNumberFormat="1" applyFont="1" applyBorder="1"/>
    <xf numFmtId="7" fontId="28" fillId="12" borderId="23" xfId="0" applyNumberFormat="1" applyFont="1" applyFill="1" applyBorder="1"/>
    <xf numFmtId="0" fontId="25" fillId="0" borderId="0" xfId="17" applyFont="1" applyFill="1" applyBorder="1" applyAlignment="1"/>
    <xf numFmtId="0" fontId="25" fillId="0" borderId="0" xfId="17" applyFont="1" applyFill="1" applyBorder="1" applyAlignment="1">
      <alignment horizontal="left"/>
    </xf>
    <xf numFmtId="2" fontId="25" fillId="0" borderId="0" xfId="17" applyNumberFormat="1" applyFont="1" applyFill="1" applyBorder="1" applyAlignment="1"/>
    <xf numFmtId="4" fontId="25" fillId="0" borderId="0" xfId="17" applyNumberFormat="1" applyFont="1" applyFill="1" applyBorder="1" applyAlignment="1"/>
    <xf numFmtId="0" fontId="26" fillId="0" borderId="0" xfId="17" applyFont="1" applyFill="1" applyAlignment="1">
      <alignment horizontal="left"/>
    </xf>
    <xf numFmtId="0" fontId="48" fillId="0" borderId="0" xfId="17" applyFont="1" applyFill="1" applyAlignment="1">
      <alignment horizontal="left"/>
    </xf>
    <xf numFmtId="0" fontId="48" fillId="0" borderId="0" xfId="17" applyFont="1" applyFill="1" applyAlignment="1">
      <alignment horizontal="center"/>
    </xf>
    <xf numFmtId="0" fontId="48" fillId="0" borderId="0" xfId="17" applyFont="1" applyFill="1" applyAlignment="1">
      <alignment horizontal="left" wrapText="1"/>
    </xf>
    <xf numFmtId="0" fontId="25" fillId="0" borderId="0" xfId="17" applyFont="1" applyFill="1" applyAlignment="1">
      <alignment horizontal="left"/>
    </xf>
    <xf numFmtId="0" fontId="21" fillId="0" borderId="0" xfId="17" applyFont="1"/>
    <xf numFmtId="0" fontId="48" fillId="0" borderId="0" xfId="17" applyFont="1"/>
    <xf numFmtId="0" fontId="48" fillId="0" borderId="0" xfId="17" applyFont="1" applyAlignment="1">
      <alignment horizontal="center"/>
    </xf>
    <xf numFmtId="0" fontId="48" fillId="0" borderId="0" xfId="17" applyFont="1" applyAlignment="1">
      <alignment wrapText="1"/>
    </xf>
    <xf numFmtId="0" fontId="49" fillId="25" borderId="0" xfId="17" applyFont="1" applyFill="1" applyBorder="1"/>
    <xf numFmtId="0" fontId="49" fillId="0" borderId="0" xfId="17" applyFont="1" applyFill="1" applyBorder="1" applyAlignment="1">
      <alignment horizontal="left"/>
    </xf>
    <xf numFmtId="0" fontId="21" fillId="0" borderId="0" xfId="17" applyFont="1" applyFill="1" applyBorder="1"/>
    <xf numFmtId="2" fontId="21" fillId="0" borderId="0" xfId="17" applyNumberFormat="1" applyFont="1" applyFill="1" applyBorder="1" applyAlignment="1"/>
    <xf numFmtId="4" fontId="21" fillId="0" borderId="0" xfId="17" applyNumberFormat="1" applyFont="1" applyFill="1" applyBorder="1" applyAlignment="1"/>
    <xf numFmtId="0" fontId="21" fillId="0" borderId="0" xfId="17" applyFont="1" applyFill="1"/>
    <xf numFmtId="0" fontId="48" fillId="0" borderId="0" xfId="17" applyFont="1" applyFill="1"/>
    <xf numFmtId="0" fontId="22" fillId="0" borderId="0" xfId="17" applyFont="1" applyFill="1"/>
    <xf numFmtId="0" fontId="22" fillId="0" borderId="0" xfId="17" applyFont="1" applyFill="1" applyAlignment="1">
      <alignment horizontal="center"/>
    </xf>
    <xf numFmtId="0" fontId="22" fillId="0" borderId="0" xfId="17" applyFont="1" applyFill="1" applyAlignment="1">
      <alignment wrapText="1"/>
    </xf>
    <xf numFmtId="0" fontId="49" fillId="0" borderId="47" xfId="17" applyFont="1" applyFill="1" applyBorder="1" applyAlignment="1"/>
    <xf numFmtId="0" fontId="21" fillId="0" borderId="79" xfId="17" applyFont="1" applyFill="1" applyBorder="1" applyAlignment="1">
      <alignment horizontal="left"/>
    </xf>
    <xf numFmtId="0" fontId="21" fillId="0" borderId="79" xfId="17" applyFont="1" applyFill="1" applyBorder="1" applyAlignment="1">
      <alignment horizontal="center"/>
    </xf>
    <xf numFmtId="2" fontId="21" fillId="0" borderId="79" xfId="17" applyNumberFormat="1" applyFont="1" applyFill="1" applyBorder="1" applyAlignment="1">
      <alignment horizontal="center"/>
    </xf>
    <xf numFmtId="4" fontId="21" fillId="0" borderId="79" xfId="17" applyNumberFormat="1" applyFont="1" applyFill="1" applyBorder="1" applyAlignment="1">
      <alignment horizontal="center"/>
    </xf>
    <xf numFmtId="0" fontId="22" fillId="0" borderId="0" xfId="17" applyFont="1" applyFill="1" applyBorder="1"/>
    <xf numFmtId="173" fontId="49" fillId="0" borderId="82" xfId="18" applyNumberFormat="1" applyFont="1" applyFill="1" applyBorder="1"/>
    <xf numFmtId="173" fontId="21" fillId="0" borderId="52" xfId="18" applyNumberFormat="1" applyFont="1" applyFill="1" applyBorder="1" applyAlignment="1">
      <alignment horizontal="left"/>
    </xf>
    <xf numFmtId="172" fontId="21" fillId="0" borderId="90" xfId="18" applyNumberFormat="1" applyFont="1" applyFill="1" applyBorder="1"/>
    <xf numFmtId="2" fontId="21" fillId="0" borderId="90" xfId="18" applyNumberFormat="1" applyFont="1" applyFill="1" applyBorder="1"/>
    <xf numFmtId="4" fontId="21" fillId="0" borderId="90" xfId="18" applyNumberFormat="1" applyFont="1" applyFill="1" applyBorder="1"/>
    <xf numFmtId="0" fontId="21" fillId="0" borderId="90" xfId="17" applyFont="1" applyFill="1" applyBorder="1"/>
    <xf numFmtId="0" fontId="13" fillId="26" borderId="6" xfId="0" applyFont="1" applyFill="1" applyBorder="1" applyAlignment="1">
      <alignment horizontal="center" vertical="center"/>
    </xf>
    <xf numFmtId="0" fontId="13" fillId="26" borderId="8" xfId="0" applyFont="1" applyFill="1" applyBorder="1" applyAlignment="1">
      <alignment horizontal="center" vertical="center"/>
    </xf>
    <xf numFmtId="0" fontId="13" fillId="26" borderId="9" xfId="0" applyFont="1" applyFill="1" applyBorder="1" applyAlignment="1">
      <alignment horizontal="center" vertical="center"/>
    </xf>
    <xf numFmtId="0" fontId="13" fillId="27" borderId="20" xfId="0" applyNumberFormat="1" applyFont="1" applyFill="1" applyBorder="1" applyAlignment="1" applyProtection="1">
      <alignment horizontal="center"/>
    </xf>
    <xf numFmtId="0" fontId="13" fillId="27" borderId="21" xfId="0" applyNumberFormat="1" applyFont="1" applyFill="1" applyBorder="1" applyAlignment="1" applyProtection="1">
      <alignment horizontal="center"/>
    </xf>
    <xf numFmtId="0" fontId="13" fillId="27" borderId="22" xfId="0" applyNumberFormat="1" applyFont="1" applyFill="1" applyBorder="1" applyAlignment="1" applyProtection="1">
      <alignment horizontal="center"/>
    </xf>
    <xf numFmtId="173" fontId="21" fillId="0" borderId="48" xfId="18" applyNumberFormat="1" applyFont="1" applyFill="1" applyBorder="1" applyAlignment="1">
      <alignment horizontal="left"/>
    </xf>
    <xf numFmtId="2" fontId="21" fillId="0" borderId="50" xfId="18" applyNumberFormat="1" applyFont="1" applyFill="1" applyBorder="1"/>
    <xf numFmtId="4" fontId="21" fillId="0" borderId="50" xfId="18" applyNumberFormat="1" applyFont="1" applyFill="1" applyBorder="1"/>
    <xf numFmtId="0" fontId="21" fillId="0" borderId="50" xfId="17" applyFont="1" applyFill="1" applyBorder="1"/>
    <xf numFmtId="0" fontId="22" fillId="0" borderId="6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3" fontId="22" fillId="0" borderId="8" xfId="0" applyNumberFormat="1" applyFont="1" applyBorder="1" applyAlignment="1">
      <alignment horizontal="center"/>
    </xf>
    <xf numFmtId="3" fontId="22" fillId="0" borderId="9" xfId="0" applyNumberFormat="1" applyFont="1" applyBorder="1" applyAlignment="1">
      <alignment horizontal="center"/>
    </xf>
    <xf numFmtId="168" fontId="13" fillId="0" borderId="6" xfId="0" applyNumberFormat="1" applyFont="1" applyBorder="1" applyAlignment="1">
      <alignment horizontal="center" vertical="center"/>
    </xf>
    <xf numFmtId="168" fontId="13" fillId="0" borderId="8" xfId="0" applyNumberFormat="1" applyFont="1" applyBorder="1" applyAlignment="1">
      <alignment horizontal="center" vertical="center"/>
    </xf>
    <xf numFmtId="0" fontId="13" fillId="17" borderId="10" xfId="0" applyFont="1" applyFill="1" applyBorder="1" applyAlignment="1">
      <alignment horizontal="center" vertical="center" wrapText="1"/>
    </xf>
    <xf numFmtId="173" fontId="21" fillId="0" borderId="82" xfId="18" applyNumberFormat="1" applyFont="1" applyFill="1" applyBorder="1"/>
    <xf numFmtId="173" fontId="21" fillId="0" borderId="81" xfId="18" applyNumberFormat="1" applyFont="1" applyFill="1" applyBorder="1" applyAlignment="1">
      <alignment horizontal="left"/>
    </xf>
    <xf numFmtId="172" fontId="21" fillId="0" borderId="47" xfId="18" applyNumberFormat="1" applyFont="1" applyFill="1" applyBorder="1"/>
    <xf numFmtId="0" fontId="21" fillId="0" borderId="50" xfId="17" applyFont="1" applyFill="1" applyBorder="1" applyAlignment="1">
      <alignment wrapText="1"/>
    </xf>
    <xf numFmtId="169" fontId="31" fillId="0" borderId="44" xfId="0" applyNumberFormat="1" applyFont="1" applyBorder="1" applyAlignment="1">
      <alignment horizontal="right" wrapText="1"/>
    </xf>
    <xf numFmtId="0" fontId="22" fillId="0" borderId="11" xfId="0" applyFont="1" applyBorder="1"/>
    <xf numFmtId="168" fontId="40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168" fontId="13" fillId="0" borderId="14" xfId="0" applyNumberFormat="1" applyFont="1" applyBorder="1" applyAlignment="1">
      <alignment horizontal="right"/>
    </xf>
    <xf numFmtId="168" fontId="31" fillId="0" borderId="6" xfId="0" applyNumberFormat="1" applyFont="1" applyBorder="1" applyAlignment="1">
      <alignment horizontal="left"/>
    </xf>
    <xf numFmtId="168" fontId="31" fillId="0" borderId="8" xfId="0" applyNumberFormat="1" applyFont="1" applyFill="1" applyBorder="1" applyAlignment="1">
      <alignment horizontal="center"/>
    </xf>
    <xf numFmtId="0" fontId="31" fillId="0" borderId="65" xfId="0" applyFont="1" applyFill="1" applyBorder="1"/>
    <xf numFmtId="173" fontId="21" fillId="0" borderId="48" xfId="18" applyNumberFormat="1" applyFont="1" applyFill="1" applyBorder="1"/>
    <xf numFmtId="173" fontId="21" fillId="0" borderId="50" xfId="18" applyNumberFormat="1" applyFont="1" applyFill="1" applyBorder="1"/>
    <xf numFmtId="172" fontId="21" fillId="0" borderId="50" xfId="18" applyNumberFormat="1" applyFont="1" applyFill="1" applyBorder="1"/>
    <xf numFmtId="169" fontId="31" fillId="0" borderId="47" xfId="0" applyNumberFormat="1" applyFont="1" applyBorder="1" applyAlignment="1">
      <alignment horizontal="right" vertical="center" wrapText="1"/>
    </xf>
    <xf numFmtId="168" fontId="22" fillId="0" borderId="6" xfId="0" applyNumberFormat="1" applyFont="1" applyBorder="1"/>
    <xf numFmtId="0" fontId="40" fillId="0" borderId="8" xfId="0" applyFont="1" applyBorder="1" applyAlignment="1">
      <alignment horizontal="center"/>
    </xf>
    <xf numFmtId="168" fontId="22" fillId="0" borderId="8" xfId="0" applyNumberFormat="1" applyFont="1" applyBorder="1"/>
    <xf numFmtId="2" fontId="22" fillId="0" borderId="8" xfId="0" applyNumberFormat="1" applyFont="1" applyFill="1" applyBorder="1" applyAlignment="1">
      <alignment horizontal="center"/>
    </xf>
    <xf numFmtId="168" fontId="22" fillId="0" borderId="9" xfId="0" applyNumberFormat="1" applyFont="1" applyBorder="1"/>
    <xf numFmtId="168" fontId="31" fillId="0" borderId="11" xfId="0" applyNumberFormat="1" applyFont="1" applyBorder="1" applyAlignment="1"/>
    <xf numFmtId="168" fontId="31" fillId="0" borderId="12" xfId="0" applyNumberFormat="1" applyFont="1" applyFill="1" applyBorder="1" applyAlignment="1">
      <alignment horizontal="center"/>
    </xf>
    <xf numFmtId="2" fontId="31" fillId="0" borderId="74" xfId="0" applyNumberFormat="1" applyFont="1" applyFill="1" applyBorder="1"/>
    <xf numFmtId="173" fontId="21" fillId="0" borderId="90" xfId="18" applyNumberFormat="1" applyFont="1" applyFill="1" applyBorder="1" applyAlignment="1">
      <alignment horizontal="left"/>
    </xf>
    <xf numFmtId="2" fontId="31" fillId="0" borderId="47" xfId="0" applyNumberFormat="1" applyFont="1" applyBorder="1" applyAlignment="1">
      <alignment horizontal="right" wrapText="1"/>
    </xf>
    <xf numFmtId="0" fontId="40" fillId="0" borderId="0" xfId="0" applyFont="1" applyBorder="1" applyAlignment="1">
      <alignment horizontal="center"/>
    </xf>
    <xf numFmtId="2" fontId="22" fillId="0" borderId="26" xfId="0" applyNumberFormat="1" applyFont="1" applyFill="1" applyBorder="1" applyAlignment="1">
      <alignment horizontal="center"/>
    </xf>
    <xf numFmtId="168" fontId="22" fillId="0" borderId="51" xfId="0" applyNumberFormat="1" applyFont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2" fillId="0" borderId="74" xfId="0" applyFont="1" applyBorder="1" applyAlignment="1">
      <alignment horizontal="left" wrapText="1"/>
    </xf>
    <xf numFmtId="173" fontId="49" fillId="0" borderId="48" xfId="18" applyNumberFormat="1" applyFont="1" applyFill="1" applyBorder="1"/>
    <xf numFmtId="173" fontId="21" fillId="0" borderId="50" xfId="18" applyNumberFormat="1" applyFont="1" applyFill="1" applyBorder="1" applyAlignment="1">
      <alignment horizontal="left"/>
    </xf>
    <xf numFmtId="9" fontId="21" fillId="0" borderId="50" xfId="19" applyFont="1" applyFill="1" applyBorder="1"/>
    <xf numFmtId="0" fontId="21" fillId="0" borderId="50" xfId="17" applyFont="1" applyFill="1" applyBorder="1" applyAlignment="1">
      <alignment horizontal="left"/>
    </xf>
    <xf numFmtId="0" fontId="22" fillId="0" borderId="16" xfId="0" applyFont="1" applyBorder="1" applyAlignment="1">
      <alignment horizontal="right"/>
    </xf>
    <xf numFmtId="168" fontId="22" fillId="0" borderId="0" xfId="0" applyNumberFormat="1" applyFont="1" applyBorder="1" applyAlignment="1">
      <alignment horizontal="center"/>
    </xf>
    <xf numFmtId="168" fontId="22" fillId="0" borderId="36" xfId="0" applyNumberFormat="1" applyFont="1" applyBorder="1"/>
    <xf numFmtId="0" fontId="31" fillId="0" borderId="65" xfId="0" applyFont="1" applyBorder="1" applyAlignment="1">
      <alignment horizontal="left"/>
    </xf>
    <xf numFmtId="0" fontId="28" fillId="0" borderId="91" xfId="0" applyFont="1" applyBorder="1" applyAlignment="1">
      <alignment wrapText="1"/>
    </xf>
    <xf numFmtId="0" fontId="28" fillId="0" borderId="12" xfId="0" applyFont="1" applyBorder="1" applyAlignment="1">
      <alignment horizontal="right" wrapText="1"/>
    </xf>
    <xf numFmtId="0" fontId="28" fillId="0" borderId="92" xfId="0" applyFont="1" applyBorder="1" applyAlignment="1">
      <alignment horizontal="right" wrapText="1"/>
    </xf>
    <xf numFmtId="3" fontId="28" fillId="12" borderId="74" xfId="0" applyNumberFormat="1" applyFont="1" applyFill="1" applyBorder="1"/>
    <xf numFmtId="0" fontId="22" fillId="0" borderId="34" xfId="0" applyFont="1" applyFill="1" applyBorder="1"/>
    <xf numFmtId="10" fontId="22" fillId="0" borderId="35" xfId="0" applyNumberFormat="1" applyFont="1" applyFill="1" applyBorder="1" applyAlignment="1">
      <alignment horizontal="center" vertical="center"/>
    </xf>
    <xf numFmtId="10" fontId="22" fillId="0" borderId="35" xfId="0" applyNumberFormat="1" applyFont="1" applyBorder="1" applyAlignment="1"/>
    <xf numFmtId="0" fontId="22" fillId="0" borderId="35" xfId="0" applyFont="1" applyBorder="1" applyAlignment="1">
      <alignment horizontal="center"/>
    </xf>
    <xf numFmtId="2" fontId="31" fillId="0" borderId="67" xfId="0" applyNumberFormat="1" applyFont="1" applyFill="1" applyBorder="1"/>
    <xf numFmtId="0" fontId="13" fillId="0" borderId="11" xfId="0" applyFont="1" applyBorder="1" applyAlignment="1">
      <alignment horizontal="left"/>
    </xf>
    <xf numFmtId="9" fontId="13" fillId="0" borderId="12" xfId="0" applyNumberFormat="1" applyFont="1" applyBorder="1" applyAlignment="1">
      <alignment horizontal="center"/>
    </xf>
    <xf numFmtId="10" fontId="13" fillId="0" borderId="12" xfId="3" applyNumberFormat="1" applyFont="1" applyBorder="1"/>
    <xf numFmtId="174" fontId="13" fillId="0" borderId="12" xfId="0" applyNumberFormat="1" applyFont="1" applyBorder="1" applyAlignment="1">
      <alignment horizontal="center"/>
    </xf>
    <xf numFmtId="168" fontId="13" fillId="0" borderId="14" xfId="0" applyNumberFormat="1" applyFont="1" applyBorder="1"/>
    <xf numFmtId="0" fontId="49" fillId="0" borderId="82" xfId="17" applyFont="1" applyFill="1" applyBorder="1"/>
    <xf numFmtId="0" fontId="21" fillId="0" borderId="48" xfId="17" applyFont="1" applyFill="1" applyBorder="1" applyAlignment="1">
      <alignment horizontal="left"/>
    </xf>
    <xf numFmtId="174" fontId="21" fillId="0" borderId="50" xfId="17" applyNumberFormat="1" applyFont="1" applyFill="1" applyBorder="1"/>
    <xf numFmtId="2" fontId="21" fillId="0" borderId="50" xfId="17" applyNumberFormat="1" applyFont="1" applyFill="1" applyBorder="1"/>
    <xf numFmtId="4" fontId="21" fillId="0" borderId="50" xfId="17" applyNumberFormat="1" applyFont="1" applyFill="1" applyBorder="1"/>
    <xf numFmtId="0" fontId="22" fillId="0" borderId="16" xfId="0" applyFont="1" applyBorder="1" applyAlignment="1">
      <alignment horizontal="left"/>
    </xf>
    <xf numFmtId="9" fontId="22" fillId="0" borderId="0" xfId="0" applyNumberFormat="1" applyFont="1" applyBorder="1" applyAlignment="1">
      <alignment horizontal="center"/>
    </xf>
    <xf numFmtId="174" fontId="22" fillId="0" borderId="0" xfId="0" applyNumberFormat="1" applyFont="1" applyBorder="1" applyAlignment="1">
      <alignment horizontal="center"/>
    </xf>
    <xf numFmtId="168" fontId="22" fillId="0" borderId="18" xfId="0" applyNumberFormat="1" applyFont="1" applyBorder="1"/>
    <xf numFmtId="0" fontId="21" fillId="0" borderId="48" xfId="17" applyFont="1" applyFill="1" applyBorder="1"/>
    <xf numFmtId="0" fontId="31" fillId="0" borderId="6" xfId="0" applyFont="1" applyFill="1" applyBorder="1" applyAlignment="1">
      <alignment horizontal="left"/>
    </xf>
    <xf numFmtId="10" fontId="31" fillId="0" borderId="8" xfId="0" applyNumberFormat="1" applyFont="1" applyFill="1" applyBorder="1" applyAlignment="1">
      <alignment horizontal="right" vertical="center"/>
    </xf>
    <xf numFmtId="0" fontId="31" fillId="0" borderId="65" xfId="0" applyFont="1" applyFill="1" applyBorder="1" applyAlignment="1">
      <alignment horizontal="left"/>
    </xf>
    <xf numFmtId="0" fontId="21" fillId="0" borderId="82" xfId="17" applyFont="1" applyBorder="1" applyAlignment="1">
      <alignment horizontal="left" indent="1"/>
    </xf>
    <xf numFmtId="0" fontId="21" fillId="0" borderId="90" xfId="17" applyFont="1" applyBorder="1" applyAlignment="1">
      <alignment horizontal="left"/>
    </xf>
    <xf numFmtId="44" fontId="22" fillId="0" borderId="90" xfId="20" applyFont="1" applyBorder="1"/>
    <xf numFmtId="2" fontId="21" fillId="0" borderId="90" xfId="17" applyNumberFormat="1" applyFont="1" applyBorder="1"/>
    <xf numFmtId="4" fontId="21" fillId="0" borderId="90" xfId="17" applyNumberFormat="1" applyFont="1" applyFill="1" applyBorder="1"/>
    <xf numFmtId="9" fontId="22" fillId="0" borderId="0" xfId="0" applyNumberFormat="1" applyFont="1" applyFill="1" applyBorder="1" applyAlignment="1">
      <alignment horizontal="center" vertical="center"/>
    </xf>
    <xf numFmtId="167" fontId="22" fillId="0" borderId="0" xfId="0" applyNumberFormat="1" applyFont="1" applyBorder="1" applyAlignment="1">
      <alignment horizontal="center"/>
    </xf>
    <xf numFmtId="2" fontId="31" fillId="0" borderId="66" xfId="0" applyNumberFormat="1" applyFont="1" applyFill="1" applyBorder="1"/>
    <xf numFmtId="0" fontId="49" fillId="0" borderId="48" xfId="17" applyFont="1" applyBorder="1" applyAlignment="1"/>
    <xf numFmtId="0" fontId="21" fillId="0" borderId="50" xfId="17" applyFont="1" applyBorder="1" applyAlignment="1">
      <alignment horizontal="left"/>
    </xf>
    <xf numFmtId="0" fontId="21" fillId="0" borderId="50" xfId="17" applyFont="1" applyBorder="1" applyAlignment="1"/>
    <xf numFmtId="2" fontId="21" fillId="0" borderId="50" xfId="17" applyNumberFormat="1" applyFont="1" applyBorder="1"/>
    <xf numFmtId="0" fontId="22" fillId="0" borderId="28" xfId="0" applyFont="1" applyBorder="1"/>
    <xf numFmtId="0" fontId="22" fillId="0" borderId="29" xfId="0" applyFont="1" applyBorder="1" applyAlignment="1">
      <alignment horizontal="center"/>
    </xf>
    <xf numFmtId="0" fontId="22" fillId="0" borderId="29" xfId="0" applyFont="1" applyBorder="1"/>
    <xf numFmtId="174" fontId="22" fillId="0" borderId="29" xfId="0" applyNumberFormat="1" applyFont="1" applyBorder="1" applyAlignment="1">
      <alignment horizontal="center"/>
    </xf>
    <xf numFmtId="168" fontId="13" fillId="0" borderId="31" xfId="0" applyNumberFormat="1" applyFont="1" applyBorder="1"/>
    <xf numFmtId="9" fontId="22" fillId="0" borderId="0" xfId="17" applyNumberFormat="1" applyFont="1" applyFill="1"/>
    <xf numFmtId="10" fontId="31" fillId="0" borderId="0" xfId="3" applyNumberFormat="1" applyFont="1" applyBorder="1" applyAlignment="1">
      <alignment horizontal="right"/>
    </xf>
    <xf numFmtId="0" fontId="31" fillId="0" borderId="67" xfId="0" applyFont="1" applyFill="1" applyBorder="1" applyAlignment="1">
      <alignment horizontal="left"/>
    </xf>
    <xf numFmtId="0" fontId="21" fillId="0" borderId="0" xfId="17" applyFont="1" applyAlignment="1">
      <alignment horizontal="left" indent="1"/>
    </xf>
    <xf numFmtId="0" fontId="21" fillId="0" borderId="0" xfId="17" applyFont="1" applyAlignment="1">
      <alignment horizontal="left"/>
    </xf>
    <xf numFmtId="2" fontId="21" fillId="0" borderId="0" xfId="17" applyNumberFormat="1" applyFont="1" applyFill="1"/>
    <xf numFmtId="4" fontId="21" fillId="0" borderId="0" xfId="17" applyNumberFormat="1" applyFont="1" applyFill="1"/>
    <xf numFmtId="10" fontId="21" fillId="0" borderId="0" xfId="17" applyNumberFormat="1" applyFont="1" applyFill="1"/>
    <xf numFmtId="10" fontId="22" fillId="0" borderId="0" xfId="0" applyNumberFormat="1" applyFont="1" applyBorder="1" applyAlignment="1">
      <alignment horizontal="center"/>
    </xf>
    <xf numFmtId="0" fontId="31" fillId="0" borderId="11" xfId="0" applyFont="1" applyFill="1" applyBorder="1" applyAlignment="1">
      <alignment horizontal="left"/>
    </xf>
    <xf numFmtId="10" fontId="22" fillId="0" borderId="12" xfId="0" applyNumberFormat="1" applyFont="1" applyFill="1" applyBorder="1" applyAlignment="1">
      <alignment horizontal="center" vertical="center"/>
    </xf>
    <xf numFmtId="0" fontId="31" fillId="0" borderId="74" xfId="0" applyFont="1" applyFill="1" applyBorder="1" applyAlignment="1">
      <alignment horizontal="left"/>
    </xf>
    <xf numFmtId="0" fontId="49" fillId="25" borderId="0" xfId="17" applyFont="1" applyFill="1"/>
    <xf numFmtId="0" fontId="21" fillId="0" borderId="0" xfId="17" applyFont="1" applyFill="1" applyAlignment="1">
      <alignment horizontal="left"/>
    </xf>
    <xf numFmtId="0" fontId="49" fillId="25" borderId="0" xfId="17" applyFont="1" applyFill="1" applyBorder="1" applyAlignment="1">
      <alignment horizontal="left"/>
    </xf>
    <xf numFmtId="0" fontId="21" fillId="0" borderId="0" xfId="17" applyFont="1" applyFill="1" applyBorder="1" applyAlignment="1">
      <alignment horizontal="left"/>
    </xf>
    <xf numFmtId="10" fontId="22" fillId="0" borderId="12" xfId="21" applyNumberFormat="1" applyFont="1" applyBorder="1" applyAlignment="1">
      <alignment horizontal="center"/>
    </xf>
    <xf numFmtId="10" fontId="22" fillId="0" borderId="12" xfId="0" applyNumberFormat="1" applyFont="1" applyBorder="1" applyAlignment="1"/>
    <xf numFmtId="174" fontId="22" fillId="0" borderId="12" xfId="0" applyNumberFormat="1" applyFont="1" applyBorder="1" applyAlignment="1">
      <alignment horizontal="center"/>
    </xf>
    <xf numFmtId="168" fontId="22" fillId="0" borderId="14" xfId="0" applyNumberFormat="1" applyFont="1" applyBorder="1"/>
    <xf numFmtId="0" fontId="21" fillId="0" borderId="80" xfId="17" applyFont="1" applyFill="1" applyBorder="1"/>
    <xf numFmtId="0" fontId="21" fillId="0" borderId="47" xfId="17" applyFont="1" applyFill="1" applyBorder="1" applyAlignment="1">
      <alignment horizontal="left"/>
    </xf>
    <xf numFmtId="0" fontId="21" fillId="0" borderId="29" xfId="17" applyFont="1" applyFill="1" applyBorder="1"/>
    <xf numFmtId="2" fontId="21" fillId="0" borderId="29" xfId="17" applyNumberFormat="1" applyFont="1" applyFill="1" applyBorder="1"/>
    <xf numFmtId="2" fontId="21" fillId="0" borderId="79" xfId="17" applyNumberFormat="1" applyFont="1" applyFill="1" applyBorder="1"/>
    <xf numFmtId="0" fontId="21" fillId="0" borderId="79" xfId="17" applyFont="1" applyBorder="1"/>
    <xf numFmtId="4" fontId="21" fillId="0" borderId="47" xfId="17" applyNumberFormat="1" applyFont="1" applyBorder="1"/>
    <xf numFmtId="4" fontId="21" fillId="0" borderId="0" xfId="17" applyNumberFormat="1" applyFont="1" applyFill="1" applyBorder="1"/>
    <xf numFmtId="0" fontId="13" fillId="0" borderId="0" xfId="0" applyFont="1" applyBorder="1" applyAlignment="1">
      <alignment horizontal="center"/>
    </xf>
    <xf numFmtId="174" fontId="13" fillId="0" borderId="0" xfId="0" applyNumberFormat="1" applyFont="1" applyBorder="1" applyAlignment="1">
      <alignment horizontal="center"/>
    </xf>
    <xf numFmtId="168" fontId="13" fillId="0" borderId="18" xfId="0" applyNumberFormat="1" applyFont="1" applyBorder="1"/>
    <xf numFmtId="0" fontId="21" fillId="0" borderId="24" xfId="17" applyFont="1" applyFill="1" applyBorder="1"/>
    <xf numFmtId="0" fontId="21" fillId="0" borderId="82" xfId="17" applyFont="1" applyFill="1" applyBorder="1" applyAlignment="1">
      <alignment horizontal="left"/>
    </xf>
    <xf numFmtId="2" fontId="21" fillId="0" borderId="0" xfId="17" applyNumberFormat="1" applyFont="1" applyFill="1" applyBorder="1"/>
    <xf numFmtId="2" fontId="21" fillId="0" borderId="90" xfId="17" applyNumberFormat="1" applyFont="1" applyFill="1" applyBorder="1"/>
    <xf numFmtId="0" fontId="13" fillId="27" borderId="20" xfId="0" applyFont="1" applyFill="1" applyBorder="1"/>
    <xf numFmtId="10" fontId="13" fillId="27" borderId="21" xfId="0" applyNumberFormat="1" applyFont="1" applyFill="1" applyBorder="1" applyAlignment="1">
      <alignment horizontal="center"/>
    </xf>
    <xf numFmtId="10" fontId="13" fillId="27" borderId="21" xfId="0" applyNumberFormat="1" applyFont="1" applyFill="1" applyBorder="1"/>
    <xf numFmtId="0" fontId="13" fillId="27" borderId="21" xfId="0" applyFont="1" applyFill="1" applyBorder="1" applyAlignment="1">
      <alignment horizontal="center"/>
    </xf>
    <xf numFmtId="166" fontId="13" fillId="27" borderId="22" xfId="0" applyNumberFormat="1" applyFont="1" applyFill="1" applyBorder="1"/>
    <xf numFmtId="10" fontId="22" fillId="0" borderId="0" xfId="17" applyNumberFormat="1" applyFont="1" applyFill="1" applyAlignment="1">
      <alignment horizontal="center"/>
    </xf>
    <xf numFmtId="10" fontId="22" fillId="0" borderId="0" xfId="17" applyNumberFormat="1" applyFont="1" applyFill="1"/>
    <xf numFmtId="0" fontId="13" fillId="0" borderId="16" xfId="0" applyFont="1" applyFill="1" applyBorder="1" applyAlignment="1">
      <alignment horizontal="right"/>
    </xf>
    <xf numFmtId="0" fontId="13" fillId="0" borderId="0" xfId="0" applyFont="1" applyFill="1" applyBorder="1" applyAlignment="1"/>
    <xf numFmtId="10" fontId="13" fillId="0" borderId="0" xfId="0" applyNumberFormat="1" applyFont="1" applyFill="1" applyBorder="1" applyAlignment="1">
      <alignment horizontal="center"/>
    </xf>
    <xf numFmtId="165" fontId="13" fillId="0" borderId="18" xfId="0" applyNumberFormat="1" applyFont="1" applyFill="1" applyBorder="1"/>
    <xf numFmtId="44" fontId="22" fillId="0" borderId="0" xfId="2" applyFont="1" applyFill="1"/>
    <xf numFmtId="0" fontId="13" fillId="0" borderId="16" xfId="17" applyFont="1" applyFill="1" applyBorder="1" applyAlignment="1">
      <alignment horizontal="right"/>
    </xf>
    <xf numFmtId="0" fontId="13" fillId="0" borderId="0" xfId="17" applyFont="1" applyFill="1" applyBorder="1"/>
    <xf numFmtId="165" fontId="13" fillId="0" borderId="18" xfId="17" applyNumberFormat="1" applyFont="1" applyFill="1" applyBorder="1"/>
    <xf numFmtId="0" fontId="13" fillId="0" borderId="11" xfId="17" applyFont="1" applyFill="1" applyBorder="1" applyAlignment="1">
      <alignment horizontal="right"/>
    </xf>
    <xf numFmtId="0" fontId="13" fillId="0" borderId="12" xfId="17" applyFont="1" applyFill="1" applyBorder="1"/>
    <xf numFmtId="165" fontId="13" fillId="0" borderId="14" xfId="17" applyNumberFormat="1" applyFont="1" applyFill="1" applyBorder="1"/>
    <xf numFmtId="0" fontId="22" fillId="0" borderId="0" xfId="17" applyFont="1" applyFill="1" applyAlignment="1">
      <alignment vertical="center" wrapText="1"/>
    </xf>
    <xf numFmtId="0" fontId="48" fillId="0" borderId="0" xfId="17" applyFont="1" applyFill="1" applyAlignment="1">
      <alignment wrapText="1"/>
    </xf>
    <xf numFmtId="0" fontId="49" fillId="0" borderId="0" xfId="17" applyFont="1" applyFill="1" applyBorder="1"/>
    <xf numFmtId="0" fontId="49" fillId="0" borderId="0" xfId="17" applyFont="1" applyFill="1" applyBorder="1" applyAlignment="1"/>
    <xf numFmtId="0" fontId="21" fillId="0" borderId="0" xfId="17" applyFont="1" applyFill="1" applyBorder="1" applyAlignment="1">
      <alignment horizontal="center"/>
    </xf>
    <xf numFmtId="2" fontId="21" fillId="0" borderId="0" xfId="17" applyNumberFormat="1" applyFont="1" applyFill="1" applyBorder="1" applyAlignment="1">
      <alignment horizontal="center"/>
    </xf>
    <xf numFmtId="4" fontId="21" fillId="0" borderId="0" xfId="17" applyNumberFormat="1" applyFont="1" applyFill="1" applyBorder="1" applyAlignment="1">
      <alignment horizontal="center"/>
    </xf>
    <xf numFmtId="173" fontId="49" fillId="0" borderId="0" xfId="18" applyNumberFormat="1" applyFont="1" applyFill="1" applyBorder="1"/>
    <xf numFmtId="173" fontId="21" fillId="0" borderId="0" xfId="18" applyNumberFormat="1" applyFont="1" applyFill="1" applyBorder="1" applyAlignment="1">
      <alignment horizontal="left"/>
    </xf>
    <xf numFmtId="172" fontId="21" fillId="0" borderId="0" xfId="18" applyNumberFormat="1" applyFont="1" applyFill="1" applyBorder="1"/>
    <xf numFmtId="2" fontId="21" fillId="0" borderId="0" xfId="18" applyNumberFormat="1" applyFont="1" applyFill="1" applyBorder="1"/>
    <xf numFmtId="4" fontId="21" fillId="0" borderId="0" xfId="18" applyNumberFormat="1" applyFont="1" applyFill="1" applyBorder="1"/>
    <xf numFmtId="168" fontId="13" fillId="0" borderId="20" xfId="0" applyNumberFormat="1" applyFont="1" applyBorder="1" applyAlignment="1">
      <alignment horizontal="center" vertical="center"/>
    </xf>
    <xf numFmtId="168" fontId="13" fillId="0" borderId="21" xfId="0" applyNumberFormat="1" applyFont="1" applyBorder="1" applyAlignment="1">
      <alignment horizontal="center" vertical="center"/>
    </xf>
    <xf numFmtId="0" fontId="13" fillId="17" borderId="40" xfId="0" applyFont="1" applyFill="1" applyBorder="1" applyAlignment="1">
      <alignment horizontal="center" vertical="center" wrapText="1"/>
    </xf>
    <xf numFmtId="168" fontId="22" fillId="0" borderId="25" xfId="0" applyNumberFormat="1" applyFont="1" applyBorder="1" applyAlignment="1">
      <alignment horizontal="left"/>
    </xf>
    <xf numFmtId="168" fontId="22" fillId="0" borderId="26" xfId="0" applyNumberFormat="1" applyFont="1" applyFill="1" applyBorder="1" applyAlignment="1">
      <alignment horizontal="center"/>
    </xf>
    <xf numFmtId="0" fontId="22" fillId="0" borderId="64" xfId="0" applyFont="1" applyFill="1" applyBorder="1"/>
    <xf numFmtId="168" fontId="22" fillId="0" borderId="16" xfId="0" applyNumberFormat="1" applyFont="1" applyBorder="1" applyAlignment="1"/>
    <xf numFmtId="168" fontId="22" fillId="0" borderId="0" xfId="0" applyNumberFormat="1" applyFont="1" applyFill="1" applyBorder="1" applyAlignment="1">
      <alignment horizontal="center"/>
    </xf>
    <xf numFmtId="2" fontId="31" fillId="0" borderId="73" xfId="0" applyNumberFormat="1" applyFont="1" applyFill="1" applyBorder="1"/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22" fillId="0" borderId="40" xfId="0" applyFont="1" applyBorder="1" applyAlignment="1">
      <alignment horizontal="left" wrapText="1"/>
    </xf>
    <xf numFmtId="0" fontId="31" fillId="0" borderId="10" xfId="0" applyFont="1" applyBorder="1" applyAlignment="1">
      <alignment horizontal="left"/>
    </xf>
    <xf numFmtId="0" fontId="31" fillId="0" borderId="10" xfId="0" applyFont="1" applyFill="1" applyBorder="1" applyAlignment="1">
      <alignment horizontal="left"/>
    </xf>
    <xf numFmtId="0" fontId="31" fillId="0" borderId="15" xfId="6" applyFont="1" applyFill="1" applyBorder="1"/>
    <xf numFmtId="0" fontId="31" fillId="0" borderId="19" xfId="0" applyFont="1" applyFill="1" applyBorder="1" applyAlignment="1">
      <alignment horizontal="left"/>
    </xf>
    <xf numFmtId="0" fontId="31" fillId="0" borderId="15" xfId="0" applyFont="1" applyFill="1" applyBorder="1" applyAlignment="1">
      <alignment horizontal="left"/>
    </xf>
    <xf numFmtId="10" fontId="22" fillId="0" borderId="0" xfId="9" applyNumberFormat="1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wrapText="1"/>
    </xf>
    <xf numFmtId="0" fontId="31" fillId="0" borderId="0" xfId="17" applyFont="1" applyFill="1" applyAlignment="1">
      <alignment horizontal="left"/>
    </xf>
    <xf numFmtId="0" fontId="31" fillId="0" borderId="0" xfId="17" applyFont="1" applyFill="1" applyAlignment="1">
      <alignment horizontal="center"/>
    </xf>
    <xf numFmtId="0" fontId="31" fillId="0" borderId="0" xfId="17" applyFont="1" applyFill="1" applyAlignment="1">
      <alignment horizontal="left" wrapText="1"/>
    </xf>
    <xf numFmtId="0" fontId="31" fillId="0" borderId="0" xfId="17" applyFont="1"/>
    <xf numFmtId="0" fontId="31" fillId="0" borderId="0" xfId="17" applyFont="1" applyAlignment="1">
      <alignment horizontal="center"/>
    </xf>
    <xf numFmtId="0" fontId="31" fillId="0" borderId="0" xfId="17" applyFont="1" applyAlignment="1">
      <alignment wrapText="1"/>
    </xf>
    <xf numFmtId="0" fontId="31" fillId="0" borderId="0" xfId="17" applyFont="1" applyFill="1"/>
    <xf numFmtId="0" fontId="31" fillId="0" borderId="0" xfId="17" applyFont="1" applyFill="1" applyAlignment="1">
      <alignment wrapText="1"/>
    </xf>
    <xf numFmtId="0" fontId="31" fillId="0" borderId="0" xfId="17" applyFont="1" applyFill="1" applyBorder="1"/>
    <xf numFmtId="0" fontId="28" fillId="26" borderId="6" xfId="0" applyFont="1" applyFill="1" applyBorder="1" applyAlignment="1">
      <alignment horizontal="center" vertical="center"/>
    </xf>
    <xf numFmtId="0" fontId="28" fillId="26" borderId="8" xfId="0" applyFont="1" applyFill="1" applyBorder="1" applyAlignment="1">
      <alignment horizontal="center" vertical="center"/>
    </xf>
    <xf numFmtId="0" fontId="28" fillId="26" borderId="9" xfId="0" applyFont="1" applyFill="1" applyBorder="1" applyAlignment="1">
      <alignment horizontal="center" vertical="center"/>
    </xf>
    <xf numFmtId="0" fontId="28" fillId="27" borderId="20" xfId="0" applyNumberFormat="1" applyFont="1" applyFill="1" applyBorder="1" applyAlignment="1" applyProtection="1">
      <alignment horizontal="center"/>
    </xf>
    <xf numFmtId="0" fontId="28" fillId="27" borderId="21" xfId="0" applyNumberFormat="1" applyFont="1" applyFill="1" applyBorder="1" applyAlignment="1" applyProtection="1">
      <alignment horizontal="center"/>
    </xf>
    <xf numFmtId="0" fontId="28" fillId="27" borderId="22" xfId="0" applyNumberFormat="1" applyFont="1" applyFill="1" applyBorder="1" applyAlignment="1" applyProtection="1">
      <alignment horizontal="center"/>
    </xf>
    <xf numFmtId="0" fontId="31" fillId="0" borderId="43" xfId="0" applyFont="1" applyBorder="1" applyAlignment="1">
      <alignment horizontal="center"/>
    </xf>
    <xf numFmtId="0" fontId="31" fillId="0" borderId="47" xfId="0" applyFont="1" applyBorder="1" applyAlignment="1">
      <alignment horizontal="center"/>
    </xf>
    <xf numFmtId="3" fontId="31" fillId="0" borderId="47" xfId="0" applyNumberFormat="1" applyFont="1" applyBorder="1" applyAlignment="1">
      <alignment horizontal="center"/>
    </xf>
    <xf numFmtId="3" fontId="31" fillId="0" borderId="66" xfId="0" applyNumberFormat="1" applyFont="1" applyBorder="1" applyAlignment="1">
      <alignment horizontal="center"/>
    </xf>
    <xf numFmtId="168" fontId="28" fillId="0" borderId="6" xfId="0" applyNumberFormat="1" applyFont="1" applyBorder="1" applyAlignment="1">
      <alignment horizontal="center" vertical="center"/>
    </xf>
    <xf numFmtId="168" fontId="28" fillId="0" borderId="8" xfId="0" applyNumberFormat="1" applyFont="1" applyBorder="1" applyAlignment="1">
      <alignment horizontal="center" vertical="center"/>
    </xf>
    <xf numFmtId="0" fontId="28" fillId="17" borderId="10" xfId="0" applyFont="1" applyFill="1" applyBorder="1" applyAlignment="1">
      <alignment horizontal="center" vertical="center" wrapText="1"/>
    </xf>
    <xf numFmtId="0" fontId="31" fillId="0" borderId="46" xfId="0" applyFont="1" applyBorder="1"/>
    <xf numFmtId="168" fontId="45" fillId="0" borderId="47" xfId="0" applyNumberFormat="1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1" fontId="28" fillId="0" borderId="47" xfId="0" applyNumberFormat="1" applyFont="1" applyBorder="1" applyAlignment="1">
      <alignment horizontal="center"/>
    </xf>
    <xf numFmtId="168" fontId="28" fillId="0" borderId="66" xfId="0" applyNumberFormat="1" applyFont="1" applyBorder="1" applyAlignment="1">
      <alignment horizontal="right"/>
    </xf>
    <xf numFmtId="168" fontId="31" fillId="0" borderId="46" xfId="0" applyNumberFormat="1" applyFont="1" applyBorder="1"/>
    <xf numFmtId="0" fontId="45" fillId="0" borderId="47" xfId="0" applyFont="1" applyBorder="1" applyAlignment="1">
      <alignment horizontal="center"/>
    </xf>
    <xf numFmtId="168" fontId="31" fillId="0" borderId="47" xfId="0" applyNumberFormat="1" applyFont="1" applyBorder="1"/>
    <xf numFmtId="2" fontId="31" fillId="0" borderId="47" xfId="0" applyNumberFormat="1" applyFont="1" applyFill="1" applyBorder="1" applyAlignment="1">
      <alignment horizontal="center"/>
    </xf>
    <xf numFmtId="168" fontId="31" fillId="0" borderId="66" xfId="0" applyNumberFormat="1" applyFont="1" applyBorder="1"/>
    <xf numFmtId="49" fontId="31" fillId="0" borderId="74" xfId="0" applyNumberFormat="1" applyFont="1" applyBorder="1" applyAlignment="1">
      <alignment wrapText="1"/>
    </xf>
    <xf numFmtId="169" fontId="31" fillId="0" borderId="46" xfId="0" applyNumberFormat="1" applyFont="1" applyBorder="1"/>
    <xf numFmtId="168" fontId="31" fillId="0" borderId="93" xfId="0" applyNumberFormat="1" applyFont="1" applyBorder="1"/>
    <xf numFmtId="2" fontId="31" fillId="0" borderId="93" xfId="0" applyNumberFormat="1" applyFont="1" applyFill="1" applyBorder="1" applyAlignment="1">
      <alignment horizontal="center"/>
    </xf>
    <xf numFmtId="168" fontId="31" fillId="0" borderId="94" xfId="0" applyNumberFormat="1" applyFont="1" applyBorder="1"/>
    <xf numFmtId="0" fontId="28" fillId="0" borderId="25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51" xfId="0" applyFont="1" applyBorder="1" applyAlignment="1">
      <alignment horizontal="center"/>
    </xf>
    <xf numFmtId="0" fontId="31" fillId="0" borderId="46" xfId="0" applyFont="1" applyBorder="1" applyAlignment="1">
      <alignment horizontal="right"/>
    </xf>
    <xf numFmtId="168" fontId="31" fillId="0" borderId="47" xfId="0" applyNumberFormat="1" applyFont="1" applyBorder="1" applyAlignment="1">
      <alignment horizontal="center"/>
    </xf>
    <xf numFmtId="168" fontId="31" fillId="0" borderId="48" xfId="0" applyNumberFormat="1" applyFont="1" applyBorder="1"/>
    <xf numFmtId="2" fontId="31" fillId="0" borderId="95" xfId="0" applyNumberFormat="1" applyFont="1" applyBorder="1" applyAlignment="1">
      <alignment horizontal="center"/>
    </xf>
    <xf numFmtId="168" fontId="28" fillId="0" borderId="96" xfId="0" applyNumberFormat="1" applyFont="1" applyBorder="1"/>
    <xf numFmtId="168" fontId="31" fillId="0" borderId="0" xfId="0" applyNumberFormat="1" applyFont="1" applyBorder="1" applyAlignment="1">
      <alignment horizontal="left"/>
    </xf>
    <xf numFmtId="168" fontId="31" fillId="0" borderId="70" xfId="0" applyNumberFormat="1" applyFont="1" applyBorder="1" applyAlignment="1">
      <alignment horizontal="left"/>
    </xf>
    <xf numFmtId="0" fontId="31" fillId="0" borderId="68" xfId="0" applyFont="1" applyFill="1" applyBorder="1"/>
    <xf numFmtId="10" fontId="31" fillId="0" borderId="69" xfId="0" applyNumberFormat="1" applyFont="1" applyFill="1" applyBorder="1" applyAlignment="1">
      <alignment horizontal="center" vertical="center"/>
    </xf>
    <xf numFmtId="10" fontId="31" fillId="0" borderId="69" xfId="0" applyNumberFormat="1" applyFont="1" applyBorder="1" applyAlignment="1"/>
    <xf numFmtId="0" fontId="31" fillId="0" borderId="82" xfId="0" applyFont="1" applyBorder="1" applyAlignment="1">
      <alignment horizontal="center"/>
    </xf>
    <xf numFmtId="168" fontId="31" fillId="0" borderId="67" xfId="0" applyNumberFormat="1" applyFont="1" applyBorder="1"/>
    <xf numFmtId="168" fontId="31" fillId="0" borderId="67" xfId="0" applyNumberFormat="1" applyFont="1" applyBorder="1" applyAlignment="1">
      <alignment horizontal="left"/>
    </xf>
    <xf numFmtId="0" fontId="28" fillId="0" borderId="20" xfId="0" applyFont="1" applyBorder="1" applyAlignment="1">
      <alignment horizontal="left"/>
    </xf>
    <xf numFmtId="9" fontId="28" fillId="0" borderId="21" xfId="0" applyNumberFormat="1" applyFont="1" applyBorder="1" applyAlignment="1">
      <alignment horizontal="center"/>
    </xf>
    <xf numFmtId="10" fontId="28" fillId="0" borderId="21" xfId="3" applyNumberFormat="1" applyFont="1" applyBorder="1"/>
    <xf numFmtId="174" fontId="28" fillId="0" borderId="21" xfId="0" applyNumberFormat="1" applyFont="1" applyBorder="1" applyAlignment="1">
      <alignment horizontal="center"/>
    </xf>
    <xf numFmtId="168" fontId="28" fillId="0" borderId="22" xfId="0" applyNumberFormat="1" applyFont="1" applyBorder="1"/>
    <xf numFmtId="168" fontId="31" fillId="0" borderId="6" xfId="0" applyNumberFormat="1" applyFont="1" applyBorder="1"/>
    <xf numFmtId="9" fontId="31" fillId="0" borderId="8" xfId="0" applyNumberFormat="1" applyFont="1" applyFill="1" applyBorder="1" applyAlignment="1">
      <alignment horizontal="center" vertical="center"/>
    </xf>
    <xf numFmtId="10" fontId="31" fillId="0" borderId="8" xfId="0" applyNumberFormat="1" applyFont="1" applyBorder="1" applyAlignment="1"/>
    <xf numFmtId="167" fontId="31" fillId="0" borderId="8" xfId="0" applyNumberFormat="1" applyFont="1" applyBorder="1" applyAlignment="1">
      <alignment horizontal="center"/>
    </xf>
    <xf numFmtId="168" fontId="31" fillId="0" borderId="9" xfId="0" applyNumberFormat="1" applyFont="1" applyBorder="1"/>
    <xf numFmtId="168" fontId="31" fillId="0" borderId="16" xfId="0" applyNumberFormat="1" applyFont="1" applyBorder="1"/>
    <xf numFmtId="168" fontId="31" fillId="0" borderId="36" xfId="0" applyNumberFormat="1" applyFont="1" applyBorder="1"/>
    <xf numFmtId="10" fontId="31" fillId="0" borderId="8" xfId="3" applyNumberFormat="1" applyFont="1" applyBorder="1" applyAlignment="1">
      <alignment horizontal="center"/>
    </xf>
    <xf numFmtId="168" fontId="31" fillId="0" borderId="65" xfId="0" applyNumberFormat="1" applyFont="1" applyBorder="1" applyAlignment="1">
      <alignment horizontal="left"/>
    </xf>
    <xf numFmtId="0" fontId="31" fillId="0" borderId="26" xfId="0" applyFont="1" applyBorder="1" applyAlignment="1">
      <alignment horizontal="center"/>
    </xf>
    <xf numFmtId="0" fontId="31" fillId="0" borderId="26" xfId="0" applyFont="1" applyBorder="1"/>
    <xf numFmtId="174" fontId="31" fillId="0" borderId="26" xfId="0" applyNumberFormat="1" applyFont="1" applyBorder="1" applyAlignment="1">
      <alignment horizontal="center"/>
    </xf>
    <xf numFmtId="168" fontId="28" fillId="0" borderId="51" xfId="0" applyNumberFormat="1" applyFont="1" applyBorder="1"/>
    <xf numFmtId="9" fontId="31" fillId="0" borderId="0" xfId="17" applyNumberFormat="1" applyFont="1" applyFill="1"/>
    <xf numFmtId="0" fontId="31" fillId="0" borderId="67" xfId="6" applyFont="1" applyFill="1" applyBorder="1"/>
    <xf numFmtId="10" fontId="31" fillId="0" borderId="0" xfId="0" applyNumberFormat="1" applyFont="1" applyBorder="1" applyAlignment="1">
      <alignment horizontal="center"/>
    </xf>
    <xf numFmtId="174" fontId="31" fillId="0" borderId="0" xfId="0" applyNumberFormat="1" applyFont="1" applyBorder="1" applyAlignment="1">
      <alignment horizontal="center"/>
    </xf>
    <xf numFmtId="168" fontId="31" fillId="0" borderId="18" xfId="0" applyNumberFormat="1" applyFont="1" applyBorder="1"/>
    <xf numFmtId="10" fontId="31" fillId="0" borderId="0" xfId="0" applyNumberFormat="1" applyFont="1" applyFill="1" applyBorder="1" applyAlignment="1">
      <alignment horizontal="center" vertical="center"/>
    </xf>
    <xf numFmtId="49" fontId="31" fillId="0" borderId="67" xfId="0" applyNumberFormat="1" applyFont="1" applyBorder="1" applyAlignment="1">
      <alignment wrapText="1"/>
    </xf>
    <xf numFmtId="10" fontId="31" fillId="0" borderId="35" xfId="21" applyNumberFormat="1" applyFont="1" applyBorder="1" applyAlignment="1">
      <alignment horizontal="center"/>
    </xf>
    <xf numFmtId="10" fontId="31" fillId="0" borderId="35" xfId="0" applyNumberFormat="1" applyFont="1" applyBorder="1" applyAlignment="1"/>
    <xf numFmtId="174" fontId="31" fillId="0" borderId="35" xfId="0" applyNumberFormat="1" applyFont="1" applyBorder="1" applyAlignment="1">
      <alignment horizontal="center"/>
    </xf>
    <xf numFmtId="0" fontId="31" fillId="0" borderId="11" xfId="0" applyFont="1" applyBorder="1"/>
    <xf numFmtId="10" fontId="31" fillId="0" borderId="12" xfId="0" applyNumberFormat="1" applyFont="1" applyFill="1" applyBorder="1" applyAlignment="1">
      <alignment horizontal="center" vertical="center"/>
    </xf>
    <xf numFmtId="0" fontId="28" fillId="0" borderId="91" xfId="0" applyFont="1" applyBorder="1"/>
    <xf numFmtId="0" fontId="28" fillId="0" borderId="92" xfId="0" applyFont="1" applyBorder="1" applyAlignment="1">
      <alignment horizontal="center"/>
    </xf>
    <xf numFmtId="0" fontId="28" fillId="0" borderId="92" xfId="0" applyFont="1" applyBorder="1"/>
    <xf numFmtId="174" fontId="28" fillId="0" borderId="92" xfId="0" applyNumberFormat="1" applyFont="1" applyBorder="1" applyAlignment="1">
      <alignment horizontal="center"/>
    </xf>
    <xf numFmtId="168" fontId="28" fillId="0" borderId="74" xfId="0" applyNumberFormat="1" applyFont="1" applyBorder="1"/>
    <xf numFmtId="10" fontId="31" fillId="0" borderId="0" xfId="9" applyNumberFormat="1" applyFont="1" applyFill="1" applyBorder="1" applyAlignment="1">
      <alignment horizontal="center"/>
    </xf>
    <xf numFmtId="49" fontId="31" fillId="0" borderId="0" xfId="0" applyNumberFormat="1" applyFont="1" applyFill="1" applyBorder="1" applyAlignment="1">
      <alignment wrapText="1"/>
    </xf>
    <xf numFmtId="0" fontId="50" fillId="0" borderId="82" xfId="17" applyFont="1" applyFill="1" applyBorder="1" applyAlignment="1">
      <alignment horizontal="left"/>
    </xf>
    <xf numFmtId="0" fontId="31" fillId="0" borderId="41" xfId="0" applyFont="1" applyFill="1" applyBorder="1"/>
    <xf numFmtId="10" fontId="31" fillId="0" borderId="42" xfId="0" applyNumberFormat="1" applyFont="1" applyFill="1" applyBorder="1" applyAlignment="1">
      <alignment horizontal="center"/>
    </xf>
    <xf numFmtId="10" fontId="31" fillId="0" borderId="42" xfId="0" applyNumberFormat="1" applyFont="1" applyFill="1" applyBorder="1"/>
    <xf numFmtId="0" fontId="31" fillId="0" borderId="42" xfId="0" applyFont="1" applyFill="1" applyBorder="1" applyAlignment="1">
      <alignment horizontal="center"/>
    </xf>
    <xf numFmtId="166" fontId="31" fillId="0" borderId="40" xfId="0" applyNumberFormat="1" applyFont="1" applyFill="1" applyBorder="1"/>
    <xf numFmtId="10" fontId="31" fillId="0" borderId="0" xfId="17" applyNumberFormat="1" applyFont="1" applyFill="1" applyAlignment="1">
      <alignment horizontal="center"/>
    </xf>
    <xf numFmtId="10" fontId="31" fillId="0" borderId="0" xfId="17" applyNumberFormat="1" applyFont="1" applyFill="1"/>
    <xf numFmtId="4" fontId="49" fillId="0" borderId="47" xfId="17" applyNumberFormat="1" applyFont="1" applyFill="1" applyBorder="1"/>
    <xf numFmtId="4" fontId="49" fillId="0" borderId="0" xfId="17" applyNumberFormat="1" applyFont="1" applyFill="1" applyBorder="1"/>
    <xf numFmtId="0" fontId="28" fillId="0" borderId="46" xfId="17" applyFont="1" applyFill="1" applyBorder="1" applyAlignment="1">
      <alignment horizontal="right"/>
    </xf>
    <xf numFmtId="0" fontId="28" fillId="0" borderId="47" xfId="17" applyFont="1" applyFill="1" applyBorder="1"/>
    <xf numFmtId="165" fontId="28" fillId="0" borderId="66" xfId="17" applyNumberFormat="1" applyFont="1" applyFill="1" applyBorder="1"/>
    <xf numFmtId="44" fontId="31" fillId="0" borderId="0" xfId="2" applyFont="1" applyFill="1"/>
    <xf numFmtId="0" fontId="21" fillId="0" borderId="90" xfId="17" applyFont="1" applyFill="1" applyBorder="1" applyAlignment="1">
      <alignment horizontal="left" wrapText="1"/>
    </xf>
    <xf numFmtId="0" fontId="45" fillId="0" borderId="0" xfId="17" applyFont="1" applyFill="1" applyAlignment="1">
      <alignment horizontal="center"/>
    </xf>
    <xf numFmtId="0" fontId="49" fillId="0" borderId="0" xfId="17" applyFont="1" applyBorder="1"/>
    <xf numFmtId="2" fontId="49" fillId="12" borderId="0" xfId="17" applyNumberFormat="1" applyFont="1" applyFill="1" applyBorder="1"/>
    <xf numFmtId="44" fontId="21" fillId="0" borderId="0" xfId="17" applyNumberFormat="1" applyFont="1" applyFill="1"/>
    <xf numFmtId="2" fontId="31" fillId="0" borderId="0" xfId="17" applyNumberFormat="1" applyFont="1" applyFill="1"/>
    <xf numFmtId="0" fontId="28" fillId="0" borderId="71" xfId="17" applyFont="1" applyFill="1" applyBorder="1" applyAlignment="1">
      <alignment horizontal="right"/>
    </xf>
    <xf numFmtId="0" fontId="28" fillId="0" borderId="72" xfId="17" applyFont="1" applyFill="1" applyBorder="1"/>
    <xf numFmtId="165" fontId="28" fillId="0" borderId="73" xfId="17" applyNumberFormat="1" applyFont="1" applyFill="1" applyBorder="1"/>
    <xf numFmtId="0" fontId="28" fillId="0" borderId="0" xfId="17" applyFont="1" applyFill="1" applyBorder="1" applyAlignment="1">
      <alignment horizontal="left"/>
    </xf>
    <xf numFmtId="0" fontId="28" fillId="0" borderId="0" xfId="17" applyFont="1" applyFill="1" applyBorder="1" applyAlignment="1"/>
    <xf numFmtId="4" fontId="28" fillId="0" borderId="0" xfId="17" applyNumberFormat="1" applyFont="1" applyFill="1" applyBorder="1" applyAlignment="1"/>
    <xf numFmtId="0" fontId="28" fillId="0" borderId="0" xfId="17" applyFont="1" applyFill="1" applyAlignment="1">
      <alignment horizontal="left"/>
    </xf>
    <xf numFmtId="0" fontId="28" fillId="0" borderId="47" xfId="17" applyFont="1" applyFill="1" applyBorder="1" applyAlignment="1"/>
    <xf numFmtId="0" fontId="45" fillId="0" borderId="0" xfId="17" applyFont="1" applyFill="1"/>
    <xf numFmtId="0" fontId="28" fillId="0" borderId="0" xfId="17" applyFont="1" applyFill="1" applyBorder="1"/>
    <xf numFmtId="4" fontId="31" fillId="0" borderId="0" xfId="17" applyNumberFormat="1" applyFont="1" applyFill="1" applyBorder="1" applyAlignment="1"/>
    <xf numFmtId="0" fontId="28" fillId="0" borderId="20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31" fillId="0" borderId="0" xfId="17" applyFont="1" applyFill="1" applyBorder="1" applyAlignment="1">
      <alignment horizontal="center"/>
    </xf>
    <xf numFmtId="4" fontId="31" fillId="0" borderId="0" xfId="17" applyNumberFormat="1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3" fontId="28" fillId="0" borderId="18" xfId="0" applyNumberFormat="1" applyFont="1" applyFill="1" applyBorder="1" applyAlignment="1">
      <alignment horizontal="center"/>
    </xf>
    <xf numFmtId="173" fontId="28" fillId="0" borderId="6" xfId="18" applyNumberFormat="1" applyFont="1" applyFill="1" applyBorder="1"/>
    <xf numFmtId="173" fontId="31" fillId="0" borderId="8" xfId="18" applyNumberFormat="1" applyFont="1" applyFill="1" applyBorder="1" applyAlignment="1">
      <alignment horizontal="left"/>
    </xf>
    <xf numFmtId="172" fontId="31" fillId="0" borderId="9" xfId="18" applyNumberFormat="1" applyFont="1" applyFill="1" applyBorder="1"/>
    <xf numFmtId="4" fontId="31" fillId="0" borderId="0" xfId="18" applyNumberFormat="1" applyFont="1" applyFill="1" applyBorder="1"/>
    <xf numFmtId="0" fontId="28" fillId="0" borderId="16" xfId="0" applyFont="1" applyFill="1" applyBorder="1"/>
    <xf numFmtId="168" fontId="47" fillId="0" borderId="0" xfId="0" applyNumberFormat="1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68" fontId="28" fillId="0" borderId="18" xfId="0" applyNumberFormat="1" applyFont="1" applyFill="1" applyBorder="1" applyAlignment="1">
      <alignment horizontal="right"/>
    </xf>
    <xf numFmtId="173" fontId="31" fillId="0" borderId="16" xfId="18" applyNumberFormat="1" applyFont="1" applyFill="1" applyBorder="1" applyAlignment="1">
      <alignment horizontal="left"/>
    </xf>
    <xf numFmtId="167" fontId="31" fillId="0" borderId="0" xfId="2" applyNumberFormat="1" applyFont="1" applyFill="1" applyBorder="1"/>
    <xf numFmtId="0" fontId="22" fillId="0" borderId="18" xfId="0" applyFont="1" applyFill="1" applyBorder="1"/>
    <xf numFmtId="168" fontId="31" fillId="0" borderId="16" xfId="0" applyNumberFormat="1" applyFont="1" applyFill="1" applyBorder="1"/>
    <xf numFmtId="0" fontId="45" fillId="0" borderId="0" xfId="0" applyFont="1" applyFill="1" applyBorder="1" applyAlignment="1">
      <alignment horizontal="center"/>
    </xf>
    <xf numFmtId="168" fontId="31" fillId="0" borderId="0" xfId="0" applyNumberFormat="1" applyFont="1" applyFill="1" applyBorder="1"/>
    <xf numFmtId="2" fontId="31" fillId="0" borderId="0" xfId="0" applyNumberFormat="1" applyFont="1" applyFill="1" applyBorder="1" applyAlignment="1">
      <alignment horizontal="center"/>
    </xf>
    <xf numFmtId="168" fontId="31" fillId="0" borderId="18" xfId="0" applyNumberFormat="1" applyFont="1" applyFill="1" applyBorder="1"/>
    <xf numFmtId="2" fontId="31" fillId="0" borderId="18" xfId="18" applyNumberFormat="1" applyFont="1" applyFill="1" applyBorder="1"/>
    <xf numFmtId="169" fontId="31" fillId="0" borderId="16" xfId="0" applyNumberFormat="1" applyFont="1" applyFill="1" applyBorder="1"/>
    <xf numFmtId="173" fontId="31" fillId="0" borderId="11" xfId="18" applyNumberFormat="1" applyFont="1" applyFill="1" applyBorder="1"/>
    <xf numFmtId="173" fontId="31" fillId="0" borderId="12" xfId="18" applyNumberFormat="1" applyFont="1" applyFill="1" applyBorder="1" applyAlignment="1">
      <alignment horizontal="left"/>
    </xf>
    <xf numFmtId="172" fontId="31" fillId="0" borderId="14" xfId="18" applyNumberFormat="1" applyFont="1" applyFill="1" applyBorder="1"/>
    <xf numFmtId="0" fontId="28" fillId="0" borderId="16" xfId="0" applyFont="1" applyFill="1" applyBorder="1" applyAlignment="1">
      <alignment horizontal="right"/>
    </xf>
    <xf numFmtId="168" fontId="28" fillId="0" borderId="0" xfId="0" applyNumberFormat="1" applyFont="1" applyFill="1" applyBorder="1" applyAlignment="1">
      <alignment horizontal="center"/>
    </xf>
    <xf numFmtId="168" fontId="28" fillId="0" borderId="0" xfId="0" applyNumberFormat="1" applyFont="1" applyFill="1" applyBorder="1"/>
    <xf numFmtId="2" fontId="28" fillId="0" borderId="0" xfId="0" applyNumberFormat="1" applyFont="1" applyFill="1" applyBorder="1" applyAlignment="1">
      <alignment horizontal="center"/>
    </xf>
    <xf numFmtId="168" fontId="28" fillId="0" borderId="18" xfId="0" applyNumberFormat="1" applyFont="1" applyFill="1" applyBorder="1"/>
    <xf numFmtId="168" fontId="28" fillId="0" borderId="6" xfId="0" applyNumberFormat="1" applyFont="1" applyFill="1" applyBorder="1" applyAlignment="1">
      <alignment horizontal="left"/>
    </xf>
    <xf numFmtId="9" fontId="31" fillId="0" borderId="9" xfId="18" applyNumberFormat="1" applyFont="1" applyFill="1" applyBorder="1"/>
    <xf numFmtId="0" fontId="28" fillId="0" borderId="20" xfId="0" applyFont="1" applyFill="1" applyBorder="1"/>
    <xf numFmtId="0" fontId="28" fillId="0" borderId="21" xfId="0" applyFont="1" applyFill="1" applyBorder="1" applyAlignment="1">
      <alignment horizontal="center"/>
    </xf>
    <xf numFmtId="0" fontId="28" fillId="0" borderId="21" xfId="0" applyFont="1" applyFill="1" applyBorder="1"/>
    <xf numFmtId="168" fontId="28" fillId="0" borderId="22" xfId="0" applyNumberFormat="1" applyFont="1" applyFill="1" applyBorder="1"/>
    <xf numFmtId="0" fontId="21" fillId="0" borderId="16" xfId="17" applyFont="1" applyFill="1" applyBorder="1"/>
    <xf numFmtId="0" fontId="21" fillId="0" borderId="18" xfId="17" applyFont="1" applyFill="1" applyBorder="1"/>
    <xf numFmtId="10" fontId="31" fillId="0" borderId="0" xfId="0" applyNumberFormat="1" applyFont="1" applyFill="1" applyBorder="1" applyAlignment="1"/>
    <xf numFmtId="0" fontId="31" fillId="0" borderId="0" xfId="0" applyFont="1" applyFill="1" applyBorder="1" applyAlignment="1">
      <alignment horizontal="center"/>
    </xf>
    <xf numFmtId="168" fontId="31" fillId="0" borderId="16" xfId="0" applyNumberFormat="1" applyFont="1" applyFill="1" applyBorder="1" applyAlignment="1">
      <alignment horizontal="left"/>
    </xf>
    <xf numFmtId="167" fontId="31" fillId="0" borderId="0" xfId="2" applyNumberFormat="1" applyFont="1" applyFill="1" applyBorder="1" applyAlignment="1">
      <alignment horizontal="right"/>
    </xf>
    <xf numFmtId="9" fontId="31" fillId="0" borderId="18" xfId="19" applyFont="1" applyFill="1" applyBorder="1"/>
    <xf numFmtId="0" fontId="28" fillId="0" borderId="20" xfId="0" applyFont="1" applyFill="1" applyBorder="1" applyAlignment="1">
      <alignment horizontal="left"/>
    </xf>
    <xf numFmtId="9" fontId="31" fillId="0" borderId="21" xfId="0" applyNumberFormat="1" applyFont="1" applyFill="1" applyBorder="1" applyAlignment="1">
      <alignment horizontal="center"/>
    </xf>
    <xf numFmtId="10" fontId="31" fillId="0" borderId="21" xfId="3" applyNumberFormat="1" applyFont="1" applyFill="1" applyBorder="1"/>
    <xf numFmtId="174" fontId="31" fillId="0" borderId="21" xfId="0" applyNumberFormat="1" applyFont="1" applyFill="1" applyBorder="1" applyAlignment="1">
      <alignment horizontal="center"/>
    </xf>
    <xf numFmtId="9" fontId="31" fillId="0" borderId="0" xfId="0" applyNumberFormat="1" applyFont="1" applyFill="1" applyBorder="1" applyAlignment="1">
      <alignment horizontal="center" vertical="center"/>
    </xf>
    <xf numFmtId="167" fontId="31" fillId="0" borderId="0" xfId="0" applyNumberFormat="1" applyFont="1" applyFill="1" applyBorder="1" applyAlignment="1">
      <alignment horizontal="center"/>
    </xf>
    <xf numFmtId="10" fontId="31" fillId="0" borderId="0" xfId="3" applyNumberFormat="1" applyFont="1" applyFill="1" applyBorder="1" applyAlignment="1">
      <alignment horizontal="right"/>
    </xf>
    <xf numFmtId="0" fontId="31" fillId="0" borderId="18" xfId="17" applyFont="1" applyFill="1" applyBorder="1"/>
    <xf numFmtId="0" fontId="31" fillId="0" borderId="28" xfId="0" applyFont="1" applyFill="1" applyBorder="1"/>
    <xf numFmtId="0" fontId="31" fillId="0" borderId="29" xfId="0" applyFont="1" applyFill="1" applyBorder="1" applyAlignment="1">
      <alignment horizontal="center"/>
    </xf>
    <xf numFmtId="0" fontId="31" fillId="0" borderId="29" xfId="0" applyFont="1" applyFill="1" applyBorder="1"/>
    <xf numFmtId="174" fontId="31" fillId="0" borderId="29" xfId="0" applyNumberFormat="1" applyFont="1" applyFill="1" applyBorder="1" applyAlignment="1">
      <alignment horizontal="center"/>
    </xf>
    <xf numFmtId="168" fontId="28" fillId="0" borderId="31" xfId="0" applyNumberFormat="1" applyFont="1" applyFill="1" applyBorder="1"/>
    <xf numFmtId="0" fontId="31" fillId="0" borderId="18" xfId="6" applyFont="1" applyFill="1" applyBorder="1"/>
    <xf numFmtId="10" fontId="31" fillId="0" borderId="0" xfId="0" applyNumberFormat="1" applyFont="1" applyFill="1" applyBorder="1" applyAlignment="1">
      <alignment horizontal="center"/>
    </xf>
    <xf numFmtId="174" fontId="31" fillId="0" borderId="0" xfId="0" applyNumberFormat="1" applyFont="1" applyFill="1" applyBorder="1" applyAlignment="1">
      <alignment horizontal="center"/>
    </xf>
    <xf numFmtId="172" fontId="31" fillId="0" borderId="18" xfId="18" applyNumberFormat="1" applyFont="1" applyFill="1" applyBorder="1"/>
    <xf numFmtId="10" fontId="31" fillId="0" borderId="0" xfId="21" applyNumberFormat="1" applyFont="1" applyFill="1" applyBorder="1" applyAlignment="1">
      <alignment horizontal="center"/>
    </xf>
    <xf numFmtId="168" fontId="31" fillId="0" borderId="20" xfId="0" applyNumberFormat="1" applyFont="1" applyFill="1" applyBorder="1" applyAlignment="1">
      <alignment horizontal="left"/>
    </xf>
    <xf numFmtId="10" fontId="31" fillId="0" borderId="21" xfId="3" applyNumberFormat="1" applyFont="1" applyFill="1" applyBorder="1" applyAlignment="1">
      <alignment horizontal="right"/>
    </xf>
    <xf numFmtId="172" fontId="31" fillId="0" borderId="22" xfId="18" applyNumberFormat="1" applyFont="1" applyFill="1" applyBorder="1"/>
    <xf numFmtId="0" fontId="28" fillId="0" borderId="33" xfId="0" applyFont="1" applyFill="1" applyBorder="1"/>
    <xf numFmtId="0" fontId="28" fillId="0" borderId="17" xfId="0" applyFont="1" applyFill="1" applyBorder="1" applyAlignment="1">
      <alignment horizontal="center"/>
    </xf>
    <xf numFmtId="0" fontId="28" fillId="0" borderId="17" xfId="0" applyFont="1" applyFill="1" applyBorder="1"/>
    <xf numFmtId="174" fontId="28" fillId="0" borderId="17" xfId="0" applyNumberFormat="1" applyFont="1" applyFill="1" applyBorder="1" applyAlignment="1">
      <alignment horizontal="center"/>
    </xf>
    <xf numFmtId="168" fontId="28" fillId="0" borderId="54" xfId="0" applyNumberFormat="1" applyFont="1" applyFill="1" applyBorder="1"/>
    <xf numFmtId="168" fontId="31" fillId="0" borderId="0" xfId="0" applyNumberFormat="1" applyFont="1" applyFill="1" applyBorder="1" applyAlignment="1">
      <alignment horizontal="left"/>
    </xf>
    <xf numFmtId="172" fontId="31" fillId="0" borderId="0" xfId="18" applyNumberFormat="1" applyFont="1" applyFill="1" applyBorder="1"/>
    <xf numFmtId="0" fontId="31" fillId="0" borderId="20" xfId="0" applyFont="1" applyFill="1" applyBorder="1"/>
    <xf numFmtId="10" fontId="31" fillId="0" borderId="21" xfId="0" applyNumberFormat="1" applyFont="1" applyFill="1" applyBorder="1" applyAlignment="1">
      <alignment horizontal="center"/>
    </xf>
    <xf numFmtId="10" fontId="31" fillId="0" borderId="21" xfId="0" applyNumberFormat="1" applyFont="1" applyFill="1" applyBorder="1"/>
    <xf numFmtId="0" fontId="31" fillId="0" borderId="21" xfId="0" applyFont="1" applyFill="1" applyBorder="1" applyAlignment="1">
      <alignment horizontal="center"/>
    </xf>
    <xf numFmtId="166" fontId="28" fillId="0" borderId="22" xfId="0" applyNumberFormat="1" applyFont="1" applyFill="1" applyBorder="1"/>
    <xf numFmtId="4" fontId="31" fillId="0" borderId="0" xfId="17" applyNumberFormat="1" applyFont="1" applyFill="1" applyBorder="1"/>
    <xf numFmtId="0" fontId="31" fillId="0" borderId="11" xfId="0" applyFont="1" applyFill="1" applyBorder="1"/>
    <xf numFmtId="0" fontId="31" fillId="0" borderId="12" xfId="0" applyFont="1" applyFill="1" applyBorder="1" applyAlignment="1">
      <alignment horizontal="center"/>
    </xf>
    <xf numFmtId="0" fontId="31" fillId="0" borderId="12" xfId="0" applyFont="1" applyFill="1" applyBorder="1"/>
    <xf numFmtId="0" fontId="28" fillId="0" borderId="12" xfId="0" applyFont="1" applyFill="1" applyBorder="1" applyAlignment="1">
      <alignment horizontal="center"/>
    </xf>
    <xf numFmtId="168" fontId="31" fillId="0" borderId="14" xfId="0" applyNumberFormat="1" applyFont="1" applyFill="1" applyBorder="1"/>
    <xf numFmtId="0" fontId="28" fillId="0" borderId="20" xfId="0" applyFont="1" applyFill="1" applyBorder="1" applyAlignment="1"/>
    <xf numFmtId="0" fontId="28" fillId="0" borderId="21" xfId="0" applyFont="1" applyFill="1" applyBorder="1" applyAlignment="1"/>
    <xf numFmtId="10" fontId="28" fillId="0" borderId="21" xfId="0" applyNumberFormat="1" applyFont="1" applyFill="1" applyBorder="1" applyAlignment="1">
      <alignment horizontal="center"/>
    </xf>
    <xf numFmtId="165" fontId="28" fillId="0" borderId="23" xfId="0" applyNumberFormat="1" applyFont="1" applyFill="1" applyBorder="1"/>
    <xf numFmtId="2" fontId="31" fillId="0" borderId="0" xfId="17" applyNumberFormat="1" applyFont="1" applyFill="1" applyBorder="1"/>
    <xf numFmtId="0" fontId="31" fillId="0" borderId="0" xfId="17" applyFont="1" applyFill="1" applyBorder="1" applyAlignment="1">
      <alignment horizontal="center"/>
    </xf>
    <xf numFmtId="44" fontId="31" fillId="0" borderId="0" xfId="2" applyNumberFormat="1" applyFont="1" applyFill="1" applyBorder="1"/>
    <xf numFmtId="4" fontId="28" fillId="0" borderId="0" xfId="18" applyNumberFormat="1" applyFont="1" applyFill="1" applyBorder="1"/>
    <xf numFmtId="4" fontId="31" fillId="0" borderId="0" xfId="17" applyNumberFormat="1" applyFont="1" applyFill="1"/>
    <xf numFmtId="0" fontId="46" fillId="0" borderId="0" xfId="17" applyFont="1" applyFill="1"/>
    <xf numFmtId="43" fontId="31" fillId="0" borderId="0" xfId="1" applyFont="1" applyFill="1"/>
    <xf numFmtId="0" fontId="28" fillId="0" borderId="6" xfId="0" applyFont="1" applyFill="1" applyBorder="1"/>
    <xf numFmtId="0" fontId="28" fillId="0" borderId="8" xfId="0" applyFont="1" applyFill="1" applyBorder="1" applyAlignment="1">
      <alignment horizontal="center"/>
    </xf>
    <xf numFmtId="0" fontId="28" fillId="0" borderId="8" xfId="0" applyFont="1" applyFill="1" applyBorder="1"/>
    <xf numFmtId="174" fontId="28" fillId="0" borderId="8" xfId="0" applyNumberFormat="1" applyFont="1" applyFill="1" applyBorder="1" applyAlignment="1">
      <alignment horizontal="center"/>
    </xf>
    <xf numFmtId="168" fontId="28" fillId="0" borderId="9" xfId="0" applyNumberFormat="1" applyFont="1" applyFill="1" applyBorder="1"/>
    <xf numFmtId="10" fontId="28" fillId="0" borderId="0" xfId="0" applyNumberFormat="1" applyFont="1" applyFill="1" applyBorder="1" applyAlignment="1">
      <alignment horizontal="center"/>
    </xf>
    <xf numFmtId="10" fontId="28" fillId="0" borderId="0" xfId="0" applyNumberFormat="1" applyFont="1" applyFill="1" applyBorder="1" applyAlignment="1">
      <alignment horizontal="left"/>
    </xf>
    <xf numFmtId="0" fontId="28" fillId="28" borderId="20" xfId="22" applyFont="1" applyFill="1" applyBorder="1" applyAlignment="1">
      <alignment horizontal="center"/>
    </xf>
    <xf numFmtId="0" fontId="28" fillId="28" borderId="21" xfId="22" applyFont="1" applyFill="1" applyBorder="1" applyAlignment="1">
      <alignment horizontal="center"/>
    </xf>
    <xf numFmtId="0" fontId="28" fillId="28" borderId="22" xfId="22" applyFont="1" applyFill="1" applyBorder="1" applyAlignment="1">
      <alignment horizontal="center"/>
    </xf>
    <xf numFmtId="0" fontId="28" fillId="28" borderId="37" xfId="22" applyFont="1" applyFill="1" applyBorder="1" applyAlignment="1">
      <alignment horizontal="center"/>
    </xf>
    <xf numFmtId="0" fontId="28" fillId="28" borderId="13" xfId="22" applyFont="1" applyFill="1" applyBorder="1" applyAlignment="1">
      <alignment horizontal="center"/>
    </xf>
    <xf numFmtId="0" fontId="28" fillId="28" borderId="38" xfId="22" applyFont="1" applyFill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28" fillId="0" borderId="16" xfId="22" applyFont="1" applyBorder="1"/>
    <xf numFmtId="0" fontId="28" fillId="0" borderId="0" xfId="22" applyFont="1" applyBorder="1" applyAlignment="1">
      <alignment horizontal="center" vertical="center"/>
    </xf>
    <xf numFmtId="0" fontId="28" fillId="0" borderId="0" xfId="22" applyFont="1" applyBorder="1"/>
    <xf numFmtId="3" fontId="28" fillId="0" borderId="18" xfId="22" applyNumberFormat="1" applyFont="1" applyBorder="1" applyAlignment="1">
      <alignment horizontal="center"/>
    </xf>
    <xf numFmtId="0" fontId="28" fillId="29" borderId="20" xfId="0" applyFont="1" applyFill="1" applyBorder="1" applyAlignment="1">
      <alignment horizontal="center"/>
    </xf>
    <xf numFmtId="0" fontId="28" fillId="29" borderId="21" xfId="0" applyFont="1" applyFill="1" applyBorder="1" applyAlignment="1">
      <alignment horizontal="center"/>
    </xf>
    <xf numFmtId="0" fontId="28" fillId="29" borderId="22" xfId="0" applyFont="1" applyFill="1" applyBorder="1" applyAlignment="1">
      <alignment horizontal="center"/>
    </xf>
    <xf numFmtId="0" fontId="28" fillId="0" borderId="18" xfId="22" applyFont="1" applyBorder="1"/>
    <xf numFmtId="167" fontId="31" fillId="0" borderId="0" xfId="2" applyNumberFormat="1" applyFont="1" applyBorder="1"/>
    <xf numFmtId="0" fontId="28" fillId="0" borderId="25" xfId="22" applyFont="1" applyBorder="1"/>
    <xf numFmtId="0" fontId="28" fillId="0" borderId="26" xfId="22" applyFont="1" applyBorder="1" applyAlignment="1">
      <alignment horizontal="center"/>
    </xf>
    <xf numFmtId="0" fontId="28" fillId="0" borderId="51" xfId="22" applyFont="1" applyBorder="1" applyAlignment="1">
      <alignment horizontal="center"/>
    </xf>
    <xf numFmtId="0" fontId="31" fillId="0" borderId="59" xfId="0" applyFont="1" applyBorder="1"/>
    <xf numFmtId="43" fontId="22" fillId="0" borderId="0" xfId="0" applyNumberFormat="1" applyFont="1"/>
    <xf numFmtId="168" fontId="28" fillId="0" borderId="16" xfId="22" applyNumberFormat="1" applyFont="1" applyBorder="1"/>
    <xf numFmtId="42" fontId="28" fillId="0" borderId="0" xfId="22" applyNumberFormat="1" applyFont="1" applyBorder="1"/>
    <xf numFmtId="175" fontId="28" fillId="0" borderId="0" xfId="22" applyNumberFormat="1" applyFont="1" applyBorder="1"/>
    <xf numFmtId="42" fontId="28" fillId="0" borderId="18" xfId="22" applyNumberFormat="1" applyFont="1" applyBorder="1"/>
    <xf numFmtId="167" fontId="28" fillId="0" borderId="0" xfId="22" applyNumberFormat="1" applyFont="1" applyBorder="1"/>
    <xf numFmtId="175" fontId="28" fillId="0" borderId="0" xfId="23" applyNumberFormat="1" applyFont="1" applyBorder="1"/>
    <xf numFmtId="167" fontId="28" fillId="0" borderId="18" xfId="22" applyNumberFormat="1" applyFont="1" applyBorder="1"/>
    <xf numFmtId="176" fontId="31" fillId="0" borderId="0" xfId="1" applyNumberFormat="1" applyFont="1" applyBorder="1"/>
    <xf numFmtId="0" fontId="31" fillId="0" borderId="55" xfId="0" applyFont="1" applyBorder="1"/>
    <xf numFmtId="0" fontId="28" fillId="0" borderId="28" xfId="22" applyFont="1" applyBorder="1"/>
    <xf numFmtId="0" fontId="28" fillId="0" borderId="29" xfId="22" applyFont="1" applyBorder="1"/>
    <xf numFmtId="175" fontId="28" fillId="0" borderId="29" xfId="22" applyNumberFormat="1" applyFont="1" applyBorder="1"/>
    <xf numFmtId="42" fontId="28" fillId="0" borderId="31" xfId="22" applyNumberFormat="1" applyFont="1" applyBorder="1"/>
    <xf numFmtId="4" fontId="28" fillId="0" borderId="0" xfId="22" applyNumberFormat="1" applyFont="1" applyBorder="1"/>
    <xf numFmtId="10" fontId="28" fillId="0" borderId="0" xfId="22" applyNumberFormat="1" applyFont="1" applyBorder="1"/>
    <xf numFmtId="0" fontId="31" fillId="0" borderId="55" xfId="0" applyFont="1" applyFill="1" applyBorder="1" applyAlignment="1">
      <alignment horizontal="left"/>
    </xf>
    <xf numFmtId="0" fontId="28" fillId="0" borderId="18" xfId="0" applyFont="1" applyFill="1" applyBorder="1" applyAlignment="1">
      <alignment horizontal="center"/>
    </xf>
    <xf numFmtId="44" fontId="28" fillId="0" borderId="29" xfId="22" applyNumberFormat="1" applyFont="1" applyBorder="1"/>
    <xf numFmtId="0" fontId="31" fillId="0" borderId="16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left"/>
    </xf>
    <xf numFmtId="0" fontId="28" fillId="0" borderId="16" xfId="22" applyFont="1" applyBorder="1" applyAlignment="1">
      <alignment horizontal="left"/>
    </xf>
    <xf numFmtId="165" fontId="28" fillId="0" borderId="0" xfId="22" applyNumberFormat="1" applyFont="1" applyBorder="1"/>
    <xf numFmtId="0" fontId="31" fillId="0" borderId="24" xfId="0" applyFont="1" applyBorder="1"/>
    <xf numFmtId="44" fontId="22" fillId="0" borderId="0" xfId="0" applyNumberFormat="1" applyFont="1"/>
    <xf numFmtId="166" fontId="31" fillId="0" borderId="16" xfId="0" applyNumberFormat="1" applyFont="1" applyBorder="1"/>
    <xf numFmtId="0" fontId="31" fillId="0" borderId="20" xfId="0" applyFont="1" applyBorder="1"/>
    <xf numFmtId="10" fontId="31" fillId="0" borderId="21" xfId="3" applyNumberFormat="1" applyFont="1" applyBorder="1"/>
    <xf numFmtId="0" fontId="31" fillId="0" borderId="21" xfId="0" applyFont="1" applyBorder="1"/>
    <xf numFmtId="0" fontId="31" fillId="0" borderId="22" xfId="0" applyFont="1" applyBorder="1"/>
    <xf numFmtId="0" fontId="28" fillId="0" borderId="34" xfId="22" applyFont="1" applyBorder="1"/>
    <xf numFmtId="10" fontId="28" fillId="0" borderId="35" xfId="22" applyNumberFormat="1" applyFont="1" applyBorder="1"/>
    <xf numFmtId="0" fontId="28" fillId="0" borderId="35" xfId="22" applyFont="1" applyBorder="1"/>
    <xf numFmtId="167" fontId="28" fillId="0" borderId="36" xfId="22" applyNumberFormat="1" applyFont="1" applyBorder="1"/>
    <xf numFmtId="167" fontId="28" fillId="0" borderId="36" xfId="24" applyNumberFormat="1" applyFont="1" applyBorder="1"/>
    <xf numFmtId="44" fontId="28" fillId="0" borderId="0" xfId="24" applyFont="1" applyBorder="1"/>
    <xf numFmtId="167" fontId="28" fillId="0" borderId="18" xfId="24" applyNumberFormat="1" applyFont="1" applyBorder="1"/>
    <xf numFmtId="171" fontId="28" fillId="0" borderId="20" xfId="22" applyNumberFormat="1" applyFont="1" applyFill="1" applyBorder="1" applyAlignment="1"/>
    <xf numFmtId="168" fontId="28" fillId="0" borderId="21" xfId="22" applyNumberFormat="1" applyFont="1" applyFill="1" applyBorder="1" applyAlignment="1"/>
    <xf numFmtId="44" fontId="28" fillId="0" borderId="21" xfId="24" applyFont="1" applyFill="1" applyBorder="1" applyAlignment="1"/>
    <xf numFmtId="44" fontId="28" fillId="12" borderId="23" xfId="24" applyFont="1" applyFill="1" applyBorder="1" applyAlignment="1"/>
    <xf numFmtId="172" fontId="22" fillId="0" borderId="0" xfId="1" applyNumberFormat="1" applyFont="1"/>
    <xf numFmtId="44" fontId="22" fillId="0" borderId="0" xfId="3" applyNumberFormat="1" applyFont="1"/>
    <xf numFmtId="0" fontId="28" fillId="0" borderId="0" xfId="17" applyFont="1" applyBorder="1" applyAlignment="1"/>
    <xf numFmtId="0" fontId="22" fillId="0" borderId="0" xfId="17" applyFont="1"/>
    <xf numFmtId="0" fontId="31" fillId="0" borderId="6" xfId="17" applyFont="1" applyBorder="1" applyAlignment="1"/>
    <xf numFmtId="0" fontId="28" fillId="0" borderId="8" xfId="17" applyFont="1" applyBorder="1" applyAlignment="1"/>
    <xf numFmtId="0" fontId="31" fillId="0" borderId="8" xfId="17" applyFont="1" applyBorder="1" applyAlignment="1"/>
    <xf numFmtId="0" fontId="31" fillId="0" borderId="9" xfId="17" applyFont="1" applyBorder="1" applyAlignment="1"/>
    <xf numFmtId="0" fontId="28" fillId="0" borderId="20" xfId="17" applyFont="1" applyBorder="1" applyAlignment="1">
      <alignment horizontal="center"/>
    </xf>
    <xf numFmtId="0" fontId="28" fillId="0" borderId="21" xfId="17" applyFont="1" applyBorder="1" applyAlignment="1">
      <alignment horizontal="center"/>
    </xf>
    <xf numFmtId="0" fontId="28" fillId="0" borderId="22" xfId="17" applyFont="1" applyBorder="1" applyAlignment="1">
      <alignment horizontal="center"/>
    </xf>
    <xf numFmtId="0" fontId="31" fillId="0" borderId="11" xfId="17" applyFont="1" applyBorder="1"/>
    <xf numFmtId="0" fontId="31" fillId="0" borderId="12" xfId="17" applyFont="1" applyBorder="1" applyAlignment="1">
      <alignment wrapText="1"/>
    </xf>
    <xf numFmtId="0" fontId="31" fillId="0" borderId="12" xfId="17" applyFont="1" applyBorder="1"/>
    <xf numFmtId="0" fontId="31" fillId="0" borderId="14" xfId="17" applyFont="1" applyBorder="1"/>
    <xf numFmtId="0" fontId="31" fillId="0" borderId="6" xfId="17" applyFont="1" applyBorder="1" applyAlignment="1">
      <alignment horizontal="center"/>
    </xf>
    <xf numFmtId="0" fontId="31" fillId="0" borderId="8" xfId="17" applyFont="1" applyBorder="1" applyAlignment="1">
      <alignment horizontal="center"/>
    </xf>
    <xf numFmtId="0" fontId="31" fillId="0" borderId="23" xfId="17" applyFont="1" applyBorder="1"/>
    <xf numFmtId="0" fontId="31" fillId="0" borderId="75" xfId="17" applyFont="1" applyBorder="1" applyAlignment="1">
      <alignment horizontal="right" wrapText="1"/>
    </xf>
    <xf numFmtId="0" fontId="31" fillId="0" borderId="7" xfId="17" applyFont="1" applyBorder="1" applyAlignment="1">
      <alignment horizontal="right" wrapText="1"/>
    </xf>
    <xf numFmtId="0" fontId="31" fillId="0" borderId="26" xfId="17" applyFont="1" applyBorder="1" applyAlignment="1">
      <alignment horizontal="center"/>
    </xf>
    <xf numFmtId="0" fontId="31" fillId="0" borderId="51" xfId="17" applyFont="1" applyBorder="1" applyAlignment="1">
      <alignment horizontal="center"/>
    </xf>
    <xf numFmtId="0" fontId="31" fillId="0" borderId="6" xfId="17" applyFont="1" applyBorder="1"/>
    <xf numFmtId="167" fontId="31" fillId="0" borderId="8" xfId="17" applyNumberFormat="1" applyFont="1" applyBorder="1" applyAlignment="1">
      <alignment horizontal="center"/>
    </xf>
    <xf numFmtId="0" fontId="22" fillId="0" borderId="65" xfId="0" applyFont="1" applyFill="1" applyBorder="1"/>
    <xf numFmtId="0" fontId="31" fillId="0" borderId="33" xfId="17" applyFont="1" applyBorder="1"/>
    <xf numFmtId="0" fontId="31" fillId="0" borderId="17" xfId="17" applyFont="1" applyBorder="1" applyAlignment="1">
      <alignment horizontal="center"/>
    </xf>
    <xf numFmtId="166" fontId="31" fillId="0" borderId="17" xfId="17" applyNumberFormat="1" applyFont="1" applyBorder="1" applyAlignment="1">
      <alignment horizontal="center"/>
    </xf>
    <xf numFmtId="166" fontId="31" fillId="0" borderId="54" xfId="17" applyNumberFormat="1" applyFont="1" applyBorder="1" applyAlignment="1">
      <alignment horizontal="right"/>
    </xf>
    <xf numFmtId="167" fontId="31" fillId="0" borderId="12" xfId="17" applyNumberFormat="1" applyFont="1" applyBorder="1" applyAlignment="1">
      <alignment horizontal="center"/>
    </xf>
    <xf numFmtId="0" fontId="31" fillId="0" borderId="74" xfId="17" applyFont="1" applyBorder="1" applyAlignment="1">
      <alignment horizontal="left" vertical="top" wrapText="1"/>
    </xf>
    <xf numFmtId="0" fontId="31" fillId="0" borderId="16" xfId="17" applyFont="1" applyBorder="1"/>
    <xf numFmtId="0" fontId="31" fillId="0" borderId="0" xfId="17" applyFont="1" applyBorder="1" applyAlignment="1">
      <alignment horizontal="center"/>
    </xf>
    <xf numFmtId="166" fontId="31" fillId="0" borderId="0" xfId="17" applyNumberFormat="1" applyFont="1" applyBorder="1" applyAlignment="1">
      <alignment horizontal="center"/>
    </xf>
    <xf numFmtId="166" fontId="31" fillId="0" borderId="18" xfId="17" applyNumberFormat="1" applyFont="1" applyBorder="1" applyAlignment="1">
      <alignment horizontal="right"/>
    </xf>
    <xf numFmtId="0" fontId="31" fillId="0" borderId="20" xfId="17" applyFont="1" applyBorder="1" applyAlignment="1">
      <alignment horizontal="center"/>
    </xf>
    <xf numFmtId="0" fontId="31" fillId="0" borderId="21" xfId="17" applyFont="1" applyBorder="1" applyAlignment="1">
      <alignment horizontal="center"/>
    </xf>
    <xf numFmtId="0" fontId="31" fillId="0" borderId="22" xfId="17" applyFont="1" applyBorder="1" applyAlignment="1">
      <alignment horizontal="center"/>
    </xf>
    <xf numFmtId="167" fontId="31" fillId="0" borderId="9" xfId="17" applyNumberFormat="1" applyFont="1" applyBorder="1" applyAlignment="1">
      <alignment horizontal="center"/>
    </xf>
    <xf numFmtId="0" fontId="31" fillId="0" borderId="9" xfId="17" applyFont="1" applyBorder="1"/>
    <xf numFmtId="0" fontId="28" fillId="0" borderId="28" xfId="17" applyFont="1" applyBorder="1"/>
    <xf numFmtId="0" fontId="28" fillId="0" borderId="29" xfId="17" applyFont="1" applyBorder="1" applyAlignment="1">
      <alignment horizontal="center"/>
    </xf>
    <xf numFmtId="166" fontId="28" fillId="0" borderId="31" xfId="17" applyNumberFormat="1" applyFont="1" applyBorder="1" applyAlignment="1">
      <alignment horizontal="right"/>
    </xf>
    <xf numFmtId="167" fontId="31" fillId="0" borderId="18" xfId="17" applyNumberFormat="1" applyFont="1" applyBorder="1" applyAlignment="1">
      <alignment horizontal="center"/>
    </xf>
    <xf numFmtId="0" fontId="31" fillId="0" borderId="18" xfId="17" applyFont="1" applyBorder="1"/>
    <xf numFmtId="0" fontId="31" fillId="0" borderId="37" xfId="17" applyFont="1" applyBorder="1"/>
    <xf numFmtId="10" fontId="31" fillId="0" borderId="13" xfId="17" applyNumberFormat="1" applyFont="1" applyBorder="1" applyAlignment="1">
      <alignment horizontal="center"/>
    </xf>
    <xf numFmtId="0" fontId="31" fillId="0" borderId="13" xfId="17" applyFont="1" applyBorder="1" applyAlignment="1">
      <alignment horizontal="center"/>
    </xf>
    <xf numFmtId="0" fontId="31" fillId="0" borderId="13" xfId="17" applyFont="1" applyBorder="1"/>
    <xf numFmtId="166" fontId="31" fillId="0" borderId="38" xfId="17" applyNumberFormat="1" applyFont="1" applyBorder="1" applyAlignment="1">
      <alignment horizontal="right"/>
    </xf>
    <xf numFmtId="0" fontId="31" fillId="0" borderId="34" xfId="17" applyFont="1" applyBorder="1"/>
    <xf numFmtId="0" fontId="31" fillId="0" borderId="35" xfId="17" applyFont="1" applyBorder="1" applyAlignment="1">
      <alignment horizontal="center"/>
    </xf>
    <xf numFmtId="0" fontId="31" fillId="0" borderId="35" xfId="17" applyFont="1" applyBorder="1"/>
    <xf numFmtId="166" fontId="28" fillId="0" borderId="36" xfId="17" applyNumberFormat="1" applyFont="1" applyBorder="1" applyAlignment="1">
      <alignment horizontal="right"/>
    </xf>
    <xf numFmtId="167" fontId="31" fillId="0" borderId="0" xfId="17" applyNumberFormat="1" applyFont="1" applyBorder="1"/>
    <xf numFmtId="167" fontId="31" fillId="0" borderId="18" xfId="17" applyNumberFormat="1" applyFont="1" applyBorder="1"/>
    <xf numFmtId="0" fontId="21" fillId="0" borderId="0" xfId="17" applyFont="1" applyBorder="1"/>
    <xf numFmtId="0" fontId="21" fillId="0" borderId="11" xfId="17" applyFont="1" applyBorder="1"/>
    <xf numFmtId="167" fontId="31" fillId="0" borderId="14" xfId="17" applyNumberFormat="1" applyFont="1" applyBorder="1" applyAlignment="1">
      <alignment horizontal="center"/>
    </xf>
    <xf numFmtId="0" fontId="21" fillId="0" borderId="14" xfId="17" applyFont="1" applyBorder="1"/>
    <xf numFmtId="10" fontId="31" fillId="0" borderId="0" xfId="17" applyNumberFormat="1" applyFont="1" applyBorder="1" applyAlignment="1">
      <alignment horizontal="center"/>
    </xf>
    <xf numFmtId="0" fontId="31" fillId="0" borderId="65" xfId="17" applyFont="1" applyBorder="1"/>
    <xf numFmtId="0" fontId="21" fillId="0" borderId="16" xfId="17" applyFont="1" applyBorder="1"/>
    <xf numFmtId="0" fontId="31" fillId="0" borderId="67" xfId="17" applyFont="1" applyBorder="1"/>
    <xf numFmtId="0" fontId="31" fillId="0" borderId="28" xfId="17" applyFont="1" applyBorder="1"/>
    <xf numFmtId="0" fontId="31" fillId="0" borderId="29" xfId="17" applyFont="1" applyBorder="1" applyAlignment="1">
      <alignment horizontal="center"/>
    </xf>
    <xf numFmtId="0" fontId="31" fillId="0" borderId="29" xfId="17" applyFont="1" applyBorder="1"/>
    <xf numFmtId="10" fontId="31" fillId="0" borderId="0" xfId="3" applyNumberFormat="1" applyFont="1" applyBorder="1" applyAlignment="1">
      <alignment horizontal="center"/>
    </xf>
    <xf numFmtId="9" fontId="31" fillId="0" borderId="0" xfId="17" applyNumberFormat="1" applyFont="1" applyBorder="1" applyAlignment="1">
      <alignment horizontal="center"/>
    </xf>
    <xf numFmtId="0" fontId="31" fillId="0" borderId="0" xfId="17" applyFont="1" applyBorder="1"/>
    <xf numFmtId="0" fontId="31" fillId="0" borderId="11" xfId="17" applyFont="1" applyFill="1" applyBorder="1"/>
    <xf numFmtId="10" fontId="28" fillId="0" borderId="12" xfId="3" applyNumberFormat="1" applyFont="1" applyFill="1" applyBorder="1" applyAlignment="1">
      <alignment horizontal="center"/>
    </xf>
    <xf numFmtId="0" fontId="31" fillId="0" borderId="74" xfId="17" applyFont="1" applyFill="1" applyBorder="1"/>
    <xf numFmtId="165" fontId="31" fillId="0" borderId="0" xfId="17" applyNumberFormat="1" applyFont="1"/>
    <xf numFmtId="10" fontId="31" fillId="0" borderId="0" xfId="17" applyNumberFormat="1" applyFont="1" applyFill="1" applyBorder="1" applyAlignment="1">
      <alignment horizontal="center"/>
    </xf>
    <xf numFmtId="0" fontId="31" fillId="0" borderId="60" xfId="17" applyFont="1" applyBorder="1"/>
    <xf numFmtId="0" fontId="31" fillId="0" borderId="61" xfId="17" applyFont="1" applyBorder="1" applyAlignment="1">
      <alignment horizontal="center"/>
    </xf>
    <xf numFmtId="0" fontId="31" fillId="0" borderId="61" xfId="17" applyFont="1" applyBorder="1"/>
    <xf numFmtId="166" fontId="28" fillId="0" borderId="62" xfId="17" applyNumberFormat="1" applyFont="1" applyBorder="1" applyAlignment="1">
      <alignment horizontal="right"/>
    </xf>
    <xf numFmtId="0" fontId="31" fillId="0" borderId="18" xfId="17" applyFont="1" applyBorder="1" applyAlignment="1">
      <alignment horizontal="right"/>
    </xf>
    <xf numFmtId="0" fontId="45" fillId="0" borderId="0" xfId="17" applyFont="1"/>
    <xf numFmtId="165" fontId="28" fillId="12" borderId="38" xfId="17" applyNumberFormat="1" applyFont="1" applyFill="1" applyBorder="1" applyAlignment="1">
      <alignment horizontal="right"/>
    </xf>
    <xf numFmtId="44" fontId="31" fillId="0" borderId="0" xfId="2" applyNumberFormat="1" applyFont="1"/>
    <xf numFmtId="10" fontId="31" fillId="0" borderId="0" xfId="3" applyNumberFormat="1" applyFont="1"/>
    <xf numFmtId="0" fontId="53" fillId="0" borderId="47" xfId="17" applyFont="1" applyBorder="1" applyAlignment="1"/>
    <xf numFmtId="0" fontId="54" fillId="0" borderId="0" xfId="17" applyFont="1"/>
    <xf numFmtId="0" fontId="55" fillId="0" borderId="0" xfId="17" applyFont="1" applyAlignment="1">
      <alignment horizontal="center"/>
    </xf>
    <xf numFmtId="0" fontId="53" fillId="0" borderId="0" xfId="17" applyFont="1" applyFill="1" applyAlignment="1">
      <alignment horizontal="left"/>
    </xf>
    <xf numFmtId="0" fontId="53" fillId="0" borderId="6" xfId="17" applyFont="1" applyBorder="1"/>
    <xf numFmtId="0" fontId="54" fillId="0" borderId="8" xfId="17" applyFont="1" applyBorder="1"/>
    <xf numFmtId="0" fontId="54" fillId="0" borderId="9" xfId="17" applyFont="1" applyBorder="1"/>
    <xf numFmtId="0" fontId="54" fillId="0" borderId="0" xfId="17" applyFont="1" applyBorder="1"/>
    <xf numFmtId="0" fontId="22" fillId="0" borderId="0" xfId="17" applyFont="1" applyBorder="1"/>
    <xf numFmtId="166" fontId="22" fillId="0" borderId="0" xfId="17" applyNumberFormat="1" applyFont="1"/>
    <xf numFmtId="0" fontId="53" fillId="0" borderId="46" xfId="17" applyFont="1" applyFill="1" applyBorder="1" applyAlignment="1"/>
    <xf numFmtId="0" fontId="54" fillId="0" borderId="79" xfId="17" applyFont="1" applyFill="1" applyBorder="1" applyAlignment="1">
      <alignment horizontal="left"/>
    </xf>
    <xf numFmtId="0" fontId="54" fillId="0" borderId="79" xfId="17" applyFont="1" applyFill="1" applyBorder="1" applyAlignment="1">
      <alignment horizontal="center"/>
    </xf>
    <xf numFmtId="2" fontId="54" fillId="0" borderId="79" xfId="17" applyNumberFormat="1" applyFont="1" applyFill="1" applyBorder="1" applyAlignment="1">
      <alignment horizontal="center"/>
    </xf>
    <xf numFmtId="4" fontId="54" fillId="0" borderId="79" xfId="17" applyNumberFormat="1" applyFont="1" applyFill="1" applyBorder="1" applyAlignment="1">
      <alignment horizontal="center"/>
    </xf>
    <xf numFmtId="0" fontId="54" fillId="0" borderId="31" xfId="17" applyFont="1" applyFill="1" applyBorder="1" applyAlignment="1">
      <alignment horizontal="center"/>
    </xf>
    <xf numFmtId="0" fontId="54" fillId="0" borderId="0" xfId="17" applyFont="1" applyFill="1" applyBorder="1"/>
    <xf numFmtId="0" fontId="22" fillId="27" borderId="20" xfId="17" applyFont="1" applyFill="1" applyBorder="1" applyAlignment="1">
      <alignment horizontal="center"/>
    </xf>
    <xf numFmtId="0" fontId="22" fillId="27" borderId="21" xfId="17" applyFont="1" applyFill="1" applyBorder="1" applyAlignment="1">
      <alignment horizontal="center"/>
    </xf>
    <xf numFmtId="0" fontId="22" fillId="27" borderId="22" xfId="17" applyFont="1" applyFill="1" applyBorder="1" applyAlignment="1">
      <alignment horizontal="center"/>
    </xf>
    <xf numFmtId="173" fontId="53" fillId="0" borderId="87" xfId="18" applyNumberFormat="1" applyFont="1" applyFill="1" applyBorder="1"/>
    <xf numFmtId="173" fontId="54" fillId="0" borderId="52" xfId="18" applyNumberFormat="1" applyFont="1" applyFill="1" applyBorder="1" applyAlignment="1">
      <alignment horizontal="left"/>
    </xf>
    <xf numFmtId="172" fontId="54" fillId="0" borderId="90" xfId="18" applyNumberFormat="1" applyFont="1" applyFill="1" applyBorder="1"/>
    <xf numFmtId="2" fontId="54" fillId="0" borderId="90" xfId="18" applyNumberFormat="1" applyFont="1" applyFill="1" applyBorder="1"/>
    <xf numFmtId="4" fontId="54" fillId="0" borderId="90" xfId="18" applyNumberFormat="1" applyFont="1" applyFill="1" applyBorder="1"/>
    <xf numFmtId="0" fontId="54" fillId="0" borderId="18" xfId="17" applyFont="1" applyFill="1" applyBorder="1"/>
    <xf numFmtId="0" fontId="13" fillId="0" borderId="20" xfId="17" applyFont="1" applyBorder="1" applyAlignment="1">
      <alignment horizontal="right"/>
    </xf>
    <xf numFmtId="0" fontId="13" fillId="0" borderId="21" xfId="17" applyFont="1" applyBorder="1" applyAlignment="1">
      <alignment horizontal="right"/>
    </xf>
    <xf numFmtId="0" fontId="13" fillId="0" borderId="21" xfId="17" applyFont="1" applyBorder="1" applyAlignment="1">
      <alignment horizontal="center"/>
    </xf>
    <xf numFmtId="0" fontId="13" fillId="0" borderId="22" xfId="17" applyFont="1" applyBorder="1" applyAlignment="1">
      <alignment horizontal="center"/>
    </xf>
    <xf numFmtId="173" fontId="54" fillId="0" borderId="48" xfId="18" applyNumberFormat="1" applyFont="1" applyFill="1" applyBorder="1" applyAlignment="1">
      <alignment horizontal="left"/>
    </xf>
    <xf numFmtId="172" fontId="54" fillId="0" borderId="50" xfId="18" applyNumberFormat="1" applyFont="1" applyFill="1" applyBorder="1"/>
    <xf numFmtId="2" fontId="54" fillId="0" borderId="50" xfId="18" applyNumberFormat="1" applyFont="1" applyFill="1" applyBorder="1"/>
    <xf numFmtId="4" fontId="54" fillId="0" borderId="50" xfId="18" applyNumberFormat="1" applyFont="1" applyFill="1" applyBorder="1"/>
    <xf numFmtId="10" fontId="54" fillId="0" borderId="51" xfId="17" applyNumberFormat="1" applyFont="1" applyFill="1" applyBorder="1"/>
    <xf numFmtId="0" fontId="13" fillId="0" borderId="43" xfId="17" applyFont="1" applyBorder="1"/>
    <xf numFmtId="166" fontId="22" fillId="0" borderId="48" xfId="17" applyNumberFormat="1" applyFont="1" applyBorder="1" applyAlignment="1">
      <alignment horizontal="center"/>
    </xf>
    <xf numFmtId="0" fontId="22" fillId="0" borderId="81" xfId="17" applyFont="1" applyBorder="1"/>
    <xf numFmtId="0" fontId="22" fillId="0" borderId="26" xfId="17" applyFont="1" applyBorder="1"/>
    <xf numFmtId="0" fontId="22" fillId="0" borderId="51" xfId="17" applyFont="1" applyBorder="1"/>
    <xf numFmtId="173" fontId="54" fillId="0" borderId="43" xfId="18" applyNumberFormat="1" applyFont="1" applyFill="1" applyBorder="1"/>
    <xf numFmtId="173" fontId="54" fillId="0" borderId="50" xfId="18" applyNumberFormat="1" applyFont="1" applyFill="1" applyBorder="1"/>
    <xf numFmtId="0" fontId="13" fillId="0" borderId="46" xfId="17" applyFont="1" applyBorder="1"/>
    <xf numFmtId="166" fontId="22" fillId="0" borderId="47" xfId="17" applyNumberFormat="1" applyFont="1" applyBorder="1" applyAlignment="1">
      <alignment horizontal="center"/>
    </xf>
    <xf numFmtId="0" fontId="22" fillId="0" borderId="80" xfId="17" applyFont="1" applyBorder="1"/>
    <xf numFmtId="0" fontId="22" fillId="0" borderId="29" xfId="17" applyFont="1" applyBorder="1"/>
    <xf numFmtId="0" fontId="22" fillId="0" borderId="31" xfId="17" applyFont="1" applyBorder="1"/>
    <xf numFmtId="173" fontId="53" fillId="0" borderId="43" xfId="18" applyNumberFormat="1" applyFont="1" applyFill="1" applyBorder="1"/>
    <xf numFmtId="173" fontId="54" fillId="0" borderId="50" xfId="18" applyNumberFormat="1" applyFont="1" applyFill="1" applyBorder="1" applyAlignment="1">
      <alignment horizontal="left"/>
    </xf>
    <xf numFmtId="9" fontId="54" fillId="0" borderId="50" xfId="19" applyFont="1" applyFill="1" applyBorder="1"/>
    <xf numFmtId="44" fontId="22" fillId="0" borderId="0" xfId="2" applyFont="1"/>
    <xf numFmtId="173" fontId="54" fillId="0" borderId="46" xfId="18" applyNumberFormat="1" applyFont="1" applyFill="1" applyBorder="1"/>
    <xf numFmtId="0" fontId="54" fillId="0" borderId="29" xfId="17" applyFont="1" applyBorder="1"/>
    <xf numFmtId="4" fontId="54" fillId="0" borderId="29" xfId="17" applyNumberFormat="1" applyFont="1" applyBorder="1"/>
    <xf numFmtId="10" fontId="54" fillId="0" borderId="31" xfId="17" applyNumberFormat="1" applyFont="1" applyFill="1" applyBorder="1"/>
    <xf numFmtId="173" fontId="54" fillId="0" borderId="87" xfId="18" applyNumberFormat="1" applyFont="1" applyFill="1" applyBorder="1"/>
    <xf numFmtId="173" fontId="54" fillId="0" borderId="90" xfId="18" applyNumberFormat="1" applyFont="1" applyFill="1" applyBorder="1" applyAlignment="1">
      <alignment horizontal="left"/>
    </xf>
    <xf numFmtId="9" fontId="54" fillId="0" borderId="90" xfId="18" applyNumberFormat="1" applyFont="1" applyFill="1" applyBorder="1"/>
    <xf numFmtId="165" fontId="22" fillId="0" borderId="0" xfId="17" applyNumberFormat="1" applyFont="1"/>
    <xf numFmtId="10" fontId="54" fillId="0" borderId="18" xfId="17" applyNumberFormat="1" applyFont="1" applyFill="1" applyBorder="1"/>
    <xf numFmtId="173" fontId="56" fillId="0" borderId="46" xfId="18" applyNumberFormat="1" applyFont="1" applyFill="1" applyBorder="1"/>
    <xf numFmtId="173" fontId="56" fillId="0" borderId="79" xfId="18" applyNumberFormat="1" applyFont="1" applyFill="1" applyBorder="1" applyAlignment="1">
      <alignment horizontal="left"/>
    </xf>
    <xf numFmtId="172" fontId="56" fillId="0" borderId="79" xfId="18" applyNumberFormat="1" applyFont="1" applyFill="1" applyBorder="1"/>
    <xf numFmtId="2" fontId="56" fillId="0" borderId="79" xfId="18" applyNumberFormat="1" applyFont="1" applyFill="1" applyBorder="1"/>
    <xf numFmtId="4" fontId="56" fillId="0" borderId="79" xfId="18" applyNumberFormat="1" applyFont="1" applyFill="1" applyBorder="1"/>
    <xf numFmtId="0" fontId="54" fillId="0" borderId="16" xfId="17" applyFont="1" applyBorder="1"/>
    <xf numFmtId="0" fontId="54" fillId="0" borderId="18" xfId="17" applyFont="1" applyBorder="1"/>
    <xf numFmtId="173" fontId="56" fillId="0" borderId="43" xfId="18" applyNumberFormat="1" applyFont="1" applyFill="1" applyBorder="1"/>
    <xf numFmtId="173" fontId="56" fillId="0" borderId="50" xfId="18" applyNumberFormat="1" applyFont="1" applyFill="1" applyBorder="1" applyAlignment="1">
      <alignment horizontal="left"/>
    </xf>
    <xf numFmtId="172" fontId="56" fillId="0" borderId="50" xfId="18" applyNumberFormat="1" applyFont="1" applyFill="1" applyBorder="1"/>
    <xf numFmtId="2" fontId="56" fillId="0" borderId="50" xfId="18" applyNumberFormat="1" applyFont="1" applyFill="1" applyBorder="1"/>
    <xf numFmtId="4" fontId="56" fillId="0" borderId="50" xfId="18" applyNumberFormat="1" applyFont="1" applyFill="1" applyBorder="1"/>
    <xf numFmtId="167" fontId="22" fillId="0" borderId="47" xfId="2" applyNumberFormat="1" applyFont="1" applyBorder="1" applyAlignment="1">
      <alignment horizontal="center"/>
    </xf>
    <xf numFmtId="44" fontId="22" fillId="0" borderId="47" xfId="17" applyNumberFormat="1" applyFont="1" applyBorder="1" applyAlignment="1">
      <alignment horizontal="center"/>
    </xf>
    <xf numFmtId="9" fontId="22" fillId="0" borderId="47" xfId="17" applyNumberFormat="1" applyFont="1" applyBorder="1" applyAlignment="1">
      <alignment horizontal="center"/>
    </xf>
    <xf numFmtId="10" fontId="22" fillId="0" borderId="47" xfId="17" applyNumberFormat="1" applyFont="1" applyBorder="1" applyAlignment="1">
      <alignment horizontal="center"/>
    </xf>
    <xf numFmtId="10" fontId="22" fillId="0" borderId="47" xfId="3" applyNumberFormat="1" applyFont="1" applyBorder="1" applyAlignment="1">
      <alignment horizontal="center"/>
    </xf>
    <xf numFmtId="0" fontId="53" fillId="0" borderId="87" xfId="17" applyFont="1" applyFill="1" applyBorder="1"/>
    <xf numFmtId="0" fontId="54" fillId="0" borderId="48" xfId="17" applyFont="1" applyFill="1" applyBorder="1" applyAlignment="1">
      <alignment horizontal="left"/>
    </xf>
    <xf numFmtId="174" fontId="54" fillId="0" borderId="50" xfId="17" applyNumberFormat="1" applyFont="1" applyFill="1" applyBorder="1"/>
    <xf numFmtId="2" fontId="54" fillId="0" borderId="50" xfId="17" applyNumberFormat="1" applyFont="1" applyFill="1" applyBorder="1"/>
    <xf numFmtId="4" fontId="54" fillId="0" borderId="50" xfId="17" applyNumberFormat="1" applyFont="1" applyFill="1" applyBorder="1"/>
    <xf numFmtId="0" fontId="13" fillId="0" borderId="71" xfId="17" applyFont="1" applyBorder="1"/>
    <xf numFmtId="10" fontId="22" fillId="0" borderId="72" xfId="17" applyNumberFormat="1" applyFont="1" applyBorder="1" applyAlignment="1">
      <alignment horizontal="center"/>
    </xf>
    <xf numFmtId="0" fontId="22" fillId="0" borderId="97" xfId="17" applyFont="1" applyBorder="1"/>
    <xf numFmtId="0" fontId="22" fillId="0" borderId="13" xfId="17" applyFont="1" applyBorder="1"/>
    <xf numFmtId="0" fontId="22" fillId="0" borderId="38" xfId="17" applyFont="1" applyBorder="1"/>
    <xf numFmtId="0" fontId="54" fillId="0" borderId="43" xfId="17" applyFont="1" applyFill="1" applyBorder="1"/>
    <xf numFmtId="0" fontId="54" fillId="0" borderId="48" xfId="17" applyFont="1" applyFill="1" applyBorder="1"/>
    <xf numFmtId="0" fontId="54" fillId="0" borderId="50" xfId="17" applyFont="1" applyFill="1" applyBorder="1"/>
    <xf numFmtId="0" fontId="13" fillId="30" borderId="41" xfId="17" applyFont="1" applyFill="1" applyBorder="1"/>
    <xf numFmtId="10" fontId="22" fillId="30" borderId="42" xfId="17" applyNumberFormat="1" applyFont="1" applyFill="1" applyBorder="1" applyAlignment="1">
      <alignment horizontal="center"/>
    </xf>
    <xf numFmtId="0" fontId="22" fillId="30" borderId="49" xfId="17" applyFont="1" applyFill="1" applyBorder="1"/>
    <xf numFmtId="0" fontId="22" fillId="30" borderId="21" xfId="17" applyFont="1" applyFill="1" applyBorder="1"/>
    <xf numFmtId="0" fontId="22" fillId="30" borderId="22" xfId="17" applyFont="1" applyFill="1" applyBorder="1"/>
    <xf numFmtId="0" fontId="54" fillId="0" borderId="87" xfId="17" applyFont="1" applyBorder="1" applyAlignment="1">
      <alignment horizontal="left" indent="1"/>
    </xf>
    <xf numFmtId="0" fontId="54" fillId="0" borderId="90" xfId="17" applyFont="1" applyBorder="1" applyAlignment="1">
      <alignment horizontal="left"/>
    </xf>
    <xf numFmtId="44" fontId="54" fillId="0" borderId="90" xfId="20" applyFont="1" applyBorder="1"/>
    <xf numFmtId="2" fontId="54" fillId="0" borderId="90" xfId="17" applyNumberFormat="1" applyFont="1" applyBorder="1"/>
    <xf numFmtId="4" fontId="54" fillId="0" borderId="90" xfId="17" applyNumberFormat="1" applyFont="1" applyFill="1" applyBorder="1"/>
    <xf numFmtId="0" fontId="22" fillId="27" borderId="20" xfId="17" applyFont="1" applyFill="1" applyBorder="1" applyAlignment="1"/>
    <xf numFmtId="0" fontId="22" fillId="27" borderId="21" xfId="17" applyFont="1" applyFill="1" applyBorder="1"/>
    <xf numFmtId="166" fontId="22" fillId="27" borderId="22" xfId="17" applyNumberFormat="1" applyFont="1" applyFill="1" applyBorder="1"/>
    <xf numFmtId="0" fontId="22" fillId="27" borderId="41" xfId="17" applyFont="1" applyFill="1" applyBorder="1" applyAlignment="1"/>
    <xf numFmtId="0" fontId="22" fillId="27" borderId="42" xfId="17" applyFont="1" applyFill="1" applyBorder="1"/>
    <xf numFmtId="166" fontId="22" fillId="27" borderId="40" xfId="17" applyNumberFormat="1" applyFont="1" applyFill="1" applyBorder="1"/>
    <xf numFmtId="0" fontId="22" fillId="0" borderId="43" xfId="17" applyFont="1" applyBorder="1"/>
    <xf numFmtId="0" fontId="13" fillId="0" borderId="48" xfId="17" applyFont="1" applyBorder="1"/>
    <xf numFmtId="166" fontId="22" fillId="0" borderId="45" xfId="17" applyNumberFormat="1" applyFont="1" applyBorder="1"/>
    <xf numFmtId="0" fontId="22" fillId="0" borderId="68" xfId="17" applyFont="1" applyBorder="1"/>
    <xf numFmtId="0" fontId="13" fillId="0" borderId="69" xfId="17" applyFont="1" applyBorder="1"/>
    <xf numFmtId="166" fontId="13" fillId="0" borderId="70" xfId="17" applyNumberFormat="1" applyFont="1" applyBorder="1"/>
    <xf numFmtId="0" fontId="22" fillId="0" borderId="46" xfId="17" applyFont="1" applyBorder="1"/>
    <xf numFmtId="0" fontId="13" fillId="0" borderId="47" xfId="17" applyFont="1" applyBorder="1"/>
    <xf numFmtId="166" fontId="13" fillId="0" borderId="66" xfId="17" applyNumberFormat="1" applyFont="1" applyBorder="1"/>
    <xf numFmtId="0" fontId="22" fillId="0" borderId="6" xfId="17" applyFont="1" applyBorder="1"/>
    <xf numFmtId="5" fontId="22" fillId="0" borderId="8" xfId="17" applyNumberFormat="1" applyFont="1" applyBorder="1" applyAlignment="1">
      <alignment horizontal="center"/>
    </xf>
    <xf numFmtId="0" fontId="22" fillId="0" borderId="8" xfId="17" applyFont="1" applyBorder="1"/>
    <xf numFmtId="166" fontId="22" fillId="0" borderId="22" xfId="17" applyNumberFormat="1" applyFont="1" applyBorder="1"/>
    <xf numFmtId="0" fontId="53" fillId="0" borderId="0" xfId="17" applyFont="1" applyBorder="1"/>
    <xf numFmtId="4" fontId="53" fillId="0" borderId="0" xfId="17" applyNumberFormat="1" applyFont="1" applyBorder="1"/>
    <xf numFmtId="10" fontId="53" fillId="0" borderId="51" xfId="17" applyNumberFormat="1" applyFont="1" applyFill="1" applyBorder="1"/>
    <xf numFmtId="0" fontId="22" fillId="0" borderId="16" xfId="17" applyFont="1" applyBorder="1"/>
    <xf numFmtId="0" fontId="22" fillId="0" borderId="0" xfId="17" applyFont="1" applyBorder="1" applyAlignment="1">
      <alignment horizontal="center"/>
    </xf>
    <xf numFmtId="166" fontId="22" fillId="0" borderId="18" xfId="17" applyNumberFormat="1" applyFont="1" applyBorder="1"/>
    <xf numFmtId="10" fontId="22" fillId="0" borderId="0" xfId="17" applyNumberFormat="1" applyFont="1" applyBorder="1" applyAlignment="1">
      <alignment horizontal="center"/>
    </xf>
    <xf numFmtId="166" fontId="22" fillId="0" borderId="36" xfId="17" applyNumberFormat="1" applyFont="1" applyBorder="1"/>
    <xf numFmtId="10" fontId="56" fillId="0" borderId="31" xfId="17" applyNumberFormat="1" applyFont="1" applyFill="1" applyBorder="1"/>
    <xf numFmtId="0" fontId="22" fillId="0" borderId="8" xfId="17" applyFont="1" applyBorder="1" applyAlignment="1">
      <alignment horizontal="center"/>
    </xf>
    <xf numFmtId="166" fontId="22" fillId="0" borderId="9" xfId="17" applyNumberFormat="1" applyFont="1" applyBorder="1"/>
    <xf numFmtId="0" fontId="22" fillId="0" borderId="16" xfId="17" applyFont="1" applyBorder="1" applyAlignment="1">
      <alignment horizontal="left"/>
    </xf>
    <xf numFmtId="0" fontId="22" fillId="0" borderId="34" xfId="17" applyFont="1" applyBorder="1"/>
    <xf numFmtId="0" fontId="22" fillId="0" borderId="35" xfId="17" applyFont="1" applyBorder="1" applyAlignment="1">
      <alignment horizontal="center"/>
    </xf>
    <xf numFmtId="0" fontId="22" fillId="0" borderId="35" xfId="17" applyFont="1" applyBorder="1"/>
    <xf numFmtId="9" fontId="22" fillId="0" borderId="0" xfId="17" applyNumberFormat="1" applyFont="1" applyBorder="1" applyAlignment="1">
      <alignment horizontal="center"/>
    </xf>
    <xf numFmtId="0" fontId="54" fillId="0" borderId="87" xfId="17" applyFont="1" applyFill="1" applyBorder="1"/>
    <xf numFmtId="0" fontId="54" fillId="0" borderId="90" xfId="17" applyFont="1" applyFill="1" applyBorder="1"/>
    <xf numFmtId="2" fontId="54" fillId="0" borderId="90" xfId="17" applyNumberFormat="1" applyFont="1" applyFill="1" applyBorder="1"/>
    <xf numFmtId="0" fontId="22" fillId="0" borderId="11" xfId="17" applyFont="1" applyBorder="1"/>
    <xf numFmtId="10" fontId="22" fillId="0" borderId="12" xfId="17" applyNumberFormat="1" applyFont="1" applyBorder="1" applyAlignment="1">
      <alignment horizontal="center"/>
    </xf>
    <xf numFmtId="0" fontId="22" fillId="0" borderId="12" xfId="17" applyFont="1" applyBorder="1"/>
    <xf numFmtId="166" fontId="22" fillId="0" borderId="14" xfId="17" applyNumberFormat="1" applyFont="1" applyBorder="1"/>
    <xf numFmtId="166" fontId="13" fillId="0" borderId="18" xfId="17" applyNumberFormat="1" applyFont="1" applyBorder="1"/>
    <xf numFmtId="0" fontId="53" fillId="0" borderId="43" xfId="17" applyFont="1" applyBorder="1" applyAlignment="1"/>
    <xf numFmtId="0" fontId="54" fillId="0" borderId="50" xfId="17" applyFont="1" applyBorder="1" applyAlignment="1">
      <alignment horizontal="left"/>
    </xf>
    <xf numFmtId="0" fontId="54" fillId="0" borderId="50" xfId="17" applyFont="1" applyBorder="1" applyAlignment="1"/>
    <xf numFmtId="2" fontId="54" fillId="0" borderId="50" xfId="17" applyNumberFormat="1" applyFont="1" applyBorder="1"/>
    <xf numFmtId="0" fontId="13" fillId="0" borderId="91" xfId="17" applyFont="1" applyBorder="1"/>
    <xf numFmtId="0" fontId="13" fillId="0" borderId="92" xfId="17" applyFont="1" applyBorder="1"/>
    <xf numFmtId="166" fontId="13" fillId="0" borderId="74" xfId="17" applyNumberFormat="1" applyFont="1" applyBorder="1"/>
    <xf numFmtId="0" fontId="54" fillId="0" borderId="16" xfId="17" applyFont="1" applyBorder="1" applyAlignment="1">
      <alignment horizontal="left" indent="1"/>
    </xf>
    <xf numFmtId="0" fontId="54" fillId="0" borderId="0" xfId="17" applyFont="1" applyBorder="1" applyAlignment="1">
      <alignment horizontal="left"/>
    </xf>
    <xf numFmtId="2" fontId="54" fillId="0" borderId="0" xfId="17" applyNumberFormat="1" applyFont="1" applyFill="1" applyBorder="1"/>
    <xf numFmtId="4" fontId="54" fillId="0" borderId="0" xfId="17" applyNumberFormat="1" applyFont="1" applyFill="1" applyBorder="1"/>
    <xf numFmtId="0" fontId="22" fillId="0" borderId="91" xfId="17" applyFont="1" applyBorder="1"/>
    <xf numFmtId="0" fontId="22" fillId="0" borderId="92" xfId="17" applyFont="1" applyBorder="1"/>
    <xf numFmtId="165" fontId="13" fillId="27" borderId="74" xfId="17" applyNumberFormat="1" applyFont="1" applyFill="1" applyBorder="1"/>
    <xf numFmtId="2" fontId="57" fillId="0" borderId="16" xfId="17" applyNumberFormat="1" applyFont="1" applyBorder="1"/>
    <xf numFmtId="0" fontId="57" fillId="0" borderId="0" xfId="17" applyFont="1" applyBorder="1" applyAlignment="1">
      <alignment horizontal="left"/>
    </xf>
    <xf numFmtId="44" fontId="22" fillId="0" borderId="0" xfId="2" applyNumberFormat="1" applyFont="1"/>
    <xf numFmtId="0" fontId="54" fillId="0" borderId="11" xfId="17" applyFont="1" applyBorder="1"/>
    <xf numFmtId="2" fontId="53" fillId="12" borderId="12" xfId="17" applyNumberFormat="1" applyFont="1" applyFill="1" applyBorder="1"/>
    <xf numFmtId="0" fontId="54" fillId="0" borderId="12" xfId="17" applyFont="1" applyBorder="1"/>
    <xf numFmtId="10" fontId="54" fillId="0" borderId="12" xfId="17" applyNumberFormat="1" applyFont="1" applyBorder="1"/>
    <xf numFmtId="44" fontId="53" fillId="27" borderId="14" xfId="17" applyNumberFormat="1" applyFont="1" applyFill="1" applyBorder="1"/>
    <xf numFmtId="44" fontId="22" fillId="0" borderId="0" xfId="17" applyNumberFormat="1" applyFont="1"/>
    <xf numFmtId="166" fontId="54" fillId="0" borderId="0" xfId="17" applyNumberFormat="1" applyFont="1"/>
    <xf numFmtId="10" fontId="54" fillId="0" borderId="0" xfId="3" applyNumberFormat="1" applyFont="1"/>
    <xf numFmtId="173" fontId="53" fillId="0" borderId="46" xfId="18" applyNumberFormat="1" applyFont="1" applyFill="1" applyBorder="1"/>
    <xf numFmtId="173" fontId="53" fillId="0" borderId="79" xfId="18" applyNumberFormat="1" applyFont="1" applyFill="1" applyBorder="1" applyAlignment="1">
      <alignment horizontal="left"/>
    </xf>
    <xf numFmtId="172" fontId="53" fillId="0" borderId="79" xfId="18" applyNumberFormat="1" applyFont="1" applyFill="1" applyBorder="1"/>
    <xf numFmtId="2" fontId="53" fillId="0" borderId="79" xfId="18" applyNumberFormat="1" applyFont="1" applyFill="1" applyBorder="1"/>
    <xf numFmtId="4" fontId="53" fillId="0" borderId="79" xfId="18" applyNumberFormat="1" applyFont="1" applyFill="1" applyBorder="1"/>
    <xf numFmtId="10" fontId="53" fillId="0" borderId="31" xfId="17" applyNumberFormat="1" applyFont="1" applyFill="1" applyBorder="1"/>
    <xf numFmtId="44" fontId="54" fillId="27" borderId="14" xfId="17" applyNumberFormat="1" applyFont="1" applyFill="1" applyBorder="1"/>
    <xf numFmtId="0" fontId="31" fillId="0" borderId="0" xfId="7" applyFont="1"/>
    <xf numFmtId="0" fontId="13" fillId="0" borderId="0" xfId="7" applyFont="1"/>
    <xf numFmtId="0" fontId="22" fillId="0" borderId="0" xfId="7" applyFont="1"/>
    <xf numFmtId="168" fontId="31" fillId="0" borderId="0" xfId="7" applyNumberFormat="1" applyFont="1" applyBorder="1"/>
    <xf numFmtId="168" fontId="31" fillId="0" borderId="0" xfId="7" applyNumberFormat="1" applyFont="1"/>
    <xf numFmtId="1" fontId="31" fillId="0" borderId="0" xfId="7" applyNumberFormat="1" applyFont="1"/>
    <xf numFmtId="0" fontId="28" fillId="0" borderId="0" xfId="6" applyFont="1" applyFill="1" applyAlignment="1">
      <alignment horizontal="left"/>
    </xf>
    <xf numFmtId="0" fontId="22" fillId="0" borderId="0" xfId="6" applyFont="1"/>
    <xf numFmtId="0" fontId="22" fillId="0" borderId="0" xfId="6" applyFont="1" applyBorder="1"/>
    <xf numFmtId="0" fontId="31" fillId="0" borderId="0" xfId="6" applyFont="1"/>
    <xf numFmtId="0" fontId="13" fillId="31" borderId="75" xfId="7" applyFont="1" applyFill="1" applyBorder="1" applyAlignment="1">
      <alignment horizontal="center"/>
    </xf>
    <xf numFmtId="0" fontId="13" fillId="31" borderId="7" xfId="7" applyFont="1" applyFill="1" applyBorder="1" applyAlignment="1">
      <alignment horizontal="center"/>
    </xf>
    <xf numFmtId="0" fontId="13" fillId="31" borderId="78" xfId="7" applyFont="1" applyFill="1" applyBorder="1" applyAlignment="1">
      <alignment horizontal="center"/>
    </xf>
    <xf numFmtId="0" fontId="13" fillId="0" borderId="0" xfId="7" applyFont="1" applyFill="1" applyBorder="1" applyAlignment="1">
      <alignment horizontal="center"/>
    </xf>
    <xf numFmtId="0" fontId="13" fillId="0" borderId="0" xfId="7" applyFont="1" applyBorder="1"/>
    <xf numFmtId="0" fontId="13" fillId="0" borderId="20" xfId="7" applyFont="1" applyBorder="1"/>
    <xf numFmtId="0" fontId="13" fillId="0" borderId="20" xfId="7" applyFont="1" applyFill="1" applyBorder="1" applyAlignment="1">
      <alignment horizontal="center"/>
    </xf>
    <xf numFmtId="168" fontId="13" fillId="0" borderId="22" xfId="7" applyNumberFormat="1" applyFont="1" applyBorder="1" applyAlignment="1">
      <alignment horizontal="center"/>
    </xf>
    <xf numFmtId="0" fontId="28" fillId="0" borderId="0" xfId="7" applyFont="1"/>
    <xf numFmtId="0" fontId="13" fillId="0" borderId="16" xfId="7" applyFont="1" applyBorder="1" applyAlignment="1">
      <alignment horizontal="right"/>
    </xf>
    <xf numFmtId="0" fontId="13" fillId="0" borderId="0" xfId="7" applyFont="1" applyFill="1" applyBorder="1"/>
    <xf numFmtId="168" fontId="13" fillId="0" borderId="0" xfId="7" applyNumberFormat="1" applyFont="1" applyBorder="1" applyAlignment="1">
      <alignment horizontal="right"/>
    </xf>
    <xf numFmtId="1" fontId="13" fillId="0" borderId="0" xfId="7" applyNumberFormat="1" applyFont="1" applyFill="1" applyBorder="1"/>
    <xf numFmtId="3" fontId="13" fillId="0" borderId="18" xfId="7" applyNumberFormat="1" applyFont="1" applyBorder="1"/>
    <xf numFmtId="3" fontId="13" fillId="0" borderId="0" xfId="7" applyNumberFormat="1" applyFont="1" applyBorder="1"/>
    <xf numFmtId="0" fontId="13" fillId="0" borderId="16" xfId="7" applyFont="1" applyBorder="1"/>
    <xf numFmtId="0" fontId="13" fillId="0" borderId="20" xfId="7" applyFont="1" applyFill="1" applyBorder="1" applyAlignment="1">
      <alignment horizontal="center"/>
    </xf>
    <xf numFmtId="0" fontId="13" fillId="0" borderId="22" xfId="7" applyFont="1" applyFill="1" applyBorder="1" applyAlignment="1">
      <alignment horizontal="center"/>
    </xf>
    <xf numFmtId="168" fontId="31" fillId="0" borderId="0" xfId="7" applyNumberFormat="1" applyFont="1" applyAlignment="1">
      <alignment wrapText="1"/>
    </xf>
    <xf numFmtId="0" fontId="13" fillId="0" borderId="16" xfId="7" applyFont="1" applyBorder="1" applyAlignment="1">
      <alignment wrapText="1"/>
    </xf>
    <xf numFmtId="0" fontId="13" fillId="0" borderId="0" xfId="7" applyFont="1" applyBorder="1" applyAlignment="1">
      <alignment horizontal="center" wrapText="1"/>
    </xf>
    <xf numFmtId="168" fontId="13" fillId="0" borderId="0" xfId="7" applyNumberFormat="1" applyFont="1" applyBorder="1" applyAlignment="1">
      <alignment horizontal="center" wrapText="1"/>
    </xf>
    <xf numFmtId="1" fontId="13" fillId="0" borderId="0" xfId="7" applyNumberFormat="1" applyFont="1" applyBorder="1" applyAlignment="1">
      <alignment horizontal="center" wrapText="1"/>
    </xf>
    <xf numFmtId="168" fontId="13" fillId="0" borderId="18" xfId="7" applyNumberFormat="1" applyFont="1" applyBorder="1" applyAlignment="1">
      <alignment horizontal="center" wrapText="1"/>
    </xf>
    <xf numFmtId="168" fontId="22" fillId="0" borderId="0" xfId="7" applyNumberFormat="1" applyFont="1" applyAlignment="1">
      <alignment wrapText="1"/>
    </xf>
    <xf numFmtId="168" fontId="13" fillId="0" borderId="0" xfId="7" applyNumberFormat="1" applyFont="1" applyBorder="1" applyAlignment="1">
      <alignment wrapText="1"/>
    </xf>
    <xf numFmtId="0" fontId="22" fillId="0" borderId="16" xfId="7" applyFont="1" applyBorder="1"/>
    <xf numFmtId="0" fontId="22" fillId="0" borderId="16" xfId="7" applyFont="1" applyFill="1" applyBorder="1" applyAlignment="1">
      <alignment horizontal="center"/>
    </xf>
    <xf numFmtId="0" fontId="22" fillId="0" borderId="18" xfId="7" applyFont="1" applyFill="1" applyBorder="1" applyAlignment="1">
      <alignment horizontal="center"/>
    </xf>
    <xf numFmtId="0" fontId="13" fillId="0" borderId="16" xfId="6" applyFont="1" applyFill="1" applyBorder="1" applyAlignment="1">
      <alignment horizontal="left"/>
    </xf>
    <xf numFmtId="169" fontId="13" fillId="0" borderId="0" xfId="6" applyNumberFormat="1" applyFont="1" applyFill="1" applyBorder="1" applyAlignment="1">
      <alignment horizontal="center"/>
    </xf>
    <xf numFmtId="1" fontId="13" fillId="0" borderId="0" xfId="6" applyNumberFormat="1" applyFont="1" applyFill="1" applyBorder="1" applyAlignment="1">
      <alignment horizontal="center"/>
    </xf>
    <xf numFmtId="2" fontId="13" fillId="0" borderId="0" xfId="6" applyNumberFormat="1" applyFont="1" applyFill="1" applyBorder="1" applyAlignment="1">
      <alignment horizontal="center"/>
    </xf>
    <xf numFmtId="2" fontId="22" fillId="0" borderId="0" xfId="7" applyNumberFormat="1" applyFont="1" applyFill="1" applyBorder="1"/>
    <xf numFmtId="168" fontId="22" fillId="0" borderId="18" xfId="7" applyNumberFormat="1" applyFont="1" applyBorder="1"/>
    <xf numFmtId="168" fontId="22" fillId="0" borderId="0" xfId="7" applyNumberFormat="1" applyFont="1"/>
    <xf numFmtId="169" fontId="31" fillId="0" borderId="0" xfId="7" applyNumberFormat="1" applyFont="1"/>
    <xf numFmtId="169" fontId="22" fillId="0" borderId="0" xfId="7" applyNumberFormat="1" applyFont="1"/>
    <xf numFmtId="168" fontId="22" fillId="0" borderId="0" xfId="7" applyNumberFormat="1" applyFont="1" applyFill="1" applyBorder="1"/>
    <xf numFmtId="168" fontId="22" fillId="0" borderId="18" xfId="7" applyNumberFormat="1" applyFont="1" applyFill="1" applyBorder="1"/>
    <xf numFmtId="0" fontId="22" fillId="0" borderId="25" xfId="7" applyFont="1" applyBorder="1"/>
    <xf numFmtId="0" fontId="22" fillId="0" borderId="25" xfId="7" applyFont="1" applyFill="1" applyBorder="1" applyAlignment="1">
      <alignment horizontal="center"/>
    </xf>
    <xf numFmtId="0" fontId="22" fillId="0" borderId="51" xfId="7" applyFont="1" applyFill="1" applyBorder="1" applyAlignment="1">
      <alignment horizontal="center"/>
    </xf>
    <xf numFmtId="0" fontId="13" fillId="0" borderId="25" xfId="6" applyFont="1" applyFill="1" applyBorder="1" applyAlignment="1">
      <alignment horizontal="left"/>
    </xf>
    <xf numFmtId="0" fontId="13" fillId="0" borderId="26" xfId="6" applyFont="1" applyFill="1" applyBorder="1" applyAlignment="1">
      <alignment horizontal="center"/>
    </xf>
    <xf numFmtId="0" fontId="13" fillId="0" borderId="0" xfId="6" applyFont="1" applyFill="1" applyBorder="1" applyAlignment="1">
      <alignment horizontal="center"/>
    </xf>
    <xf numFmtId="174" fontId="13" fillId="0" borderId="0" xfId="25" applyNumberFormat="1" applyFont="1" applyFill="1" applyBorder="1" applyAlignment="1">
      <alignment horizontal="center"/>
    </xf>
    <xf numFmtId="0" fontId="22" fillId="0" borderId="16" xfId="7" applyFont="1" applyBorder="1" applyAlignment="1">
      <alignment wrapText="1"/>
    </xf>
    <xf numFmtId="0" fontId="22" fillId="0" borderId="16" xfId="7" applyFont="1" applyFill="1" applyBorder="1" applyAlignment="1">
      <alignment horizontal="right" wrapText="1"/>
    </xf>
    <xf numFmtId="0" fontId="22" fillId="0" borderId="18" xfId="7" applyFont="1" applyFill="1" applyBorder="1" applyAlignment="1">
      <alignment horizontal="center" wrapText="1"/>
    </xf>
    <xf numFmtId="0" fontId="13" fillId="0" borderId="98" xfId="7" applyFont="1" applyBorder="1"/>
    <xf numFmtId="0" fontId="13" fillId="0" borderId="99" xfId="7" applyFont="1" applyBorder="1"/>
    <xf numFmtId="0" fontId="13" fillId="0" borderId="29" xfId="7" applyFont="1" applyBorder="1"/>
    <xf numFmtId="168" fontId="13" fillId="0" borderId="57" xfId="7" applyNumberFormat="1" applyFont="1" applyBorder="1"/>
    <xf numFmtId="2" fontId="13" fillId="0" borderId="57" xfId="7" applyNumberFormat="1" applyFont="1" applyBorder="1"/>
    <xf numFmtId="168" fontId="13" fillId="0" borderId="58" xfId="7" applyNumberFormat="1" applyFont="1" applyBorder="1"/>
    <xf numFmtId="168" fontId="13" fillId="0" borderId="0" xfId="7" applyNumberFormat="1" applyFont="1" applyBorder="1"/>
    <xf numFmtId="0" fontId="22" fillId="0" borderId="11" xfId="7" applyFont="1" applyBorder="1"/>
    <xf numFmtId="0" fontId="22" fillId="0" borderId="11" xfId="7" applyFont="1" applyFill="1" applyBorder="1" applyAlignment="1">
      <alignment horizontal="right"/>
    </xf>
    <xf numFmtId="174" fontId="22" fillId="0" borderId="14" xfId="25" applyNumberFormat="1" applyFont="1" applyFill="1" applyBorder="1" applyAlignment="1">
      <alignment horizontal="center"/>
    </xf>
    <xf numFmtId="2" fontId="13" fillId="0" borderId="0" xfId="7" applyNumberFormat="1" applyFont="1" applyBorder="1"/>
    <xf numFmtId="0" fontId="13" fillId="0" borderId="18" xfId="7" applyFont="1" applyBorder="1"/>
    <xf numFmtId="0" fontId="22" fillId="0" borderId="0" xfId="7" applyFont="1" applyBorder="1"/>
    <xf numFmtId="0" fontId="22" fillId="0" borderId="0" xfId="7" applyFont="1" applyFill="1" applyBorder="1"/>
    <xf numFmtId="9" fontId="22" fillId="0" borderId="0" xfId="25" applyFont="1" applyFill="1" applyBorder="1"/>
    <xf numFmtId="1" fontId="13" fillId="0" borderId="0" xfId="7" applyNumberFormat="1" applyFont="1" applyBorder="1"/>
    <xf numFmtId="168" fontId="13" fillId="0" borderId="18" xfId="7" applyNumberFormat="1" applyFont="1" applyBorder="1"/>
    <xf numFmtId="0" fontId="13" fillId="0" borderId="6" xfId="7" applyFont="1" applyBorder="1" applyAlignment="1">
      <alignment horizontal="center"/>
    </xf>
    <xf numFmtId="0" fontId="13" fillId="0" borderId="8" xfId="7" applyFont="1" applyBorder="1" applyAlignment="1">
      <alignment horizontal="center"/>
    </xf>
    <xf numFmtId="0" fontId="13" fillId="0" borderId="6" xfId="7" applyFont="1" applyBorder="1"/>
    <xf numFmtId="169" fontId="22" fillId="0" borderId="8" xfId="7" applyNumberFormat="1" applyFont="1" applyBorder="1"/>
    <xf numFmtId="0" fontId="13" fillId="0" borderId="9" xfId="7" applyFont="1" applyBorder="1"/>
    <xf numFmtId="167" fontId="13" fillId="0" borderId="0" xfId="2" applyNumberFormat="1" applyFont="1"/>
    <xf numFmtId="0" fontId="22" fillId="0" borderId="16" xfId="7" applyFont="1" applyFill="1" applyBorder="1"/>
    <xf numFmtId="10" fontId="22" fillId="0" borderId="0" xfId="7" applyNumberFormat="1" applyFont="1" applyBorder="1"/>
    <xf numFmtId="1" fontId="22" fillId="0" borderId="0" xfId="7" applyNumberFormat="1" applyFont="1" applyBorder="1"/>
    <xf numFmtId="0" fontId="22" fillId="0" borderId="16" xfId="6" applyFont="1" applyFill="1" applyBorder="1" applyAlignment="1">
      <alignment horizontal="left"/>
    </xf>
    <xf numFmtId="168" fontId="22" fillId="0" borderId="0" xfId="7" applyNumberFormat="1" applyFont="1" applyBorder="1" applyAlignment="1">
      <alignment horizontal="center"/>
    </xf>
    <xf numFmtId="167" fontId="13" fillId="0" borderId="0" xfId="2" applyNumberFormat="1" applyFont="1" applyBorder="1"/>
    <xf numFmtId="0" fontId="22" fillId="0" borderId="56" xfId="7" applyFont="1" applyBorder="1"/>
    <xf numFmtId="0" fontId="22" fillId="0" borderId="57" xfId="7" applyFont="1" applyBorder="1"/>
    <xf numFmtId="168" fontId="22" fillId="0" borderId="57" xfId="7" applyNumberFormat="1" applyFont="1" applyBorder="1"/>
    <xf numFmtId="2" fontId="22" fillId="0" borderId="57" xfId="7" applyNumberFormat="1" applyFont="1" applyFill="1" applyBorder="1"/>
    <xf numFmtId="168" fontId="22" fillId="0" borderId="0" xfId="7" applyNumberFormat="1" applyFont="1" applyFill="1" applyBorder="1" applyAlignment="1">
      <alignment horizontal="center"/>
    </xf>
    <xf numFmtId="0" fontId="22" fillId="0" borderId="18" xfId="7" applyFont="1" applyFill="1" applyBorder="1"/>
    <xf numFmtId="167" fontId="22" fillId="0" borderId="0" xfId="2" applyNumberFormat="1" applyFont="1" applyBorder="1"/>
    <xf numFmtId="167" fontId="22" fillId="0" borderId="0" xfId="7" applyNumberFormat="1" applyFont="1" applyBorder="1"/>
    <xf numFmtId="168" fontId="22" fillId="0" borderId="16" xfId="7" applyNumberFormat="1" applyFont="1" applyBorder="1"/>
    <xf numFmtId="2" fontId="13" fillId="0" borderId="18" xfId="7" applyNumberFormat="1" applyFont="1" applyBorder="1" applyAlignment="1"/>
    <xf numFmtId="0" fontId="31" fillId="0" borderId="0" xfId="7" applyFont="1" applyBorder="1"/>
    <xf numFmtId="168" fontId="22" fillId="0" borderId="51" xfId="7" applyNumberFormat="1" applyFont="1" applyBorder="1"/>
    <xf numFmtId="168" fontId="13" fillId="0" borderId="16" xfId="7" applyNumberFormat="1" applyFont="1" applyBorder="1" applyAlignment="1">
      <alignment horizontal="center"/>
    </xf>
    <xf numFmtId="168" fontId="13" fillId="0" borderId="0" xfId="7" applyNumberFormat="1" applyFont="1" applyBorder="1" applyAlignment="1">
      <alignment horizontal="center"/>
    </xf>
    <xf numFmtId="2" fontId="13" fillId="0" borderId="16" xfId="7" applyNumberFormat="1" applyFont="1" applyBorder="1" applyAlignment="1">
      <alignment horizontal="center"/>
    </xf>
    <xf numFmtId="2" fontId="13" fillId="0" borderId="0" xfId="7" applyNumberFormat="1" applyFont="1" applyBorder="1" applyAlignment="1">
      <alignment horizontal="center"/>
    </xf>
    <xf numFmtId="0" fontId="22" fillId="0" borderId="18" xfId="7" applyFont="1" applyBorder="1"/>
    <xf numFmtId="2" fontId="13" fillId="0" borderId="99" xfId="7" applyNumberFormat="1" applyFont="1" applyFill="1" applyBorder="1"/>
    <xf numFmtId="10" fontId="13" fillId="0" borderId="0" xfId="7" applyNumberFormat="1" applyFont="1" applyFill="1" applyBorder="1" applyAlignment="1">
      <alignment horizontal="center"/>
    </xf>
    <xf numFmtId="2" fontId="22" fillId="0" borderId="16" xfId="7" applyNumberFormat="1" applyFont="1" applyFill="1" applyBorder="1"/>
    <xf numFmtId="0" fontId="13" fillId="0" borderId="56" xfId="7" applyFont="1" applyBorder="1"/>
    <xf numFmtId="0" fontId="13" fillId="0" borderId="57" xfId="7" applyFont="1" applyBorder="1"/>
    <xf numFmtId="10" fontId="22" fillId="0" borderId="0" xfId="7" applyNumberFormat="1" applyFont="1" applyFill="1" applyBorder="1"/>
    <xf numFmtId="2" fontId="22" fillId="0" borderId="0" xfId="7" applyNumberFormat="1" applyFont="1" applyBorder="1"/>
    <xf numFmtId="171" fontId="13" fillId="0" borderId="18" xfId="7" applyNumberFormat="1" applyFont="1" applyBorder="1"/>
    <xf numFmtId="171" fontId="28" fillId="0" borderId="0" xfId="7" applyNumberFormat="1" applyFont="1"/>
    <xf numFmtId="166" fontId="22" fillId="0" borderId="18" xfId="7" applyNumberFormat="1" applyFont="1" applyBorder="1"/>
    <xf numFmtId="165" fontId="22" fillId="0" borderId="0" xfId="7" applyNumberFormat="1" applyFont="1" applyBorder="1"/>
    <xf numFmtId="3" fontId="22" fillId="0" borderId="16" xfId="7" applyNumberFormat="1" applyFont="1" applyFill="1" applyBorder="1"/>
    <xf numFmtId="10" fontId="22" fillId="0" borderId="0" xfId="7" applyNumberFormat="1" applyFont="1" applyFill="1" applyBorder="1" applyAlignment="1">
      <alignment horizontal="center"/>
    </xf>
    <xf numFmtId="0" fontId="13" fillId="0" borderId="100" xfId="7" applyFont="1" applyBorder="1"/>
    <xf numFmtId="0" fontId="13" fillId="0" borderId="101" xfId="7" applyFont="1" applyBorder="1"/>
    <xf numFmtId="168" fontId="13" fillId="0" borderId="101" xfId="7" applyNumberFormat="1" applyFont="1" applyBorder="1"/>
    <xf numFmtId="2" fontId="13" fillId="0" borderId="101" xfId="7" applyNumberFormat="1" applyFont="1" applyBorder="1"/>
    <xf numFmtId="168" fontId="13" fillId="0" borderId="102" xfId="7" applyNumberFormat="1" applyFont="1" applyBorder="1"/>
    <xf numFmtId="9" fontId="22" fillId="0" borderId="0" xfId="25" applyFont="1" applyBorder="1"/>
    <xf numFmtId="10" fontId="13" fillId="0" borderId="0" xfId="3" applyNumberFormat="1" applyFont="1" applyBorder="1" applyAlignment="1">
      <alignment horizontal="center"/>
    </xf>
    <xf numFmtId="0" fontId="22" fillId="0" borderId="12" xfId="7" applyFont="1" applyBorder="1"/>
    <xf numFmtId="0" fontId="22" fillId="0" borderId="14" xfId="7" applyFont="1" applyBorder="1"/>
    <xf numFmtId="171" fontId="13" fillId="0" borderId="0" xfId="7" applyNumberFormat="1" applyFont="1" applyBorder="1"/>
    <xf numFmtId="0" fontId="28" fillId="0" borderId="0" xfId="7" applyFont="1" applyBorder="1"/>
    <xf numFmtId="0" fontId="22" fillId="0" borderId="20" xfId="7" applyFont="1" applyBorder="1"/>
    <xf numFmtId="10" fontId="13" fillId="0" borderId="21" xfId="3" applyNumberFormat="1" applyFont="1" applyBorder="1" applyAlignment="1">
      <alignment horizontal="center"/>
    </xf>
    <xf numFmtId="1" fontId="22" fillId="0" borderId="20" xfId="7" applyNumberFormat="1" applyFont="1" applyBorder="1"/>
    <xf numFmtId="168" fontId="22" fillId="0" borderId="21" xfId="7" applyNumberFormat="1" applyFont="1" applyBorder="1"/>
    <xf numFmtId="0" fontId="22" fillId="0" borderId="21" xfId="7" applyFont="1" applyBorder="1"/>
    <xf numFmtId="0" fontId="22" fillId="0" borderId="22" xfId="7" applyFont="1" applyBorder="1"/>
    <xf numFmtId="171" fontId="28" fillId="0" borderId="0" xfId="7" applyNumberFormat="1" applyFont="1" applyBorder="1"/>
    <xf numFmtId="171" fontId="22" fillId="0" borderId="18" xfId="7" applyNumberFormat="1" applyFont="1" applyBorder="1"/>
    <xf numFmtId="171" fontId="22" fillId="0" borderId="0" xfId="7" applyNumberFormat="1" applyFont="1" applyBorder="1"/>
    <xf numFmtId="171" fontId="13" fillId="0" borderId="0" xfId="7" applyNumberFormat="1" applyFont="1"/>
    <xf numFmtId="10" fontId="13" fillId="0" borderId="0" xfId="3" applyNumberFormat="1" applyFont="1" applyFill="1" applyBorder="1" applyAlignment="1">
      <alignment horizontal="center"/>
    </xf>
    <xf numFmtId="1" fontId="22" fillId="0" borderId="0" xfId="7" applyNumberFormat="1" applyFont="1" applyFill="1" applyBorder="1"/>
    <xf numFmtId="171" fontId="22" fillId="0" borderId="16" xfId="7" applyNumberFormat="1" applyFont="1" applyBorder="1"/>
    <xf numFmtId="171" fontId="22" fillId="0" borderId="20" xfId="7" applyNumberFormat="1" applyFont="1" applyBorder="1"/>
    <xf numFmtId="171" fontId="22" fillId="0" borderId="21" xfId="7" applyNumberFormat="1" applyFont="1" applyBorder="1"/>
    <xf numFmtId="9" fontId="13" fillId="0" borderId="21" xfId="7" applyNumberFormat="1" applyFont="1" applyBorder="1"/>
    <xf numFmtId="8" fontId="13" fillId="12" borderId="22" xfId="7" applyNumberFormat="1" applyFont="1" applyFill="1" applyBorder="1"/>
    <xf numFmtId="8" fontId="13" fillId="0" borderId="0" xfId="7" applyNumberFormat="1" applyFont="1" applyFill="1" applyBorder="1"/>
    <xf numFmtId="171" fontId="13" fillId="12" borderId="22" xfId="7" applyNumberFormat="1" applyFont="1" applyFill="1" applyBorder="1"/>
    <xf numFmtId="171" fontId="13" fillId="0" borderId="0" xfId="7" applyNumberFormat="1" applyFont="1" applyFill="1" applyBorder="1"/>
    <xf numFmtId="9" fontId="22" fillId="0" borderId="21" xfId="7" applyNumberFormat="1" applyFont="1" applyBorder="1"/>
    <xf numFmtId="171" fontId="22" fillId="0" borderId="22" xfId="7" applyNumberFormat="1" applyFont="1" applyBorder="1"/>
    <xf numFmtId="9" fontId="22" fillId="0" borderId="0" xfId="7" applyNumberFormat="1" applyFont="1" applyBorder="1"/>
    <xf numFmtId="171" fontId="22" fillId="0" borderId="0" xfId="7" applyNumberFormat="1" applyFont="1" applyFill="1" applyBorder="1"/>
    <xf numFmtId="3" fontId="13" fillId="0" borderId="0" xfId="7" applyNumberFormat="1" applyFont="1" applyFill="1" applyBorder="1"/>
    <xf numFmtId="0" fontId="13" fillId="0" borderId="16" xfId="0" applyFont="1" applyFill="1" applyBorder="1" applyAlignment="1">
      <alignment horizontal="left"/>
    </xf>
    <xf numFmtId="2" fontId="13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0" fontId="13" fillId="0" borderId="25" xfId="0" applyFont="1" applyFill="1" applyBorder="1" applyAlignment="1">
      <alignment horizontal="left"/>
    </xf>
    <xf numFmtId="0" fontId="13" fillId="0" borderId="26" xfId="0" applyFont="1" applyFill="1" applyBorder="1" applyAlignment="1">
      <alignment horizontal="center"/>
    </xf>
    <xf numFmtId="168" fontId="22" fillId="0" borderId="26" xfId="7" applyNumberFormat="1" applyFont="1" applyBorder="1"/>
    <xf numFmtId="2" fontId="22" fillId="0" borderId="26" xfId="7" applyNumberFormat="1" applyFont="1" applyFill="1" applyBorder="1"/>
    <xf numFmtId="1" fontId="13" fillId="0" borderId="26" xfId="6" applyNumberFormat="1" applyFont="1" applyFill="1" applyBorder="1" applyAlignment="1">
      <alignment horizontal="center"/>
    </xf>
    <xf numFmtId="0" fontId="13" fillId="0" borderId="29" xfId="6" applyFont="1" applyFill="1" applyBorder="1" applyAlignment="1">
      <alignment horizontal="center"/>
    </xf>
    <xf numFmtId="2" fontId="13" fillId="0" borderId="29" xfId="7" applyNumberFormat="1" applyFont="1" applyBorder="1"/>
    <xf numFmtId="168" fontId="13" fillId="0" borderId="31" xfId="7" applyNumberFormat="1" applyFont="1" applyBorder="1"/>
    <xf numFmtId="171" fontId="22" fillId="0" borderId="6" xfId="7" applyNumberFormat="1" applyFont="1" applyBorder="1"/>
    <xf numFmtId="171" fontId="22" fillId="0" borderId="8" xfId="7" applyNumberFormat="1" applyFont="1" applyBorder="1"/>
    <xf numFmtId="9" fontId="22" fillId="0" borderId="8" xfId="7" applyNumberFormat="1" applyFont="1" applyBorder="1"/>
    <xf numFmtId="168" fontId="22" fillId="0" borderId="8" xfId="7" applyNumberFormat="1" applyFont="1" applyBorder="1"/>
    <xf numFmtId="171" fontId="22" fillId="0" borderId="9" xfId="7" applyNumberFormat="1" applyFont="1" applyBorder="1"/>
    <xf numFmtId="1" fontId="22" fillId="0" borderId="0" xfId="7" applyNumberFormat="1" applyFont="1"/>
    <xf numFmtId="0" fontId="13" fillId="30" borderId="75" xfId="7" applyFont="1" applyFill="1" applyBorder="1" applyAlignment="1">
      <alignment horizontal="center"/>
    </xf>
    <xf numFmtId="0" fontId="13" fillId="30" borderId="7" xfId="7" applyFont="1" applyFill="1" applyBorder="1" applyAlignment="1">
      <alignment horizontal="center"/>
    </xf>
    <xf numFmtId="0" fontId="13" fillId="30" borderId="16" xfId="7" applyFont="1" applyFill="1" applyBorder="1" applyAlignment="1">
      <alignment horizontal="right"/>
    </xf>
    <xf numFmtId="0" fontId="13" fillId="30" borderId="0" xfId="7" applyFont="1" applyFill="1" applyBorder="1"/>
    <xf numFmtId="168" fontId="13" fillId="30" borderId="0" xfId="7" applyNumberFormat="1" applyFont="1" applyFill="1" applyBorder="1" applyAlignment="1">
      <alignment horizontal="right"/>
    </xf>
    <xf numFmtId="1" fontId="13" fillId="30" borderId="0" xfId="7" applyNumberFormat="1" applyFont="1" applyFill="1" applyBorder="1"/>
    <xf numFmtId="0" fontId="13" fillId="30" borderId="16" xfId="7" applyFont="1" applyFill="1" applyBorder="1"/>
    <xf numFmtId="0" fontId="13" fillId="30" borderId="0" xfId="7" applyFont="1" applyFill="1" applyBorder="1" applyAlignment="1">
      <alignment horizontal="center" wrapText="1"/>
    </xf>
    <xf numFmtId="168" fontId="13" fillId="30" borderId="0" xfId="7" applyNumberFormat="1" applyFont="1" applyFill="1" applyBorder="1"/>
    <xf numFmtId="0" fontId="13" fillId="30" borderId="78" xfId="7" applyFont="1" applyFill="1" applyBorder="1" applyAlignment="1">
      <alignment horizontal="center"/>
    </xf>
    <xf numFmtId="0" fontId="13" fillId="30" borderId="16" xfId="6" applyFont="1" applyFill="1" applyBorder="1" applyAlignment="1">
      <alignment horizontal="left"/>
    </xf>
    <xf numFmtId="2" fontId="13" fillId="30" borderId="0" xfId="6" applyNumberFormat="1" applyFont="1" applyFill="1" applyBorder="1" applyAlignment="1">
      <alignment horizontal="center"/>
    </xf>
    <xf numFmtId="1" fontId="13" fillId="30" borderId="0" xfId="6" applyNumberFormat="1" applyFont="1" applyFill="1" applyBorder="1" applyAlignment="1">
      <alignment horizontal="center"/>
    </xf>
    <xf numFmtId="168" fontId="22" fillId="30" borderId="0" xfId="7" applyNumberFormat="1" applyFont="1" applyFill="1" applyBorder="1"/>
    <xf numFmtId="2" fontId="22" fillId="30" borderId="0" xfId="7" applyNumberFormat="1" applyFont="1" applyFill="1" applyBorder="1"/>
    <xf numFmtId="3" fontId="13" fillId="30" borderId="18" xfId="7" applyNumberFormat="1" applyFont="1" applyFill="1" applyBorder="1"/>
    <xf numFmtId="168" fontId="13" fillId="30" borderId="18" xfId="7" applyNumberFormat="1" applyFont="1" applyFill="1" applyBorder="1"/>
    <xf numFmtId="168" fontId="22" fillId="30" borderId="18" xfId="7" applyNumberFormat="1" applyFont="1" applyFill="1" applyBorder="1"/>
    <xf numFmtId="174" fontId="13" fillId="30" borderId="0" xfId="25" applyNumberFormat="1" applyFont="1" applyFill="1" applyBorder="1" applyAlignment="1">
      <alignment horizontal="center"/>
    </xf>
    <xf numFmtId="0" fontId="13" fillId="30" borderId="25" xfId="6" applyFont="1" applyFill="1" applyBorder="1" applyAlignment="1">
      <alignment horizontal="left"/>
    </xf>
    <xf numFmtId="0" fontId="13" fillId="30" borderId="26" xfId="6" applyFont="1" applyFill="1" applyBorder="1" applyAlignment="1">
      <alignment horizontal="center"/>
    </xf>
    <xf numFmtId="1" fontId="13" fillId="30" borderId="26" xfId="6" applyNumberFormat="1" applyFont="1" applyFill="1" applyBorder="1" applyAlignment="1">
      <alignment horizontal="center"/>
    </xf>
    <xf numFmtId="0" fontId="13" fillId="30" borderId="0" xfId="6" applyFont="1" applyFill="1" applyBorder="1" applyAlignment="1">
      <alignment horizontal="center"/>
    </xf>
    <xf numFmtId="0" fontId="13" fillId="30" borderId="98" xfId="7" applyFont="1" applyFill="1" applyBorder="1"/>
    <xf numFmtId="0" fontId="13" fillId="30" borderId="99" xfId="7" applyFont="1" applyFill="1" applyBorder="1"/>
    <xf numFmtId="0" fontId="13" fillId="30" borderId="29" xfId="6" applyFont="1" applyFill="1" applyBorder="1" applyAlignment="1">
      <alignment horizontal="center"/>
    </xf>
    <xf numFmtId="0" fontId="13" fillId="30" borderId="29" xfId="7" applyFont="1" applyFill="1" applyBorder="1"/>
    <xf numFmtId="168" fontId="13" fillId="30" borderId="57" xfId="7" applyNumberFormat="1" applyFont="1" applyFill="1" applyBorder="1"/>
    <xf numFmtId="2" fontId="13" fillId="30" borderId="57" xfId="7" applyNumberFormat="1" applyFont="1" applyFill="1" applyBorder="1"/>
    <xf numFmtId="2" fontId="13" fillId="30" borderId="0" xfId="7" applyNumberFormat="1" applyFont="1" applyFill="1" applyBorder="1"/>
    <xf numFmtId="168" fontId="13" fillId="30" borderId="58" xfId="7" applyNumberFormat="1" applyFont="1" applyFill="1" applyBorder="1"/>
    <xf numFmtId="0" fontId="22" fillId="30" borderId="16" xfId="7" applyFont="1" applyFill="1" applyBorder="1"/>
    <xf numFmtId="0" fontId="22" fillId="30" borderId="0" xfId="7" applyFont="1" applyFill="1" applyBorder="1"/>
    <xf numFmtId="10" fontId="22" fillId="30" borderId="0" xfId="7" applyNumberFormat="1" applyFont="1" applyFill="1" applyBorder="1"/>
    <xf numFmtId="1" fontId="22" fillId="30" borderId="0" xfId="7" applyNumberFormat="1" applyFont="1" applyFill="1" applyBorder="1"/>
    <xf numFmtId="0" fontId="22" fillId="30" borderId="56" xfId="7" applyFont="1" applyFill="1" applyBorder="1"/>
    <xf numFmtId="0" fontId="22" fillId="30" borderId="57" xfId="7" applyFont="1" applyFill="1" applyBorder="1"/>
    <xf numFmtId="168" fontId="22" fillId="30" borderId="57" xfId="7" applyNumberFormat="1" applyFont="1" applyFill="1" applyBorder="1"/>
    <xf numFmtId="2" fontId="22" fillId="30" borderId="57" xfId="7" applyNumberFormat="1" applyFont="1" applyFill="1" applyBorder="1"/>
    <xf numFmtId="0" fontId="13" fillId="30" borderId="56" xfId="7" applyFont="1" applyFill="1" applyBorder="1"/>
    <xf numFmtId="0" fontId="13" fillId="30" borderId="57" xfId="7" applyFont="1" applyFill="1" applyBorder="1"/>
    <xf numFmtId="168" fontId="22" fillId="30" borderId="51" xfId="7" applyNumberFormat="1" applyFont="1" applyFill="1" applyBorder="1"/>
    <xf numFmtId="0" fontId="13" fillId="30" borderId="100" xfId="7" applyFont="1" applyFill="1" applyBorder="1"/>
    <xf numFmtId="0" fontId="13" fillId="30" borderId="101" xfId="7" applyFont="1" applyFill="1" applyBorder="1"/>
    <xf numFmtId="168" fontId="13" fillId="30" borderId="101" xfId="7" applyNumberFormat="1" applyFont="1" applyFill="1" applyBorder="1"/>
    <xf numFmtId="2" fontId="13" fillId="30" borderId="101" xfId="7" applyNumberFormat="1" applyFont="1" applyFill="1" applyBorder="1"/>
    <xf numFmtId="168" fontId="13" fillId="30" borderId="102" xfId="7" applyNumberFormat="1" applyFont="1" applyFill="1" applyBorder="1"/>
    <xf numFmtId="171" fontId="22" fillId="30" borderId="16" xfId="7" applyNumberFormat="1" applyFont="1" applyFill="1" applyBorder="1"/>
    <xf numFmtId="171" fontId="22" fillId="30" borderId="0" xfId="7" applyNumberFormat="1" applyFont="1" applyFill="1" applyBorder="1"/>
    <xf numFmtId="171" fontId="22" fillId="30" borderId="20" xfId="7" applyNumberFormat="1" applyFont="1" applyFill="1" applyBorder="1"/>
    <xf numFmtId="171" fontId="22" fillId="30" borderId="21" xfId="7" applyNumberFormat="1" applyFont="1" applyFill="1" applyBorder="1"/>
    <xf numFmtId="9" fontId="13" fillId="30" borderId="21" xfId="7" applyNumberFormat="1" applyFont="1" applyFill="1" applyBorder="1"/>
    <xf numFmtId="168" fontId="22" fillId="30" borderId="21" xfId="7" applyNumberFormat="1" applyFont="1" applyFill="1" applyBorder="1"/>
    <xf numFmtId="171" fontId="22" fillId="30" borderId="18" xfId="7" applyNumberFormat="1" applyFont="1" applyFill="1" applyBorder="1"/>
    <xf numFmtId="9" fontId="22" fillId="30" borderId="21" xfId="7" applyNumberFormat="1" applyFont="1" applyFill="1" applyBorder="1"/>
    <xf numFmtId="171" fontId="13" fillId="30" borderId="22" xfId="7" applyNumberFormat="1" applyFont="1" applyFill="1" applyBorder="1"/>
    <xf numFmtId="171" fontId="22" fillId="30" borderId="22" xfId="7" applyNumberFormat="1" applyFont="1" applyFill="1" applyBorder="1"/>
    <xf numFmtId="0" fontId="53" fillId="0" borderId="0" xfId="17" applyFont="1"/>
    <xf numFmtId="14" fontId="25" fillId="0" borderId="0" xfId="17" applyNumberFormat="1" applyFont="1" applyFill="1" applyAlignment="1">
      <alignment horizontal="left"/>
    </xf>
    <xf numFmtId="0" fontId="49" fillId="0" borderId="6" xfId="17" applyFont="1" applyBorder="1" applyAlignment="1"/>
    <xf numFmtId="0" fontId="49" fillId="0" borderId="8" xfId="17" applyFont="1" applyBorder="1" applyAlignment="1"/>
    <xf numFmtId="0" fontId="49" fillId="0" borderId="9" xfId="17" applyFont="1" applyBorder="1" applyAlignment="1"/>
    <xf numFmtId="0" fontId="49" fillId="27" borderId="6" xfId="17" applyFont="1" applyFill="1" applyBorder="1" applyAlignment="1">
      <alignment horizontal="center" vertical="center" wrapText="1"/>
    </xf>
    <xf numFmtId="0" fontId="49" fillId="27" borderId="9" xfId="17" applyFont="1" applyFill="1" applyBorder="1" applyAlignment="1">
      <alignment horizontal="center" vertical="center" wrapText="1"/>
    </xf>
    <xf numFmtId="0" fontId="49" fillId="0" borderId="16" xfId="17" applyFont="1" applyBorder="1"/>
    <xf numFmtId="0" fontId="49" fillId="0" borderId="0" xfId="17" applyFont="1" applyBorder="1" applyAlignment="1">
      <alignment horizontal="left" wrapText="1"/>
    </xf>
    <xf numFmtId="168" fontId="49" fillId="0" borderId="0" xfId="17" applyNumberFormat="1" applyFont="1" applyBorder="1" applyAlignment="1">
      <alignment wrapText="1"/>
    </xf>
    <xf numFmtId="0" fontId="49" fillId="0" borderId="0" xfId="17" applyFont="1"/>
    <xf numFmtId="1" fontId="49" fillId="0" borderId="0" xfId="17" applyNumberFormat="1" applyFont="1" applyBorder="1"/>
    <xf numFmtId="168" fontId="49" fillId="0" borderId="18" xfId="17" applyNumberFormat="1" applyFont="1" applyBorder="1"/>
    <xf numFmtId="0" fontId="49" fillId="27" borderId="16" xfId="17" applyFont="1" applyFill="1" applyBorder="1" applyAlignment="1">
      <alignment horizontal="center" vertical="center" wrapText="1"/>
    </xf>
    <xf numFmtId="0" fontId="49" fillId="27" borderId="18" xfId="17" applyFont="1" applyFill="1" applyBorder="1" applyAlignment="1">
      <alignment horizontal="center" vertical="center" wrapText="1"/>
    </xf>
    <xf numFmtId="0" fontId="31" fillId="11" borderId="20" xfId="17" applyFont="1" applyFill="1" applyBorder="1" applyAlignment="1">
      <alignment horizontal="center"/>
    </xf>
    <xf numFmtId="0" fontId="31" fillId="11" borderId="21" xfId="17" applyFont="1" applyFill="1" applyBorder="1" applyAlignment="1">
      <alignment horizontal="center"/>
    </xf>
    <xf numFmtId="0" fontId="31" fillId="11" borderId="22" xfId="17" applyFont="1" applyFill="1" applyBorder="1" applyAlignment="1">
      <alignment horizontal="center"/>
    </xf>
    <xf numFmtId="0" fontId="28" fillId="0" borderId="6" xfId="17" applyFont="1" applyBorder="1" applyAlignment="1"/>
    <xf numFmtId="0" fontId="28" fillId="0" borderId="9" xfId="17" applyFont="1" applyBorder="1" applyAlignment="1"/>
    <xf numFmtId="168" fontId="21" fillId="0" borderId="16" xfId="17" applyNumberFormat="1" applyFont="1" applyBorder="1"/>
    <xf numFmtId="10" fontId="22" fillId="0" borderId="0" xfId="19" applyNumberFormat="1" applyFont="1" applyBorder="1"/>
    <xf numFmtId="1" fontId="21" fillId="0" borderId="0" xfId="17" applyNumberFormat="1" applyFont="1" applyAlignment="1">
      <alignment horizontal="right"/>
    </xf>
    <xf numFmtId="41" fontId="21" fillId="0" borderId="0" xfId="17" applyNumberFormat="1" applyFont="1" applyBorder="1"/>
    <xf numFmtId="2" fontId="21" fillId="0" borderId="0" xfId="17" applyNumberFormat="1" applyFont="1" applyFill="1" applyBorder="1" applyAlignment="1">
      <alignment horizontal="right"/>
    </xf>
    <xf numFmtId="168" fontId="21" fillId="0" borderId="0" xfId="17" applyNumberFormat="1" applyFont="1" applyBorder="1"/>
    <xf numFmtId="168" fontId="21" fillId="0" borderId="6" xfId="17" applyNumberFormat="1" applyFont="1" applyBorder="1"/>
    <xf numFmtId="168" fontId="21" fillId="0" borderId="65" xfId="17" applyNumberFormat="1" applyFont="1" applyBorder="1"/>
    <xf numFmtId="0" fontId="28" fillId="0" borderId="16" xfId="17" applyFont="1" applyBorder="1"/>
    <xf numFmtId="0" fontId="28" fillId="0" borderId="0" xfId="17" applyFont="1" applyBorder="1" applyAlignment="1">
      <alignment horizontal="left" wrapText="1"/>
    </xf>
    <xf numFmtId="168" fontId="28" fillId="0" borderId="0" xfId="17" applyNumberFormat="1" applyFont="1" applyBorder="1" applyAlignment="1">
      <alignment wrapText="1"/>
    </xf>
    <xf numFmtId="0" fontId="28" fillId="0" borderId="0" xfId="17" applyFont="1" applyBorder="1"/>
    <xf numFmtId="1" fontId="28" fillId="0" borderId="0" xfId="17" applyNumberFormat="1" applyFont="1" applyBorder="1"/>
    <xf numFmtId="168" fontId="28" fillId="0" borderId="18" xfId="17" applyNumberFormat="1" applyFont="1" applyBorder="1"/>
    <xf numFmtId="1" fontId="21" fillId="0" borderId="0" xfId="17" applyNumberFormat="1" applyFont="1" applyBorder="1" applyAlignment="1">
      <alignment horizontal="right"/>
    </xf>
    <xf numFmtId="168" fontId="21" fillId="0" borderId="67" xfId="17" applyNumberFormat="1" applyFont="1" applyBorder="1"/>
    <xf numFmtId="0" fontId="31" fillId="0" borderId="8" xfId="17" applyFont="1" applyBorder="1"/>
    <xf numFmtId="168" fontId="31" fillId="0" borderId="16" xfId="17" applyNumberFormat="1" applyFont="1" applyBorder="1"/>
    <xf numFmtId="10" fontId="31" fillId="0" borderId="0" xfId="19" applyNumberFormat="1" applyFont="1" applyBorder="1"/>
    <xf numFmtId="1" fontId="31" fillId="0" borderId="0" xfId="17" applyNumberFormat="1" applyFont="1" applyBorder="1" applyAlignment="1">
      <alignment horizontal="right"/>
    </xf>
    <xf numFmtId="41" fontId="31" fillId="0" borderId="0" xfId="17" applyNumberFormat="1" applyFont="1" applyBorder="1"/>
    <xf numFmtId="2" fontId="31" fillId="0" borderId="0" xfId="17" applyNumberFormat="1" applyFont="1" applyFill="1" applyBorder="1" applyAlignment="1">
      <alignment horizontal="right"/>
    </xf>
    <xf numFmtId="168" fontId="31" fillId="0" borderId="18" xfId="17" applyNumberFormat="1" applyFont="1" applyBorder="1"/>
    <xf numFmtId="169" fontId="21" fillId="0" borderId="16" xfId="17" applyNumberFormat="1" applyFont="1" applyBorder="1"/>
    <xf numFmtId="168" fontId="21" fillId="0" borderId="25" xfId="17" applyNumberFormat="1" applyFont="1" applyBorder="1"/>
    <xf numFmtId="168" fontId="21" fillId="0" borderId="45" xfId="17" applyNumberFormat="1" applyFont="1" applyBorder="1"/>
    <xf numFmtId="169" fontId="31" fillId="0" borderId="16" xfId="17" applyNumberFormat="1" applyFont="1" applyBorder="1"/>
    <xf numFmtId="0" fontId="49" fillId="0" borderId="28" xfId="17" applyFont="1" applyBorder="1"/>
    <xf numFmtId="10" fontId="21" fillId="0" borderId="29" xfId="19" applyNumberFormat="1" applyFont="1" applyBorder="1"/>
    <xf numFmtId="168" fontId="49" fillId="0" borderId="29" xfId="17" applyNumberFormat="1" applyFont="1" applyBorder="1"/>
    <xf numFmtId="2" fontId="49" fillId="0" borderId="29" xfId="17" applyNumberFormat="1" applyFont="1" applyBorder="1"/>
    <xf numFmtId="168" fontId="49" fillId="0" borderId="25" xfId="17" applyNumberFormat="1" applyFont="1" applyBorder="1"/>
    <xf numFmtId="168" fontId="49" fillId="0" borderId="45" xfId="17" applyNumberFormat="1" applyFont="1" applyBorder="1"/>
    <xf numFmtId="10" fontId="31" fillId="0" borderId="29" xfId="19" applyNumberFormat="1" applyFont="1" applyBorder="1"/>
    <xf numFmtId="168" fontId="28" fillId="0" borderId="29" xfId="17" applyNumberFormat="1" applyFont="1" applyBorder="1"/>
    <xf numFmtId="2" fontId="28" fillId="0" borderId="29" xfId="17" applyNumberFormat="1" applyFont="1" applyBorder="1"/>
    <xf numFmtId="168" fontId="28" fillId="0" borderId="31" xfId="17" applyNumberFormat="1" applyFont="1" applyBorder="1"/>
    <xf numFmtId="0" fontId="25" fillId="0" borderId="16" xfId="17" applyFont="1" applyBorder="1"/>
    <xf numFmtId="168" fontId="49" fillId="0" borderId="0" xfId="17" applyNumberFormat="1" applyFont="1" applyBorder="1"/>
    <xf numFmtId="2" fontId="49" fillId="0" borderId="0" xfId="17" applyNumberFormat="1" applyFont="1" applyBorder="1"/>
    <xf numFmtId="168" fontId="49" fillId="0" borderId="16" xfId="17" applyNumberFormat="1" applyFont="1" applyBorder="1"/>
    <xf numFmtId="168" fontId="49" fillId="0" borderId="67" xfId="17" applyNumberFormat="1" applyFont="1" applyBorder="1"/>
    <xf numFmtId="168" fontId="28" fillId="0" borderId="0" xfId="17" applyNumberFormat="1" applyFont="1" applyBorder="1"/>
    <xf numFmtId="2" fontId="28" fillId="0" borderId="0" xfId="17" applyNumberFormat="1" applyFont="1" applyBorder="1"/>
    <xf numFmtId="0" fontId="31" fillId="0" borderId="16" xfId="17" applyFont="1" applyBorder="1" applyAlignment="1">
      <alignment horizontal="center"/>
    </xf>
    <xf numFmtId="0" fontId="31" fillId="0" borderId="0" xfId="17" applyFont="1" applyBorder="1" applyAlignment="1">
      <alignment horizontal="center"/>
    </xf>
    <xf numFmtId="9" fontId="21" fillId="0" borderId="0" xfId="17" applyNumberFormat="1" applyFont="1" applyFill="1" applyBorder="1" applyAlignment="1">
      <alignment vertical="center"/>
    </xf>
    <xf numFmtId="10" fontId="21" fillId="0" borderId="0" xfId="17" applyNumberFormat="1" applyFont="1" applyBorder="1" applyAlignment="1"/>
    <xf numFmtId="10" fontId="21" fillId="0" borderId="0" xfId="17" applyNumberFormat="1" applyFont="1" applyBorder="1" applyAlignment="1">
      <alignment wrapText="1"/>
    </xf>
    <xf numFmtId="1" fontId="21" fillId="0" borderId="0" xfId="17" applyNumberFormat="1" applyFont="1" applyBorder="1"/>
    <xf numFmtId="0" fontId="31" fillId="0" borderId="16" xfId="17" applyFont="1" applyFill="1" applyBorder="1"/>
    <xf numFmtId="10" fontId="31" fillId="0" borderId="0" xfId="17" applyNumberFormat="1" applyFont="1" applyBorder="1" applyAlignment="1"/>
    <xf numFmtId="10" fontId="31" fillId="0" borderId="0" xfId="17" applyNumberFormat="1" applyFont="1" applyFill="1" applyBorder="1" applyAlignment="1">
      <alignment vertical="center"/>
    </xf>
    <xf numFmtId="1" fontId="31" fillId="0" borderId="0" xfId="17" applyNumberFormat="1" applyFont="1" applyBorder="1"/>
    <xf numFmtId="0" fontId="21" fillId="0" borderId="28" xfId="17" applyFont="1" applyBorder="1"/>
    <xf numFmtId="174" fontId="21" fillId="0" borderId="29" xfId="17" applyNumberFormat="1" applyFont="1" applyBorder="1"/>
    <xf numFmtId="168" fontId="21" fillId="0" borderId="29" xfId="17" applyNumberFormat="1" applyFont="1" applyBorder="1"/>
    <xf numFmtId="168" fontId="49" fillId="0" borderId="28" xfId="17" applyNumberFormat="1" applyFont="1" applyBorder="1"/>
    <xf numFmtId="168" fontId="49" fillId="0" borderId="66" xfId="17" applyNumberFormat="1" applyFont="1" applyBorder="1"/>
    <xf numFmtId="174" fontId="31" fillId="0" borderId="29" xfId="17" applyNumberFormat="1" applyFont="1" applyBorder="1"/>
    <xf numFmtId="168" fontId="31" fillId="0" borderId="29" xfId="17" applyNumberFormat="1" applyFont="1" applyBorder="1"/>
    <xf numFmtId="2" fontId="31" fillId="0" borderId="29" xfId="17" applyNumberFormat="1" applyFont="1" applyFill="1" applyBorder="1"/>
    <xf numFmtId="174" fontId="22" fillId="0" borderId="0" xfId="19" applyNumberFormat="1" applyFont="1" applyBorder="1"/>
    <xf numFmtId="174" fontId="31" fillId="0" borderId="0" xfId="19" applyNumberFormat="1" applyFont="1" applyBorder="1"/>
    <xf numFmtId="168" fontId="31" fillId="0" borderId="0" xfId="17" applyNumberFormat="1" applyFont="1" applyBorder="1"/>
    <xf numFmtId="174" fontId="21" fillId="0" borderId="0" xfId="17" applyNumberFormat="1" applyFont="1" applyBorder="1"/>
    <xf numFmtId="174" fontId="31" fillId="0" borderId="0" xfId="17" applyNumberFormat="1" applyFont="1" applyBorder="1"/>
    <xf numFmtId="9" fontId="21" fillId="0" borderId="0" xfId="19" applyNumberFormat="1" applyFont="1" applyBorder="1"/>
    <xf numFmtId="9" fontId="31" fillId="0" borderId="0" xfId="19" applyNumberFormat="1" applyFont="1" applyBorder="1"/>
    <xf numFmtId="0" fontId="49" fillId="0" borderId="25" xfId="17" applyFont="1" applyBorder="1"/>
    <xf numFmtId="9" fontId="49" fillId="0" borderId="26" xfId="19" applyFont="1" applyBorder="1"/>
    <xf numFmtId="168" fontId="49" fillId="0" borderId="26" xfId="17" applyNumberFormat="1" applyFont="1" applyBorder="1"/>
    <xf numFmtId="2" fontId="49" fillId="0" borderId="26" xfId="17" applyNumberFormat="1" applyFont="1" applyBorder="1"/>
    <xf numFmtId="168" fontId="21" fillId="0" borderId="26" xfId="17" applyNumberFormat="1" applyFont="1" applyBorder="1"/>
    <xf numFmtId="0" fontId="49" fillId="0" borderId="60" xfId="17" applyFont="1" applyBorder="1"/>
    <xf numFmtId="174" fontId="49" fillId="0" borderId="61" xfId="17" applyNumberFormat="1" applyFont="1" applyBorder="1"/>
    <xf numFmtId="168" fontId="49" fillId="0" borderId="61" xfId="17" applyNumberFormat="1" applyFont="1" applyBorder="1"/>
    <xf numFmtId="2" fontId="49" fillId="0" borderId="61" xfId="17" applyNumberFormat="1" applyFont="1" applyBorder="1"/>
    <xf numFmtId="168" fontId="49" fillId="0" borderId="60" xfId="17" applyNumberFormat="1" applyFont="1" applyBorder="1"/>
    <xf numFmtId="168" fontId="49" fillId="0" borderId="94" xfId="17" applyNumberFormat="1" applyFont="1" applyBorder="1"/>
    <xf numFmtId="10" fontId="31" fillId="0" borderId="12" xfId="3" applyNumberFormat="1" applyFont="1" applyBorder="1"/>
    <xf numFmtId="174" fontId="49" fillId="0" borderId="0" xfId="17" applyNumberFormat="1" applyFont="1" applyBorder="1"/>
    <xf numFmtId="0" fontId="31" fillId="0" borderId="25" xfId="17" applyFont="1" applyBorder="1"/>
    <xf numFmtId="9" fontId="31" fillId="0" borderId="26" xfId="19" applyFont="1" applyBorder="1"/>
    <xf numFmtId="168" fontId="31" fillId="0" borderId="26" xfId="17" applyNumberFormat="1" applyFont="1" applyBorder="1"/>
    <xf numFmtId="10" fontId="31" fillId="0" borderId="26" xfId="3" applyNumberFormat="1" applyFont="1" applyBorder="1"/>
    <xf numFmtId="2" fontId="31" fillId="0" borderId="26" xfId="17" applyNumberFormat="1" applyFont="1" applyBorder="1"/>
    <xf numFmtId="168" fontId="31" fillId="0" borderId="51" xfId="17" applyNumberFormat="1" applyFont="1" applyBorder="1"/>
    <xf numFmtId="0" fontId="21" fillId="0" borderId="67" xfId="17" applyFont="1" applyBorder="1"/>
    <xf numFmtId="0" fontId="28" fillId="0" borderId="60" xfId="17" applyFont="1" applyBorder="1"/>
    <xf numFmtId="174" fontId="28" fillId="0" borderId="61" xfId="17" applyNumberFormat="1" applyFont="1" applyBorder="1"/>
    <xf numFmtId="168" fontId="28" fillId="0" borderId="61" xfId="17" applyNumberFormat="1" applyFont="1" applyBorder="1"/>
    <xf numFmtId="2" fontId="28" fillId="0" borderId="61" xfId="17" applyNumberFormat="1" applyFont="1" applyBorder="1"/>
    <xf numFmtId="168" fontId="28" fillId="0" borderId="62" xfId="17" applyNumberFormat="1" applyFont="1" applyBorder="1"/>
    <xf numFmtId="2" fontId="21" fillId="0" borderId="0" xfId="17" applyNumberFormat="1" applyFont="1" applyBorder="1"/>
    <xf numFmtId="2" fontId="21" fillId="0" borderId="16" xfId="17" applyNumberFormat="1" applyFont="1" applyBorder="1"/>
    <xf numFmtId="2" fontId="21" fillId="0" borderId="67" xfId="17" applyNumberFormat="1" applyFont="1" applyBorder="1"/>
    <xf numFmtId="9" fontId="31" fillId="0" borderId="0" xfId="3" applyFont="1"/>
    <xf numFmtId="0" fontId="49" fillId="0" borderId="11" xfId="17" applyFont="1" applyBorder="1"/>
    <xf numFmtId="10" fontId="49" fillId="0" borderId="12" xfId="17" applyNumberFormat="1" applyFont="1" applyBorder="1"/>
    <xf numFmtId="168" fontId="49" fillId="0" borderId="12" xfId="17" applyNumberFormat="1" applyFont="1" applyBorder="1"/>
    <xf numFmtId="2" fontId="49" fillId="0" borderId="12" xfId="17" applyNumberFormat="1" applyFont="1" applyBorder="1"/>
    <xf numFmtId="2" fontId="49" fillId="32" borderId="12" xfId="17" applyNumberFormat="1" applyFont="1" applyFill="1" applyBorder="1"/>
    <xf numFmtId="2" fontId="49" fillId="0" borderId="11" xfId="17" applyNumberFormat="1" applyFont="1" applyBorder="1"/>
    <xf numFmtId="2" fontId="49" fillId="32" borderId="74" xfId="17" applyNumberFormat="1" applyFont="1" applyFill="1" applyBorder="1"/>
    <xf numFmtId="2" fontId="31" fillId="0" borderId="18" xfId="17" applyNumberFormat="1" applyFont="1" applyBorder="1"/>
    <xf numFmtId="10" fontId="21" fillId="0" borderId="0" xfId="17" applyNumberFormat="1" applyFont="1"/>
    <xf numFmtId="0" fontId="28" fillId="0" borderId="11" xfId="17" applyFont="1" applyBorder="1"/>
    <xf numFmtId="168" fontId="28" fillId="0" borderId="12" xfId="17" applyNumberFormat="1" applyFont="1" applyBorder="1"/>
    <xf numFmtId="10" fontId="28" fillId="0" borderId="12" xfId="17" applyNumberFormat="1" applyFont="1" applyBorder="1"/>
    <xf numFmtId="2" fontId="28" fillId="0" borderId="12" xfId="17" applyNumberFormat="1" applyFont="1" applyBorder="1"/>
    <xf numFmtId="44" fontId="28" fillId="32" borderId="14" xfId="2" applyFont="1" applyFill="1" applyBorder="1"/>
    <xf numFmtId="8" fontId="49" fillId="12" borderId="23" xfId="17" applyNumberFormat="1" applyFont="1" applyFill="1" applyBorder="1"/>
    <xf numFmtId="44" fontId="31" fillId="0" borderId="0" xfId="2" applyFont="1"/>
    <xf numFmtId="0" fontId="53" fillId="33" borderId="8" xfId="26" applyFont="1" applyFill="1" applyBorder="1"/>
    <xf numFmtId="0" fontId="25" fillId="33" borderId="9" xfId="26" applyFont="1" applyFill="1" applyBorder="1"/>
    <xf numFmtId="0" fontId="21" fillId="0" borderId="0" xfId="26"/>
    <xf numFmtId="0" fontId="25" fillId="33" borderId="0" xfId="26" applyFont="1" applyFill="1" applyBorder="1"/>
    <xf numFmtId="0" fontId="49" fillId="33" borderId="18" xfId="26" applyFont="1" applyFill="1" applyBorder="1"/>
    <xf numFmtId="0" fontId="58" fillId="33" borderId="12" xfId="26" applyFont="1" applyFill="1" applyBorder="1"/>
    <xf numFmtId="0" fontId="49" fillId="33" borderId="14" xfId="26" applyFont="1" applyFill="1" applyBorder="1"/>
    <xf numFmtId="0" fontId="49" fillId="0" borderId="0" xfId="26" applyFont="1"/>
    <xf numFmtId="0" fontId="21" fillId="0" borderId="0" xfId="26" applyFill="1"/>
    <xf numFmtId="0" fontId="21" fillId="11" borderId="0" xfId="26" applyFill="1"/>
    <xf numFmtId="0" fontId="21" fillId="24" borderId="0" xfId="26" applyFill="1"/>
    <xf numFmtId="14" fontId="49" fillId="0" borderId="0" xfId="26" applyNumberFormat="1" applyFont="1"/>
    <xf numFmtId="177" fontId="21" fillId="0" borderId="0" xfId="26" applyNumberFormat="1"/>
    <xf numFmtId="2" fontId="21" fillId="0" borderId="0" xfId="26" applyNumberFormat="1"/>
    <xf numFmtId="0" fontId="49" fillId="0" borderId="0" xfId="27" applyFont="1"/>
    <xf numFmtId="0" fontId="21" fillId="0" borderId="0" xfId="27"/>
    <xf numFmtId="0" fontId="59" fillId="0" borderId="0" xfId="27" applyFont="1"/>
    <xf numFmtId="0" fontId="60" fillId="0" borderId="0" xfId="27" applyFont="1"/>
    <xf numFmtId="169" fontId="21" fillId="0" borderId="0" xfId="26" applyNumberFormat="1"/>
    <xf numFmtId="0" fontId="21" fillId="0" borderId="53" xfId="27" applyBorder="1"/>
    <xf numFmtId="0" fontId="21" fillId="0" borderId="17" xfId="27" applyBorder="1"/>
    <xf numFmtId="0" fontId="21" fillId="0" borderId="52" xfId="27" applyBorder="1"/>
    <xf numFmtId="0" fontId="21" fillId="0" borderId="24" xfId="27" applyBorder="1"/>
    <xf numFmtId="0" fontId="21" fillId="0" borderId="0" xfId="27" applyBorder="1" applyAlignment="1">
      <alignment horizontal="right"/>
    </xf>
    <xf numFmtId="0" fontId="21" fillId="0" borderId="0" xfId="27" applyBorder="1"/>
    <xf numFmtId="0" fontId="21" fillId="0" borderId="90" xfId="27" applyBorder="1"/>
    <xf numFmtId="0" fontId="49" fillId="0" borderId="0" xfId="6" applyFont="1"/>
    <xf numFmtId="0" fontId="50" fillId="0" borderId="90" xfId="27" applyFont="1" applyBorder="1" applyAlignment="1">
      <alignment horizontal="center"/>
    </xf>
    <xf numFmtId="177" fontId="21" fillId="0" borderId="0" xfId="6" applyNumberFormat="1" applyAlignment="1">
      <alignment horizontal="left"/>
    </xf>
    <xf numFmtId="177" fontId="21" fillId="0" borderId="90" xfId="27" applyNumberFormat="1" applyBorder="1" applyAlignment="1">
      <alignment horizontal="center"/>
    </xf>
    <xf numFmtId="0" fontId="21" fillId="0" borderId="90" xfId="27" applyBorder="1" applyAlignment="1">
      <alignment horizontal="center"/>
    </xf>
    <xf numFmtId="0" fontId="21" fillId="0" borderId="24" xfId="27" applyBorder="1" applyAlignment="1">
      <alignment horizontal="center"/>
    </xf>
    <xf numFmtId="0" fontId="21" fillId="0" borderId="0" xfId="27" applyBorder="1" applyAlignment="1">
      <alignment horizontal="center"/>
    </xf>
    <xf numFmtId="14" fontId="49" fillId="0" borderId="0" xfId="6" applyNumberFormat="1" applyFont="1" applyAlignment="1">
      <alignment horizontal="right"/>
    </xf>
    <xf numFmtId="177" fontId="21" fillId="0" borderId="0" xfId="6" applyNumberFormat="1"/>
    <xf numFmtId="0" fontId="49" fillId="12" borderId="0" xfId="27" applyFont="1" applyFill="1" applyBorder="1" applyAlignment="1">
      <alignment horizontal="right"/>
    </xf>
    <xf numFmtId="10" fontId="49" fillId="12" borderId="90" xfId="25" applyNumberFormat="1" applyFont="1" applyFill="1" applyBorder="1" applyAlignment="1">
      <alignment horizontal="center"/>
    </xf>
    <xf numFmtId="0" fontId="21" fillId="0" borderId="81" xfId="27" applyBorder="1"/>
    <xf numFmtId="0" fontId="21" fillId="0" borderId="26" xfId="27" applyBorder="1"/>
    <xf numFmtId="0" fontId="21" fillId="0" borderId="50" xfId="27" applyBorder="1"/>
    <xf numFmtId="0" fontId="16" fillId="0" borderId="16" xfId="4" applyFont="1" applyFill="1" applyBorder="1"/>
    <xf numFmtId="165" fontId="16" fillId="0" borderId="0" xfId="4" applyNumberFormat="1" applyFont="1" applyFill="1" applyBorder="1" applyAlignment="1">
      <alignment horizontal="center"/>
    </xf>
    <xf numFmtId="9" fontId="16" fillId="0" borderId="0" xfId="5" applyFont="1" applyFill="1" applyBorder="1" applyAlignment="1">
      <alignment horizontal="center"/>
    </xf>
    <xf numFmtId="0" fontId="16" fillId="0" borderId="0" xfId="4" applyFont="1" applyFill="1" applyBorder="1"/>
    <xf numFmtId="0" fontId="16" fillId="0" borderId="18" xfId="4" applyFont="1" applyFill="1" applyBorder="1" applyAlignment="1">
      <alignment horizontal="left" vertical="center" wrapText="1"/>
    </xf>
    <xf numFmtId="166" fontId="1" fillId="0" borderId="19" xfId="4" applyNumberFormat="1" applyFill="1" applyBorder="1"/>
    <xf numFmtId="0" fontId="1" fillId="0" borderId="0" xfId="4" applyFill="1"/>
    <xf numFmtId="165" fontId="1" fillId="0" borderId="0" xfId="4" applyNumberFormat="1" applyFill="1"/>
    <xf numFmtId="0" fontId="16" fillId="0" borderId="6" xfId="4" applyFont="1" applyFill="1" applyBorder="1"/>
    <xf numFmtId="9" fontId="16" fillId="0" borderId="7" xfId="5" applyFont="1" applyFill="1" applyBorder="1" applyAlignment="1">
      <alignment horizontal="center"/>
    </xf>
    <xf numFmtId="165" fontId="1" fillId="0" borderId="10" xfId="4" applyNumberFormat="1" applyFill="1" applyBorder="1"/>
    <xf numFmtId="0" fontId="49" fillId="57" borderId="20" xfId="0" applyFont="1" applyFill="1" applyBorder="1" applyAlignment="1">
      <alignment horizontal="center"/>
    </xf>
    <xf numFmtId="0" fontId="49" fillId="57" borderId="21" xfId="0" applyFont="1" applyFill="1" applyBorder="1" applyAlignment="1">
      <alignment horizontal="center"/>
    </xf>
    <xf numFmtId="0" fontId="49" fillId="57" borderId="22" xfId="0" applyFont="1" applyFill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0" fontId="49" fillId="0" borderId="28" xfId="0" applyFont="1" applyBorder="1"/>
    <xf numFmtId="168" fontId="49" fillId="0" borderId="29" xfId="0" applyNumberFormat="1" applyFont="1" applyBorder="1"/>
    <xf numFmtId="2" fontId="49" fillId="0" borderId="29" xfId="0" applyNumberFormat="1" applyFont="1" applyBorder="1" applyAlignment="1">
      <alignment horizontal="center"/>
    </xf>
    <xf numFmtId="168" fontId="49" fillId="0" borderId="31" xfId="0" applyNumberFormat="1" applyFont="1" applyBorder="1"/>
    <xf numFmtId="168" fontId="49" fillId="0" borderId="18" xfId="0" applyNumberFormat="1" applyFont="1" applyBorder="1"/>
    <xf numFmtId="0" fontId="25" fillId="0" borderId="16" xfId="0" applyFont="1" applyBorder="1"/>
    <xf numFmtId="168" fontId="49" fillId="0" borderId="0" xfId="0" applyNumberFormat="1" applyFont="1" applyBorder="1"/>
    <xf numFmtId="2" fontId="49" fillId="0" borderId="0" xfId="0" applyNumberFormat="1" applyFont="1" applyBorder="1" applyAlignment="1">
      <alignment horizontal="center"/>
    </xf>
    <xf numFmtId="0" fontId="21" fillId="0" borderId="16" xfId="0" applyFont="1" applyFill="1" applyBorder="1"/>
    <xf numFmtId="10" fontId="21" fillId="0" borderId="0" xfId="3" applyNumberFormat="1" applyFont="1" applyFill="1" applyBorder="1" applyAlignment="1">
      <alignment vertical="center"/>
    </xf>
    <xf numFmtId="168" fontId="21" fillId="0" borderId="18" xfId="0" applyNumberFormat="1" applyFont="1" applyBorder="1"/>
    <xf numFmtId="10" fontId="21" fillId="0" borderId="0" xfId="3" applyNumberFormat="1" applyFont="1" applyBorder="1"/>
    <xf numFmtId="168" fontId="21" fillId="0" borderId="51" xfId="0" applyNumberFormat="1" applyFont="1" applyBorder="1"/>
    <xf numFmtId="168" fontId="49" fillId="0" borderId="62" xfId="0" applyNumberFormat="1" applyFont="1" applyBorder="1"/>
    <xf numFmtId="171" fontId="21" fillId="0" borderId="18" xfId="0" applyNumberFormat="1" applyFont="1" applyBorder="1"/>
    <xf numFmtId="165" fontId="49" fillId="12" borderId="14" xfId="0" applyNumberFormat="1" applyFont="1" applyFill="1" applyBorder="1"/>
    <xf numFmtId="0" fontId="49" fillId="0" borderId="0" xfId="0" applyFont="1" applyBorder="1"/>
    <xf numFmtId="0" fontId="49" fillId="0" borderId="0" xfId="0" applyFont="1" applyAlignment="1">
      <alignment horizontal="center"/>
    </xf>
    <xf numFmtId="2" fontId="49" fillId="0" borderId="0" xfId="0" applyNumberFormat="1" applyFont="1" applyBorder="1"/>
    <xf numFmtId="10" fontId="21" fillId="0" borderId="0" xfId="0" applyNumberFormat="1" applyFont="1" applyFill="1" applyBorder="1" applyAlignment="1">
      <alignment vertical="center"/>
    </xf>
    <xf numFmtId="171" fontId="49" fillId="12" borderId="14" xfId="0" applyNumberFormat="1" applyFont="1" applyFill="1" applyBorder="1"/>
    <xf numFmtId="10" fontId="21" fillId="0" borderId="12" xfId="3" applyNumberFormat="1" applyFont="1" applyFill="1" applyBorder="1" applyAlignment="1">
      <alignment vertical="center"/>
    </xf>
    <xf numFmtId="9" fontId="49" fillId="0" borderId="0" xfId="3" applyFont="1" applyBorder="1"/>
    <xf numFmtId="1" fontId="21" fillId="0" borderId="0" xfId="0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168" fontId="21" fillId="0" borderId="0" xfId="0" applyNumberFormat="1" applyFont="1" applyBorder="1"/>
    <xf numFmtId="0" fontId="25" fillId="0" borderId="0" xfId="0" applyFont="1" applyBorder="1"/>
    <xf numFmtId="0" fontId="21" fillId="0" borderId="0" xfId="0" applyFont="1" applyFill="1" applyBorder="1"/>
    <xf numFmtId="0" fontId="88" fillId="0" borderId="0" xfId="0" applyFont="1" applyAlignment="1">
      <alignment horizontal="center"/>
    </xf>
    <xf numFmtId="2" fontId="21" fillId="0" borderId="0" xfId="0" applyNumberFormat="1" applyFont="1" applyFill="1" applyBorder="1" applyAlignment="1">
      <alignment horizontal="right"/>
    </xf>
    <xf numFmtId="165" fontId="49" fillId="0" borderId="0" xfId="0" applyNumberFormat="1" applyFont="1" applyBorder="1"/>
    <xf numFmtId="0" fontId="49" fillId="0" borderId="0" xfId="0" applyFont="1"/>
    <xf numFmtId="0" fontId="49" fillId="30" borderId="0" xfId="548" applyFont="1" applyFill="1"/>
    <xf numFmtId="0" fontId="49" fillId="0" borderId="0" xfId="548" applyFont="1"/>
    <xf numFmtId="0" fontId="21" fillId="0" borderId="0" xfId="548" applyFont="1"/>
    <xf numFmtId="0" fontId="30" fillId="0" borderId="0" xfId="0" applyFont="1"/>
    <xf numFmtId="0" fontId="49" fillId="0" borderId="20" xfId="548" applyFont="1" applyBorder="1"/>
    <xf numFmtId="0" fontId="31" fillId="0" borderId="21" xfId="548" applyFont="1" applyBorder="1"/>
    <xf numFmtId="173" fontId="91" fillId="30" borderId="44" xfId="75" applyNumberFormat="1" applyFont="1" applyFill="1" applyBorder="1" applyAlignment="1">
      <alignment horizontal="center" wrapText="1"/>
    </xf>
    <xf numFmtId="173" fontId="91" fillId="30" borderId="64" xfId="75" applyNumberFormat="1" applyFont="1" applyFill="1" applyBorder="1" applyAlignment="1">
      <alignment horizontal="center" wrapText="1"/>
    </xf>
    <xf numFmtId="0" fontId="28" fillId="0" borderId="41" xfId="548" applyFont="1" applyBorder="1"/>
    <xf numFmtId="40" fontId="93" fillId="30" borderId="0" xfId="548" applyNumberFormat="1" applyFont="1" applyFill="1" applyBorder="1" applyAlignment="1"/>
    <xf numFmtId="2" fontId="93" fillId="30" borderId="0" xfId="548" applyNumberFormat="1" applyFont="1" applyFill="1" applyBorder="1" applyAlignment="1">
      <alignment horizontal="right"/>
    </xf>
    <xf numFmtId="0" fontId="31" fillId="0" borderId="16" xfId="548" applyFont="1" applyBorder="1"/>
    <xf numFmtId="38" fontId="31" fillId="0" borderId="0" xfId="548" applyNumberFormat="1" applyFont="1" applyBorder="1" applyAlignment="1"/>
    <xf numFmtId="2" fontId="31" fillId="0" borderId="0" xfId="548" applyNumberFormat="1" applyFont="1" applyFill="1" applyBorder="1" applyAlignment="1">
      <alignment horizontal="right"/>
    </xf>
    <xf numFmtId="0" fontId="30" fillId="0" borderId="16" xfId="0" applyFont="1" applyFill="1" applyBorder="1"/>
    <xf numFmtId="167" fontId="30" fillId="0" borderId="0" xfId="2" applyNumberFormat="1" applyFont="1" applyFill="1" applyBorder="1"/>
    <xf numFmtId="0" fontId="30" fillId="0" borderId="0" xfId="0" applyFont="1" applyFill="1" applyBorder="1"/>
    <xf numFmtId="40" fontId="93" fillId="30" borderId="0" xfId="548" applyNumberFormat="1" applyFont="1" applyFill="1"/>
    <xf numFmtId="3" fontId="93" fillId="30" borderId="0" xfId="548" applyNumberFormat="1" applyFont="1" applyFill="1"/>
    <xf numFmtId="168" fontId="93" fillId="30" borderId="16" xfId="548" applyNumberFormat="1" applyFont="1" applyFill="1" applyBorder="1" applyAlignment="1">
      <alignment horizontal="right"/>
    </xf>
    <xf numFmtId="168" fontId="31" fillId="0" borderId="16" xfId="548" applyNumberFormat="1" applyFont="1" applyBorder="1" applyAlignment="1">
      <alignment horizontal="left"/>
    </xf>
    <xf numFmtId="38" fontId="31" fillId="0" borderId="0" xfId="548" applyNumberFormat="1" applyFont="1" applyBorder="1"/>
    <xf numFmtId="0" fontId="91" fillId="30" borderId="28" xfId="548" applyFont="1" applyFill="1" applyBorder="1"/>
    <xf numFmtId="168" fontId="91" fillId="30" borderId="29" xfId="548" applyNumberFormat="1" applyFont="1" applyFill="1" applyBorder="1"/>
    <xf numFmtId="2" fontId="91" fillId="30" borderId="29" xfId="548" applyNumberFormat="1" applyFont="1" applyFill="1" applyBorder="1"/>
    <xf numFmtId="167" fontId="91" fillId="30" borderId="31" xfId="1246" applyNumberFormat="1" applyFont="1" applyFill="1" applyBorder="1"/>
    <xf numFmtId="0" fontId="28" fillId="0" borderId="28" xfId="548" applyFont="1" applyBorder="1"/>
    <xf numFmtId="168" fontId="28" fillId="0" borderId="29" xfId="548" applyNumberFormat="1" applyFont="1" applyBorder="1"/>
    <xf numFmtId="2" fontId="28" fillId="0" borderId="29" xfId="548" applyNumberFormat="1" applyFont="1" applyBorder="1"/>
    <xf numFmtId="167" fontId="28" fillId="0" borderId="51" xfId="1246" applyNumberFormat="1" applyFont="1" applyBorder="1"/>
    <xf numFmtId="0" fontId="91" fillId="30" borderId="16" xfId="548" applyFont="1" applyFill="1" applyBorder="1"/>
    <xf numFmtId="173" fontId="91" fillId="30" borderId="0" xfId="75" applyNumberFormat="1" applyFont="1" applyFill="1" applyBorder="1" applyAlignment="1">
      <alignment horizontal="center"/>
    </xf>
    <xf numFmtId="168" fontId="91" fillId="30" borderId="0" xfId="548" applyNumberFormat="1" applyFont="1" applyFill="1" applyBorder="1"/>
    <xf numFmtId="2" fontId="91" fillId="30" borderId="0" xfId="548" applyNumberFormat="1" applyFont="1" applyFill="1" applyBorder="1"/>
    <xf numFmtId="168" fontId="91" fillId="30" borderId="18" xfId="548" applyNumberFormat="1" applyFont="1" applyFill="1" applyBorder="1"/>
    <xf numFmtId="0" fontId="28" fillId="0" borderId="16" xfId="548" applyFont="1" applyBorder="1"/>
    <xf numFmtId="173" fontId="28" fillId="0" borderId="0" xfId="75" applyNumberFormat="1" applyFont="1" applyFill="1" applyBorder="1" applyAlignment="1">
      <alignment horizontal="center"/>
    </xf>
    <xf numFmtId="168" fontId="28" fillId="0" borderId="0" xfId="548" applyNumberFormat="1" applyFont="1" applyBorder="1"/>
    <xf numFmtId="2" fontId="28" fillId="0" borderId="0" xfId="548" applyNumberFormat="1" applyFont="1" applyBorder="1"/>
    <xf numFmtId="168" fontId="28" fillId="0" borderId="18" xfId="548" applyNumberFormat="1" applyFont="1" applyBorder="1"/>
    <xf numFmtId="0" fontId="93" fillId="30" borderId="16" xfId="548" applyFont="1" applyFill="1" applyBorder="1"/>
    <xf numFmtId="168" fontId="93" fillId="30" borderId="18" xfId="548" applyNumberFormat="1" applyFont="1" applyFill="1" applyBorder="1"/>
    <xf numFmtId="0" fontId="31" fillId="0" borderId="16" xfId="548" applyFont="1" applyFill="1" applyBorder="1"/>
    <xf numFmtId="168" fontId="31" fillId="0" borderId="18" xfId="548" applyNumberFormat="1" applyFont="1" applyBorder="1"/>
    <xf numFmtId="168" fontId="93" fillId="30" borderId="0" xfId="548" applyNumberFormat="1" applyFont="1" applyFill="1" applyBorder="1" applyAlignment="1">
      <alignment horizontal="center"/>
    </xf>
    <xf numFmtId="168" fontId="93" fillId="30" borderId="0" xfId="548" applyNumberFormat="1" applyFont="1" applyFill="1" applyBorder="1"/>
    <xf numFmtId="2" fontId="93" fillId="30" borderId="0" xfId="548" applyNumberFormat="1" applyFont="1" applyFill="1" applyBorder="1"/>
    <xf numFmtId="168" fontId="31" fillId="0" borderId="0" xfId="548" applyNumberFormat="1" applyFont="1" applyBorder="1" applyAlignment="1">
      <alignment horizontal="center"/>
    </xf>
    <xf numFmtId="168" fontId="31" fillId="0" borderId="0" xfId="548" applyNumberFormat="1" applyFont="1" applyBorder="1"/>
    <xf numFmtId="2" fontId="31" fillId="0" borderId="0" xfId="548" applyNumberFormat="1" applyFont="1" applyFill="1" applyBorder="1"/>
    <xf numFmtId="0" fontId="91" fillId="30" borderId="117" xfId="548" applyFont="1" applyFill="1" applyBorder="1" applyAlignment="1"/>
    <xf numFmtId="10" fontId="93" fillId="30" borderId="118" xfId="548" applyNumberFormat="1" applyFont="1" applyFill="1" applyBorder="1" applyAlignment="1">
      <alignment horizontal="center"/>
    </xf>
    <xf numFmtId="0" fontId="28" fillId="0" borderId="117" xfId="548" applyFont="1" applyBorder="1" applyAlignment="1"/>
    <xf numFmtId="10" fontId="31" fillId="0" borderId="118" xfId="548" applyNumberFormat="1" applyFont="1" applyBorder="1" applyAlignment="1">
      <alignment horizontal="center"/>
    </xf>
    <xf numFmtId="9" fontId="91" fillId="30" borderId="0" xfId="548" applyNumberFormat="1" applyFont="1" applyFill="1" applyBorder="1" applyAlignment="1">
      <alignment horizontal="center"/>
    </xf>
    <xf numFmtId="9" fontId="28" fillId="0" borderId="0" xfId="548" applyNumberFormat="1" applyFont="1" applyBorder="1" applyAlignment="1">
      <alignment horizontal="center"/>
    </xf>
    <xf numFmtId="0" fontId="30" fillId="0" borderId="28" xfId="0" applyFont="1" applyBorder="1"/>
    <xf numFmtId="0" fontId="30" fillId="0" borderId="29" xfId="0" applyFont="1" applyBorder="1"/>
    <xf numFmtId="10" fontId="91" fillId="30" borderId="0" xfId="548" applyNumberFormat="1" applyFont="1" applyFill="1" applyBorder="1" applyAlignment="1">
      <alignment horizontal="center"/>
    </xf>
    <xf numFmtId="171" fontId="91" fillId="30" borderId="121" xfId="548" applyNumberFormat="1" applyFont="1" applyFill="1" applyBorder="1"/>
    <xf numFmtId="171" fontId="28" fillId="59" borderId="121" xfId="548" applyNumberFormat="1" applyFont="1" applyFill="1" applyBorder="1"/>
    <xf numFmtId="10" fontId="30" fillId="0" borderId="0" xfId="3" applyNumberFormat="1" applyFont="1"/>
    <xf numFmtId="39" fontId="93" fillId="30" borderId="54" xfId="548" applyNumberFormat="1" applyFont="1" applyFill="1" applyBorder="1"/>
    <xf numFmtId="39" fontId="31" fillId="59" borderId="54" xfId="548" applyNumberFormat="1" applyFont="1" applyFill="1" applyBorder="1"/>
    <xf numFmtId="0" fontId="93" fillId="30" borderId="80" xfId="0" applyFont="1" applyFill="1" applyBorder="1"/>
    <xf numFmtId="0" fontId="91" fillId="30" borderId="29" xfId="0" applyFont="1" applyFill="1" applyBorder="1"/>
    <xf numFmtId="10" fontId="93" fillId="30" borderId="29" xfId="0" applyNumberFormat="1" applyFont="1" applyFill="1" applyBorder="1"/>
    <xf numFmtId="10" fontId="28" fillId="0" borderId="21" xfId="0" applyNumberFormat="1" applyFont="1" applyFill="1" applyBorder="1"/>
    <xf numFmtId="165" fontId="28" fillId="12" borderId="22" xfId="0" applyNumberFormat="1" applyFont="1" applyFill="1" applyBorder="1"/>
    <xf numFmtId="0" fontId="93" fillId="30" borderId="29" xfId="0" applyFont="1" applyFill="1" applyBorder="1"/>
    <xf numFmtId="10" fontId="93" fillId="30" borderId="29" xfId="3" applyNumberFormat="1" applyFont="1" applyFill="1" applyBorder="1"/>
    <xf numFmtId="44" fontId="30" fillId="0" borderId="0" xfId="2" applyFont="1"/>
    <xf numFmtId="0" fontId="49" fillId="30" borderId="0" xfId="0" applyFont="1" applyFill="1"/>
    <xf numFmtId="0" fontId="91" fillId="30" borderId="6" xfId="0" applyFont="1" applyFill="1" applyBorder="1" applyAlignment="1">
      <alignment horizontal="right"/>
    </xf>
    <xf numFmtId="0" fontId="93" fillId="30" borderId="8" xfId="0" applyFont="1" applyFill="1" applyBorder="1"/>
    <xf numFmtId="0" fontId="93" fillId="30" borderId="9" xfId="0" applyFont="1" applyFill="1" applyBorder="1"/>
    <xf numFmtId="0" fontId="93" fillId="0" borderId="0" xfId="0" applyFont="1" applyFill="1" applyBorder="1"/>
    <xf numFmtId="0" fontId="21" fillId="0" borderId="20" xfId="0" applyFont="1" applyFill="1" applyBorder="1"/>
    <xf numFmtId="0" fontId="21" fillId="0" borderId="21" xfId="0" applyFont="1" applyFill="1" applyBorder="1"/>
    <xf numFmtId="0" fontId="21" fillId="0" borderId="22" xfId="0" applyFont="1" applyFill="1" applyBorder="1"/>
    <xf numFmtId="0" fontId="13" fillId="60" borderId="6" xfId="0" applyFont="1" applyFill="1" applyBorder="1" applyAlignment="1">
      <alignment horizontal="center"/>
    </xf>
    <xf numFmtId="0" fontId="91" fillId="60" borderId="8" xfId="0" applyFont="1" applyFill="1" applyBorder="1"/>
    <xf numFmtId="0" fontId="93" fillId="30" borderId="16" xfId="0" applyFont="1" applyFill="1" applyBorder="1"/>
    <xf numFmtId="0" fontId="93" fillId="30" borderId="0" xfId="0" applyFont="1" applyFill="1" applyBorder="1"/>
    <xf numFmtId="0" fontId="93" fillId="30" borderId="18" xfId="0" applyFont="1" applyFill="1" applyBorder="1"/>
    <xf numFmtId="0" fontId="21" fillId="0" borderId="18" xfId="0" applyFont="1" applyFill="1" applyBorder="1"/>
    <xf numFmtId="0" fontId="49" fillId="0" borderId="16" xfId="0" applyFont="1" applyBorder="1"/>
    <xf numFmtId="0" fontId="93" fillId="0" borderId="0" xfId="0" applyFont="1" applyBorder="1"/>
    <xf numFmtId="0" fontId="91" fillId="30" borderId="0" xfId="0" applyFont="1" applyFill="1" applyBorder="1"/>
    <xf numFmtId="0" fontId="91" fillId="30" borderId="18" xfId="0" applyFont="1" applyFill="1" applyBorder="1"/>
    <xf numFmtId="0" fontId="91" fillId="0" borderId="0" xfId="0" applyFont="1" applyFill="1" applyBorder="1"/>
    <xf numFmtId="0" fontId="49" fillId="0" borderId="20" xfId="0" applyFont="1" applyFill="1" applyBorder="1"/>
    <xf numFmtId="0" fontId="49" fillId="0" borderId="21" xfId="0" applyFont="1" applyFill="1" applyBorder="1"/>
    <xf numFmtId="43" fontId="49" fillId="0" borderId="21" xfId="1" applyFont="1" applyFill="1" applyBorder="1"/>
    <xf numFmtId="0" fontId="49" fillId="0" borderId="22" xfId="0" applyFont="1" applyFill="1" applyBorder="1"/>
    <xf numFmtId="0" fontId="91" fillId="0" borderId="0" xfId="0" applyFont="1" applyBorder="1"/>
    <xf numFmtId="0" fontId="91" fillId="0" borderId="18" xfId="0" applyFont="1" applyBorder="1"/>
    <xf numFmtId="166" fontId="93" fillId="30" borderId="0" xfId="0" applyNumberFormat="1" applyFont="1" applyFill="1" applyBorder="1"/>
    <xf numFmtId="166" fontId="93" fillId="30" borderId="18" xfId="0" applyNumberFormat="1" applyFont="1" applyFill="1" applyBorder="1"/>
    <xf numFmtId="166" fontId="93" fillId="0" borderId="0" xfId="0" applyNumberFormat="1" applyFont="1" applyFill="1" applyBorder="1"/>
    <xf numFmtId="166" fontId="21" fillId="0" borderId="16" xfId="0" applyNumberFormat="1" applyFont="1" applyFill="1" applyBorder="1"/>
    <xf numFmtId="166" fontId="21" fillId="0" borderId="0" xfId="0" applyNumberFormat="1" applyFont="1" applyFill="1" applyBorder="1"/>
    <xf numFmtId="43" fontId="21" fillId="0" borderId="0" xfId="1" applyFont="1" applyFill="1" applyBorder="1"/>
    <xf numFmtId="166" fontId="21" fillId="0" borderId="18" xfId="0" applyNumberFormat="1" applyFont="1" applyFill="1" applyBorder="1"/>
    <xf numFmtId="166" fontId="93" fillId="0" borderId="0" xfId="0" applyNumberFormat="1" applyFont="1" applyBorder="1"/>
    <xf numFmtId="165" fontId="93" fillId="0" borderId="18" xfId="0" applyNumberFormat="1" applyFont="1" applyBorder="1"/>
    <xf numFmtId="0" fontId="91" fillId="30" borderId="28" xfId="0" applyFont="1" applyFill="1" applyBorder="1"/>
    <xf numFmtId="2" fontId="93" fillId="30" borderId="29" xfId="0" applyNumberFormat="1" applyFont="1" applyFill="1" applyBorder="1"/>
    <xf numFmtId="166" fontId="93" fillId="30" borderId="31" xfId="0" applyNumberFormat="1" applyFont="1" applyFill="1" applyBorder="1"/>
    <xf numFmtId="166" fontId="93" fillId="0" borderId="18" xfId="0" applyNumberFormat="1" applyFont="1" applyBorder="1"/>
    <xf numFmtId="166" fontId="49" fillId="0" borderId="20" xfId="0" applyNumberFormat="1" applyFont="1" applyFill="1" applyBorder="1"/>
    <xf numFmtId="166" fontId="49" fillId="0" borderId="21" xfId="0" applyNumberFormat="1" applyFont="1" applyFill="1" applyBorder="1"/>
    <xf numFmtId="166" fontId="49" fillId="0" borderId="22" xfId="0" applyNumberFormat="1" applyFont="1" applyFill="1" applyBorder="1"/>
    <xf numFmtId="0" fontId="91" fillId="0" borderId="28" xfId="0" applyFont="1" applyBorder="1"/>
    <xf numFmtId="0" fontId="93" fillId="0" borderId="29" xfId="0" applyFont="1" applyBorder="1"/>
    <xf numFmtId="2" fontId="93" fillId="0" borderId="29" xfId="0" applyNumberFormat="1" applyFont="1" applyBorder="1"/>
    <xf numFmtId="166" fontId="93" fillId="0" borderId="31" xfId="0" applyNumberFormat="1" applyFont="1" applyBorder="1"/>
    <xf numFmtId="0" fontId="93" fillId="0" borderId="16" xfId="0" applyFont="1" applyBorder="1"/>
    <xf numFmtId="0" fontId="93" fillId="0" borderId="18" xfId="0" applyFont="1" applyBorder="1"/>
    <xf numFmtId="9" fontId="93" fillId="30" borderId="0" xfId="0" applyNumberFormat="1" applyFont="1" applyFill="1" applyBorder="1"/>
    <xf numFmtId="10" fontId="21" fillId="0" borderId="0" xfId="3" applyNumberFormat="1" applyFont="1" applyFill="1" applyBorder="1"/>
    <xf numFmtId="9" fontId="93" fillId="0" borderId="0" xfId="0" applyNumberFormat="1" applyFont="1" applyBorder="1"/>
    <xf numFmtId="0" fontId="93" fillId="30" borderId="0" xfId="0" applyFont="1" applyFill="1" applyBorder="1" applyAlignment="1">
      <alignment horizontal="right"/>
    </xf>
    <xf numFmtId="0" fontId="21" fillId="0" borderId="6" xfId="0" applyFont="1" applyFill="1" applyBorder="1"/>
    <xf numFmtId="0" fontId="21" fillId="0" borderId="8" xfId="0" applyFont="1" applyFill="1" applyBorder="1"/>
    <xf numFmtId="0" fontId="21" fillId="0" borderId="8" xfId="0" applyFont="1" applyFill="1" applyBorder="1" applyAlignment="1">
      <alignment horizontal="right"/>
    </xf>
    <xf numFmtId="43" fontId="21" fillId="0" borderId="8" xfId="1" applyFont="1" applyFill="1" applyBorder="1" applyAlignment="1">
      <alignment horizontal="right"/>
    </xf>
    <xf numFmtId="0" fontId="21" fillId="0" borderId="9" xfId="0" applyFont="1" applyFill="1" applyBorder="1"/>
    <xf numFmtId="0" fontId="93" fillId="0" borderId="0" xfId="0" applyFont="1" applyBorder="1" applyAlignment="1">
      <alignment horizontal="right"/>
    </xf>
    <xf numFmtId="167" fontId="93" fillId="0" borderId="0" xfId="2" applyNumberFormat="1" applyFont="1" applyBorder="1"/>
    <xf numFmtId="167" fontId="93" fillId="0" borderId="0" xfId="0" applyNumberFormat="1" applyFont="1" applyBorder="1"/>
    <xf numFmtId="165" fontId="93" fillId="30" borderId="0" xfId="0" applyNumberFormat="1" applyFont="1" applyFill="1" applyBorder="1"/>
    <xf numFmtId="44" fontId="21" fillId="0" borderId="0" xfId="2" applyFont="1" applyFill="1" applyBorder="1"/>
    <xf numFmtId="44" fontId="93" fillId="0" borderId="0" xfId="0" applyNumberFormat="1" applyFont="1" applyBorder="1"/>
    <xf numFmtId="165" fontId="93" fillId="0" borderId="0" xfId="0" applyNumberFormat="1" applyFont="1" applyBorder="1"/>
    <xf numFmtId="165" fontId="21" fillId="0" borderId="0" xfId="0" applyNumberFormat="1" applyFont="1" applyFill="1" applyBorder="1"/>
    <xf numFmtId="165" fontId="93" fillId="30" borderId="31" xfId="0" applyNumberFormat="1" applyFont="1" applyFill="1" applyBorder="1"/>
    <xf numFmtId="10" fontId="93" fillId="30" borderId="0" xfId="3" applyNumberFormat="1" applyFont="1" applyFill="1" applyBorder="1"/>
    <xf numFmtId="165" fontId="93" fillId="30" borderId="18" xfId="0" applyNumberFormat="1" applyFont="1" applyFill="1" applyBorder="1"/>
    <xf numFmtId="165" fontId="93" fillId="0" borderId="0" xfId="0" applyNumberFormat="1" applyFont="1" applyFill="1" applyBorder="1"/>
    <xf numFmtId="165" fontId="21" fillId="0" borderId="20" xfId="0" applyNumberFormat="1" applyFont="1" applyFill="1" applyBorder="1"/>
    <xf numFmtId="165" fontId="21" fillId="0" borderId="21" xfId="0" applyNumberFormat="1" applyFont="1" applyFill="1" applyBorder="1"/>
    <xf numFmtId="43" fontId="21" fillId="0" borderId="21" xfId="1" applyFont="1" applyFill="1" applyBorder="1"/>
    <xf numFmtId="166" fontId="21" fillId="0" borderId="22" xfId="0" applyNumberFormat="1" applyFont="1" applyFill="1" applyBorder="1"/>
    <xf numFmtId="165" fontId="93" fillId="0" borderId="31" xfId="0" applyNumberFormat="1" applyFont="1" applyBorder="1"/>
    <xf numFmtId="165" fontId="21" fillId="0" borderId="16" xfId="0" applyNumberFormat="1" applyFont="1" applyFill="1" applyBorder="1"/>
    <xf numFmtId="10" fontId="93" fillId="0" borderId="0" xfId="0" applyNumberFormat="1" applyFont="1" applyBorder="1"/>
    <xf numFmtId="165" fontId="91" fillId="30" borderId="79" xfId="0" applyNumberFormat="1" applyFont="1" applyFill="1" applyBorder="1"/>
    <xf numFmtId="165" fontId="49" fillId="0" borderId="16" xfId="0" applyNumberFormat="1" applyFont="1" applyFill="1" applyBorder="1"/>
    <xf numFmtId="165" fontId="49" fillId="0" borderId="0" xfId="0" applyNumberFormat="1" applyFont="1" applyFill="1" applyBorder="1"/>
    <xf numFmtId="43" fontId="49" fillId="0" borderId="0" xfId="1" applyFont="1" applyFill="1" applyBorder="1"/>
    <xf numFmtId="166" fontId="49" fillId="0" borderId="18" xfId="0" applyNumberFormat="1" applyFont="1" applyFill="1" applyBorder="1"/>
    <xf numFmtId="165" fontId="93" fillId="30" borderId="79" xfId="0" applyNumberFormat="1" applyFont="1" applyFill="1" applyBorder="1"/>
    <xf numFmtId="165" fontId="91" fillId="0" borderId="0" xfId="0" applyNumberFormat="1" applyFont="1" applyFill="1" applyBorder="1"/>
    <xf numFmtId="165" fontId="49" fillId="0" borderId="11" xfId="0" applyNumberFormat="1" applyFont="1" applyFill="1" applyBorder="1"/>
    <xf numFmtId="165" fontId="49" fillId="0" borderId="12" xfId="0" applyNumberFormat="1" applyFont="1" applyFill="1" applyBorder="1"/>
    <xf numFmtId="0" fontId="91" fillId="0" borderId="29" xfId="0" applyFont="1" applyBorder="1"/>
    <xf numFmtId="165" fontId="91" fillId="0" borderId="31" xfId="0" applyNumberFormat="1" applyFont="1" applyBorder="1"/>
    <xf numFmtId="0" fontId="93" fillId="29" borderId="28" xfId="0" applyFont="1" applyFill="1" applyBorder="1"/>
    <xf numFmtId="0" fontId="93" fillId="29" borderId="29" xfId="0" applyFont="1" applyFill="1" applyBorder="1"/>
    <xf numFmtId="10" fontId="93" fillId="29" borderId="29" xfId="0" applyNumberFormat="1" applyFont="1" applyFill="1" applyBorder="1"/>
    <xf numFmtId="165" fontId="93" fillId="29" borderId="31" xfId="0" applyNumberFormat="1" applyFont="1" applyFill="1" applyBorder="1"/>
    <xf numFmtId="0" fontId="93" fillId="29" borderId="37" xfId="0" applyFont="1" applyFill="1" applyBorder="1"/>
    <xf numFmtId="0" fontId="93" fillId="29" borderId="13" xfId="0" applyFont="1" applyFill="1" applyBorder="1"/>
    <xf numFmtId="10" fontId="93" fillId="29" borderId="13" xfId="0" applyNumberFormat="1" applyFont="1" applyFill="1" applyBorder="1"/>
    <xf numFmtId="165" fontId="93" fillId="29" borderId="38" xfId="0" applyNumberFormat="1" applyFont="1" applyFill="1" applyBorder="1"/>
    <xf numFmtId="0" fontId="93" fillId="12" borderId="37" xfId="0" applyFont="1" applyFill="1" applyBorder="1"/>
    <xf numFmtId="0" fontId="93" fillId="12" borderId="29" xfId="0" applyFont="1" applyFill="1" applyBorder="1"/>
    <xf numFmtId="0" fontId="93" fillId="12" borderId="13" xfId="0" applyFont="1" applyFill="1" applyBorder="1"/>
    <xf numFmtId="10" fontId="93" fillId="12" borderId="13" xfId="0" applyNumberFormat="1" applyFont="1" applyFill="1" applyBorder="1"/>
    <xf numFmtId="165" fontId="93" fillId="12" borderId="38" xfId="0" applyNumberFormat="1" applyFont="1" applyFill="1" applyBorder="1"/>
    <xf numFmtId="0" fontId="93" fillId="0" borderId="8" xfId="0" applyFont="1" applyBorder="1"/>
    <xf numFmtId="0" fontId="91" fillId="0" borderId="0" xfId="0" applyFont="1" applyFill="1"/>
    <xf numFmtId="6" fontId="93" fillId="0" borderId="0" xfId="0" applyNumberFormat="1" applyFont="1" applyFill="1"/>
    <xf numFmtId="0" fontId="91" fillId="0" borderId="0" xfId="0" applyFont="1"/>
    <xf numFmtId="0" fontId="28" fillId="0" borderId="0" xfId="0" applyFont="1"/>
    <xf numFmtId="0" fontId="28" fillId="0" borderId="20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6" xfId="0" applyFont="1" applyBorder="1" applyAlignment="1">
      <alignment horizontal="right"/>
    </xf>
    <xf numFmtId="0" fontId="28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166" fontId="31" fillId="0" borderId="0" xfId="0" applyNumberFormat="1" applyFont="1" applyBorder="1"/>
    <xf numFmtId="166" fontId="31" fillId="0" borderId="18" xfId="0" applyNumberFormat="1" applyFont="1" applyBorder="1"/>
    <xf numFmtId="0" fontId="31" fillId="0" borderId="29" xfId="0" applyFont="1" applyBorder="1"/>
    <xf numFmtId="2" fontId="31" fillId="0" borderId="29" xfId="0" applyNumberFormat="1" applyFont="1" applyBorder="1"/>
    <xf numFmtId="166" fontId="31" fillId="0" borderId="31" xfId="0" applyNumberFormat="1" applyFont="1" applyBorder="1"/>
    <xf numFmtId="10" fontId="31" fillId="0" borderId="0" xfId="0" applyNumberFormat="1" applyFont="1" applyBorder="1"/>
    <xf numFmtId="9" fontId="31" fillId="0" borderId="0" xfId="0" applyNumberFormat="1" applyFont="1" applyBorder="1"/>
    <xf numFmtId="166" fontId="31" fillId="0" borderId="16" xfId="0" applyNumberFormat="1" applyFont="1" applyFill="1" applyBorder="1"/>
    <xf numFmtId="0" fontId="31" fillId="0" borderId="33" xfId="0" applyFont="1" applyBorder="1"/>
    <xf numFmtId="10" fontId="31" fillId="0" borderId="17" xfId="0" applyNumberFormat="1" applyFont="1" applyBorder="1"/>
    <xf numFmtId="0" fontId="31" fillId="0" borderId="17" xfId="0" applyFont="1" applyBorder="1"/>
    <xf numFmtId="166" fontId="31" fillId="0" borderId="54" xfId="0" applyNumberFormat="1" applyFont="1" applyBorder="1"/>
    <xf numFmtId="10" fontId="93" fillId="30" borderId="0" xfId="0" applyNumberFormat="1" applyFont="1" applyFill="1" applyBorder="1"/>
    <xf numFmtId="0" fontId="91" fillId="30" borderId="80" xfId="0" applyFont="1" applyFill="1" applyBorder="1"/>
    <xf numFmtId="10" fontId="91" fillId="30" borderId="29" xfId="3" applyNumberFormat="1" applyFont="1" applyFill="1" applyBorder="1"/>
    <xf numFmtId="179" fontId="91" fillId="0" borderId="0" xfId="0" applyNumberFormat="1" applyFont="1" applyFill="1" applyBorder="1"/>
    <xf numFmtId="165" fontId="93" fillId="30" borderId="52" xfId="0" applyNumberFormat="1" applyFont="1" applyFill="1" applyBorder="1"/>
    <xf numFmtId="0" fontId="93" fillId="0" borderId="0" xfId="0" applyFont="1" applyFill="1"/>
    <xf numFmtId="165" fontId="93" fillId="0" borderId="0" xfId="0" applyNumberFormat="1" applyFont="1" applyFill="1"/>
    <xf numFmtId="0" fontId="93" fillId="0" borderId="0" xfId="0" applyFont="1"/>
    <xf numFmtId="165" fontId="93" fillId="0" borderId="0" xfId="0" applyNumberFormat="1" applyFont="1"/>
    <xf numFmtId="0" fontId="49" fillId="30" borderId="6" xfId="0" applyFont="1" applyFill="1" applyBorder="1"/>
    <xf numFmtId="0" fontId="49" fillId="30" borderId="8" xfId="0" applyFont="1" applyFill="1" applyBorder="1"/>
    <xf numFmtId="0" fontId="28" fillId="0" borderId="75" xfId="0" applyFont="1" applyBorder="1" applyAlignment="1">
      <alignment horizontal="right"/>
    </xf>
    <xf numFmtId="0" fontId="28" fillId="0" borderId="7" xfId="0" applyFont="1" applyBorder="1" applyAlignment="1">
      <alignment horizontal="right"/>
    </xf>
    <xf numFmtId="0" fontId="28" fillId="0" borderId="18" xfId="0" applyFont="1" applyBorder="1"/>
    <xf numFmtId="166" fontId="93" fillId="30" borderId="0" xfId="0" applyNumberFormat="1" applyFont="1" applyFill="1" applyBorder="1" applyAlignment="1">
      <alignment horizontal="center"/>
    </xf>
    <xf numFmtId="40" fontId="93" fillId="30" borderId="0" xfId="0" applyNumberFormat="1" applyFont="1" applyFill="1" applyBorder="1"/>
    <xf numFmtId="40" fontId="31" fillId="0" borderId="0" xfId="0" applyNumberFormat="1" applyFont="1" applyBorder="1"/>
    <xf numFmtId="6" fontId="93" fillId="30" borderId="0" xfId="0" applyNumberFormat="1" applyFont="1" applyFill="1" applyBorder="1" applyAlignment="1">
      <alignment horizontal="center"/>
    </xf>
    <xf numFmtId="6" fontId="93" fillId="30" borderId="18" xfId="0" applyNumberFormat="1" applyFont="1" applyFill="1" applyBorder="1"/>
    <xf numFmtId="165" fontId="31" fillId="0" borderId="31" xfId="0" applyNumberFormat="1" applyFont="1" applyBorder="1"/>
    <xf numFmtId="165" fontId="31" fillId="0" borderId="0" xfId="0" applyNumberFormat="1" applyFont="1" applyBorder="1"/>
    <xf numFmtId="165" fontId="31" fillId="0" borderId="18" xfId="0" applyNumberFormat="1" applyFont="1" applyBorder="1"/>
    <xf numFmtId="10" fontId="30" fillId="0" borderId="0" xfId="0" applyNumberFormat="1" applyFont="1"/>
    <xf numFmtId="165" fontId="91" fillId="30" borderId="31" xfId="0" applyNumberFormat="1" applyFont="1" applyFill="1" applyBorder="1"/>
    <xf numFmtId="0" fontId="28" fillId="0" borderId="25" xfId="0" applyFont="1" applyBorder="1"/>
    <xf numFmtId="10" fontId="28" fillId="0" borderId="26" xfId="0" applyNumberFormat="1" applyFont="1" applyBorder="1"/>
    <xf numFmtId="0" fontId="28" fillId="0" borderId="26" xfId="0" applyFont="1" applyBorder="1"/>
    <xf numFmtId="165" fontId="28" fillId="0" borderId="51" xfId="0" applyNumberFormat="1" applyFont="1" applyBorder="1"/>
    <xf numFmtId="0" fontId="93" fillId="30" borderId="28" xfId="0" applyFont="1" applyFill="1" applyBorder="1"/>
    <xf numFmtId="10" fontId="91" fillId="30" borderId="0" xfId="0" applyNumberFormat="1" applyFont="1" applyFill="1" applyBorder="1"/>
    <xf numFmtId="165" fontId="91" fillId="30" borderId="18" xfId="0" applyNumberFormat="1" applyFont="1" applyFill="1" applyBorder="1"/>
    <xf numFmtId="10" fontId="31" fillId="0" borderId="29" xfId="0" applyNumberFormat="1" applyFont="1" applyFill="1" applyBorder="1"/>
    <xf numFmtId="44" fontId="28" fillId="12" borderId="31" xfId="2" applyFont="1" applyFill="1" applyBorder="1"/>
    <xf numFmtId="0" fontId="93" fillId="30" borderId="37" xfId="0" applyFont="1" applyFill="1" applyBorder="1"/>
    <xf numFmtId="0" fontId="93" fillId="30" borderId="12" xfId="0" applyFont="1" applyFill="1" applyBorder="1"/>
    <xf numFmtId="10" fontId="93" fillId="30" borderId="12" xfId="0" applyNumberFormat="1" applyFont="1" applyFill="1" applyBorder="1"/>
    <xf numFmtId="166" fontId="93" fillId="0" borderId="0" xfId="0" applyNumberFormat="1" applyFont="1" applyFill="1"/>
    <xf numFmtId="0" fontId="25" fillId="28" borderId="6" xfId="0" applyFont="1" applyFill="1" applyBorder="1" applyAlignment="1">
      <alignment horizontal="center"/>
    </xf>
    <xf numFmtId="0" fontId="96" fillId="28" borderId="8" xfId="0" applyFont="1" applyFill="1" applyBorder="1" applyAlignment="1">
      <alignment horizontal="center"/>
    </xf>
    <xf numFmtId="0" fontId="96" fillId="28" borderId="9" xfId="0" applyFont="1" applyFill="1" applyBorder="1" applyAlignment="1">
      <alignment horizontal="center"/>
    </xf>
    <xf numFmtId="0" fontId="91" fillId="33" borderId="28" xfId="0" applyFont="1" applyFill="1" applyBorder="1" applyAlignment="1">
      <alignment horizontal="center" wrapText="1"/>
    </xf>
    <xf numFmtId="0" fontId="91" fillId="33" borderId="29" xfId="0" applyFont="1" applyFill="1" applyBorder="1" applyAlignment="1">
      <alignment horizontal="center" wrapText="1"/>
    </xf>
    <xf numFmtId="3" fontId="91" fillId="33" borderId="29" xfId="0" applyNumberFormat="1" applyFont="1" applyFill="1" applyBorder="1" applyAlignment="1">
      <alignment horizontal="center" wrapText="1"/>
    </xf>
    <xf numFmtId="0" fontId="91" fillId="33" borderId="66" xfId="0" applyFont="1" applyFill="1" applyBorder="1" applyAlignment="1">
      <alignment horizontal="center" wrapText="1"/>
    </xf>
    <xf numFmtId="165" fontId="21" fillId="0" borderId="67" xfId="0" applyNumberFormat="1" applyFont="1" applyFill="1" applyBorder="1" applyAlignment="1">
      <alignment horizontal="right"/>
    </xf>
    <xf numFmtId="0" fontId="21" fillId="0" borderId="34" xfId="0" applyFont="1" applyFill="1" applyBorder="1"/>
    <xf numFmtId="0" fontId="21" fillId="0" borderId="35" xfId="0" applyFont="1" applyFill="1" applyBorder="1"/>
    <xf numFmtId="165" fontId="21" fillId="0" borderId="35" xfId="0" applyNumberFormat="1" applyFont="1" applyFill="1" applyBorder="1"/>
    <xf numFmtId="165" fontId="21" fillId="0" borderId="124" xfId="0" applyNumberFormat="1" applyFont="1" applyFill="1" applyBorder="1" applyAlignment="1">
      <alignment horizontal="right"/>
    </xf>
    <xf numFmtId="0" fontId="49" fillId="0" borderId="25" xfId="0" applyFont="1" applyFill="1" applyBorder="1" applyAlignment="1">
      <alignment horizontal="right"/>
    </xf>
    <xf numFmtId="0" fontId="21" fillId="0" borderId="26" xfId="0" applyFont="1" applyFill="1" applyBorder="1"/>
    <xf numFmtId="165" fontId="21" fillId="0" borderId="26" xfId="0" applyNumberFormat="1" applyFont="1" applyFill="1" applyBorder="1"/>
    <xf numFmtId="165" fontId="49" fillId="0" borderId="26" xfId="0" applyNumberFormat="1" applyFont="1" applyFill="1" applyBorder="1"/>
    <xf numFmtId="165" fontId="49" fillId="0" borderId="45" xfId="0" applyNumberFormat="1" applyFont="1" applyFill="1" applyBorder="1" applyAlignment="1">
      <alignment horizontal="right"/>
    </xf>
    <xf numFmtId="0" fontId="21" fillId="0" borderId="26" xfId="0" applyFont="1" applyFill="1" applyBorder="1" applyAlignment="1">
      <alignment horizontal="right"/>
    </xf>
    <xf numFmtId="165" fontId="21" fillId="0" borderId="26" xfId="0" applyNumberFormat="1" applyFont="1" applyFill="1" applyBorder="1" applyAlignment="1">
      <alignment horizontal="right"/>
    </xf>
    <xf numFmtId="0" fontId="21" fillId="0" borderId="16" xfId="0" applyFont="1" applyFill="1" applyBorder="1" applyAlignment="1">
      <alignment horizontal="left"/>
    </xf>
    <xf numFmtId="0" fontId="21" fillId="0" borderId="28" xfId="0" applyFont="1" applyFill="1" applyBorder="1" applyAlignment="1">
      <alignment horizontal="left"/>
    </xf>
    <xf numFmtId="0" fontId="21" fillId="0" borderId="29" xfId="0" applyFont="1" applyFill="1" applyBorder="1" applyAlignment="1">
      <alignment horizontal="right"/>
    </xf>
    <xf numFmtId="165" fontId="21" fillId="0" borderId="29" xfId="0" applyNumberFormat="1" applyFont="1" applyFill="1" applyBorder="1" applyAlignment="1">
      <alignment horizontal="right"/>
    </xf>
    <xf numFmtId="165" fontId="21" fillId="0" borderId="66" xfId="0" applyNumberFormat="1" applyFont="1" applyFill="1" applyBorder="1" applyAlignment="1">
      <alignment horizontal="right"/>
    </xf>
    <xf numFmtId="0" fontId="21" fillId="0" borderId="16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65" fontId="21" fillId="0" borderId="0" xfId="0" applyNumberFormat="1" applyFont="1" applyFill="1" applyBorder="1" applyAlignment="1">
      <alignment vertical="center"/>
    </xf>
    <xf numFmtId="165" fontId="21" fillId="0" borderId="67" xfId="0" applyNumberFormat="1" applyFont="1" applyFill="1" applyBorder="1" applyAlignment="1">
      <alignment horizontal="right" vertical="center"/>
    </xf>
    <xf numFmtId="0" fontId="21" fillId="0" borderId="33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165" fontId="21" fillId="0" borderId="17" xfId="0" applyNumberFormat="1" applyFont="1" applyFill="1" applyBorder="1"/>
    <xf numFmtId="165" fontId="21" fillId="0" borderId="17" xfId="0" applyNumberFormat="1" applyFont="1" applyFill="1" applyBorder="1" applyAlignment="1">
      <alignment vertical="center"/>
    </xf>
    <xf numFmtId="165" fontId="21" fillId="0" borderId="70" xfId="0" applyNumberFormat="1" applyFont="1" applyFill="1" applyBorder="1" applyAlignment="1">
      <alignment horizontal="right" vertical="center"/>
    </xf>
    <xf numFmtId="0" fontId="21" fillId="0" borderId="28" xfId="0" applyFont="1" applyFill="1" applyBorder="1"/>
    <xf numFmtId="0" fontId="21" fillId="0" borderId="29" xfId="0" applyFont="1" applyFill="1" applyBorder="1" applyAlignment="1">
      <alignment vertical="center"/>
    </xf>
    <xf numFmtId="10" fontId="21" fillId="0" borderId="29" xfId="0" applyNumberFormat="1" applyFont="1" applyFill="1" applyBorder="1" applyAlignment="1">
      <alignment vertical="center"/>
    </xf>
    <xf numFmtId="165" fontId="21" fillId="0" borderId="29" xfId="0" applyNumberFormat="1" applyFont="1" applyFill="1" applyBorder="1"/>
    <xf numFmtId="165" fontId="21" fillId="0" borderId="29" xfId="0" applyNumberFormat="1" applyFont="1" applyFill="1" applyBorder="1" applyAlignment="1">
      <alignment vertical="center"/>
    </xf>
    <xf numFmtId="165" fontId="21" fillId="0" borderId="66" xfId="0" applyNumberFormat="1" applyFont="1" applyFill="1" applyBorder="1" applyAlignment="1">
      <alignment horizontal="right" vertical="center"/>
    </xf>
    <xf numFmtId="165" fontId="21" fillId="0" borderId="94" xfId="0" applyNumberFormat="1" applyFont="1" applyFill="1" applyBorder="1" applyAlignment="1">
      <alignment horizontal="right" vertical="center"/>
    </xf>
    <xf numFmtId="0" fontId="21" fillId="0" borderId="28" xfId="0" applyFont="1" applyFill="1" applyBorder="1" applyAlignment="1">
      <alignment horizontal="left" vertical="center"/>
    </xf>
    <xf numFmtId="165" fontId="21" fillId="0" borderId="45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right"/>
    </xf>
    <xf numFmtId="10" fontId="21" fillId="0" borderId="0" xfId="0" applyNumberFormat="1" applyFont="1" applyFill="1" applyBorder="1" applyAlignment="1">
      <alignment horizontal="right"/>
    </xf>
    <xf numFmtId="0" fontId="21" fillId="0" borderId="60" xfId="0" applyFont="1" applyFill="1" applyBorder="1" applyAlignment="1">
      <alignment horizontal="left"/>
    </xf>
    <xf numFmtId="0" fontId="21" fillId="0" borderId="61" xfId="0" applyFont="1" applyFill="1" applyBorder="1" applyAlignment="1">
      <alignment horizontal="right"/>
    </xf>
    <xf numFmtId="165" fontId="21" fillId="0" borderId="61" xfId="0" applyNumberFormat="1" applyFont="1" applyFill="1" applyBorder="1" applyAlignment="1">
      <alignment horizontal="right"/>
    </xf>
    <xf numFmtId="165" fontId="21" fillId="0" borderId="61" xfId="0" applyNumberFormat="1" applyFont="1" applyFill="1" applyBorder="1"/>
    <xf numFmtId="165" fontId="49" fillId="12" borderId="124" xfId="0" applyNumberFormat="1" applyFont="1" applyFill="1" applyBorder="1" applyAlignment="1">
      <alignment horizontal="right"/>
    </xf>
    <xf numFmtId="10" fontId="49" fillId="0" borderId="0" xfId="0" applyNumberFormat="1" applyFont="1" applyFill="1" applyBorder="1"/>
    <xf numFmtId="3" fontId="21" fillId="0" borderId="0" xfId="0" applyNumberFormat="1" applyFont="1" applyFill="1" applyBorder="1"/>
    <xf numFmtId="3" fontId="49" fillId="0" borderId="0" xfId="0" applyNumberFormat="1" applyFont="1" applyFill="1" applyBorder="1"/>
    <xf numFmtId="0" fontId="21" fillId="0" borderId="0" xfId="0" applyFont="1" applyBorder="1"/>
    <xf numFmtId="10" fontId="21" fillId="0" borderId="0" xfId="0" applyNumberFormat="1" applyFont="1" applyFill="1" applyBorder="1"/>
    <xf numFmtId="3" fontId="21" fillId="0" borderId="0" xfId="0" applyNumberFormat="1" applyFont="1" applyFill="1" applyBorder="1" applyAlignment="1">
      <alignment horizontal="left"/>
    </xf>
    <xf numFmtId="180" fontId="21" fillId="0" borderId="0" xfId="0" applyNumberFormat="1" applyFont="1" applyFill="1" applyBorder="1" applyAlignment="1">
      <alignment horizontal="right"/>
    </xf>
    <xf numFmtId="7" fontId="21" fillId="0" borderId="0" xfId="0" applyNumberFormat="1" applyFont="1" applyBorder="1"/>
    <xf numFmtId="165" fontId="21" fillId="0" borderId="0" xfId="0" applyNumberFormat="1" applyFont="1" applyBorder="1"/>
    <xf numFmtId="7" fontId="49" fillId="0" borderId="0" xfId="0" applyNumberFormat="1" applyFont="1" applyBorder="1"/>
    <xf numFmtId="0" fontId="58" fillId="0" borderId="0" xfId="0" applyFont="1" applyFill="1" applyBorder="1" applyAlignment="1"/>
    <xf numFmtId="0" fontId="58" fillId="0" borderId="0" xfId="0" applyFont="1" applyFill="1" applyAlignment="1">
      <alignment horizontal="left"/>
    </xf>
    <xf numFmtId="168" fontId="58" fillId="0" borderId="0" xfId="0" applyNumberFormat="1" applyFont="1" applyBorder="1" applyAlignment="1">
      <alignment horizontal="center"/>
    </xf>
    <xf numFmtId="0" fontId="24" fillId="0" borderId="0" xfId="0" applyFont="1" applyBorder="1"/>
    <xf numFmtId="1" fontId="58" fillId="0" borderId="0" xfId="0" applyNumberFormat="1" applyFont="1" applyBorder="1"/>
    <xf numFmtId="168" fontId="58" fillId="0" borderId="0" xfId="0" applyNumberFormat="1" applyFont="1" applyBorder="1"/>
    <xf numFmtId="168" fontId="58" fillId="0" borderId="0" xfId="0" applyNumberFormat="1" applyFont="1" applyAlignment="1">
      <alignment horizontal="left"/>
    </xf>
    <xf numFmtId="168" fontId="53" fillId="0" borderId="0" xfId="0" applyNumberFormat="1" applyFont="1" applyAlignment="1">
      <alignment horizontal="left"/>
    </xf>
    <xf numFmtId="168" fontId="53" fillId="0" borderId="12" xfId="0" applyNumberFormat="1" applyFont="1" applyFill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2" fontId="21" fillId="0" borderId="0" xfId="0" applyNumberFormat="1" applyFont="1" applyFill="1" applyBorder="1" applyAlignment="1"/>
    <xf numFmtId="4" fontId="21" fillId="0" borderId="0" xfId="0" applyNumberFormat="1" applyFont="1" applyFill="1" applyBorder="1" applyAlignment="1"/>
    <xf numFmtId="0" fontId="58" fillId="0" borderId="6" xfId="0" applyFont="1" applyBorder="1" applyAlignment="1">
      <alignment horizontal="right"/>
    </xf>
    <xf numFmtId="168" fontId="58" fillId="0" borderId="8" xfId="0" applyNumberFormat="1" applyFont="1" applyBorder="1" applyAlignment="1">
      <alignment horizontal="right"/>
    </xf>
    <xf numFmtId="3" fontId="58" fillId="0" borderId="9" xfId="0" applyNumberFormat="1" applyFont="1" applyBorder="1"/>
    <xf numFmtId="168" fontId="49" fillId="59" borderId="0" xfId="0" applyNumberFormat="1" applyFont="1" applyFill="1" applyBorder="1" applyAlignment="1">
      <alignment horizontal="right"/>
    </xf>
    <xf numFmtId="0" fontId="58" fillId="0" borderId="0" xfId="0" applyFont="1" applyBorder="1" applyAlignment="1">
      <alignment horizontal="right"/>
    </xf>
    <xf numFmtId="0" fontId="25" fillId="28" borderId="53" xfId="0" applyFont="1" applyFill="1" applyBorder="1" applyAlignment="1">
      <alignment horizontal="center"/>
    </xf>
    <xf numFmtId="0" fontId="96" fillId="28" borderId="17" xfId="0" applyFont="1" applyFill="1" applyBorder="1" applyAlignment="1">
      <alignment horizontal="center"/>
    </xf>
    <xf numFmtId="0" fontId="96" fillId="28" borderId="52" xfId="0" applyFont="1" applyFill="1" applyBorder="1" applyAlignment="1">
      <alignment horizontal="center"/>
    </xf>
    <xf numFmtId="168" fontId="58" fillId="59" borderId="46" xfId="0" applyNumberFormat="1" applyFont="1" applyFill="1" applyBorder="1" applyAlignment="1">
      <alignment horizontal="center"/>
    </xf>
    <xf numFmtId="168" fontId="53" fillId="59" borderId="0" xfId="0" applyNumberFormat="1" applyFont="1" applyFill="1" applyBorder="1" applyAlignment="1">
      <alignment horizontal="center"/>
    </xf>
    <xf numFmtId="0" fontId="49" fillId="33" borderId="80" xfId="0" applyFont="1" applyFill="1" applyBorder="1" applyAlignment="1">
      <alignment horizontal="center" wrapText="1"/>
    </xf>
    <xf numFmtId="0" fontId="49" fillId="33" borderId="29" xfId="0" applyFont="1" applyFill="1" applyBorder="1" applyAlignment="1">
      <alignment horizontal="center" wrapText="1"/>
    </xf>
    <xf numFmtId="3" fontId="49" fillId="33" borderId="29" xfId="0" applyNumberFormat="1" applyFont="1" applyFill="1" applyBorder="1" applyAlignment="1">
      <alignment horizontal="center" wrapText="1"/>
    </xf>
    <xf numFmtId="0" fontId="49" fillId="33" borderId="47" xfId="0" applyFont="1" applyFill="1" applyBorder="1" applyAlignment="1">
      <alignment horizontal="center" wrapText="1"/>
    </xf>
    <xf numFmtId="9" fontId="49" fillId="33" borderId="79" xfId="0" applyNumberFormat="1" applyFont="1" applyFill="1" applyBorder="1" applyAlignment="1">
      <alignment horizontal="center" wrapText="1"/>
    </xf>
    <xf numFmtId="181" fontId="24" fillId="0" borderId="0" xfId="2" quotePrefix="1" applyNumberFormat="1" applyFont="1" applyBorder="1" applyAlignment="1">
      <alignment horizontal="right"/>
    </xf>
    <xf numFmtId="0" fontId="49" fillId="0" borderId="24" xfId="0" applyFont="1" applyBorder="1"/>
    <xf numFmtId="3" fontId="21" fillId="0" borderId="0" xfId="0" applyNumberFormat="1" applyFont="1" applyBorder="1"/>
    <xf numFmtId="43" fontId="21" fillId="0" borderId="0" xfId="0" applyNumberFormat="1" applyFont="1" applyBorder="1"/>
    <xf numFmtId="2" fontId="49" fillId="0" borderId="82" xfId="0" applyNumberFormat="1" applyFont="1" applyBorder="1" applyAlignment="1">
      <alignment horizontal="right"/>
    </xf>
    <xf numFmtId="2" fontId="49" fillId="0" borderId="90" xfId="0" applyNumberFormat="1" applyFont="1" applyBorder="1" applyAlignment="1">
      <alignment horizontal="right"/>
    </xf>
    <xf numFmtId="0" fontId="24" fillId="0" borderId="16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2" fontId="49" fillId="25" borderId="82" xfId="0" applyNumberFormat="1" applyFont="1" applyFill="1" applyBorder="1" applyAlignment="1">
      <alignment horizontal="right"/>
    </xf>
    <xf numFmtId="0" fontId="24" fillId="0" borderId="16" xfId="0" applyFont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58" fillId="0" borderId="56" xfId="0" applyFont="1" applyBorder="1"/>
    <xf numFmtId="0" fontId="58" fillId="0" borderId="57" xfId="0" applyFont="1" applyBorder="1"/>
    <xf numFmtId="168" fontId="58" fillId="0" borderId="57" xfId="0" applyNumberFormat="1" applyFont="1" applyBorder="1"/>
    <xf numFmtId="2" fontId="58" fillId="0" borderId="57" xfId="0" applyNumberFormat="1" applyFont="1" applyBorder="1"/>
    <xf numFmtId="168" fontId="58" fillId="0" borderId="58" xfId="0" applyNumberFormat="1" applyFont="1" applyBorder="1"/>
    <xf numFmtId="0" fontId="58" fillId="0" borderId="0" xfId="0" applyFont="1" applyBorder="1"/>
    <xf numFmtId="0" fontId="49" fillId="33" borderId="80" xfId="0" applyFont="1" applyFill="1" applyBorder="1" applyAlignment="1">
      <alignment horizontal="left"/>
    </xf>
    <xf numFmtId="0" fontId="21" fillId="33" borderId="29" xfId="0" applyFont="1" applyFill="1" applyBorder="1"/>
    <xf numFmtId="3" fontId="21" fillId="33" borderId="29" xfId="0" applyNumberFormat="1" applyFont="1" applyFill="1" applyBorder="1"/>
    <xf numFmtId="43" fontId="21" fillId="33" borderId="29" xfId="0" applyNumberFormat="1" applyFont="1" applyFill="1" applyBorder="1"/>
    <xf numFmtId="2" fontId="49" fillId="33" borderId="47" xfId="0" applyNumberFormat="1" applyFont="1" applyFill="1" applyBorder="1" applyAlignment="1">
      <alignment horizontal="right"/>
    </xf>
    <xf numFmtId="9" fontId="49" fillId="33" borderId="79" xfId="0" applyNumberFormat="1" applyFont="1" applyFill="1" applyBorder="1" applyAlignment="1">
      <alignment vertical="center"/>
    </xf>
    <xf numFmtId="0" fontId="58" fillId="0" borderId="16" xfId="0" applyFont="1" applyBorder="1"/>
    <xf numFmtId="2" fontId="58" fillId="0" borderId="0" xfId="0" applyNumberFormat="1" applyFont="1" applyBorder="1"/>
    <xf numFmtId="168" fontId="58" fillId="0" borderId="18" xfId="0" applyNumberFormat="1" applyFont="1" applyBorder="1"/>
    <xf numFmtId="168" fontId="49" fillId="59" borderId="0" xfId="0" applyNumberFormat="1" applyFont="1" applyFill="1" applyBorder="1"/>
    <xf numFmtId="2" fontId="49" fillId="0" borderId="82" xfId="0" applyNumberFormat="1" applyFont="1" applyFill="1" applyBorder="1" applyAlignment="1">
      <alignment horizontal="right"/>
    </xf>
    <xf numFmtId="9" fontId="49" fillId="0" borderId="90" xfId="0" applyNumberFormat="1" applyFont="1" applyFill="1" applyBorder="1" applyAlignment="1">
      <alignment vertical="center"/>
    </xf>
    <xf numFmtId="0" fontId="24" fillId="0" borderId="16" xfId="0" applyFont="1" applyFill="1" applyBorder="1"/>
    <xf numFmtId="168" fontId="24" fillId="0" borderId="18" xfId="0" applyNumberFormat="1" applyFont="1" applyBorder="1"/>
    <xf numFmtId="0" fontId="24" fillId="0" borderId="0" xfId="0" applyFont="1" applyFill="1" applyBorder="1"/>
    <xf numFmtId="0" fontId="49" fillId="0" borderId="80" xfId="0" applyFont="1" applyBorder="1" applyAlignment="1">
      <alignment horizontal="right"/>
    </xf>
    <xf numFmtId="0" fontId="21" fillId="0" borderId="29" xfId="0" applyFont="1" applyBorder="1" applyAlignment="1">
      <alignment horizontal="right"/>
    </xf>
    <xf numFmtId="3" fontId="21" fillId="0" borderId="29" xfId="0" applyNumberFormat="1" applyFont="1" applyFill="1" applyBorder="1" applyAlignment="1">
      <alignment horizontal="right"/>
    </xf>
    <xf numFmtId="3" fontId="21" fillId="0" borderId="29" xfId="0" applyNumberFormat="1" applyFont="1" applyBorder="1" applyAlignment="1">
      <alignment horizontal="right"/>
    </xf>
    <xf numFmtId="43" fontId="21" fillId="0" borderId="29" xfId="0" applyNumberFormat="1" applyFont="1" applyBorder="1" applyAlignment="1">
      <alignment horizontal="right"/>
    </xf>
    <xf numFmtId="2" fontId="49" fillId="0" borderId="47" xfId="0" applyNumberFormat="1" applyFont="1" applyFill="1" applyBorder="1" applyAlignment="1">
      <alignment horizontal="right"/>
    </xf>
    <xf numFmtId="9" fontId="49" fillId="0" borderId="79" xfId="0" applyNumberFormat="1" applyFont="1" applyFill="1" applyBorder="1" applyAlignment="1">
      <alignment horizontal="right" vertical="center"/>
    </xf>
    <xf numFmtId="0" fontId="49" fillId="0" borderId="24" xfId="0" applyFont="1" applyBorder="1" applyAlignment="1">
      <alignment horizontal="left"/>
    </xf>
    <xf numFmtId="0" fontId="49" fillId="33" borderId="80" xfId="0" applyFont="1" applyFill="1" applyBorder="1" applyAlignment="1">
      <alignment horizontal="right"/>
    </xf>
    <xf numFmtId="0" fontId="21" fillId="33" borderId="29" xfId="0" applyFont="1" applyFill="1" applyBorder="1" applyAlignment="1">
      <alignment horizontal="right"/>
    </xf>
    <xf numFmtId="3" fontId="21" fillId="33" borderId="29" xfId="0" applyNumberFormat="1" applyFont="1" applyFill="1" applyBorder="1" applyAlignment="1">
      <alignment horizontal="right"/>
    </xf>
    <xf numFmtId="43" fontId="21" fillId="33" borderId="29" xfId="0" applyNumberFormat="1" applyFont="1" applyFill="1" applyBorder="1" applyAlignment="1">
      <alignment horizontal="right"/>
    </xf>
    <xf numFmtId="0" fontId="21" fillId="0" borderId="24" xfId="0" applyFont="1" applyBorder="1"/>
    <xf numFmtId="0" fontId="21" fillId="0" borderId="82" xfId="0" applyFont="1" applyBorder="1"/>
    <xf numFmtId="0" fontId="21" fillId="0" borderId="90" xfId="0" applyFont="1" applyBorder="1"/>
    <xf numFmtId="0" fontId="21" fillId="0" borderId="24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2" fontId="49" fillId="0" borderId="82" xfId="0" applyNumberFormat="1" applyFont="1" applyBorder="1" applyAlignment="1">
      <alignment horizontal="right" vertical="center"/>
    </xf>
    <xf numFmtId="0" fontId="49" fillId="33" borderId="53" xfId="0" applyFont="1" applyFill="1" applyBorder="1" applyAlignment="1">
      <alignment vertical="center"/>
    </xf>
    <xf numFmtId="0" fontId="49" fillId="33" borderId="17" xfId="0" applyFont="1" applyFill="1" applyBorder="1" applyAlignment="1">
      <alignment vertical="center"/>
    </xf>
    <xf numFmtId="3" fontId="21" fillId="33" borderId="17" xfId="0" applyNumberFormat="1" applyFont="1" applyFill="1" applyBorder="1"/>
    <xf numFmtId="3" fontId="49" fillId="33" borderId="17" xfId="0" applyNumberFormat="1" applyFont="1" applyFill="1" applyBorder="1" applyAlignment="1">
      <alignment vertical="center"/>
    </xf>
    <xf numFmtId="2" fontId="49" fillId="33" borderId="69" xfId="0" applyNumberFormat="1" applyFont="1" applyFill="1" applyBorder="1" applyAlignment="1">
      <alignment horizontal="right" vertical="center"/>
    </xf>
    <xf numFmtId="9" fontId="49" fillId="33" borderId="52" xfId="0" applyNumberFormat="1" applyFont="1" applyFill="1" applyBorder="1" applyAlignment="1">
      <alignment vertical="center"/>
    </xf>
    <xf numFmtId="0" fontId="21" fillId="0" borderId="80" xfId="0" applyFont="1" applyFill="1" applyBorder="1"/>
    <xf numFmtId="0" fontId="49" fillId="0" borderId="29" xfId="0" applyFont="1" applyFill="1" applyBorder="1" applyAlignment="1">
      <alignment vertical="center"/>
    </xf>
    <xf numFmtId="3" fontId="21" fillId="0" borderId="29" xfId="0" applyNumberFormat="1" applyFont="1" applyFill="1" applyBorder="1"/>
    <xf numFmtId="3" fontId="49" fillId="0" borderId="29" xfId="0" applyNumberFormat="1" applyFont="1" applyFill="1" applyBorder="1" applyAlignment="1">
      <alignment vertical="center"/>
    </xf>
    <xf numFmtId="2" fontId="49" fillId="0" borderId="47" xfId="0" applyNumberFormat="1" applyFont="1" applyFill="1" applyBorder="1" applyAlignment="1">
      <alignment horizontal="right" vertical="center"/>
    </xf>
    <xf numFmtId="9" fontId="49" fillId="0" borderId="79" xfId="0" applyNumberFormat="1" applyFont="1" applyFill="1" applyBorder="1" applyAlignment="1">
      <alignment vertical="center"/>
    </xf>
    <xf numFmtId="174" fontId="58" fillId="0" borderId="57" xfId="0" applyNumberFormat="1" applyFont="1" applyBorder="1"/>
    <xf numFmtId="0" fontId="21" fillId="0" borderId="24" xfId="0" applyFont="1" applyFill="1" applyBorder="1"/>
    <xf numFmtId="0" fontId="49" fillId="0" borderId="0" xfId="0" applyFont="1" applyFill="1" applyBorder="1" applyAlignment="1">
      <alignment vertical="center"/>
    </xf>
    <xf numFmtId="3" fontId="49" fillId="0" borderId="0" xfId="0" applyNumberFormat="1" applyFont="1" applyFill="1" applyBorder="1" applyAlignment="1">
      <alignment vertical="center"/>
    </xf>
    <xf numFmtId="2" fontId="49" fillId="0" borderId="82" xfId="0" applyNumberFormat="1" applyFont="1" applyFill="1" applyBorder="1" applyAlignment="1">
      <alignment horizontal="right" vertical="center"/>
    </xf>
    <xf numFmtId="174" fontId="49" fillId="59" borderId="0" xfId="0" applyNumberFormat="1" applyFont="1" applyFill="1" applyBorder="1"/>
    <xf numFmtId="0" fontId="49" fillId="33" borderId="80" xfId="0" applyFont="1" applyFill="1" applyBorder="1" applyAlignment="1">
      <alignment horizontal="left" vertical="center"/>
    </xf>
    <xf numFmtId="0" fontId="49" fillId="33" borderId="29" xfId="0" applyFont="1" applyFill="1" applyBorder="1" applyAlignment="1">
      <alignment vertical="center"/>
    </xf>
    <xf numFmtId="3" fontId="49" fillId="33" borderId="29" xfId="0" applyNumberFormat="1" applyFont="1" applyFill="1" applyBorder="1"/>
    <xf numFmtId="3" fontId="49" fillId="33" borderId="29" xfId="0" applyNumberFormat="1" applyFont="1" applyFill="1" applyBorder="1" applyAlignment="1">
      <alignment vertical="center"/>
    </xf>
    <xf numFmtId="2" fontId="49" fillId="28" borderId="47" xfId="0" applyNumberFormat="1" applyFont="1" applyFill="1" applyBorder="1" applyAlignment="1">
      <alignment horizontal="right" vertical="center"/>
    </xf>
    <xf numFmtId="0" fontId="49" fillId="33" borderId="24" xfId="0" applyFont="1" applyFill="1" applyBorder="1" applyAlignment="1">
      <alignment horizontal="left" vertical="center"/>
    </xf>
    <xf numFmtId="0" fontId="49" fillId="33" borderId="0" xfId="0" applyFont="1" applyFill="1" applyBorder="1" applyAlignment="1">
      <alignment vertical="center"/>
    </xf>
    <xf numFmtId="3" fontId="49" fillId="33" borderId="26" xfId="0" applyNumberFormat="1" applyFont="1" applyFill="1" applyBorder="1"/>
    <xf numFmtId="3" fontId="49" fillId="33" borderId="0" xfId="0" applyNumberFormat="1" applyFont="1" applyFill="1" applyBorder="1" applyAlignment="1">
      <alignment vertical="center"/>
    </xf>
    <xf numFmtId="2" fontId="49" fillId="28" borderId="82" xfId="0" applyNumberFormat="1" applyFont="1" applyFill="1" applyBorder="1" applyAlignment="1">
      <alignment horizontal="right" vertical="center"/>
    </xf>
    <xf numFmtId="9" fontId="49" fillId="33" borderId="90" xfId="0" applyNumberFormat="1" applyFont="1" applyFill="1" applyBorder="1" applyAlignment="1">
      <alignment vertical="center"/>
    </xf>
    <xf numFmtId="168" fontId="58" fillId="0" borderId="127" xfId="0" applyNumberFormat="1" applyFont="1" applyBorder="1"/>
    <xf numFmtId="174" fontId="58" fillId="0" borderId="0" xfId="0" applyNumberFormat="1" applyFont="1" applyBorder="1"/>
    <xf numFmtId="0" fontId="49" fillId="0" borderId="24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right"/>
    </xf>
    <xf numFmtId="3" fontId="49" fillId="0" borderId="26" xfId="0" applyNumberFormat="1" applyFont="1" applyBorder="1"/>
    <xf numFmtId="3" fontId="49" fillId="0" borderId="0" xfId="0" applyNumberFormat="1" applyFont="1" applyFill="1" applyBorder="1" applyAlignment="1">
      <alignment horizontal="right"/>
    </xf>
    <xf numFmtId="2" fontId="49" fillId="28" borderId="82" xfId="0" applyNumberFormat="1" applyFont="1" applyFill="1" applyBorder="1" applyAlignment="1">
      <alignment horizontal="right"/>
    </xf>
    <xf numFmtId="10" fontId="49" fillId="0" borderId="90" xfId="0" applyNumberFormat="1" applyFont="1" applyBorder="1"/>
    <xf numFmtId="0" fontId="49" fillId="0" borderId="128" xfId="0" applyFont="1" applyFill="1" applyBorder="1" applyAlignment="1">
      <alignment horizontal="left"/>
    </xf>
    <xf numFmtId="0" fontId="49" fillId="0" borderId="61" xfId="0" applyFont="1" applyFill="1" applyBorder="1" applyAlignment="1">
      <alignment horizontal="right"/>
    </xf>
    <xf numFmtId="3" fontId="49" fillId="0" borderId="61" xfId="0" applyNumberFormat="1" applyFont="1" applyFill="1" applyBorder="1" applyAlignment="1">
      <alignment horizontal="right"/>
    </xf>
    <xf numFmtId="0" fontId="21" fillId="0" borderId="61" xfId="0" applyFont="1" applyBorder="1"/>
    <xf numFmtId="2" fontId="49" fillId="28" borderId="93" xfId="0" applyNumberFormat="1" applyFont="1" applyFill="1" applyBorder="1" applyAlignment="1">
      <alignment horizontal="right"/>
    </xf>
    <xf numFmtId="9" fontId="49" fillId="0" borderId="129" xfId="0" applyNumberFormat="1" applyFont="1" applyBorder="1" applyAlignment="1">
      <alignment vertical="center"/>
    </xf>
    <xf numFmtId="171" fontId="58" fillId="59" borderId="122" xfId="0" applyNumberFormat="1" applyFont="1" applyFill="1" applyBorder="1"/>
    <xf numFmtId="0" fontId="58" fillId="0" borderId="11" xfId="0" applyFont="1" applyBorder="1"/>
    <xf numFmtId="0" fontId="58" fillId="0" borderId="12" xfId="0" applyFont="1" applyBorder="1"/>
    <xf numFmtId="9" fontId="58" fillId="0" borderId="12" xfId="0" applyNumberFormat="1" applyFont="1" applyBorder="1"/>
    <xf numFmtId="8" fontId="58" fillId="0" borderId="14" xfId="0" applyNumberFormat="1" applyFont="1" applyBorder="1"/>
    <xf numFmtId="0" fontId="49" fillId="33" borderId="53" xfId="0" applyFont="1" applyFill="1" applyBorder="1" applyAlignment="1">
      <alignment horizontal="right"/>
    </xf>
    <xf numFmtId="0" fontId="49" fillId="0" borderId="17" xfId="0" applyFont="1" applyFill="1" applyBorder="1" applyAlignment="1">
      <alignment horizontal="right"/>
    </xf>
    <xf numFmtId="0" fontId="49" fillId="0" borderId="17" xfId="0" applyFont="1" applyBorder="1"/>
    <xf numFmtId="3" fontId="49" fillId="0" borderId="17" xfId="0" applyNumberFormat="1" applyFont="1" applyFill="1" applyBorder="1"/>
    <xf numFmtId="43" fontId="49" fillId="0" borderId="17" xfId="0" applyNumberFormat="1" applyFont="1" applyFill="1" applyBorder="1"/>
    <xf numFmtId="43" fontId="49" fillId="28" borderId="69" xfId="0" applyNumberFormat="1" applyFont="1" applyFill="1" applyBorder="1"/>
    <xf numFmtId="43" fontId="49" fillId="0" borderId="52" xfId="0" applyNumberFormat="1" applyFont="1" applyFill="1" applyBorder="1"/>
    <xf numFmtId="0" fontId="58" fillId="0" borderId="0" xfId="0" applyFont="1" applyFill="1" applyBorder="1"/>
    <xf numFmtId="9" fontId="58" fillId="0" borderId="0" xfId="0" applyNumberFormat="1" applyFont="1" applyFill="1" applyBorder="1"/>
    <xf numFmtId="8" fontId="58" fillId="0" borderId="0" xfId="0" applyNumberFormat="1" applyFont="1" applyFill="1" applyBorder="1"/>
    <xf numFmtId="171" fontId="58" fillId="59" borderId="0" xfId="0" applyNumberFormat="1" applyFont="1" applyFill="1" applyBorder="1"/>
    <xf numFmtId="0" fontId="49" fillId="33" borderId="24" xfId="0" applyFont="1" applyFill="1" applyBorder="1" applyAlignment="1">
      <alignment horizontal="right"/>
    </xf>
    <xf numFmtId="0" fontId="49" fillId="0" borderId="0" xfId="0" applyFont="1" applyFill="1" applyBorder="1"/>
    <xf numFmtId="0" fontId="49" fillId="0" borderId="90" xfId="0" applyFont="1" applyFill="1" applyBorder="1"/>
    <xf numFmtId="168" fontId="58" fillId="0" borderId="0" xfId="0" applyNumberFormat="1" applyFont="1" applyFill="1" applyBorder="1" applyAlignment="1">
      <alignment horizontal="left"/>
    </xf>
    <xf numFmtId="9" fontId="58" fillId="0" borderId="0" xfId="0" applyNumberFormat="1" applyFont="1" applyBorder="1"/>
    <xf numFmtId="8" fontId="58" fillId="0" borderId="0" xfId="0" applyNumberFormat="1" applyFont="1" applyBorder="1"/>
    <xf numFmtId="0" fontId="49" fillId="0" borderId="29" xfId="0" applyFont="1" applyFill="1" applyBorder="1" applyAlignment="1">
      <alignment horizontal="right"/>
    </xf>
    <xf numFmtId="0" fontId="49" fillId="0" borderId="29" xfId="0" applyFont="1" applyBorder="1"/>
    <xf numFmtId="3" fontId="49" fillId="0" borderId="29" xfId="0" applyNumberFormat="1" applyFont="1" applyFill="1" applyBorder="1" applyAlignment="1">
      <alignment horizontal="right"/>
    </xf>
    <xf numFmtId="7" fontId="49" fillId="28" borderId="47" xfId="0" applyNumberFormat="1" applyFont="1" applyFill="1" applyBorder="1"/>
    <xf numFmtId="43" fontId="49" fillId="0" borderId="79" xfId="0" applyNumberFormat="1" applyFont="1" applyFill="1" applyBorder="1"/>
    <xf numFmtId="0" fontId="58" fillId="0" borderId="0" xfId="0" applyFont="1" applyFill="1" applyBorder="1" applyAlignment="1">
      <alignment horizontal="right"/>
    </xf>
    <xf numFmtId="168" fontId="58" fillId="0" borderId="0" xfId="0" applyNumberFormat="1" applyFont="1" applyFill="1" applyBorder="1" applyAlignment="1">
      <alignment horizontal="right"/>
    </xf>
    <xf numFmtId="10" fontId="24" fillId="0" borderId="0" xfId="3" applyNumberFormat="1" applyFont="1" applyFill="1" applyBorder="1"/>
    <xf numFmtId="168" fontId="53" fillId="0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right"/>
    </xf>
    <xf numFmtId="168" fontId="28" fillId="0" borderId="0" xfId="0" applyNumberFormat="1" applyFont="1" applyFill="1" applyBorder="1" applyAlignment="1">
      <alignment horizontal="right"/>
    </xf>
    <xf numFmtId="168" fontId="49" fillId="0" borderId="0" xfId="0" applyNumberFormat="1" applyFont="1" applyFill="1" applyBorder="1" applyAlignment="1">
      <alignment horizontal="right"/>
    </xf>
    <xf numFmtId="168" fontId="28" fillId="62" borderId="63" xfId="0" applyNumberFormat="1" applyFont="1" applyFill="1" applyBorder="1" applyAlignment="1">
      <alignment horizontal="center"/>
    </xf>
    <xf numFmtId="173" fontId="28" fillId="62" borderId="44" xfId="1" applyNumberFormat="1" applyFont="1" applyFill="1" applyBorder="1" applyAlignment="1">
      <alignment horizontal="center" wrapText="1"/>
    </xf>
    <xf numFmtId="173" fontId="28" fillId="62" borderId="64" xfId="1" applyNumberFormat="1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/>
    </xf>
    <xf numFmtId="3" fontId="21" fillId="63" borderId="6" xfId="0" applyNumberFormat="1" applyFont="1" applyFill="1" applyBorder="1"/>
    <xf numFmtId="3" fontId="21" fillId="63" borderId="8" xfId="0" applyNumberFormat="1" applyFont="1" applyFill="1" applyBorder="1"/>
    <xf numFmtId="3" fontId="49" fillId="63" borderId="8" xfId="0" applyNumberFormat="1" applyFont="1" applyFill="1" applyBorder="1"/>
    <xf numFmtId="0" fontId="21" fillId="0" borderId="9" xfId="0" applyFont="1" applyBorder="1"/>
    <xf numFmtId="2" fontId="31" fillId="0" borderId="0" xfId="1" applyNumberFormat="1" applyFont="1" applyFill="1" applyBorder="1"/>
    <xf numFmtId="3" fontId="31" fillId="0" borderId="54" xfId="1" applyNumberFormat="1" applyFont="1" applyFill="1" applyBorder="1"/>
    <xf numFmtId="3" fontId="31" fillId="0" borderId="18" xfId="1" applyNumberFormat="1" applyFont="1" applyFill="1" applyBorder="1"/>
    <xf numFmtId="168" fontId="53" fillId="0" borderId="0" xfId="0" applyNumberFormat="1" applyFont="1" applyFill="1" applyBorder="1" applyAlignment="1">
      <alignment horizontal="center"/>
    </xf>
    <xf numFmtId="3" fontId="58" fillId="0" borderId="0" xfId="0" applyNumberFormat="1" applyFont="1" applyFill="1" applyBorder="1"/>
    <xf numFmtId="3" fontId="21" fillId="0" borderId="16" xfId="0" applyNumberFormat="1" applyFont="1" applyFill="1" applyBorder="1" applyAlignment="1">
      <alignment horizontal="left"/>
    </xf>
    <xf numFmtId="7" fontId="21" fillId="0" borderId="18" xfId="0" applyNumberFormat="1" applyFont="1" applyBorder="1"/>
    <xf numFmtId="0" fontId="31" fillId="0" borderId="16" xfId="0" applyFont="1" applyBorder="1" applyAlignment="1">
      <alignment horizontal="left"/>
    </xf>
    <xf numFmtId="3" fontId="21" fillId="0" borderId="16" xfId="0" applyNumberFormat="1" applyFont="1" applyFill="1" applyBorder="1"/>
    <xf numFmtId="0" fontId="21" fillId="0" borderId="18" xfId="0" applyFont="1" applyBorder="1"/>
    <xf numFmtId="0" fontId="28" fillId="0" borderId="28" xfId="0" applyFont="1" applyFill="1" applyBorder="1"/>
    <xf numFmtId="172" fontId="31" fillId="0" borderId="29" xfId="1" applyNumberFormat="1" applyFont="1" applyFill="1" applyBorder="1"/>
    <xf numFmtId="2" fontId="28" fillId="0" borderId="29" xfId="1" applyNumberFormat="1" applyFont="1" applyFill="1" applyBorder="1"/>
    <xf numFmtId="3" fontId="28" fillId="0" borderId="31" xfId="1" applyNumberFormat="1" applyFont="1" applyFill="1" applyBorder="1"/>
    <xf numFmtId="0" fontId="24" fillId="0" borderId="0" xfId="0" applyFont="1" applyFill="1" applyBorder="1" applyAlignment="1">
      <alignment horizontal="right"/>
    </xf>
    <xf numFmtId="3" fontId="49" fillId="0" borderId="11" xfId="0" applyNumberFormat="1" applyFont="1" applyFill="1" applyBorder="1"/>
    <xf numFmtId="3" fontId="21" fillId="0" borderId="12" xfId="0" applyNumberFormat="1" applyFont="1" applyFill="1" applyBorder="1"/>
    <xf numFmtId="0" fontId="21" fillId="0" borderId="12" xfId="0" applyFont="1" applyFill="1" applyBorder="1"/>
    <xf numFmtId="7" fontId="49" fillId="0" borderId="14" xfId="0" applyNumberFormat="1" applyFont="1" applyBorder="1"/>
    <xf numFmtId="173" fontId="31" fillId="0" borderId="33" xfId="1" applyNumberFormat="1" applyFont="1" applyFill="1" applyBorder="1"/>
    <xf numFmtId="173" fontId="28" fillId="0" borderId="0" xfId="1" applyNumberFormat="1" applyFont="1" applyFill="1" applyBorder="1" applyAlignment="1">
      <alignment horizontal="center"/>
    </xf>
    <xf numFmtId="4" fontId="31" fillId="0" borderId="18" xfId="1" applyNumberFormat="1" applyFont="1" applyFill="1" applyBorder="1"/>
    <xf numFmtId="181" fontId="24" fillId="0" borderId="0" xfId="2" quotePrefix="1" applyNumberFormat="1" applyFont="1" applyFill="1" applyBorder="1" applyAlignment="1">
      <alignment horizontal="right"/>
    </xf>
    <xf numFmtId="173" fontId="31" fillId="0" borderId="16" xfId="1" applyNumberFormat="1" applyFont="1" applyFill="1" applyBorder="1"/>
    <xf numFmtId="168" fontId="49" fillId="0" borderId="0" xfId="0" applyNumberFormat="1" applyFont="1" applyFill="1" applyBorder="1"/>
    <xf numFmtId="0" fontId="28" fillId="0" borderId="130" xfId="0" applyFont="1" applyFill="1" applyBorder="1"/>
    <xf numFmtId="2" fontId="31" fillId="0" borderId="29" xfId="1" applyNumberFormat="1" applyFont="1" applyFill="1" applyBorder="1"/>
    <xf numFmtId="168" fontId="58" fillId="0" borderId="0" xfId="0" applyNumberFormat="1" applyFont="1" applyFill="1" applyBorder="1"/>
    <xf numFmtId="2" fontId="58" fillId="0" borderId="0" xfId="0" applyNumberFormat="1" applyFont="1" applyFill="1" applyBorder="1"/>
    <xf numFmtId="9" fontId="31" fillId="0" borderId="0" xfId="1" applyNumberFormat="1" applyFont="1" applyFill="1" applyBorder="1"/>
    <xf numFmtId="167" fontId="31" fillId="0" borderId="18" xfId="2" applyNumberFormat="1" applyFont="1" applyFill="1" applyBorder="1"/>
    <xf numFmtId="167" fontId="31" fillId="0" borderId="36" xfId="2" applyNumberFormat="1" applyFont="1" applyFill="1" applyBorder="1"/>
    <xf numFmtId="168" fontId="24" fillId="0" borderId="0" xfId="0" applyNumberFormat="1" applyFont="1" applyFill="1" applyBorder="1"/>
    <xf numFmtId="0" fontId="28" fillId="0" borderId="16" xfId="0" applyFont="1" applyFill="1" applyBorder="1" applyAlignment="1"/>
    <xf numFmtId="0" fontId="28" fillId="0" borderId="25" xfId="0" applyFont="1" applyFill="1" applyBorder="1" applyAlignment="1"/>
    <xf numFmtId="44" fontId="28" fillId="62" borderId="14" xfId="2" applyNumberFormat="1" applyFont="1" applyFill="1" applyBorder="1"/>
    <xf numFmtId="4" fontId="21" fillId="0" borderId="0" xfId="0" applyNumberFormat="1" applyFont="1" applyFill="1" applyBorder="1"/>
    <xf numFmtId="10" fontId="49" fillId="0" borderId="0" xfId="3" applyNumberFormat="1" applyFont="1" applyFill="1" applyBorder="1"/>
    <xf numFmtId="174" fontId="49" fillId="0" borderId="0" xfId="0" applyNumberFormat="1" applyFont="1" applyFill="1" applyBorder="1"/>
    <xf numFmtId="174" fontId="58" fillId="0" borderId="0" xfId="0" applyNumberFormat="1" applyFont="1" applyFill="1" applyBorder="1"/>
    <xf numFmtId="171" fontId="58" fillId="0" borderId="0" xfId="0" applyNumberFormat="1" applyFont="1" applyFill="1" applyBorder="1"/>
    <xf numFmtId="0" fontId="20" fillId="0" borderId="0" xfId="0" applyFont="1"/>
    <xf numFmtId="0" fontId="92" fillId="0" borderId="33" xfId="0" applyFont="1" applyBorder="1"/>
    <xf numFmtId="0" fontId="92" fillId="0" borderId="17" xfId="0" applyFont="1" applyBorder="1"/>
    <xf numFmtId="168" fontId="92" fillId="0" borderId="17" xfId="0" applyNumberFormat="1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1" fontId="92" fillId="0" borderId="17" xfId="0" applyNumberFormat="1" applyFont="1" applyBorder="1" applyAlignment="1">
      <alignment horizontal="center"/>
    </xf>
    <xf numFmtId="168" fontId="92" fillId="0" borderId="54" xfId="0" applyNumberFormat="1" applyFont="1" applyBorder="1" applyAlignment="1">
      <alignment horizontal="center"/>
    </xf>
    <xf numFmtId="168" fontId="30" fillId="0" borderId="16" xfId="0" applyNumberFormat="1" applyFont="1" applyBorder="1"/>
    <xf numFmtId="168" fontId="30" fillId="0" borderId="0" xfId="0" applyNumberFormat="1" applyFont="1" applyBorder="1"/>
    <xf numFmtId="1" fontId="31" fillId="0" borderId="0" xfId="0" applyNumberFormat="1" applyFont="1" applyAlignment="1">
      <alignment horizontal="center"/>
    </xf>
    <xf numFmtId="41" fontId="30" fillId="0" borderId="0" xfId="0" applyNumberFormat="1" applyFont="1" applyBorder="1"/>
    <xf numFmtId="168" fontId="30" fillId="0" borderId="18" xfId="0" applyNumberFormat="1" applyFont="1" applyBorder="1" applyAlignment="1">
      <alignment horizontal="center"/>
    </xf>
    <xf numFmtId="169" fontId="30" fillId="0" borderId="16" xfId="0" applyNumberFormat="1" applyFont="1" applyBorder="1"/>
    <xf numFmtId="169" fontId="30" fillId="0" borderId="0" xfId="0" applyNumberFormat="1" applyFont="1" applyBorder="1"/>
    <xf numFmtId="41" fontId="98" fillId="0" borderId="0" xfId="0" applyNumberFormat="1" applyFont="1" applyBorder="1"/>
    <xf numFmtId="1" fontId="30" fillId="0" borderId="0" xfId="0" applyNumberFormat="1" applyFont="1" applyBorder="1" applyAlignment="1">
      <alignment horizontal="center"/>
    </xf>
    <xf numFmtId="0" fontId="28" fillId="0" borderId="29" xfId="0" applyFont="1" applyBorder="1"/>
    <xf numFmtId="168" fontId="28" fillId="0" borderId="29" xfId="0" applyNumberFormat="1" applyFont="1" applyBorder="1"/>
    <xf numFmtId="2" fontId="28" fillId="0" borderId="29" xfId="0" applyNumberFormat="1" applyFont="1" applyBorder="1" applyAlignment="1">
      <alignment horizontal="center"/>
    </xf>
    <xf numFmtId="168" fontId="28" fillId="0" borderId="31" xfId="0" applyNumberFormat="1" applyFont="1" applyBorder="1" applyAlignment="1">
      <alignment horizontal="center"/>
    </xf>
    <xf numFmtId="0" fontId="92" fillId="0" borderId="16" xfId="0" applyFont="1" applyBorder="1"/>
    <xf numFmtId="168" fontId="28" fillId="0" borderId="0" xfId="0" applyNumberFormat="1" applyFont="1" applyBorder="1"/>
    <xf numFmtId="2" fontId="28" fillId="0" borderId="0" xfId="0" applyNumberFormat="1" applyFont="1" applyBorder="1"/>
    <xf numFmtId="168" fontId="28" fillId="0" borderId="18" xfId="0" applyNumberFormat="1" applyFont="1" applyBorder="1" applyAlignment="1">
      <alignment horizontal="center"/>
    </xf>
    <xf numFmtId="0" fontId="92" fillId="0" borderId="0" xfId="0" applyFont="1" applyBorder="1"/>
    <xf numFmtId="168" fontId="92" fillId="0" borderId="0" xfId="0" applyNumberFormat="1" applyFont="1" applyBorder="1"/>
    <xf numFmtId="1" fontId="92" fillId="0" borderId="0" xfId="0" applyNumberFormat="1" applyFont="1" applyBorder="1"/>
    <xf numFmtId="168" fontId="92" fillId="0" borderId="18" xfId="0" applyNumberFormat="1" applyFont="1" applyBorder="1" applyAlignment="1">
      <alignment horizontal="center"/>
    </xf>
    <xf numFmtId="1" fontId="95" fillId="0" borderId="0" xfId="0" applyNumberFormat="1" applyFont="1" applyBorder="1"/>
    <xf numFmtId="168" fontId="31" fillId="0" borderId="18" xfId="0" applyNumberFormat="1" applyFont="1" applyBorder="1" applyAlignment="1">
      <alignment horizontal="center"/>
    </xf>
    <xf numFmtId="9" fontId="30" fillId="0" borderId="29" xfId="0" applyNumberFormat="1" applyFont="1" applyBorder="1"/>
    <xf numFmtId="168" fontId="30" fillId="0" borderId="29" xfId="0" applyNumberFormat="1" applyFont="1" applyBorder="1"/>
    <xf numFmtId="2" fontId="30" fillId="0" borderId="29" xfId="0" applyNumberFormat="1" applyFont="1" applyFill="1" applyBorder="1"/>
    <xf numFmtId="168" fontId="92" fillId="0" borderId="31" xfId="0" applyNumberFormat="1" applyFont="1" applyBorder="1" applyAlignment="1">
      <alignment horizontal="center"/>
    </xf>
    <xf numFmtId="9" fontId="30" fillId="0" borderId="0" xfId="0" applyNumberFormat="1" applyFont="1" applyBorder="1"/>
    <xf numFmtId="2" fontId="30" fillId="0" borderId="0" xfId="0" applyNumberFormat="1" applyFont="1" applyFill="1" applyBorder="1"/>
    <xf numFmtId="168" fontId="94" fillId="0" borderId="18" xfId="0" applyNumberFormat="1" applyFont="1" applyBorder="1" applyAlignment="1">
      <alignment horizontal="center"/>
    </xf>
    <xf numFmtId="9" fontId="30" fillId="0" borderId="0" xfId="0" applyNumberFormat="1" applyFont="1"/>
    <xf numFmtId="168" fontId="92" fillId="0" borderId="36" xfId="0" applyNumberFormat="1" applyFont="1" applyBorder="1" applyAlignment="1">
      <alignment horizontal="center"/>
    </xf>
    <xf numFmtId="6" fontId="30" fillId="0" borderId="0" xfId="0" applyNumberFormat="1" applyFont="1"/>
    <xf numFmtId="9" fontId="95" fillId="0" borderId="0" xfId="3" applyNumberFormat="1" applyFont="1" applyBorder="1"/>
    <xf numFmtId="0" fontId="94" fillId="0" borderId="25" xfId="0" applyFont="1" applyBorder="1"/>
    <xf numFmtId="0" fontId="92" fillId="0" borderId="26" xfId="0" applyFont="1" applyBorder="1"/>
    <xf numFmtId="168" fontId="92" fillId="0" borderId="26" xfId="0" applyNumberFormat="1" applyFont="1" applyBorder="1"/>
    <xf numFmtId="10" fontId="94" fillId="0" borderId="26" xfId="3" applyNumberFormat="1" applyFont="1" applyBorder="1"/>
    <xf numFmtId="2" fontId="92" fillId="0" borderId="26" xfId="0" applyNumberFormat="1" applyFont="1" applyBorder="1"/>
    <xf numFmtId="168" fontId="31" fillId="0" borderId="51" xfId="0" applyNumberFormat="1" applyFont="1" applyBorder="1" applyAlignment="1">
      <alignment horizontal="center"/>
    </xf>
    <xf numFmtId="0" fontId="92" fillId="0" borderId="60" xfId="0" applyFont="1" applyBorder="1"/>
    <xf numFmtId="0" fontId="92" fillId="0" borderId="61" xfId="0" applyFont="1" applyBorder="1"/>
    <xf numFmtId="168" fontId="92" fillId="0" borderId="61" xfId="0" applyNumberFormat="1" applyFont="1" applyBorder="1"/>
    <xf numFmtId="2" fontId="92" fillId="0" borderId="61" xfId="0" applyNumberFormat="1" applyFont="1" applyBorder="1"/>
    <xf numFmtId="168" fontId="28" fillId="0" borderId="62" xfId="0" applyNumberFormat="1" applyFont="1" applyBorder="1" applyAlignment="1">
      <alignment horizontal="center"/>
    </xf>
    <xf numFmtId="3" fontId="30" fillId="0" borderId="0" xfId="0" applyNumberFormat="1" applyFont="1" applyBorder="1"/>
    <xf numFmtId="0" fontId="30" fillId="0" borderId="18" xfId="0" applyFont="1" applyBorder="1" applyAlignment="1">
      <alignment horizontal="center"/>
    </xf>
    <xf numFmtId="2" fontId="92" fillId="0" borderId="0" xfId="0" applyNumberFormat="1" applyFont="1" applyBorder="1"/>
    <xf numFmtId="2" fontId="31" fillId="0" borderId="18" xfId="0" applyNumberFormat="1" applyFont="1" applyBorder="1" applyAlignment="1">
      <alignment horizontal="center"/>
    </xf>
    <xf numFmtId="0" fontId="92" fillId="0" borderId="11" xfId="0" applyFont="1" applyBorder="1"/>
    <xf numFmtId="0" fontId="92" fillId="0" borderId="12" xfId="0" applyFont="1" applyBorder="1"/>
    <xf numFmtId="168" fontId="92" fillId="0" borderId="12" xfId="0" applyNumberFormat="1" applyFont="1" applyBorder="1"/>
    <xf numFmtId="10" fontId="92" fillId="0" borderId="12" xfId="0" applyNumberFormat="1" applyFont="1" applyBorder="1"/>
    <xf numFmtId="2" fontId="92" fillId="0" borderId="12" xfId="0" applyNumberFormat="1" applyFont="1" applyBorder="1"/>
    <xf numFmtId="165" fontId="28" fillId="0" borderId="14" xfId="0" applyNumberFormat="1" applyFont="1" applyBorder="1" applyAlignment="1">
      <alignment horizontal="center"/>
    </xf>
    <xf numFmtId="0" fontId="20" fillId="0" borderId="91" xfId="0" applyFont="1" applyBorder="1" applyAlignment="1">
      <alignment wrapText="1"/>
    </xf>
    <xf numFmtId="0" fontId="20" fillId="0" borderId="12" xfId="0" applyFont="1" applyBorder="1" applyAlignment="1">
      <alignment horizontal="right" wrapText="1"/>
    </xf>
    <xf numFmtId="0" fontId="20" fillId="0" borderId="92" xfId="0" applyFont="1" applyBorder="1" applyAlignment="1">
      <alignment horizontal="right" wrapText="1"/>
    </xf>
    <xf numFmtId="0" fontId="99" fillId="0" borderId="0" xfId="444" applyFont="1" applyBorder="1" applyAlignment="1">
      <alignment horizontal="left"/>
    </xf>
    <xf numFmtId="0" fontId="1" fillId="0" borderId="0" xfId="444" applyAlignment="1">
      <alignment horizontal="center"/>
    </xf>
    <xf numFmtId="0" fontId="1" fillId="0" borderId="0" xfId="444"/>
    <xf numFmtId="0" fontId="22" fillId="0" borderId="0" xfId="444" applyFont="1" applyBorder="1"/>
    <xf numFmtId="0" fontId="13" fillId="11" borderId="20" xfId="444" applyFont="1" applyFill="1" applyBorder="1" applyAlignment="1">
      <alignment horizontal="center"/>
    </xf>
    <xf numFmtId="0" fontId="13" fillId="11" borderId="21" xfId="444" applyFont="1" applyFill="1" applyBorder="1" applyAlignment="1">
      <alignment horizontal="center" wrapText="1"/>
    </xf>
    <xf numFmtId="0" fontId="13" fillId="11" borderId="21" xfId="444" applyFont="1" applyFill="1" applyBorder="1" applyAlignment="1">
      <alignment horizontal="center"/>
    </xf>
    <xf numFmtId="0" fontId="13" fillId="11" borderId="21" xfId="444" applyFont="1" applyFill="1" applyBorder="1" applyAlignment="1">
      <alignment horizontal="center"/>
    </xf>
    <xf numFmtId="0" fontId="13" fillId="11" borderId="22" xfId="444" applyFont="1" applyFill="1" applyBorder="1" applyAlignment="1">
      <alignment horizontal="center"/>
    </xf>
    <xf numFmtId="0" fontId="22" fillId="0" borderId="6" xfId="444" applyFont="1" applyBorder="1" applyAlignment="1">
      <alignment horizontal="right"/>
    </xf>
    <xf numFmtId="166" fontId="22" fillId="0" borderId="8" xfId="444" applyNumberFormat="1" applyFont="1" applyBorder="1" applyAlignment="1">
      <alignment horizontal="center"/>
    </xf>
    <xf numFmtId="166" fontId="22" fillId="0" borderId="8" xfId="444" applyNumberFormat="1" applyFont="1" applyFill="1" applyBorder="1" applyAlignment="1">
      <alignment horizontal="center"/>
    </xf>
    <xf numFmtId="0" fontId="22" fillId="0" borderId="8" xfId="444" applyFont="1" applyFill="1" applyBorder="1" applyAlignment="1"/>
    <xf numFmtId="0" fontId="22" fillId="0" borderId="9" xfId="444" applyFont="1" applyFill="1" applyBorder="1" applyAlignment="1"/>
    <xf numFmtId="0" fontId="22" fillId="0" borderId="16" xfId="444" applyFont="1" applyBorder="1" applyAlignment="1">
      <alignment horizontal="right"/>
    </xf>
    <xf numFmtId="10" fontId="1" fillId="0" borderId="0" xfId="444" applyNumberFormat="1" applyFont="1" applyBorder="1" applyAlignment="1">
      <alignment horizontal="center"/>
    </xf>
    <xf numFmtId="0" fontId="22" fillId="0" borderId="0" xfId="444" applyFont="1" applyFill="1" applyBorder="1" applyAlignment="1"/>
    <xf numFmtId="0" fontId="22" fillId="0" borderId="18" xfId="444" applyFont="1" applyFill="1" applyBorder="1" applyAlignment="1"/>
    <xf numFmtId="166" fontId="1" fillId="0" borderId="0" xfId="444" applyNumberFormat="1" applyFont="1" applyBorder="1" applyAlignment="1">
      <alignment horizontal="center"/>
    </xf>
    <xf numFmtId="166" fontId="1" fillId="0" borderId="0" xfId="444" applyNumberFormat="1" applyFont="1" applyFill="1" applyBorder="1" applyAlignment="1">
      <alignment horizontal="center"/>
    </xf>
    <xf numFmtId="0" fontId="22" fillId="0" borderId="0" xfId="444" applyFont="1" applyFill="1" applyBorder="1" applyAlignment="1">
      <alignment horizontal="center"/>
    </xf>
    <xf numFmtId="0" fontId="22" fillId="0" borderId="18" xfId="444" applyFont="1" applyFill="1" applyBorder="1" applyAlignment="1">
      <alignment horizontal="center"/>
    </xf>
    <xf numFmtId="0" fontId="22" fillId="0" borderId="16" xfId="444" applyFont="1" applyFill="1" applyBorder="1" applyAlignment="1">
      <alignment horizontal="right"/>
    </xf>
    <xf numFmtId="5" fontId="1" fillId="0" borderId="0" xfId="179" applyNumberFormat="1" applyFont="1" applyFill="1" applyBorder="1" applyAlignment="1">
      <alignment horizontal="center"/>
    </xf>
    <xf numFmtId="10" fontId="22" fillId="0" borderId="0" xfId="444" applyNumberFormat="1" applyFont="1" applyFill="1" applyBorder="1" applyAlignment="1">
      <alignment horizontal="left"/>
    </xf>
    <xf numFmtId="10" fontId="22" fillId="0" borderId="18" xfId="444" applyNumberFormat="1" applyFont="1" applyFill="1" applyBorder="1" applyAlignment="1">
      <alignment horizontal="left"/>
    </xf>
    <xf numFmtId="0" fontId="22" fillId="0" borderId="0" xfId="444" applyFont="1" applyFill="1" applyBorder="1" applyAlignment="1"/>
    <xf numFmtId="0" fontId="22" fillId="0" borderId="18" xfId="444" applyFont="1" applyFill="1" applyBorder="1" applyAlignment="1"/>
    <xf numFmtId="166" fontId="1" fillId="0" borderId="35" xfId="444" applyNumberFormat="1" applyFont="1" applyBorder="1" applyAlignment="1">
      <alignment horizontal="center"/>
    </xf>
    <xf numFmtId="10" fontId="8" fillId="0" borderId="0" xfId="444" applyNumberFormat="1" applyFont="1" applyFill="1" applyBorder="1" applyAlignment="1">
      <alignment horizontal="left"/>
    </xf>
    <xf numFmtId="10" fontId="8" fillId="0" borderId="18" xfId="444" applyNumberFormat="1" applyFont="1" applyFill="1" applyBorder="1" applyAlignment="1">
      <alignment horizontal="left"/>
    </xf>
    <xf numFmtId="0" fontId="13" fillId="0" borderId="11" xfId="444" applyFont="1" applyFill="1" applyBorder="1" applyAlignment="1">
      <alignment horizontal="right"/>
    </xf>
    <xf numFmtId="166" fontId="13" fillId="12" borderId="12" xfId="444" applyNumberFormat="1" applyFont="1" applyFill="1" applyBorder="1" applyAlignment="1">
      <alignment horizontal="center"/>
    </xf>
    <xf numFmtId="10" fontId="22" fillId="0" borderId="12" xfId="444" applyNumberFormat="1" applyFont="1" applyFill="1" applyBorder="1" applyAlignment="1"/>
    <xf numFmtId="10" fontId="22" fillId="0" borderId="14" xfId="444" applyNumberFormat="1" applyFont="1" applyFill="1" applyBorder="1" applyAlignment="1"/>
    <xf numFmtId="0" fontId="1" fillId="0" borderId="0" xfId="444" applyAlignment="1">
      <alignment horizontal="center" wrapText="1"/>
    </xf>
    <xf numFmtId="0" fontId="1" fillId="0" borderId="0" xfId="444" applyBorder="1"/>
    <xf numFmtId="0" fontId="100" fillId="0" borderId="0" xfId="444" applyFont="1" applyBorder="1"/>
    <xf numFmtId="0" fontId="101" fillId="0" borderId="0" xfId="444" applyFont="1" applyBorder="1" applyAlignment="1">
      <alignment horizontal="center"/>
    </xf>
    <xf numFmtId="0" fontId="101" fillId="0" borderId="0" xfId="444" applyFont="1" applyBorder="1" applyAlignment="1">
      <alignment horizontal="center" wrapText="1"/>
    </xf>
    <xf numFmtId="0" fontId="101" fillId="0" borderId="8" xfId="444" applyFont="1" applyBorder="1" applyAlignment="1">
      <alignment horizontal="center"/>
    </xf>
    <xf numFmtId="0" fontId="101" fillId="0" borderId="8" xfId="444" applyFont="1" applyBorder="1"/>
    <xf numFmtId="0" fontId="101" fillId="0" borderId="0" xfId="444" applyFont="1" applyBorder="1"/>
    <xf numFmtId="0" fontId="101" fillId="0" borderId="0" xfId="444" applyFont="1" applyBorder="1" applyAlignment="1"/>
    <xf numFmtId="14" fontId="102" fillId="0" borderId="0" xfId="444" applyNumberFormat="1" applyFont="1" applyFill="1" applyBorder="1" applyAlignment="1">
      <alignment horizontal="left"/>
    </xf>
    <xf numFmtId="0" fontId="101" fillId="0" borderId="0" xfId="444" applyFont="1" applyBorder="1" applyAlignment="1">
      <alignment horizontal="center"/>
    </xf>
    <xf numFmtId="0" fontId="13" fillId="31" borderId="20" xfId="444" applyFont="1" applyFill="1" applyBorder="1" applyAlignment="1">
      <alignment horizontal="center"/>
    </xf>
    <xf numFmtId="0" fontId="13" fillId="31" borderId="21" xfId="444" applyFont="1" applyFill="1" applyBorder="1" applyAlignment="1">
      <alignment horizontal="center" wrapText="1"/>
    </xf>
    <xf numFmtId="0" fontId="13" fillId="31" borderId="21" xfId="444" applyFont="1" applyFill="1" applyBorder="1" applyAlignment="1">
      <alignment horizontal="center"/>
    </xf>
    <xf numFmtId="0" fontId="13" fillId="31" borderId="21" xfId="444" applyFont="1" applyFill="1" applyBorder="1" applyAlignment="1">
      <alignment horizontal="center"/>
    </xf>
    <xf numFmtId="0" fontId="22" fillId="31" borderId="22" xfId="444" applyFont="1" applyFill="1" applyBorder="1" applyAlignment="1"/>
    <xf numFmtId="10" fontId="22" fillId="0" borderId="0" xfId="444" applyNumberFormat="1" applyFont="1" applyFill="1" applyBorder="1" applyAlignment="1"/>
    <xf numFmtId="10" fontId="22" fillId="0" borderId="18" xfId="444" applyNumberFormat="1" applyFont="1" applyFill="1" applyBorder="1" applyAlignment="1"/>
    <xf numFmtId="165" fontId="13" fillId="12" borderId="12" xfId="444" applyNumberFormat="1" applyFont="1" applyFill="1" applyBorder="1" applyAlignment="1">
      <alignment horizontal="center"/>
    </xf>
    <xf numFmtId="0" fontId="1" fillId="0" borderId="0" xfId="444" applyFill="1"/>
    <xf numFmtId="0" fontId="1" fillId="0" borderId="0" xfId="444" applyFill="1" applyBorder="1"/>
    <xf numFmtId="0" fontId="40" fillId="0" borderId="0" xfId="444" applyFont="1" applyBorder="1" applyAlignment="1">
      <alignment horizontal="right"/>
    </xf>
    <xf numFmtId="5" fontId="19" fillId="0" borderId="0" xfId="179" applyNumberFormat="1" applyFont="1" applyBorder="1" applyAlignment="1">
      <alignment horizontal="center"/>
    </xf>
    <xf numFmtId="0" fontId="1" fillId="0" borderId="0" xfId="444" applyBorder="1" applyAlignment="1">
      <alignment horizontal="center"/>
    </xf>
    <xf numFmtId="182" fontId="1" fillId="0" borderId="0" xfId="201" applyNumberFormat="1" applyFont="1"/>
    <xf numFmtId="177" fontId="1" fillId="0" borderId="0" xfId="444" applyNumberFormat="1" applyAlignment="1">
      <alignment wrapText="1"/>
    </xf>
    <xf numFmtId="177" fontId="1" fillId="0" borderId="0" xfId="444" applyNumberFormat="1"/>
    <xf numFmtId="180" fontId="1" fillId="0" borderId="0" xfId="444" applyNumberFormat="1"/>
    <xf numFmtId="0" fontId="22" fillId="11" borderId="0" xfId="444" applyFont="1" applyFill="1"/>
    <xf numFmtId="0" fontId="1" fillId="11" borderId="0" xfId="444" applyFill="1" applyAlignment="1">
      <alignment horizontal="center"/>
    </xf>
    <xf numFmtId="0" fontId="1" fillId="11" borderId="0" xfId="444" applyFill="1" applyAlignment="1">
      <alignment horizontal="center" wrapText="1"/>
    </xf>
    <xf numFmtId="0" fontId="1" fillId="0" borderId="0" xfId="444" applyFill="1" applyAlignment="1">
      <alignment horizontal="center"/>
    </xf>
    <xf numFmtId="0" fontId="1" fillId="60" borderId="0" xfId="444" applyFill="1"/>
    <xf numFmtId="0" fontId="1" fillId="60" borderId="0" xfId="444" applyFill="1" applyAlignment="1">
      <alignment horizontal="center"/>
    </xf>
    <xf numFmtId="0" fontId="103" fillId="32" borderId="6" xfId="1108" applyFont="1" applyFill="1" applyBorder="1"/>
    <xf numFmtId="0" fontId="103" fillId="32" borderId="8" xfId="1108" applyFont="1" applyFill="1" applyBorder="1"/>
    <xf numFmtId="0" fontId="103" fillId="32" borderId="8" xfId="1108" applyFont="1" applyFill="1" applyBorder="1" applyAlignment="1">
      <alignment horizontal="center"/>
    </xf>
    <xf numFmtId="168" fontId="103" fillId="32" borderId="9" xfId="1108" applyNumberFormat="1" applyFont="1" applyFill="1" applyBorder="1" applyAlignment="1">
      <alignment horizontal="center"/>
    </xf>
    <xf numFmtId="168" fontId="103" fillId="0" borderId="0" xfId="1108" applyNumberFormat="1" applyFont="1" applyFill="1" applyBorder="1" applyAlignment="1">
      <alignment horizontal="center"/>
    </xf>
    <xf numFmtId="183" fontId="103" fillId="0" borderId="0" xfId="1108" applyNumberFormat="1" applyFont="1" applyFill="1" applyBorder="1" applyAlignment="1">
      <alignment horizontal="center"/>
    </xf>
    <xf numFmtId="0" fontId="104" fillId="32" borderId="16" xfId="1108" applyFont="1" applyFill="1" applyBorder="1"/>
    <xf numFmtId="0" fontId="104" fillId="32" borderId="0" xfId="1108" applyFont="1" applyFill="1" applyBorder="1" applyAlignment="1">
      <alignment horizontal="right"/>
    </xf>
    <xf numFmtId="0" fontId="105" fillId="32" borderId="0" xfId="1108" applyFont="1" applyFill="1" applyBorder="1" applyAlignment="1">
      <alignment horizontal="center"/>
    </xf>
    <xf numFmtId="0" fontId="104" fillId="32" borderId="18" xfId="1108" applyFont="1" applyFill="1" applyBorder="1" applyAlignment="1">
      <alignment horizontal="center"/>
    </xf>
    <xf numFmtId="0" fontId="104" fillId="0" borderId="0" xfId="1108" applyFont="1" applyFill="1" applyBorder="1" applyAlignment="1">
      <alignment horizontal="center"/>
    </xf>
    <xf numFmtId="0" fontId="97" fillId="0" borderId="0" xfId="444" applyFont="1"/>
    <xf numFmtId="0" fontId="104" fillId="32" borderId="25" xfId="1108" applyFont="1" applyFill="1" applyBorder="1"/>
    <xf numFmtId="0" fontId="104" fillId="32" borderId="26" xfId="1108" applyFont="1" applyFill="1" applyBorder="1" applyAlignment="1">
      <alignment horizontal="right"/>
    </xf>
    <xf numFmtId="1" fontId="105" fillId="32" borderId="26" xfId="1108" applyNumberFormat="1" applyFont="1" applyFill="1" applyBorder="1" applyAlignment="1">
      <alignment horizontal="center"/>
    </xf>
    <xf numFmtId="1" fontId="104" fillId="32" borderId="51" xfId="1108" applyNumberFormat="1" applyFont="1" applyFill="1" applyBorder="1" applyAlignment="1">
      <alignment horizontal="center"/>
    </xf>
    <xf numFmtId="1" fontId="104" fillId="0" borderId="0" xfId="1108" applyNumberFormat="1" applyFont="1" applyFill="1" applyBorder="1" applyAlignment="1">
      <alignment horizontal="center"/>
    </xf>
    <xf numFmtId="0" fontId="104" fillId="32" borderId="25" xfId="1108" applyFont="1" applyFill="1" applyBorder="1" applyAlignment="1">
      <alignment horizontal="left"/>
    </xf>
    <xf numFmtId="0" fontId="106" fillId="32" borderId="26" xfId="1108" applyFont="1" applyFill="1" applyBorder="1" applyAlignment="1">
      <alignment horizontal="right"/>
    </xf>
    <xf numFmtId="0" fontId="104" fillId="32" borderId="51" xfId="1108" applyFont="1" applyFill="1" applyBorder="1" applyAlignment="1">
      <alignment horizontal="center"/>
    </xf>
    <xf numFmtId="0" fontId="104" fillId="32" borderId="0" xfId="1108" applyFont="1" applyFill="1" applyBorder="1"/>
    <xf numFmtId="1" fontId="104" fillId="32" borderId="18" xfId="1108" applyNumberFormat="1" applyFont="1" applyFill="1" applyBorder="1" applyAlignment="1">
      <alignment horizontal="center"/>
    </xf>
    <xf numFmtId="0" fontId="104" fillId="32" borderId="11" xfId="1108" applyFont="1" applyFill="1" applyBorder="1"/>
    <xf numFmtId="0" fontId="104" fillId="32" borderId="12" xfId="1108" applyFont="1" applyFill="1" applyBorder="1"/>
    <xf numFmtId="0" fontId="104" fillId="32" borderId="12" xfId="1108" applyFont="1" applyFill="1" applyBorder="1" applyAlignment="1">
      <alignment horizontal="right"/>
    </xf>
    <xf numFmtId="1" fontId="104" fillId="32" borderId="14" xfId="1108" applyNumberFormat="1" applyFont="1" applyFill="1" applyBorder="1" applyAlignment="1">
      <alignment horizontal="center"/>
    </xf>
    <xf numFmtId="0" fontId="104" fillId="32" borderId="14" xfId="1108" applyFont="1" applyFill="1" applyBorder="1" applyAlignment="1">
      <alignment horizontal="center"/>
    </xf>
    <xf numFmtId="0" fontId="10" fillId="0" borderId="0" xfId="444" applyFont="1" applyAlignment="1">
      <alignment horizontal="center" wrapText="1"/>
    </xf>
    <xf numFmtId="165" fontId="1" fillId="0" borderId="0" xfId="444" applyNumberFormat="1" applyFill="1" applyAlignment="1">
      <alignment horizontal="center"/>
    </xf>
    <xf numFmtId="184" fontId="1" fillId="0" borderId="0" xfId="444" applyNumberFormat="1" applyFill="1" applyAlignment="1">
      <alignment horizontal="center"/>
    </xf>
    <xf numFmtId="184" fontId="1" fillId="0" borderId="0" xfId="444" applyNumberFormat="1" applyFill="1" applyBorder="1" applyAlignment="1">
      <alignment horizontal="center"/>
    </xf>
    <xf numFmtId="0" fontId="10" fillId="0" borderId="0" xfId="444" applyFont="1" applyAlignment="1">
      <alignment horizontal="center"/>
    </xf>
    <xf numFmtId="0" fontId="10" fillId="0" borderId="6" xfId="444" applyFont="1" applyBorder="1" applyAlignment="1">
      <alignment horizontal="center"/>
    </xf>
    <xf numFmtId="0" fontId="10" fillId="0" borderId="8" xfId="444" applyFont="1" applyBorder="1" applyAlignment="1">
      <alignment horizontal="center"/>
    </xf>
    <xf numFmtId="0" fontId="10" fillId="0" borderId="9" xfId="444" applyFont="1" applyBorder="1" applyAlignment="1">
      <alignment horizontal="center"/>
    </xf>
    <xf numFmtId="0" fontId="10" fillId="0" borderId="6" xfId="444" applyFont="1" applyBorder="1" applyAlignment="1">
      <alignment horizontal="center" wrapText="1"/>
    </xf>
    <xf numFmtId="0" fontId="10" fillId="0" borderId="23" xfId="444" applyFont="1" applyBorder="1" applyAlignment="1">
      <alignment horizontal="center"/>
    </xf>
    <xf numFmtId="0" fontId="1" fillId="0" borderId="47" xfId="444" applyBorder="1" applyAlignment="1">
      <alignment horizontal="center" wrapText="1"/>
    </xf>
    <xf numFmtId="6" fontId="1" fillId="0" borderId="48" xfId="444" applyNumberFormat="1" applyBorder="1" applyAlignment="1">
      <alignment horizontal="center"/>
    </xf>
    <xf numFmtId="8" fontId="1" fillId="0" borderId="48" xfId="444" applyNumberFormat="1" applyBorder="1" applyAlignment="1">
      <alignment horizontal="center"/>
    </xf>
    <xf numFmtId="6" fontId="1" fillId="0" borderId="47" xfId="444" applyNumberFormat="1" applyBorder="1" applyAlignment="1">
      <alignment horizontal="center"/>
    </xf>
    <xf numFmtId="8" fontId="1" fillId="0" borderId="47" xfId="444" applyNumberFormat="1" applyBorder="1" applyAlignment="1">
      <alignment horizontal="center"/>
    </xf>
    <xf numFmtId="0" fontId="1" fillId="0" borderId="47" xfId="444" applyBorder="1" applyAlignment="1">
      <alignment horizontal="center"/>
    </xf>
    <xf numFmtId="0" fontId="13" fillId="57" borderId="20" xfId="0" applyFont="1" applyFill="1" applyBorder="1" applyAlignment="1">
      <alignment horizontal="center"/>
    </xf>
    <xf numFmtId="0" fontId="13" fillId="57" borderId="21" xfId="0" applyFont="1" applyFill="1" applyBorder="1" applyAlignment="1">
      <alignment horizontal="center"/>
    </xf>
    <xf numFmtId="0" fontId="13" fillId="57" borderId="22" xfId="0" applyFont="1" applyFill="1" applyBorder="1" applyAlignment="1">
      <alignment horizontal="center"/>
    </xf>
    <xf numFmtId="1" fontId="49" fillId="0" borderId="0" xfId="0" applyNumberFormat="1" applyFont="1" applyBorder="1" applyAlignment="1">
      <alignment horizontal="center"/>
    </xf>
    <xf numFmtId="168" fontId="49" fillId="0" borderId="18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/>
    </xf>
    <xf numFmtId="6" fontId="22" fillId="0" borderId="0" xfId="0" applyNumberFormat="1" applyFont="1" applyBorder="1"/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/>
    </xf>
    <xf numFmtId="2" fontId="22" fillId="0" borderId="55" xfId="0" applyNumberFormat="1" applyFont="1" applyBorder="1" applyAlignment="1">
      <alignment horizontal="center"/>
    </xf>
    <xf numFmtId="2" fontId="22" fillId="0" borderId="116" xfId="0" applyNumberFormat="1" applyFont="1" applyBorder="1" applyAlignment="1">
      <alignment horizontal="center"/>
    </xf>
    <xf numFmtId="2" fontId="22" fillId="0" borderId="65" xfId="0" applyNumberFormat="1" applyFont="1" applyBorder="1" applyAlignment="1">
      <alignment horizontal="center"/>
    </xf>
    <xf numFmtId="2" fontId="22" fillId="0" borderId="24" xfId="0" applyNumberFormat="1" applyFont="1" applyBorder="1" applyAlignment="1">
      <alignment horizontal="center"/>
    </xf>
    <xf numFmtId="2" fontId="22" fillId="0" borderId="82" xfId="0" applyNumberFormat="1" applyFont="1" applyBorder="1" applyAlignment="1">
      <alignment horizontal="center"/>
    </xf>
    <xf numFmtId="2" fontId="22" fillId="0" borderId="67" xfId="0" applyNumberFormat="1" applyFont="1" applyBorder="1" applyAlignment="1">
      <alignment horizontal="center"/>
    </xf>
    <xf numFmtId="169" fontId="22" fillId="0" borderId="11" xfId="0" applyNumberFormat="1" applyFont="1" applyBorder="1"/>
    <xf numFmtId="2" fontId="22" fillId="0" borderId="59" xfId="0" applyNumberFormat="1" applyFont="1" applyBorder="1" applyAlignment="1">
      <alignment horizontal="center"/>
    </xf>
    <xf numFmtId="2" fontId="22" fillId="0" borderId="92" xfId="0" applyNumberFormat="1" applyFont="1" applyBorder="1" applyAlignment="1">
      <alignment horizontal="center"/>
    </xf>
    <xf numFmtId="2" fontId="22" fillId="0" borderId="74" xfId="0" applyNumberFormat="1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22" fillId="0" borderId="6" xfId="0" applyFont="1" applyBorder="1"/>
    <xf numFmtId="10" fontId="22" fillId="0" borderId="8" xfId="0" applyNumberFormat="1" applyFont="1" applyBorder="1" applyAlignment="1">
      <alignment horizontal="center"/>
    </xf>
    <xf numFmtId="0" fontId="22" fillId="0" borderId="55" xfId="0" applyFont="1" applyBorder="1"/>
    <xf numFmtId="0" fontId="22" fillId="0" borderId="65" xfId="0" applyFont="1" applyBorder="1"/>
    <xf numFmtId="0" fontId="22" fillId="0" borderId="24" xfId="0" applyFont="1" applyBorder="1"/>
    <xf numFmtId="0" fontId="22" fillId="0" borderId="82" xfId="0" applyFont="1" applyBorder="1"/>
    <xf numFmtId="0" fontId="22" fillId="0" borderId="67" xfId="0" applyFont="1" applyBorder="1"/>
    <xf numFmtId="1" fontId="21" fillId="0" borderId="0" xfId="0" applyNumberFormat="1" applyFont="1" applyBorder="1" applyAlignment="1">
      <alignment horizontal="center"/>
    </xf>
    <xf numFmtId="0" fontId="22" fillId="0" borderId="24" xfId="0" applyFont="1" applyFill="1" applyBorder="1"/>
    <xf numFmtId="0" fontId="22" fillId="0" borderId="18" xfId="0" applyFont="1" applyBorder="1"/>
    <xf numFmtId="168" fontId="22" fillId="0" borderId="29" xfId="0" applyNumberFormat="1" applyFont="1" applyBorder="1"/>
    <xf numFmtId="2" fontId="22" fillId="0" borderId="29" xfId="0" applyNumberFormat="1" applyFont="1" applyFill="1" applyBorder="1" applyAlignment="1">
      <alignment horizontal="center"/>
    </xf>
    <xf numFmtId="174" fontId="49" fillId="0" borderId="18" xfId="3" applyNumberFormat="1" applyFont="1" applyBorder="1"/>
    <xf numFmtId="0" fontId="22" fillId="29" borderId="11" xfId="0" applyFont="1" applyFill="1" applyBorder="1"/>
    <xf numFmtId="0" fontId="22" fillId="29" borderId="12" xfId="0" applyFont="1" applyFill="1" applyBorder="1" applyAlignment="1">
      <alignment horizontal="center"/>
    </xf>
    <xf numFmtId="10" fontId="22" fillId="29" borderId="59" xfId="0" applyNumberFormat="1" applyFont="1" applyFill="1" applyBorder="1"/>
    <xf numFmtId="10" fontId="22" fillId="29" borderId="92" xfId="3" applyNumberFormat="1" applyFont="1" applyFill="1" applyBorder="1"/>
    <xf numFmtId="10" fontId="22" fillId="29" borderId="74" xfId="3" applyNumberFormat="1" applyFont="1" applyFill="1" applyBorder="1"/>
    <xf numFmtId="0" fontId="22" fillId="0" borderId="20" xfId="0" applyFont="1" applyFill="1" applyBorder="1"/>
    <xf numFmtId="10" fontId="22" fillId="0" borderId="21" xfId="0" applyNumberFormat="1" applyFont="1" applyBorder="1" applyAlignment="1">
      <alignment horizontal="center"/>
    </xf>
    <xf numFmtId="0" fontId="22" fillId="0" borderId="49" xfId="0" applyFont="1" applyBorder="1"/>
    <xf numFmtId="0" fontId="22" fillId="0" borderId="21" xfId="0" applyFont="1" applyBorder="1"/>
    <xf numFmtId="0" fontId="22" fillId="0" borderId="22" xfId="0" applyFont="1" applyBorder="1"/>
    <xf numFmtId="10" fontId="22" fillId="0" borderId="20" xfId="0" applyNumberFormat="1" applyFont="1" applyBorder="1"/>
    <xf numFmtId="10" fontId="49" fillId="0" borderId="25" xfId="0" applyNumberFormat="1" applyFont="1" applyBorder="1"/>
    <xf numFmtId="10" fontId="49" fillId="0" borderId="26" xfId="3" applyNumberFormat="1" applyFont="1" applyBorder="1"/>
    <xf numFmtId="2" fontId="49" fillId="0" borderId="26" xfId="0" applyNumberFormat="1" applyFont="1" applyBorder="1" applyAlignment="1">
      <alignment horizontal="center"/>
    </xf>
    <xf numFmtId="0" fontId="49" fillId="0" borderId="60" xfId="0" applyFont="1" applyBorder="1"/>
    <xf numFmtId="168" fontId="49" fillId="0" borderId="61" xfId="0" applyNumberFormat="1" applyFont="1" applyBorder="1"/>
    <xf numFmtId="2" fontId="49" fillId="0" borderId="61" xfId="0" applyNumberFormat="1" applyFont="1" applyBorder="1" applyAlignment="1">
      <alignment horizontal="center"/>
    </xf>
    <xf numFmtId="2" fontId="107" fillId="0" borderId="0" xfId="0" applyNumberFormat="1" applyFont="1" applyFill="1" applyBorder="1" applyAlignment="1">
      <alignment horizontal="center"/>
    </xf>
    <xf numFmtId="0" fontId="49" fillId="0" borderId="11" xfId="0" applyFont="1" applyBorder="1"/>
    <xf numFmtId="10" fontId="49" fillId="0" borderId="12" xfId="3" applyNumberFormat="1" applyFont="1" applyBorder="1"/>
    <xf numFmtId="2" fontId="49" fillId="0" borderId="12" xfId="0" applyNumberFormat="1" applyFont="1" applyFill="1" applyBorder="1" applyAlignment="1">
      <alignment horizontal="center"/>
    </xf>
    <xf numFmtId="2" fontId="49" fillId="17" borderId="0" xfId="0" applyNumberFormat="1" applyFont="1" applyFill="1" applyBorder="1"/>
    <xf numFmtId="171" fontId="49" fillId="0" borderId="0" xfId="0" applyNumberFormat="1" applyFont="1" applyBorder="1"/>
    <xf numFmtId="10" fontId="49" fillId="0" borderId="0" xfId="3" applyNumberFormat="1" applyFont="1" applyBorder="1"/>
    <xf numFmtId="1" fontId="49" fillId="0" borderId="0" xfId="0" applyNumberFormat="1" applyFont="1" applyBorder="1"/>
    <xf numFmtId="1" fontId="21" fillId="0" borderId="0" xfId="0" applyNumberFormat="1" applyFont="1" applyBorder="1"/>
    <xf numFmtId="2" fontId="22" fillId="0" borderId="29" xfId="0" applyNumberFormat="1" applyFont="1" applyFill="1" applyBorder="1"/>
    <xf numFmtId="167" fontId="22" fillId="0" borderId="0" xfId="2" applyNumberFormat="1" applyFont="1" applyFill="1" applyBorder="1"/>
    <xf numFmtId="2" fontId="49" fillId="0" borderId="26" xfId="0" applyNumberFormat="1" applyFont="1" applyBorder="1"/>
    <xf numFmtId="2" fontId="49" fillId="0" borderId="61" xfId="0" applyNumberFormat="1" applyFont="1" applyBorder="1"/>
    <xf numFmtId="2" fontId="107" fillId="0" borderId="0" xfId="0" applyNumberFormat="1" applyFont="1" applyFill="1" applyBorder="1"/>
    <xf numFmtId="2" fontId="22" fillId="0" borderId="0" xfId="0" applyNumberFormat="1" applyFont="1"/>
    <xf numFmtId="10" fontId="49" fillId="0" borderId="12" xfId="0" applyNumberFormat="1" applyFont="1" applyBorder="1"/>
    <xf numFmtId="2" fontId="49" fillId="0" borderId="12" xfId="0" applyNumberFormat="1" applyFont="1" applyFill="1" applyBorder="1"/>
    <xf numFmtId="0" fontId="22" fillId="57" borderId="21" xfId="0" applyFont="1" applyFill="1" applyBorder="1" applyAlignment="1">
      <alignment horizontal="center"/>
    </xf>
    <xf numFmtId="0" fontId="22" fillId="57" borderId="22" xfId="0" applyFont="1" applyFill="1" applyBorder="1" applyAlignment="1">
      <alignment horizontal="center"/>
    </xf>
    <xf numFmtId="0" fontId="99" fillId="57" borderId="20" xfId="0" applyFont="1" applyFill="1" applyBorder="1" applyAlignment="1">
      <alignment horizontal="center"/>
    </xf>
    <xf numFmtId="0" fontId="99" fillId="57" borderId="21" xfId="0" applyFont="1" applyFill="1" applyBorder="1" applyAlignment="1">
      <alignment horizontal="center"/>
    </xf>
    <xf numFmtId="0" fontId="99" fillId="57" borderId="22" xfId="0" applyFont="1" applyFill="1" applyBorder="1" applyAlignment="1">
      <alignment horizontal="center"/>
    </xf>
    <xf numFmtId="10" fontId="49" fillId="0" borderId="16" xfId="0" applyNumberFormat="1" applyFont="1" applyBorder="1"/>
    <xf numFmtId="174" fontId="22" fillId="0" borderId="0" xfId="0" applyNumberFormat="1" applyFont="1" applyBorder="1"/>
    <xf numFmtId="41" fontId="22" fillId="0" borderId="0" xfId="0" applyNumberFormat="1" applyFont="1" applyBorder="1"/>
    <xf numFmtId="9" fontId="49" fillId="0" borderId="0" xfId="0" applyNumberFormat="1" applyFont="1" applyBorder="1"/>
    <xf numFmtId="1" fontId="22" fillId="0" borderId="0" xfId="0" applyNumberFormat="1" applyFont="1" applyBorder="1" applyAlignment="1">
      <alignment horizontal="right"/>
    </xf>
    <xf numFmtId="10" fontId="21" fillId="0" borderId="0" xfId="0" applyNumberFormat="1" applyFont="1" applyBorder="1" applyAlignment="1">
      <alignment wrapText="1"/>
    </xf>
    <xf numFmtId="10" fontId="21" fillId="0" borderId="0" xfId="0" applyNumberFormat="1" applyFont="1" applyBorder="1" applyAlignment="1"/>
    <xf numFmtId="9" fontId="21" fillId="0" borderId="0" xfId="3" applyNumberFormat="1" applyFont="1" applyBorder="1"/>
    <xf numFmtId="174" fontId="22" fillId="0" borderId="0" xfId="3" applyNumberFormat="1" applyFont="1" applyBorder="1"/>
    <xf numFmtId="0" fontId="22" fillId="0" borderId="0" xfId="0" applyFont="1" applyAlignment="1">
      <alignment wrapText="1"/>
    </xf>
    <xf numFmtId="10" fontId="49" fillId="0" borderId="0" xfId="0" applyNumberFormat="1" applyFont="1" applyBorder="1"/>
    <xf numFmtId="9" fontId="21" fillId="0" borderId="0" xfId="0" applyNumberFormat="1" applyFont="1" applyFill="1" applyBorder="1" applyAlignment="1">
      <alignment vertical="center"/>
    </xf>
    <xf numFmtId="9" fontId="22" fillId="0" borderId="0" xfId="0" applyNumberFormat="1" applyFont="1" applyBorder="1"/>
    <xf numFmtId="2" fontId="22" fillId="0" borderId="0" xfId="0" applyNumberFormat="1" applyFont="1" applyBorder="1"/>
    <xf numFmtId="0" fontId="49" fillId="0" borderId="0" xfId="0" applyFont="1" applyBorder="1" applyAlignment="1">
      <alignment horizontal="left" wrapText="1"/>
    </xf>
    <xf numFmtId="41" fontId="22" fillId="58" borderId="0" xfId="0" applyNumberFormat="1" applyFont="1" applyFill="1" applyBorder="1"/>
    <xf numFmtId="41" fontId="22" fillId="59" borderId="0" xfId="0" applyNumberFormat="1" applyFont="1" applyFill="1" applyBorder="1"/>
    <xf numFmtId="0" fontId="21" fillId="30" borderId="0" xfId="548" applyFont="1" applyFill="1"/>
    <xf numFmtId="0" fontId="22" fillId="30" borderId="0" xfId="0" applyFont="1" applyFill="1"/>
    <xf numFmtId="164" fontId="45" fillId="0" borderId="0" xfId="0" applyNumberFormat="1" applyFont="1" applyAlignment="1">
      <alignment horizontal="left"/>
    </xf>
    <xf numFmtId="0" fontId="91" fillId="30" borderId="75" xfId="548" applyFont="1" applyFill="1" applyBorder="1"/>
    <xf numFmtId="168" fontId="91" fillId="30" borderId="44" xfId="548" applyNumberFormat="1" applyFont="1" applyFill="1" applyBorder="1" applyAlignment="1">
      <alignment horizontal="center"/>
    </xf>
    <xf numFmtId="168" fontId="28" fillId="59" borderId="42" xfId="548" applyNumberFormat="1" applyFont="1" applyFill="1" applyBorder="1" applyAlignment="1">
      <alignment horizontal="center"/>
    </xf>
    <xf numFmtId="0" fontId="31" fillId="0" borderId="42" xfId="0" applyFont="1" applyBorder="1"/>
    <xf numFmtId="0" fontId="31" fillId="0" borderId="40" xfId="0" applyFont="1" applyBorder="1"/>
    <xf numFmtId="0" fontId="28" fillId="0" borderId="6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46" fillId="0" borderId="0" xfId="0" applyFont="1"/>
    <xf numFmtId="41" fontId="93" fillId="30" borderId="0" xfId="548" applyNumberFormat="1" applyFont="1" applyFill="1" applyBorder="1"/>
    <xf numFmtId="6" fontId="93" fillId="30" borderId="54" xfId="548" applyNumberFormat="1" applyFont="1" applyFill="1" applyBorder="1"/>
    <xf numFmtId="41" fontId="31" fillId="0" borderId="0" xfId="548" applyNumberFormat="1" applyFont="1" applyBorder="1"/>
    <xf numFmtId="6" fontId="31" fillId="0" borderId="18" xfId="548" applyNumberFormat="1" applyFont="1" applyBorder="1"/>
    <xf numFmtId="0" fontId="31" fillId="0" borderId="6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40" fontId="93" fillId="30" borderId="0" xfId="548" applyNumberFormat="1" applyFont="1" applyFill="1" applyBorder="1"/>
    <xf numFmtId="6" fontId="93" fillId="30" borderId="18" xfId="548" applyNumberFormat="1" applyFont="1" applyFill="1" applyBorder="1"/>
    <xf numFmtId="0" fontId="31" fillId="0" borderId="6" xfId="0" applyFont="1" applyBorder="1"/>
    <xf numFmtId="2" fontId="31" fillId="0" borderId="8" xfId="0" applyNumberFormat="1" applyFont="1" applyBorder="1"/>
    <xf numFmtId="167" fontId="31" fillId="0" borderId="8" xfId="0" applyNumberFormat="1" applyFont="1" applyBorder="1"/>
    <xf numFmtId="0" fontId="31" fillId="0" borderId="8" xfId="0" applyFont="1" applyBorder="1"/>
    <xf numFmtId="167" fontId="31" fillId="0" borderId="9" xfId="2" applyNumberFormat="1" applyFont="1" applyBorder="1"/>
    <xf numFmtId="6" fontId="31" fillId="0" borderId="51" xfId="548" applyNumberFormat="1" applyFont="1" applyBorder="1"/>
    <xf numFmtId="167" fontId="31" fillId="0" borderId="0" xfId="0" applyNumberFormat="1" applyFont="1" applyBorder="1"/>
    <xf numFmtId="167" fontId="31" fillId="0" borderId="18" xfId="2" applyNumberFormat="1" applyFont="1" applyBorder="1"/>
    <xf numFmtId="9" fontId="93" fillId="30" borderId="0" xfId="548" applyNumberFormat="1" applyFont="1" applyFill="1" applyBorder="1" applyAlignment="1">
      <alignment horizontal="center" vertical="center"/>
    </xf>
    <xf numFmtId="10" fontId="93" fillId="30" borderId="0" xfId="548" applyNumberFormat="1" applyFont="1" applyFill="1" applyBorder="1" applyAlignment="1">
      <alignment wrapText="1"/>
    </xf>
    <xf numFmtId="1" fontId="93" fillId="30" borderId="0" xfId="548" applyNumberFormat="1" applyFont="1" applyFill="1" applyBorder="1"/>
    <xf numFmtId="9" fontId="31" fillId="0" borderId="0" xfId="548" applyNumberFormat="1" applyFont="1" applyFill="1" applyBorder="1" applyAlignment="1">
      <alignment horizontal="center" vertical="center"/>
    </xf>
    <xf numFmtId="10" fontId="31" fillId="0" borderId="0" xfId="548" applyNumberFormat="1" applyFont="1" applyBorder="1" applyAlignment="1">
      <alignment wrapText="1"/>
    </xf>
    <xf numFmtId="1" fontId="31" fillId="0" borderId="0" xfId="548" applyNumberFormat="1" applyFont="1" applyBorder="1"/>
    <xf numFmtId="2" fontId="31" fillId="0" borderId="26" xfId="0" applyNumberFormat="1" applyFont="1" applyBorder="1"/>
    <xf numFmtId="167" fontId="31" fillId="0" borderId="26" xfId="0" applyNumberFormat="1" applyFont="1" applyBorder="1"/>
    <xf numFmtId="167" fontId="31" fillId="0" borderId="51" xfId="2" applyNumberFormat="1" applyFont="1" applyBorder="1"/>
    <xf numFmtId="10" fontId="93" fillId="30" borderId="29" xfId="1198" applyNumberFormat="1" applyFont="1" applyFill="1" applyBorder="1" applyAlignment="1">
      <alignment horizontal="center"/>
    </xf>
    <xf numFmtId="168" fontId="93" fillId="30" borderId="29" xfId="548" applyNumberFormat="1" applyFont="1" applyFill="1" applyBorder="1"/>
    <xf numFmtId="2" fontId="93" fillId="30" borderId="29" xfId="548" applyNumberFormat="1" applyFont="1" applyFill="1" applyBorder="1"/>
    <xf numFmtId="168" fontId="91" fillId="30" borderId="31" xfId="548" applyNumberFormat="1" applyFont="1" applyFill="1" applyBorder="1"/>
    <xf numFmtId="10" fontId="31" fillId="0" borderId="29" xfId="1198" applyNumberFormat="1" applyFont="1" applyBorder="1" applyAlignment="1">
      <alignment horizontal="center"/>
    </xf>
    <xf numFmtId="168" fontId="31" fillId="0" borderId="29" xfId="548" applyNumberFormat="1" applyFont="1" applyBorder="1"/>
    <xf numFmtId="2" fontId="31" fillId="0" borderId="29" xfId="548" applyNumberFormat="1" applyFont="1" applyFill="1" applyBorder="1"/>
    <xf numFmtId="168" fontId="28" fillId="0" borderId="31" xfId="548" applyNumberFormat="1" applyFont="1" applyBorder="1"/>
    <xf numFmtId="0" fontId="31" fillId="0" borderId="12" xfId="0" applyFont="1" applyBorder="1"/>
    <xf numFmtId="0" fontId="31" fillId="0" borderId="14" xfId="0" applyFont="1" applyBorder="1"/>
    <xf numFmtId="10" fontId="31" fillId="0" borderId="8" xfId="3" applyNumberFormat="1" applyFont="1" applyBorder="1"/>
    <xf numFmtId="0" fontId="31" fillId="0" borderId="9" xfId="0" applyFont="1" applyBorder="1"/>
    <xf numFmtId="10" fontId="31" fillId="0" borderId="26" xfId="0" applyNumberFormat="1" applyFont="1" applyBorder="1"/>
    <xf numFmtId="10" fontId="93" fillId="30" borderId="0" xfId="548" applyNumberFormat="1" applyFont="1" applyFill="1" applyBorder="1" applyAlignment="1">
      <alignment horizontal="center"/>
    </xf>
    <xf numFmtId="10" fontId="31" fillId="0" borderId="0" xfId="548" applyNumberFormat="1" applyFont="1" applyFill="1" applyBorder="1" applyAlignment="1">
      <alignment horizontal="center"/>
    </xf>
    <xf numFmtId="167" fontId="28" fillId="0" borderId="18" xfId="2" applyNumberFormat="1" applyFont="1" applyBorder="1"/>
    <xf numFmtId="0" fontId="93" fillId="30" borderId="0" xfId="548" applyFont="1" applyFill="1" applyBorder="1" applyAlignment="1">
      <alignment horizontal="center"/>
    </xf>
    <xf numFmtId="0" fontId="93" fillId="30" borderId="0" xfId="548" applyFont="1" applyFill="1" applyBorder="1"/>
    <xf numFmtId="0" fontId="93" fillId="30" borderId="18" xfId="548" applyFont="1" applyFill="1" applyBorder="1"/>
    <xf numFmtId="0" fontId="31" fillId="0" borderId="0" xfId="548" applyFont="1" applyBorder="1" applyAlignment="1">
      <alignment horizontal="center"/>
    </xf>
    <xf numFmtId="0" fontId="31" fillId="0" borderId="0" xfId="548" applyFont="1" applyBorder="1"/>
    <xf numFmtId="0" fontId="31" fillId="0" borderId="18" xfId="548" applyFont="1" applyBorder="1"/>
    <xf numFmtId="0" fontId="93" fillId="30" borderId="25" xfId="548" applyFont="1" applyFill="1" applyBorder="1"/>
    <xf numFmtId="9" fontId="93" fillId="30" borderId="26" xfId="548" applyNumberFormat="1" applyFont="1" applyFill="1" applyBorder="1" applyAlignment="1">
      <alignment horizontal="center" vertical="center"/>
    </xf>
    <xf numFmtId="168" fontId="93" fillId="30" borderId="26" xfId="548" applyNumberFormat="1" applyFont="1" applyFill="1" applyBorder="1"/>
    <xf numFmtId="2" fontId="93" fillId="30" borderId="26" xfId="548" applyNumberFormat="1" applyFont="1" applyFill="1" applyBorder="1"/>
    <xf numFmtId="168" fontId="93" fillId="30" borderId="51" xfId="548" applyNumberFormat="1" applyFont="1" applyFill="1" applyBorder="1"/>
    <xf numFmtId="0" fontId="31" fillId="0" borderId="25" xfId="548" applyFont="1" applyBorder="1"/>
    <xf numFmtId="9" fontId="31" fillId="0" borderId="26" xfId="548" applyNumberFormat="1" applyFont="1" applyFill="1" applyBorder="1" applyAlignment="1">
      <alignment horizontal="center" vertical="center"/>
    </xf>
    <xf numFmtId="168" fontId="31" fillId="0" borderId="26" xfId="548" applyNumberFormat="1" applyFont="1" applyBorder="1"/>
    <xf numFmtId="2" fontId="31" fillId="0" borderId="26" xfId="548" applyNumberFormat="1" applyFont="1" applyFill="1" applyBorder="1"/>
    <xf numFmtId="168" fontId="31" fillId="0" borderId="51" xfId="548" applyNumberFormat="1" applyFont="1" applyBorder="1"/>
    <xf numFmtId="2" fontId="93" fillId="30" borderId="118" xfId="548" applyNumberFormat="1" applyFont="1" applyFill="1" applyBorder="1"/>
    <xf numFmtId="3" fontId="91" fillId="30" borderId="118" xfId="548" applyNumberFormat="1" applyFont="1" applyFill="1" applyBorder="1"/>
    <xf numFmtId="168" fontId="91" fillId="30" borderId="119" xfId="548" applyNumberFormat="1" applyFont="1" applyFill="1" applyBorder="1"/>
    <xf numFmtId="2" fontId="31" fillId="0" borderId="118" xfId="548" applyNumberFormat="1" applyFont="1" applyBorder="1"/>
    <xf numFmtId="3" fontId="28" fillId="0" borderId="118" xfId="548" applyNumberFormat="1" applyFont="1" applyFill="1" applyBorder="1"/>
    <xf numFmtId="168" fontId="28" fillId="0" borderId="119" xfId="548" applyNumberFormat="1" applyFont="1" applyBorder="1"/>
    <xf numFmtId="167" fontId="31" fillId="0" borderId="0" xfId="2" applyNumberFormat="1" applyFont="1"/>
    <xf numFmtId="3" fontId="91" fillId="30" borderId="0" xfId="548" applyNumberFormat="1" applyFont="1" applyFill="1" applyBorder="1"/>
    <xf numFmtId="2" fontId="31" fillId="0" borderId="0" xfId="548" applyNumberFormat="1" applyFont="1" applyBorder="1"/>
    <xf numFmtId="3" fontId="28" fillId="0" borderId="0" xfId="548" applyNumberFormat="1" applyFont="1" applyFill="1" applyBorder="1"/>
    <xf numFmtId="0" fontId="31" fillId="0" borderId="28" xfId="0" applyFont="1" applyBorder="1"/>
    <xf numFmtId="167" fontId="28" fillId="0" borderId="31" xfId="2" applyNumberFormat="1" applyFont="1" applyBorder="1"/>
    <xf numFmtId="166" fontId="91" fillId="30" borderId="18" xfId="548" applyNumberFormat="1" applyFont="1" applyFill="1" applyBorder="1"/>
    <xf numFmtId="10" fontId="28" fillId="0" borderId="0" xfId="548" applyNumberFormat="1" applyFont="1" applyBorder="1" applyAlignment="1">
      <alignment horizontal="center"/>
    </xf>
    <xf numFmtId="166" fontId="28" fillId="0" borderId="18" xfId="548" applyNumberFormat="1" applyFont="1" applyBorder="1"/>
    <xf numFmtId="10" fontId="31" fillId="0" borderId="12" xfId="0" applyNumberFormat="1" applyFont="1" applyBorder="1"/>
    <xf numFmtId="167" fontId="31" fillId="0" borderId="14" xfId="2" applyNumberFormat="1" applyFont="1" applyBorder="1"/>
    <xf numFmtId="171" fontId="91" fillId="30" borderId="120" xfId="548" applyNumberFormat="1" applyFont="1" applyFill="1" applyBorder="1"/>
    <xf numFmtId="171" fontId="91" fillId="30" borderId="122" xfId="548" applyNumberFormat="1" applyFont="1" applyFill="1" applyBorder="1"/>
    <xf numFmtId="43" fontId="22" fillId="0" borderId="0" xfId="1" applyFont="1"/>
    <xf numFmtId="171" fontId="28" fillId="59" borderId="120" xfId="548" applyNumberFormat="1" applyFont="1" applyFill="1" applyBorder="1"/>
    <xf numFmtId="172" fontId="28" fillId="59" borderId="121" xfId="1" applyNumberFormat="1" applyFont="1" applyFill="1" applyBorder="1"/>
    <xf numFmtId="171" fontId="28" fillId="59" borderId="122" xfId="548" applyNumberFormat="1" applyFont="1" applyFill="1" applyBorder="1"/>
    <xf numFmtId="44" fontId="31" fillId="0" borderId="18" xfId="2" applyNumberFormat="1" applyFont="1" applyBorder="1"/>
    <xf numFmtId="0" fontId="93" fillId="30" borderId="33" xfId="548" applyFont="1" applyFill="1" applyBorder="1"/>
    <xf numFmtId="0" fontId="93" fillId="30" borderId="17" xfId="548" applyFont="1" applyFill="1" applyBorder="1"/>
    <xf numFmtId="0" fontId="31" fillId="0" borderId="33" xfId="548" applyFont="1" applyFill="1" applyBorder="1"/>
    <xf numFmtId="0" fontId="31" fillId="0" borderId="17" xfId="548" applyFont="1" applyBorder="1"/>
    <xf numFmtId="167" fontId="31" fillId="0" borderId="14" xfId="0" applyNumberFormat="1" applyFont="1" applyBorder="1"/>
    <xf numFmtId="165" fontId="22" fillId="30" borderId="79" xfId="0" applyNumberFormat="1" applyFont="1" applyFill="1" applyBorder="1"/>
    <xf numFmtId="44" fontId="31" fillId="0" borderId="22" xfId="2" applyNumberFormat="1" applyFont="1" applyBorder="1"/>
    <xf numFmtId="165" fontId="13" fillId="30" borderId="79" xfId="0" applyNumberFormat="1" applyFont="1" applyFill="1" applyBorder="1"/>
    <xf numFmtId="165" fontId="31" fillId="0" borderId="0" xfId="0" applyNumberFormat="1" applyFont="1"/>
    <xf numFmtId="44" fontId="28" fillId="0" borderId="14" xfId="2" applyFont="1" applyBorder="1"/>
    <xf numFmtId="0" fontId="108" fillId="0" borderId="20" xfId="0" applyFont="1" applyFill="1" applyBorder="1" applyAlignment="1">
      <alignment horizontal="center"/>
    </xf>
    <xf numFmtId="0" fontId="108" fillId="0" borderId="21" xfId="0" applyFont="1" applyFill="1" applyBorder="1" applyAlignment="1">
      <alignment horizontal="center"/>
    </xf>
    <xf numFmtId="0" fontId="108" fillId="0" borderId="22" xfId="0" applyFont="1" applyFill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13" fillId="26" borderId="8" xfId="0" applyFont="1" applyFill="1" applyBorder="1"/>
    <xf numFmtId="0" fontId="22" fillId="26" borderId="8" xfId="0" applyFont="1" applyFill="1" applyBorder="1"/>
    <xf numFmtId="0" fontId="13" fillId="26" borderId="9" xfId="0" applyFont="1" applyFill="1" applyBorder="1"/>
    <xf numFmtId="0" fontId="13" fillId="29" borderId="6" xfId="0" applyFont="1" applyFill="1" applyBorder="1" applyAlignment="1">
      <alignment horizontal="center"/>
    </xf>
    <xf numFmtId="0" fontId="13" fillId="29" borderId="8" xfId="0" applyFont="1" applyFill="1" applyBorder="1" applyAlignment="1">
      <alignment horizontal="center"/>
    </xf>
    <xf numFmtId="0" fontId="13" fillId="29" borderId="9" xfId="0" applyFont="1" applyFill="1" applyBorder="1" applyAlignment="1">
      <alignment horizontal="center"/>
    </xf>
    <xf numFmtId="166" fontId="22" fillId="0" borderId="0" xfId="2" applyNumberFormat="1" applyFont="1" applyBorder="1"/>
    <xf numFmtId="0" fontId="13" fillId="0" borderId="18" xfId="0" applyFont="1" applyBorder="1"/>
    <xf numFmtId="0" fontId="13" fillId="29" borderId="16" xfId="0" applyFont="1" applyFill="1" applyBorder="1" applyAlignment="1">
      <alignment horizontal="center"/>
    </xf>
    <xf numFmtId="0" fontId="13" fillId="29" borderId="0" xfId="0" applyFont="1" applyFill="1" applyBorder="1" applyAlignment="1">
      <alignment horizontal="center"/>
    </xf>
    <xf numFmtId="0" fontId="13" fillId="29" borderId="18" xfId="0" applyFont="1" applyFill="1" applyBorder="1" applyAlignment="1">
      <alignment horizontal="center"/>
    </xf>
    <xf numFmtId="0" fontId="93" fillId="30" borderId="16" xfId="0" applyFont="1" applyFill="1" applyBorder="1" applyAlignment="1"/>
    <xf numFmtId="168" fontId="93" fillId="30" borderId="18" xfId="0" applyNumberFormat="1" applyFont="1" applyFill="1" applyBorder="1"/>
    <xf numFmtId="168" fontId="21" fillId="0" borderId="16" xfId="0" applyNumberFormat="1" applyFont="1" applyFill="1" applyBorder="1"/>
    <xf numFmtId="168" fontId="21" fillId="0" borderId="0" xfId="0" applyNumberFormat="1" applyFont="1" applyFill="1" applyBorder="1"/>
    <xf numFmtId="168" fontId="93" fillId="0" borderId="0" xfId="0" applyNumberFormat="1" applyFont="1" applyFill="1" applyBorder="1"/>
    <xf numFmtId="0" fontId="22" fillId="0" borderId="20" xfId="0" applyFont="1" applyBorder="1"/>
    <xf numFmtId="10" fontId="22" fillId="0" borderId="21" xfId="3" applyNumberFormat="1" applyFont="1" applyBorder="1"/>
    <xf numFmtId="166" fontId="28" fillId="0" borderId="22" xfId="0" applyNumberFormat="1" applyFont="1" applyBorder="1"/>
    <xf numFmtId="10" fontId="22" fillId="30" borderId="0" xfId="3" applyNumberFormat="1" applyFont="1" applyFill="1"/>
    <xf numFmtId="0" fontId="31" fillId="0" borderId="80" xfId="0" applyFont="1" applyBorder="1"/>
    <xf numFmtId="10" fontId="31" fillId="0" borderId="29" xfId="0" applyNumberFormat="1" applyFont="1" applyBorder="1"/>
    <xf numFmtId="165" fontId="31" fillId="0" borderId="79" xfId="0" applyNumberFormat="1" applyFont="1" applyBorder="1"/>
    <xf numFmtId="10" fontId="93" fillId="0" borderId="0" xfId="3" applyNumberFormat="1" applyFont="1" applyBorder="1"/>
    <xf numFmtId="0" fontId="13" fillId="0" borderId="20" xfId="0" applyFont="1" applyBorder="1"/>
    <xf numFmtId="0" fontId="13" fillId="0" borderId="21" xfId="0" applyFont="1" applyBorder="1"/>
    <xf numFmtId="17" fontId="13" fillId="0" borderId="21" xfId="0" applyNumberFormat="1" applyFont="1" applyBorder="1"/>
    <xf numFmtId="17" fontId="13" fillId="0" borderId="22" xfId="0" applyNumberFormat="1" applyFont="1" applyBorder="1" applyAlignment="1">
      <alignment horizontal="right"/>
    </xf>
    <xf numFmtId="0" fontId="22" fillId="0" borderId="0" xfId="0" applyNumberFormat="1" applyFont="1"/>
    <xf numFmtId="0" fontId="22" fillId="0" borderId="46" xfId="0" applyFont="1" applyBorder="1"/>
    <xf numFmtId="0" fontId="22" fillId="0" borderId="47" xfId="0" applyFont="1" applyBorder="1"/>
    <xf numFmtId="165" fontId="22" fillId="0" borderId="47" xfId="0" applyNumberFormat="1" applyFont="1" applyBorder="1" applyAlignment="1">
      <alignment horizontal="left"/>
    </xf>
    <xf numFmtId="165" fontId="22" fillId="0" borderId="66" xfId="0" applyNumberFormat="1" applyFont="1" applyBorder="1"/>
    <xf numFmtId="0" fontId="22" fillId="0" borderId="8" xfId="0" applyFont="1" applyBorder="1"/>
    <xf numFmtId="0" fontId="22" fillId="0" borderId="9" xfId="0" applyFont="1" applyBorder="1"/>
    <xf numFmtId="0" fontId="13" fillId="0" borderId="0" xfId="0" applyFont="1" applyFill="1"/>
    <xf numFmtId="6" fontId="22" fillId="0" borderId="0" xfId="0" applyNumberFormat="1" applyFont="1" applyFill="1"/>
    <xf numFmtId="0" fontId="22" fillId="0" borderId="14" xfId="0" applyFont="1" applyBorder="1"/>
    <xf numFmtId="0" fontId="22" fillId="0" borderId="0" xfId="0" applyFont="1" applyFill="1" applyAlignment="1">
      <alignment wrapText="1"/>
    </xf>
    <xf numFmtId="167" fontId="22" fillId="61" borderId="0" xfId="0" applyNumberFormat="1" applyFont="1" applyFill="1"/>
    <xf numFmtId="0" fontId="22" fillId="61" borderId="0" xfId="0" applyFont="1" applyFill="1"/>
    <xf numFmtId="0" fontId="28" fillId="29" borderId="6" xfId="0" applyFont="1" applyFill="1" applyBorder="1" applyAlignment="1">
      <alignment horizontal="center"/>
    </xf>
    <xf numFmtId="0" fontId="28" fillId="29" borderId="8" xfId="0" applyFont="1" applyFill="1" applyBorder="1" applyAlignment="1">
      <alignment horizontal="center"/>
    </xf>
    <xf numFmtId="0" fontId="28" fillId="29" borderId="9" xfId="0" applyFont="1" applyFill="1" applyBorder="1" applyAlignment="1">
      <alignment horizontal="center"/>
    </xf>
    <xf numFmtId="178" fontId="31" fillId="0" borderId="0" xfId="0" applyNumberFormat="1" applyFont="1"/>
    <xf numFmtId="165" fontId="91" fillId="30" borderId="23" xfId="0" applyNumberFormat="1" applyFont="1" applyFill="1" applyBorder="1"/>
    <xf numFmtId="17" fontId="28" fillId="0" borderId="0" xfId="0" applyNumberFormat="1" applyFont="1" applyBorder="1"/>
    <xf numFmtId="17" fontId="28" fillId="0" borderId="0" xfId="0" applyNumberFormat="1" applyFont="1" applyBorder="1" applyAlignment="1">
      <alignment horizontal="right"/>
    </xf>
    <xf numFmtId="0" fontId="93" fillId="0" borderId="17" xfId="0" applyFont="1" applyFill="1" applyBorder="1"/>
    <xf numFmtId="10" fontId="93" fillId="0" borderId="0" xfId="0" applyNumberFormat="1" applyFont="1" applyFill="1" applyBorder="1"/>
    <xf numFmtId="165" fontId="31" fillId="0" borderId="0" xfId="0" applyNumberFormat="1" applyFont="1" applyBorder="1" applyAlignment="1">
      <alignment horizontal="left"/>
    </xf>
    <xf numFmtId="0" fontId="22" fillId="30" borderId="8" xfId="0" applyFont="1" applyFill="1" applyBorder="1"/>
    <xf numFmtId="0" fontId="22" fillId="30" borderId="9" xfId="0" applyFont="1" applyFill="1" applyBorder="1"/>
    <xf numFmtId="0" fontId="22" fillId="30" borderId="16" xfId="0" applyFont="1" applyFill="1" applyBorder="1"/>
    <xf numFmtId="0" fontId="22" fillId="30" borderId="0" xfId="0" applyFont="1" applyFill="1" applyBorder="1"/>
    <xf numFmtId="0" fontId="22" fillId="30" borderId="18" xfId="0" applyFont="1" applyFill="1" applyBorder="1"/>
    <xf numFmtId="164" fontId="109" fillId="0" borderId="0" xfId="0" applyNumberFormat="1" applyFont="1" applyAlignment="1">
      <alignment horizontal="left"/>
    </xf>
    <xf numFmtId="1" fontId="31" fillId="0" borderId="78" xfId="0" applyNumberFormat="1" applyFont="1" applyBorder="1" applyAlignment="1">
      <alignment horizontal="center"/>
    </xf>
    <xf numFmtId="44" fontId="31" fillId="0" borderId="0" xfId="2" applyFont="1" applyBorder="1"/>
    <xf numFmtId="44" fontId="31" fillId="0" borderId="0" xfId="2" applyNumberFormat="1" applyFont="1" applyBorder="1"/>
    <xf numFmtId="10" fontId="31" fillId="0" borderId="0" xfId="0" applyNumberFormat="1" applyFont="1"/>
    <xf numFmtId="165" fontId="31" fillId="0" borderId="36" xfId="0" applyNumberFormat="1" applyFont="1" applyBorder="1"/>
    <xf numFmtId="165" fontId="91" fillId="12" borderId="14" xfId="0" applyNumberFormat="1" applyFont="1" applyFill="1" applyBorder="1"/>
    <xf numFmtId="0" fontId="28" fillId="0" borderId="6" xfId="0" applyFont="1" applyBorder="1"/>
    <xf numFmtId="0" fontId="28" fillId="0" borderId="8" xfId="0" applyFont="1" applyBorder="1"/>
    <xf numFmtId="17" fontId="28" fillId="0" borderId="8" xfId="0" applyNumberFormat="1" applyFont="1" applyBorder="1"/>
    <xf numFmtId="17" fontId="28" fillId="0" borderId="9" xfId="0" applyNumberFormat="1" applyFont="1" applyBorder="1" applyAlignment="1">
      <alignment horizontal="right"/>
    </xf>
    <xf numFmtId="0" fontId="31" fillId="0" borderId="75" xfId="0" applyFont="1" applyBorder="1" applyAlignment="1">
      <alignment horizontal="left"/>
    </xf>
    <xf numFmtId="0" fontId="31" fillId="0" borderId="76" xfId="0" applyFont="1" applyBorder="1" applyAlignment="1">
      <alignment horizontal="left"/>
    </xf>
    <xf numFmtId="165" fontId="31" fillId="0" borderId="44" xfId="0" applyNumberFormat="1" applyFont="1" applyBorder="1" applyAlignment="1">
      <alignment horizontal="left"/>
    </xf>
    <xf numFmtId="44" fontId="31" fillId="0" borderId="64" xfId="2" applyFont="1" applyFill="1" applyBorder="1"/>
    <xf numFmtId="0" fontId="31" fillId="0" borderId="46" xfId="0" applyFont="1" applyBorder="1" applyAlignment="1">
      <alignment horizontal="left"/>
    </xf>
    <xf numFmtId="0" fontId="31" fillId="0" borderId="47" xfId="0" applyFont="1" applyBorder="1" applyAlignment="1">
      <alignment horizontal="left"/>
    </xf>
    <xf numFmtId="165" fontId="31" fillId="0" borderId="47" xfId="0" applyNumberFormat="1" applyFont="1" applyBorder="1" applyAlignment="1">
      <alignment horizontal="left"/>
    </xf>
    <xf numFmtId="0" fontId="31" fillId="0" borderId="28" xfId="0" applyFont="1" applyBorder="1" applyAlignment="1">
      <alignment horizontal="left"/>
    </xf>
    <xf numFmtId="0" fontId="31" fillId="0" borderId="79" xfId="0" applyFont="1" applyBorder="1" applyAlignment="1">
      <alignment horizontal="left"/>
    </xf>
    <xf numFmtId="0" fontId="31" fillId="0" borderId="37" xfId="0" applyFont="1" applyBorder="1" applyAlignment="1">
      <alignment horizontal="left"/>
    </xf>
    <xf numFmtId="0" fontId="31" fillId="0" borderId="123" xfId="0" applyFont="1" applyBorder="1" applyAlignment="1">
      <alignment horizontal="left"/>
    </xf>
    <xf numFmtId="165" fontId="31" fillId="0" borderId="72" xfId="0" applyNumberFormat="1" applyFont="1" applyBorder="1" applyAlignment="1">
      <alignment horizontal="left"/>
    </xf>
    <xf numFmtId="0" fontId="54" fillId="0" borderId="0" xfId="0" applyFont="1"/>
    <xf numFmtId="0" fontId="53" fillId="0" borderId="0" xfId="0" applyFont="1"/>
    <xf numFmtId="0" fontId="104" fillId="0" borderId="0" xfId="0" applyFont="1"/>
    <xf numFmtId="0" fontId="31" fillId="11" borderId="6" xfId="0" applyFont="1" applyFill="1" applyBorder="1" applyAlignment="1">
      <alignment horizontal="center"/>
    </xf>
    <xf numFmtId="0" fontId="31" fillId="11" borderId="8" xfId="0" applyFont="1" applyFill="1" applyBorder="1" applyAlignment="1">
      <alignment horizontal="center"/>
    </xf>
    <xf numFmtId="0" fontId="31" fillId="11" borderId="9" xfId="0" applyFont="1" applyFill="1" applyBorder="1" applyAlignment="1">
      <alignment horizontal="center"/>
    </xf>
    <xf numFmtId="167" fontId="31" fillId="0" borderId="22" xfId="2" applyNumberFormat="1" applyFont="1" applyBorder="1"/>
    <xf numFmtId="10" fontId="31" fillId="0" borderId="8" xfId="0" applyNumberFormat="1" applyFont="1" applyBorder="1"/>
    <xf numFmtId="44" fontId="31" fillId="0" borderId="9" xfId="2" applyNumberFormat="1" applyFont="1" applyBorder="1"/>
    <xf numFmtId="0" fontId="31" fillId="0" borderId="35" xfId="0" applyFont="1" applyBorder="1"/>
    <xf numFmtId="167" fontId="31" fillId="0" borderId="36" xfId="2" applyNumberFormat="1" applyFont="1" applyBorder="1"/>
    <xf numFmtId="0" fontId="31" fillId="12" borderId="11" xfId="0" applyFont="1" applyFill="1" applyBorder="1"/>
    <xf numFmtId="0" fontId="31" fillId="12" borderId="12" xfId="0" applyFont="1" applyFill="1" applyBorder="1"/>
    <xf numFmtId="44" fontId="31" fillId="12" borderId="14" xfId="2" applyFont="1" applyFill="1" applyBorder="1"/>
    <xf numFmtId="0" fontId="110" fillId="0" borderId="0" xfId="0" applyFont="1"/>
    <xf numFmtId="0" fontId="110" fillId="0" borderId="0" xfId="0" applyFont="1" applyBorder="1"/>
    <xf numFmtId="2" fontId="58" fillId="0" borderId="8" xfId="0" quotePrefix="1" applyNumberFormat="1" applyFont="1" applyFill="1" applyBorder="1"/>
    <xf numFmtId="1" fontId="58" fillId="0" borderId="8" xfId="0" applyNumberFormat="1" applyFont="1" applyFill="1" applyBorder="1"/>
    <xf numFmtId="0" fontId="24" fillId="59" borderId="0" xfId="0" applyFont="1" applyFill="1"/>
    <xf numFmtId="16" fontId="58" fillId="0" borderId="0" xfId="0" quotePrefix="1" applyNumberFormat="1" applyFont="1" applyFill="1" applyBorder="1"/>
    <xf numFmtId="0" fontId="24" fillId="62" borderId="0" xfId="0" applyFont="1" applyFill="1" applyBorder="1"/>
    <xf numFmtId="0" fontId="58" fillId="59" borderId="47" xfId="0" applyFont="1" applyFill="1" applyBorder="1" applyAlignment="1">
      <alignment horizontal="center" wrapText="1"/>
    </xf>
    <xf numFmtId="168" fontId="58" fillId="59" borderId="47" xfId="0" applyNumberFormat="1" applyFont="1" applyFill="1" applyBorder="1" applyAlignment="1">
      <alignment horizontal="center"/>
    </xf>
    <xf numFmtId="1" fontId="58" fillId="59" borderId="47" xfId="0" applyNumberFormat="1" applyFont="1" applyFill="1" applyBorder="1" applyAlignment="1">
      <alignment horizontal="center"/>
    </xf>
    <xf numFmtId="168" fontId="58" fillId="59" borderId="66" xfId="0" applyNumberFormat="1" applyFont="1" applyFill="1" applyBorder="1" applyAlignment="1">
      <alignment horizontal="center"/>
    </xf>
    <xf numFmtId="0" fontId="24" fillId="59" borderId="16" xfId="0" applyFont="1" applyFill="1" applyBorder="1"/>
    <xf numFmtId="168" fontId="49" fillId="59" borderId="0" xfId="0" applyNumberFormat="1" applyFont="1" applyFill="1" applyBorder="1" applyAlignment="1">
      <alignment horizontal="center"/>
    </xf>
    <xf numFmtId="168" fontId="24" fillId="0" borderId="16" xfId="0" applyNumberFormat="1" applyFont="1" applyBorder="1" applyAlignment="1">
      <alignment horizontal="left"/>
    </xf>
    <xf numFmtId="168" fontId="24" fillId="0" borderId="0" xfId="0" applyNumberFormat="1" applyFont="1" applyBorder="1"/>
    <xf numFmtId="2" fontId="24" fillId="0" borderId="0" xfId="0" applyNumberFormat="1" applyFont="1" applyFill="1" applyBorder="1"/>
    <xf numFmtId="168" fontId="21" fillId="59" borderId="0" xfId="0" applyNumberFormat="1" applyFont="1" applyFill="1" applyBorder="1"/>
    <xf numFmtId="168" fontId="24" fillId="0" borderId="0" xfId="0" applyNumberFormat="1" applyFont="1" applyBorder="1" applyAlignment="1">
      <alignment horizontal="right"/>
    </xf>
    <xf numFmtId="10" fontId="24" fillId="0" borderId="0" xfId="0" applyNumberFormat="1" applyFont="1" applyBorder="1"/>
    <xf numFmtId="1" fontId="24" fillId="0" borderId="0" xfId="0" applyNumberFormat="1" applyFont="1" applyBorder="1"/>
    <xf numFmtId="0" fontId="111" fillId="62" borderId="0" xfId="0" applyFont="1" applyFill="1" applyBorder="1"/>
    <xf numFmtId="0" fontId="24" fillId="0" borderId="56" xfId="0" applyFont="1" applyBorder="1"/>
    <xf numFmtId="0" fontId="24" fillId="0" borderId="57" xfId="0" applyFont="1" applyBorder="1"/>
    <xf numFmtId="174" fontId="24" fillId="0" borderId="57" xfId="0" applyNumberFormat="1" applyFont="1" applyBorder="1"/>
    <xf numFmtId="2" fontId="24" fillId="0" borderId="57" xfId="0" applyNumberFormat="1" applyFont="1" applyFill="1" applyBorder="1"/>
    <xf numFmtId="174" fontId="21" fillId="59" borderId="0" xfId="0" applyNumberFormat="1" applyFont="1" applyFill="1" applyBorder="1"/>
    <xf numFmtId="0" fontId="24" fillId="62" borderId="16" xfId="0" applyFont="1" applyFill="1" applyBorder="1"/>
    <xf numFmtId="0" fontId="24" fillId="0" borderId="16" xfId="0" applyFont="1" applyBorder="1"/>
    <xf numFmtId="174" fontId="24" fillId="0" borderId="0" xfId="0" applyNumberFormat="1" applyFont="1" applyBorder="1"/>
    <xf numFmtId="174" fontId="22" fillId="59" borderId="0" xfId="0" applyNumberFormat="1" applyFont="1" applyFill="1" applyBorder="1"/>
    <xf numFmtId="167" fontId="24" fillId="0" borderId="0" xfId="2" applyNumberFormat="1" applyFont="1" applyBorder="1"/>
    <xf numFmtId="168" fontId="24" fillId="0" borderId="18" xfId="0" applyNumberFormat="1" applyFont="1" applyFill="1" applyBorder="1"/>
    <xf numFmtId="168" fontId="24" fillId="0" borderId="36" xfId="0" applyNumberFormat="1" applyFont="1" applyBorder="1"/>
    <xf numFmtId="4" fontId="24" fillId="62" borderId="0" xfId="0" applyNumberFormat="1" applyFont="1" applyFill="1" applyBorder="1"/>
    <xf numFmtId="2" fontId="58" fillId="0" borderId="99" xfId="0" applyNumberFormat="1" applyFont="1" applyFill="1" applyBorder="1"/>
    <xf numFmtId="10" fontId="24" fillId="0" borderId="0" xfId="0" applyNumberFormat="1" applyFont="1" applyFill="1" applyBorder="1"/>
    <xf numFmtId="2" fontId="24" fillId="0" borderId="0" xfId="0" applyNumberFormat="1" applyFont="1" applyBorder="1"/>
    <xf numFmtId="0" fontId="31" fillId="0" borderId="16" xfId="0" applyFont="1" applyFill="1" applyBorder="1" applyAlignment="1"/>
    <xf numFmtId="0" fontId="58" fillId="0" borderId="125" xfId="0" applyFont="1" applyBorder="1"/>
    <xf numFmtId="0" fontId="58" fillId="0" borderId="126" xfId="0" applyFont="1" applyBorder="1"/>
    <xf numFmtId="168" fontId="58" fillId="0" borderId="126" xfId="0" applyNumberFormat="1" applyFont="1" applyBorder="1"/>
    <xf numFmtId="2" fontId="58" fillId="0" borderId="126" xfId="0" applyNumberFormat="1" applyFont="1" applyBorder="1"/>
    <xf numFmtId="10" fontId="58" fillId="0" borderId="0" xfId="3" applyNumberFormat="1" applyFont="1" applyBorder="1"/>
    <xf numFmtId="9" fontId="24" fillId="0" borderId="0" xfId="0" applyNumberFormat="1" applyFont="1" applyFill="1" applyBorder="1"/>
    <xf numFmtId="171" fontId="58" fillId="59" borderId="120" xfId="0" applyNumberFormat="1" applyFont="1" applyFill="1" applyBorder="1"/>
    <xf numFmtId="171" fontId="58" fillId="59" borderId="121" xfId="0" applyNumberFormat="1" applyFont="1" applyFill="1" applyBorder="1"/>
    <xf numFmtId="10" fontId="49" fillId="59" borderId="0" xfId="3" applyNumberFormat="1" applyFont="1" applyFill="1" applyBorder="1"/>
    <xf numFmtId="171" fontId="49" fillId="59" borderId="0" xfId="0" applyNumberFormat="1" applyFont="1" applyFill="1" applyBorder="1"/>
    <xf numFmtId="0" fontId="24" fillId="59" borderId="0" xfId="0" applyFont="1" applyFill="1" applyBorder="1"/>
    <xf numFmtId="171" fontId="49" fillId="0" borderId="0" xfId="0" applyNumberFormat="1" applyFont="1" applyFill="1" applyBorder="1"/>
    <xf numFmtId="44" fontId="22" fillId="0" borderId="0" xfId="2" applyFont="1" applyFill="1" applyBorder="1"/>
    <xf numFmtId="0" fontId="99" fillId="0" borderId="0" xfId="0" applyFont="1"/>
    <xf numFmtId="1" fontId="58" fillId="0" borderId="0" xfId="0" applyNumberFormat="1" applyFont="1" applyFill="1" applyBorder="1"/>
    <xf numFmtId="16" fontId="28" fillId="0" borderId="0" xfId="0" quotePrefix="1" applyNumberFormat="1" applyFont="1" applyFill="1" applyBorder="1"/>
    <xf numFmtId="1" fontId="28" fillId="0" borderId="0" xfId="0" applyNumberFormat="1" applyFont="1" applyFill="1" applyBorder="1"/>
    <xf numFmtId="1" fontId="28" fillId="0" borderId="0" xfId="0" applyNumberFormat="1" applyFont="1" applyFill="1" applyBorder="1" applyAlignment="1">
      <alignment horizontal="right"/>
    </xf>
    <xf numFmtId="0" fontId="31" fillId="0" borderId="44" xfId="0" applyFont="1" applyBorder="1"/>
    <xf numFmtId="172" fontId="31" fillId="0" borderId="0" xfId="1" applyNumberFormat="1" applyFont="1" applyFill="1" applyBorder="1"/>
    <xf numFmtId="168" fontId="49" fillId="0" borderId="0" xfId="0" applyNumberFormat="1" applyFont="1" applyFill="1" applyBorder="1" applyAlignment="1">
      <alignment horizontal="center"/>
    </xf>
    <xf numFmtId="168" fontId="24" fillId="59" borderId="0" xfId="0" applyNumberFormat="1" applyFont="1" applyFill="1" applyBorder="1" applyAlignment="1">
      <alignment horizontal="center" wrapText="1"/>
    </xf>
    <xf numFmtId="1" fontId="58" fillId="0" borderId="0" xfId="0" applyNumberFormat="1" applyFont="1" applyFill="1" applyBorder="1" applyAlignment="1">
      <alignment horizontal="right"/>
    </xf>
    <xf numFmtId="0" fontId="58" fillId="0" borderId="0" xfId="0" applyFont="1" applyFill="1" applyBorder="1" applyAlignment="1">
      <alignment horizontal="center" wrapText="1"/>
    </xf>
    <xf numFmtId="168" fontId="58" fillId="0" borderId="0" xfId="0" applyNumberFormat="1" applyFont="1" applyFill="1" applyBorder="1" applyAlignment="1">
      <alignment horizontal="center"/>
    </xf>
    <xf numFmtId="1" fontId="58" fillId="0" borderId="0" xfId="0" applyNumberFormat="1" applyFont="1" applyFill="1" applyBorder="1" applyAlignment="1">
      <alignment horizontal="center"/>
    </xf>
    <xf numFmtId="0" fontId="31" fillId="0" borderId="131" xfId="0" applyFont="1" applyFill="1" applyBorder="1"/>
    <xf numFmtId="0" fontId="31" fillId="0" borderId="54" xfId="0" applyFont="1" applyFill="1" applyBorder="1"/>
    <xf numFmtId="174" fontId="21" fillId="0" borderId="0" xfId="0" applyNumberFormat="1" applyFont="1" applyFill="1" applyBorder="1"/>
    <xf numFmtId="174" fontId="22" fillId="0" borderId="0" xfId="0" applyNumberFormat="1" applyFont="1" applyFill="1" applyBorder="1"/>
    <xf numFmtId="1" fontId="24" fillId="0" borderId="0" xfId="0" applyNumberFormat="1" applyFont="1" applyFill="1" applyBorder="1"/>
    <xf numFmtId="0" fontId="31" fillId="0" borderId="26" xfId="0" applyFont="1" applyFill="1" applyBorder="1" applyAlignment="1"/>
    <xf numFmtId="2" fontId="31" fillId="0" borderId="26" xfId="0" applyNumberFormat="1" applyFont="1" applyFill="1" applyBorder="1"/>
    <xf numFmtId="167" fontId="28" fillId="0" borderId="51" xfId="2" applyNumberFormat="1" applyFont="1" applyFill="1" applyBorder="1"/>
    <xf numFmtId="174" fontId="24" fillId="0" borderId="0" xfId="0" applyNumberFormat="1" applyFont="1" applyFill="1" applyBorder="1"/>
    <xf numFmtId="2" fontId="31" fillId="0" borderId="0" xfId="0" applyNumberFormat="1" applyFont="1" applyFill="1" applyBorder="1"/>
    <xf numFmtId="0" fontId="31" fillId="0" borderId="25" xfId="0" applyFont="1" applyFill="1" applyBorder="1"/>
    <xf numFmtId="10" fontId="31" fillId="0" borderId="26" xfId="0" applyNumberFormat="1" applyFont="1" applyFill="1" applyBorder="1"/>
    <xf numFmtId="167" fontId="31" fillId="0" borderId="51" xfId="2" applyNumberFormat="1" applyFont="1" applyFill="1" applyBorder="1"/>
    <xf numFmtId="0" fontId="31" fillId="0" borderId="0" xfId="0" applyFont="1" applyFill="1" applyBorder="1" applyAlignment="1"/>
    <xf numFmtId="167" fontId="28" fillId="0" borderId="18" xfId="2" applyNumberFormat="1" applyFont="1" applyFill="1" applyBorder="1"/>
    <xf numFmtId="10" fontId="31" fillId="0" borderId="26" xfId="0" applyNumberFormat="1" applyFont="1" applyFill="1" applyBorder="1" applyAlignment="1"/>
    <xf numFmtId="44" fontId="28" fillId="0" borderId="18" xfId="2" applyNumberFormat="1" applyFont="1" applyFill="1" applyBorder="1"/>
    <xf numFmtId="171" fontId="28" fillId="62" borderId="11" xfId="0" applyNumberFormat="1" applyFont="1" applyFill="1" applyBorder="1"/>
    <xf numFmtId="171" fontId="28" fillId="62" borderId="12" xfId="0" applyNumberFormat="1" applyFont="1" applyFill="1" applyBorder="1"/>
    <xf numFmtId="3" fontId="24" fillId="0" borderId="0" xfId="0" applyNumberFormat="1" applyFont="1" applyFill="1" applyBorder="1"/>
    <xf numFmtId="44" fontId="24" fillId="0" borderId="0" xfId="2" applyFont="1" applyFill="1" applyBorder="1"/>
    <xf numFmtId="10" fontId="58" fillId="0" borderId="0" xfId="0" applyNumberFormat="1" applyFont="1" applyFill="1" applyBorder="1"/>
    <xf numFmtId="10" fontId="58" fillId="0" borderId="0" xfId="3" applyNumberFormat="1" applyFont="1" applyFill="1" applyBorder="1"/>
    <xf numFmtId="168" fontId="58" fillId="0" borderId="66" xfId="0" applyNumberFormat="1" applyFont="1" applyFill="1" applyBorder="1" applyAlignment="1">
      <alignment horizontal="center"/>
    </xf>
    <xf numFmtId="0" fontId="11" fillId="0" borderId="0" xfId="0" applyFont="1"/>
    <xf numFmtId="3" fontId="20" fillId="0" borderId="74" xfId="0" applyNumberFormat="1" applyFont="1" applyFill="1" applyBorder="1"/>
    <xf numFmtId="0" fontId="22" fillId="0" borderId="0" xfId="444" applyFont="1"/>
    <xf numFmtId="10" fontId="22" fillId="0" borderId="0" xfId="444" applyNumberFormat="1" applyFont="1" applyBorder="1" applyAlignment="1">
      <alignment horizontal="center"/>
    </xf>
    <xf numFmtId="166" fontId="22" fillId="0" borderId="0" xfId="444" applyNumberFormat="1" applyFont="1" applyBorder="1" applyAlignment="1">
      <alignment horizontal="center"/>
    </xf>
    <xf numFmtId="166" fontId="22" fillId="0" borderId="0" xfId="444" applyNumberFormat="1" applyFont="1" applyFill="1" applyBorder="1" applyAlignment="1">
      <alignment horizontal="center"/>
    </xf>
    <xf numFmtId="10" fontId="22" fillId="0" borderId="0" xfId="444" applyNumberFormat="1" applyFont="1" applyBorder="1"/>
    <xf numFmtId="5" fontId="22" fillId="0" borderId="0" xfId="179" applyNumberFormat="1" applyFont="1" applyFill="1" applyBorder="1" applyAlignment="1">
      <alignment horizontal="center"/>
    </xf>
    <xf numFmtId="37" fontId="22" fillId="0" borderId="35" xfId="72" applyNumberFormat="1" applyFont="1" applyBorder="1" applyAlignment="1">
      <alignment horizontal="center"/>
    </xf>
    <xf numFmtId="37" fontId="22" fillId="0" borderId="35" xfId="72" applyNumberFormat="1" applyFont="1" applyFill="1" applyBorder="1" applyAlignment="1">
      <alignment horizontal="center"/>
    </xf>
  </cellXfs>
  <cellStyles count="1247">
    <cellStyle name="20% - Accent1 2" xfId="28"/>
    <cellStyle name="20% - Accent2 2" xfId="29"/>
    <cellStyle name="20% - Accent3 2" xfId="30"/>
    <cellStyle name="20% - Accent4 2" xfId="31"/>
    <cellStyle name="20% - Accent5 2" xfId="32"/>
    <cellStyle name="20% - Accent6 2" xfId="33"/>
    <cellStyle name="40% - Accent1 2" xfId="34"/>
    <cellStyle name="40% - Accent2 2" xfId="35"/>
    <cellStyle name="40% - Accent3 2" xfId="36"/>
    <cellStyle name="40% - Accent4 2" xfId="37"/>
    <cellStyle name="40% - Accent5 2" xfId="38"/>
    <cellStyle name="40% - Accent6 2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2 2" xfId="53"/>
    <cellStyle name="Accent3 2" xfId="54"/>
    <cellStyle name="Accent4 2" xfId="55"/>
    <cellStyle name="Accent5 2" xfId="56"/>
    <cellStyle name="Accent6 2" xfId="57"/>
    <cellStyle name="Bad 2" xfId="58"/>
    <cellStyle name="Bad 3" xfId="59"/>
    <cellStyle name="Body: normal cell" xfId="60"/>
    <cellStyle name="Calculation 2" xfId="61"/>
    <cellStyle name="Calculation 2 2" xfId="62"/>
    <cellStyle name="Calculation 2 3" xfId="63"/>
    <cellStyle name="Calculation 3" xfId="64"/>
    <cellStyle name="Check Cell 2" xfId="65"/>
    <cellStyle name="Comma" xfId="1" builtinId="3"/>
    <cellStyle name="Comma [0] 2" xfId="66"/>
    <cellStyle name="Comma 10" xfId="67"/>
    <cellStyle name="Comma 10 2" xfId="68"/>
    <cellStyle name="Comma 10 2 2" xfId="69"/>
    <cellStyle name="Comma 10 3" xfId="70"/>
    <cellStyle name="Comma 11" xfId="71"/>
    <cellStyle name="Comma 11 2" xfId="72"/>
    <cellStyle name="Comma 2" xfId="73"/>
    <cellStyle name="Comma 2 2" xfId="74"/>
    <cellStyle name="Comma 2 2 2" xfId="75"/>
    <cellStyle name="Comma 2 3" xfId="76"/>
    <cellStyle name="Comma 2 3 2" xfId="23"/>
    <cellStyle name="Comma 3" xfId="77"/>
    <cellStyle name="Comma 3 2" xfId="78"/>
    <cellStyle name="Comma 3 2 2" xfId="79"/>
    <cellStyle name="Comma 3 2 2 2" xfId="80"/>
    <cellStyle name="Comma 3 2 2 2 2" xfId="81"/>
    <cellStyle name="Comma 3 2 2 2 2 2" xfId="82"/>
    <cellStyle name="Comma 3 2 2 2 3" xfId="83"/>
    <cellStyle name="Comma 3 2 2 3" xfId="84"/>
    <cellStyle name="Comma 3 2 2 3 2" xfId="85"/>
    <cellStyle name="Comma 3 2 2 4" xfId="86"/>
    <cellStyle name="Comma 3 2 3" xfId="87"/>
    <cellStyle name="Comma 3 2 4" xfId="88"/>
    <cellStyle name="Comma 3 2 4 2" xfId="89"/>
    <cellStyle name="Comma 3 2 4 2 2" xfId="90"/>
    <cellStyle name="Comma 3 2 4 3" xfId="91"/>
    <cellStyle name="Comma 3 2 5" xfId="92"/>
    <cellStyle name="Comma 3 2 5 2" xfId="93"/>
    <cellStyle name="Comma 3 2 6" xfId="94"/>
    <cellStyle name="Comma 3 3" xfId="95"/>
    <cellStyle name="Comma 3 3 2" xfId="96"/>
    <cellStyle name="Comma 3 3 2 2" xfId="97"/>
    <cellStyle name="Comma 3 3 2 2 2" xfId="98"/>
    <cellStyle name="Comma 3 3 2 3" xfId="99"/>
    <cellStyle name="Comma 3 3 3" xfId="100"/>
    <cellStyle name="Comma 3 3 3 2" xfId="101"/>
    <cellStyle name="Comma 3 3 4" xfId="102"/>
    <cellStyle name="Comma 3 4" xfId="103"/>
    <cellStyle name="Comma 3 4 2" xfId="104"/>
    <cellStyle name="Comma 3 4 2 2" xfId="105"/>
    <cellStyle name="Comma 3 4 2 2 2" xfId="106"/>
    <cellStyle name="Comma 3 4 2 3" xfId="107"/>
    <cellStyle name="Comma 3 4 3" xfId="108"/>
    <cellStyle name="Comma 3 4 3 2" xfId="109"/>
    <cellStyle name="Comma 3 4 4" xfId="110"/>
    <cellStyle name="Comma 3 5" xfId="111"/>
    <cellStyle name="Comma 3 5 2" xfId="112"/>
    <cellStyle name="Comma 3 5 2 2" xfId="113"/>
    <cellStyle name="Comma 3 5 2 2 2" xfId="114"/>
    <cellStyle name="Comma 3 5 2 3" xfId="115"/>
    <cellStyle name="Comma 3 5 3" xfId="116"/>
    <cellStyle name="Comma 3 5 3 2" xfId="117"/>
    <cellStyle name="Comma 3 5 4" xfId="118"/>
    <cellStyle name="Comma 4" xfId="119"/>
    <cellStyle name="Comma 4 2" xfId="15"/>
    <cellStyle name="Comma 5" xfId="120"/>
    <cellStyle name="Comma 5 2" xfId="121"/>
    <cellStyle name="Comma 5 3" xfId="122"/>
    <cellStyle name="Comma 6" xfId="123"/>
    <cellStyle name="Comma 6 2" xfId="124"/>
    <cellStyle name="Comma 6 3" xfId="125"/>
    <cellStyle name="Comma 6 3 2" xfId="126"/>
    <cellStyle name="Comma 6 3 2 2" xfId="127"/>
    <cellStyle name="Comma 6 3 2 2 2" xfId="128"/>
    <cellStyle name="Comma 6 3 2 3" xfId="129"/>
    <cellStyle name="Comma 6 3 3" xfId="130"/>
    <cellStyle name="Comma 6 3 3 2" xfId="131"/>
    <cellStyle name="Comma 6 3 4" xfId="132"/>
    <cellStyle name="Comma 7" xfId="133"/>
    <cellStyle name="Comma 7 2" xfId="134"/>
    <cellStyle name="Comma 7 3" xfId="135"/>
    <cellStyle name="Comma 7 3 2" xfId="136"/>
    <cellStyle name="Comma 7 3 2 2" xfId="137"/>
    <cellStyle name="Comma 7 3 3" xfId="138"/>
    <cellStyle name="Comma 7 4" xfId="139"/>
    <cellStyle name="Comma 7 4 2" xfId="140"/>
    <cellStyle name="Comma 7 5" xfId="141"/>
    <cellStyle name="Comma 8" xfId="18"/>
    <cellStyle name="Comma 8 2" xfId="142"/>
    <cellStyle name="Comma 8 2 2" xfId="143"/>
    <cellStyle name="Comma 8 2 2 2" xfId="144"/>
    <cellStyle name="Comma 8 2 3" xfId="145"/>
    <cellStyle name="Comma 8 3" xfId="146"/>
    <cellStyle name="Comma 8 3 2" xfId="147"/>
    <cellStyle name="Comma 8 4" xfId="148"/>
    <cellStyle name="Comma 9" xfId="149"/>
    <cellStyle name="Comma 9 2" xfId="150"/>
    <cellStyle name="Comma 9 2 2" xfId="151"/>
    <cellStyle name="Comma 9 2 2 2" xfId="152"/>
    <cellStyle name="Comma 9 2 3" xfId="153"/>
    <cellStyle name="Comma 9 3" xfId="154"/>
    <cellStyle name="Comma 9 3 2" xfId="155"/>
    <cellStyle name="Comma 9 4" xfId="156"/>
    <cellStyle name="Currency" xfId="2" builtinId="4"/>
    <cellStyle name="Currency [0] 2" xfId="157"/>
    <cellStyle name="Currency 10" xfId="158"/>
    <cellStyle name="Currency 10 2" xfId="159"/>
    <cellStyle name="Currency 10 2 2" xfId="160"/>
    <cellStyle name="Currency 10 3" xfId="161"/>
    <cellStyle name="Currency 11" xfId="162"/>
    <cellStyle name="Currency 11 2" xfId="163"/>
    <cellStyle name="Currency 11 2 2" xfId="164"/>
    <cellStyle name="Currency 11 3" xfId="165"/>
    <cellStyle name="Currency 12" xfId="166"/>
    <cellStyle name="Currency 12 2" xfId="167"/>
    <cellStyle name="Currency 13" xfId="168"/>
    <cellStyle name="Currency 14" xfId="169"/>
    <cellStyle name="Currency 15" xfId="170"/>
    <cellStyle name="Currency 16" xfId="171"/>
    <cellStyle name="Currency 17" xfId="172"/>
    <cellStyle name="Currency 18" xfId="173"/>
    <cellStyle name="Currency 19" xfId="174"/>
    <cellStyle name="Currency 2" xfId="175"/>
    <cellStyle name="Currency 2 2" xfId="176"/>
    <cellStyle name="Currency 2 2 2" xfId="177"/>
    <cellStyle name="Currency 2 2 2 2" xfId="178"/>
    <cellStyle name="Currency 2 2 2 3" xfId="179"/>
    <cellStyle name="Currency 2 3" xfId="8"/>
    <cellStyle name="Currency 2 3 2" xfId="180"/>
    <cellStyle name="Currency 2 3 2 2" xfId="181"/>
    <cellStyle name="Currency 2 3 2 2 2" xfId="182"/>
    <cellStyle name="Currency 2 3 2 2 2 2" xfId="183"/>
    <cellStyle name="Currency 2 3 2 2 3" xfId="184"/>
    <cellStyle name="Currency 2 3 2 3" xfId="185"/>
    <cellStyle name="Currency 2 3 2 3 2" xfId="186"/>
    <cellStyle name="Currency 2 3 2 4" xfId="187"/>
    <cellStyle name="Currency 2 3 3" xfId="188"/>
    <cellStyle name="Currency 2 3 4" xfId="189"/>
    <cellStyle name="Currency 2 3 4 2" xfId="190"/>
    <cellStyle name="Currency 2 3 4 2 2" xfId="191"/>
    <cellStyle name="Currency 2 3 4 3" xfId="192"/>
    <cellStyle name="Currency 2 3 5" xfId="193"/>
    <cellStyle name="Currency 2 3 5 2" xfId="194"/>
    <cellStyle name="Currency 2 3 6" xfId="195"/>
    <cellStyle name="Currency 2 4" xfId="196"/>
    <cellStyle name="Currency 2 4 2" xfId="197"/>
    <cellStyle name="Currency 2 4 2 2" xfId="198"/>
    <cellStyle name="Currency 2 4 2 2 2" xfId="199"/>
    <cellStyle name="Currency 2 4 2 3" xfId="200"/>
    <cellStyle name="Currency 2 4 2 4" xfId="201"/>
    <cellStyle name="Currency 2 4 2 5" xfId="1246"/>
    <cellStyle name="Currency 2 4 3" xfId="202"/>
    <cellStyle name="Currency 2 4 3 2" xfId="203"/>
    <cellStyle name="Currency 2 4 4" xfId="204"/>
    <cellStyle name="Currency 2 4 5" xfId="205"/>
    <cellStyle name="Currency 2 5" xfId="206"/>
    <cellStyle name="Currency 2 5 2" xfId="207"/>
    <cellStyle name="Currency 2 5 2 2" xfId="208"/>
    <cellStyle name="Currency 2 5 2 2 2" xfId="209"/>
    <cellStyle name="Currency 2 5 2 3" xfId="210"/>
    <cellStyle name="Currency 2 5 3" xfId="211"/>
    <cellStyle name="Currency 2 5 3 2" xfId="212"/>
    <cellStyle name="Currency 2 5 4" xfId="213"/>
    <cellStyle name="Currency 2 6" xfId="214"/>
    <cellStyle name="Currency 2 6 2" xfId="215"/>
    <cellStyle name="Currency 2 6 2 2" xfId="216"/>
    <cellStyle name="Currency 2 6 2 2 2" xfId="217"/>
    <cellStyle name="Currency 2 6 2 3" xfId="218"/>
    <cellStyle name="Currency 2 6 3" xfId="219"/>
    <cellStyle name="Currency 2 6 3 2" xfId="220"/>
    <cellStyle name="Currency 2 6 4" xfId="221"/>
    <cellStyle name="Currency 20" xfId="222"/>
    <cellStyle name="Currency 21" xfId="223"/>
    <cellStyle name="Currency 22" xfId="224"/>
    <cellStyle name="Currency 23" xfId="225"/>
    <cellStyle name="Currency 24" xfId="226"/>
    <cellStyle name="Currency 25" xfId="227"/>
    <cellStyle name="Currency 26" xfId="228"/>
    <cellStyle name="Currency 27" xfId="229"/>
    <cellStyle name="Currency 28" xfId="230"/>
    <cellStyle name="Currency 29" xfId="231"/>
    <cellStyle name="Currency 3" xfId="232"/>
    <cellStyle name="Currency 3 2" xfId="233"/>
    <cellStyle name="Currency 3 2 2" xfId="234"/>
    <cellStyle name="Currency 3 2 2 2" xfId="235"/>
    <cellStyle name="Currency 3 2 2 2 2" xfId="236"/>
    <cellStyle name="Currency 3 2 2 2 2 2" xfId="237"/>
    <cellStyle name="Currency 3 2 2 2 3" xfId="238"/>
    <cellStyle name="Currency 3 2 2 3" xfId="239"/>
    <cellStyle name="Currency 3 2 2 3 2" xfId="240"/>
    <cellStyle name="Currency 3 2 2 4" xfId="241"/>
    <cellStyle name="Currency 3 2 3" xfId="242"/>
    <cellStyle name="Currency 3 2 4" xfId="243"/>
    <cellStyle name="Currency 3 2 4 2" xfId="244"/>
    <cellStyle name="Currency 3 2 4 2 2" xfId="245"/>
    <cellStyle name="Currency 3 2 4 3" xfId="246"/>
    <cellStyle name="Currency 3 2 5" xfId="247"/>
    <cellStyle name="Currency 3 2 5 2" xfId="248"/>
    <cellStyle name="Currency 3 2 6" xfId="249"/>
    <cellStyle name="Currency 3 3" xfId="250"/>
    <cellStyle name="Currency 3 3 2" xfId="251"/>
    <cellStyle name="Currency 3 3 2 2" xfId="252"/>
    <cellStyle name="Currency 3 3 2 2 2" xfId="253"/>
    <cellStyle name="Currency 3 3 2 3" xfId="254"/>
    <cellStyle name="Currency 3 3 3" xfId="255"/>
    <cellStyle name="Currency 3 3 3 2" xfId="256"/>
    <cellStyle name="Currency 3 3 4" xfId="257"/>
    <cellStyle name="Currency 3 4" xfId="258"/>
    <cellStyle name="Currency 3 4 2" xfId="259"/>
    <cellStyle name="Currency 3 4 2 2" xfId="260"/>
    <cellStyle name="Currency 3 4 2 2 2" xfId="261"/>
    <cellStyle name="Currency 3 4 2 3" xfId="262"/>
    <cellStyle name="Currency 3 4 3" xfId="263"/>
    <cellStyle name="Currency 3 4 3 2" xfId="264"/>
    <cellStyle name="Currency 3 4 4" xfId="265"/>
    <cellStyle name="Currency 3 5" xfId="266"/>
    <cellStyle name="Currency 3 5 2" xfId="267"/>
    <cellStyle name="Currency 3 5 2 2" xfId="268"/>
    <cellStyle name="Currency 3 5 2 2 2" xfId="269"/>
    <cellStyle name="Currency 3 5 2 3" xfId="270"/>
    <cellStyle name="Currency 3 5 3" xfId="271"/>
    <cellStyle name="Currency 3 5 3 2" xfId="272"/>
    <cellStyle name="Currency 3 5 4" xfId="273"/>
    <cellStyle name="Currency 3 6" xfId="274"/>
    <cellStyle name="Currency 3 7" xfId="275"/>
    <cellStyle name="Currency 3 8" xfId="276"/>
    <cellStyle name="Currency 30" xfId="277"/>
    <cellStyle name="Currency 31" xfId="278"/>
    <cellStyle name="Currency 32" xfId="279"/>
    <cellStyle name="Currency 33" xfId="280"/>
    <cellStyle name="Currency 34" xfId="281"/>
    <cellStyle name="Currency 35" xfId="282"/>
    <cellStyle name="Currency 36" xfId="283"/>
    <cellStyle name="Currency 37" xfId="284"/>
    <cellStyle name="Currency 38" xfId="285"/>
    <cellStyle name="Currency 39" xfId="286"/>
    <cellStyle name="Currency 4" xfId="287"/>
    <cellStyle name="Currency 4 10" xfId="288"/>
    <cellStyle name="Currency 4 11" xfId="289"/>
    <cellStyle name="Currency 4 2" xfId="290"/>
    <cellStyle name="Currency 4 2 2" xfId="11"/>
    <cellStyle name="Currency 4 2 2 2" xfId="24"/>
    <cellStyle name="Currency 4 2 2 2 2" xfId="291"/>
    <cellStyle name="Currency 4 2 2 2 2 2" xfId="292"/>
    <cellStyle name="Currency 4 2 2 2 3" xfId="293"/>
    <cellStyle name="Currency 4 2 2 3" xfId="294"/>
    <cellStyle name="Currency 4 2 2 3 2" xfId="295"/>
    <cellStyle name="Currency 4 2 2 4" xfId="296"/>
    <cellStyle name="Currency 4 2 3" xfId="297"/>
    <cellStyle name="Currency 4 2 4" xfId="298"/>
    <cellStyle name="Currency 4 2 4 2" xfId="299"/>
    <cellStyle name="Currency 4 2 4 2 2" xfId="300"/>
    <cellStyle name="Currency 4 2 4 2 2 2" xfId="301"/>
    <cellStyle name="Currency 4 2 4 2 3" xfId="302"/>
    <cellStyle name="Currency 4 2 4 3" xfId="303"/>
    <cellStyle name="Currency 4 2 4 3 2" xfId="304"/>
    <cellStyle name="Currency 4 2 4 4" xfId="305"/>
    <cellStyle name="Currency 4 2 5" xfId="306"/>
    <cellStyle name="Currency 4 2 5 2" xfId="307"/>
    <cellStyle name="Currency 4 2 5 2 2" xfId="308"/>
    <cellStyle name="Currency 4 2 5 3" xfId="309"/>
    <cellStyle name="Currency 4 2 6" xfId="310"/>
    <cellStyle name="Currency 4 2 6 2" xfId="311"/>
    <cellStyle name="Currency 4 2 7" xfId="312"/>
    <cellStyle name="Currency 4 3" xfId="313"/>
    <cellStyle name="Currency 4 3 2" xfId="314"/>
    <cellStyle name="Currency 4 3 2 2" xfId="315"/>
    <cellStyle name="Currency 4 3 2 2 2" xfId="316"/>
    <cellStyle name="Currency 4 3 2 2 2 2" xfId="317"/>
    <cellStyle name="Currency 4 3 2 2 3" xfId="318"/>
    <cellStyle name="Currency 4 3 2 3" xfId="319"/>
    <cellStyle name="Currency 4 3 2 3 2" xfId="320"/>
    <cellStyle name="Currency 4 3 2 4" xfId="321"/>
    <cellStyle name="Currency 4 3 3" xfId="322"/>
    <cellStyle name="Currency 4 3 3 2" xfId="323"/>
    <cellStyle name="Currency 4 3 3 2 2" xfId="324"/>
    <cellStyle name="Currency 4 3 3 3" xfId="325"/>
    <cellStyle name="Currency 4 3 4" xfId="326"/>
    <cellStyle name="Currency 4 3 4 2" xfId="327"/>
    <cellStyle name="Currency 4 3 5" xfId="328"/>
    <cellStyle name="Currency 4 4" xfId="329"/>
    <cellStyle name="Currency 4 4 2" xfId="330"/>
    <cellStyle name="Currency 4 4 2 2" xfId="331"/>
    <cellStyle name="Currency 4 4 2 2 2" xfId="332"/>
    <cellStyle name="Currency 4 4 2 2 2 2" xfId="333"/>
    <cellStyle name="Currency 4 4 2 2 3" xfId="334"/>
    <cellStyle name="Currency 4 4 2 3" xfId="335"/>
    <cellStyle name="Currency 4 4 2 3 2" xfId="336"/>
    <cellStyle name="Currency 4 4 2 4" xfId="337"/>
    <cellStyle name="Currency 4 4 3" xfId="338"/>
    <cellStyle name="Currency 4 4 3 2" xfId="339"/>
    <cellStyle name="Currency 4 4 3 2 2" xfId="340"/>
    <cellStyle name="Currency 4 4 3 3" xfId="341"/>
    <cellStyle name="Currency 4 4 4" xfId="342"/>
    <cellStyle name="Currency 4 4 4 2" xfId="343"/>
    <cellStyle name="Currency 4 4 5" xfId="344"/>
    <cellStyle name="Currency 4 5" xfId="345"/>
    <cellStyle name="Currency 4 5 2" xfId="346"/>
    <cellStyle name="Currency 4 5 2 2" xfId="347"/>
    <cellStyle name="Currency 4 5 2 2 2" xfId="348"/>
    <cellStyle name="Currency 4 5 2 3" xfId="349"/>
    <cellStyle name="Currency 4 5 3" xfId="350"/>
    <cellStyle name="Currency 4 5 3 2" xfId="351"/>
    <cellStyle name="Currency 4 5 4" xfId="352"/>
    <cellStyle name="Currency 4 6" xfId="353"/>
    <cellStyle name="Currency 4 6 2" xfId="354"/>
    <cellStyle name="Currency 4 6 2 2" xfId="355"/>
    <cellStyle name="Currency 4 6 2 2 2" xfId="356"/>
    <cellStyle name="Currency 4 6 2 3" xfId="357"/>
    <cellStyle name="Currency 4 6 3" xfId="358"/>
    <cellStyle name="Currency 4 6 3 2" xfId="359"/>
    <cellStyle name="Currency 4 6 4" xfId="360"/>
    <cellStyle name="Currency 4 7" xfId="361"/>
    <cellStyle name="Currency 4 7 2" xfId="362"/>
    <cellStyle name="Currency 4 7 2 2" xfId="363"/>
    <cellStyle name="Currency 4 7 2 2 2" xfId="364"/>
    <cellStyle name="Currency 4 7 2 3" xfId="365"/>
    <cellStyle name="Currency 4 7 3" xfId="366"/>
    <cellStyle name="Currency 4 7 3 2" xfId="367"/>
    <cellStyle name="Currency 4 7 4" xfId="368"/>
    <cellStyle name="Currency 4 8" xfId="369"/>
    <cellStyle name="Currency 4 8 2" xfId="370"/>
    <cellStyle name="Currency 4 8 2 2" xfId="371"/>
    <cellStyle name="Currency 4 8 3" xfId="372"/>
    <cellStyle name="Currency 4 9" xfId="373"/>
    <cellStyle name="Currency 4 9 2" xfId="374"/>
    <cellStyle name="Currency 40" xfId="375"/>
    <cellStyle name="Currency 41" xfId="376"/>
    <cellStyle name="Currency 42" xfId="377"/>
    <cellStyle name="Currency 43" xfId="378"/>
    <cellStyle name="Currency 44" xfId="379"/>
    <cellStyle name="Currency 45" xfId="380"/>
    <cellStyle name="Currency 46" xfId="381"/>
    <cellStyle name="Currency 47" xfId="382"/>
    <cellStyle name="Currency 49" xfId="383"/>
    <cellStyle name="Currency 5" xfId="384"/>
    <cellStyle name="Currency 5 2" xfId="385"/>
    <cellStyle name="Currency 5 2 2" xfId="386"/>
    <cellStyle name="Currency 5 3" xfId="387"/>
    <cellStyle name="Currency 5 3 2" xfId="388"/>
    <cellStyle name="Currency 5 3 3" xfId="389"/>
    <cellStyle name="Currency 5 4" xfId="390"/>
    <cellStyle name="Currency 5 5" xfId="391"/>
    <cellStyle name="Currency 5 6" xfId="392"/>
    <cellStyle name="Currency 6" xfId="393"/>
    <cellStyle name="Currency 6 2" xfId="394"/>
    <cellStyle name="Currency 6 2 2" xfId="395"/>
    <cellStyle name="Currency 6 2 2 2" xfId="396"/>
    <cellStyle name="Currency 6 2 3" xfId="397"/>
    <cellStyle name="Currency 6 3" xfId="398"/>
    <cellStyle name="Currency 6 3 2" xfId="399"/>
    <cellStyle name="Currency 6 4" xfId="400"/>
    <cellStyle name="Currency 7" xfId="401"/>
    <cellStyle name="Currency 7 2" xfId="402"/>
    <cellStyle name="Currency 7 2 2" xfId="403"/>
    <cellStyle name="Currency 7 2 2 2" xfId="404"/>
    <cellStyle name="Currency 7 2 3" xfId="405"/>
    <cellStyle name="Currency 7 3" xfId="406"/>
    <cellStyle name="Currency 7 3 2" xfId="407"/>
    <cellStyle name="Currency 7 4" xfId="408"/>
    <cellStyle name="Currency 8" xfId="20"/>
    <cellStyle name="Currency 8 2" xfId="409"/>
    <cellStyle name="Currency 8 2 2" xfId="410"/>
    <cellStyle name="Currency 8 3" xfId="411"/>
    <cellStyle name="Currency 9" xfId="412"/>
    <cellStyle name="Currency 9 2" xfId="413"/>
    <cellStyle name="Currency 9 2 2" xfId="414"/>
    <cellStyle name="Currency 9 3" xfId="415"/>
    <cellStyle name="Explanatory Text 2" xfId="416"/>
    <cellStyle name="Explanatory Text 2 2" xfId="417"/>
    <cellStyle name="Explanatory Text 2 3" xfId="418"/>
    <cellStyle name="Font: Calibri, 9pt regular" xfId="419"/>
    <cellStyle name="Footnotes: top row" xfId="420"/>
    <cellStyle name="Good 2" xfId="421"/>
    <cellStyle name="Header: bottom row" xfId="422"/>
    <cellStyle name="Heading 1 2" xfId="423"/>
    <cellStyle name="Heading 1 2 2" xfId="424"/>
    <cellStyle name="Heading 1 2 3" xfId="425"/>
    <cellStyle name="Heading 2 2" xfId="426"/>
    <cellStyle name="Heading 2 2 2" xfId="427"/>
    <cellStyle name="Heading 2 2 3" xfId="428"/>
    <cellStyle name="Heading 3 2" xfId="429"/>
    <cellStyle name="Heading 3 2 2" xfId="430"/>
    <cellStyle name="Heading 3 2 3" xfId="431"/>
    <cellStyle name="Heading 4 2" xfId="432"/>
    <cellStyle name="Heading 4 2 2" xfId="433"/>
    <cellStyle name="Heading 4 2 3" xfId="434"/>
    <cellStyle name="Hyperlink 2" xfId="435"/>
    <cellStyle name="Input 2" xfId="436"/>
    <cellStyle name="Input 2 2" xfId="437"/>
    <cellStyle name="Input 2 3" xfId="438"/>
    <cellStyle name="Linked Cell 2" xfId="439"/>
    <cellStyle name="Linked Cell 2 2" xfId="440"/>
    <cellStyle name="Linked Cell 2 3" xfId="441"/>
    <cellStyle name="Neutral 2" xfId="442"/>
    <cellStyle name="Neutral 3" xfId="443"/>
    <cellStyle name="Normal" xfId="0" builtinId="0"/>
    <cellStyle name="Normal 10" xfId="6"/>
    <cellStyle name="Normal 10 2" xfId="444"/>
    <cellStyle name="Normal 10 2 2" xfId="445"/>
    <cellStyle name="Normal 10 2 2 2" xfId="446"/>
    <cellStyle name="Normal 10 2 2 2 2" xfId="447"/>
    <cellStyle name="Normal 10 2 2 3" xfId="448"/>
    <cellStyle name="Normal 10 2 3" xfId="449"/>
    <cellStyle name="Normal 10 2 3 2" xfId="450"/>
    <cellStyle name="Normal 10 2 4" xfId="451"/>
    <cellStyle name="Normal 10 3" xfId="452"/>
    <cellStyle name="Normal 10 3 2" xfId="453"/>
    <cellStyle name="Normal 10 4" xfId="454"/>
    <cellStyle name="Normal 10 4 2" xfId="455"/>
    <cellStyle name="Normal 10 4 2 2" xfId="456"/>
    <cellStyle name="Normal 10 4 3" xfId="457"/>
    <cellStyle name="Normal 10 5" xfId="458"/>
    <cellStyle name="Normal 10 5 2" xfId="459"/>
    <cellStyle name="Normal 10 6" xfId="460"/>
    <cellStyle name="Normal 11" xfId="461"/>
    <cellStyle name="Normal 11 2" xfId="462"/>
    <cellStyle name="Normal 11 2 2" xfId="463"/>
    <cellStyle name="Normal 12" xfId="17"/>
    <cellStyle name="Normal 12 2" xfId="464"/>
    <cellStyle name="Normal 12 2 2" xfId="465"/>
    <cellStyle name="Normal 12 2 2 2" xfId="466"/>
    <cellStyle name="Normal 12 2 3" xfId="467"/>
    <cellStyle name="Normal 12 3" xfId="468"/>
    <cellStyle name="Normal 12 3 2" xfId="469"/>
    <cellStyle name="Normal 12 4" xfId="470"/>
    <cellStyle name="Normal 13" xfId="12"/>
    <cellStyle name="Normal 13 2" xfId="471"/>
    <cellStyle name="Normal 13 2 2" xfId="472"/>
    <cellStyle name="Normal 13 2 2 2" xfId="473"/>
    <cellStyle name="Normal 13 2 3" xfId="474"/>
    <cellStyle name="Normal 13 3" xfId="475"/>
    <cellStyle name="Normal 13 3 2" xfId="476"/>
    <cellStyle name="Normal 13 4" xfId="477"/>
    <cellStyle name="Normal 14" xfId="478"/>
    <cellStyle name="Normal 14 2" xfId="479"/>
    <cellStyle name="Normal 15" xfId="480"/>
    <cellStyle name="Normal 15 2" xfId="481"/>
    <cellStyle name="Normal 15 2 2" xfId="482"/>
    <cellStyle name="Normal 15 2 2 2" xfId="483"/>
    <cellStyle name="Normal 15 2 3" xfId="484"/>
    <cellStyle name="Normal 15 2 4" xfId="485"/>
    <cellStyle name="Normal 15 3" xfId="486"/>
    <cellStyle name="Normal 15 3 2" xfId="487"/>
    <cellStyle name="Normal 15 4" xfId="488"/>
    <cellStyle name="Normal 16" xfId="489"/>
    <cellStyle name="Normal 16 2" xfId="490"/>
    <cellStyle name="Normal 16 2 2" xfId="491"/>
    <cellStyle name="Normal 16 3" xfId="492"/>
    <cellStyle name="Normal 17" xfId="493"/>
    <cellStyle name="Normal 17 2" xfId="494"/>
    <cellStyle name="Normal 17 2 2" xfId="495"/>
    <cellStyle name="Normal 17 3" xfId="496"/>
    <cellStyle name="Normal 18" xfId="497"/>
    <cellStyle name="Normal 18 2" xfId="498"/>
    <cellStyle name="Normal 18 2 2" xfId="499"/>
    <cellStyle name="Normal 18 3" xfId="500"/>
    <cellStyle name="Normal 19" xfId="501"/>
    <cellStyle name="Normal 19 2" xfId="502"/>
    <cellStyle name="Normal 19 2 2" xfId="503"/>
    <cellStyle name="Normal 19 3" xfId="504"/>
    <cellStyle name="Normal 2" xfId="10"/>
    <cellStyle name="Normal 2 2" xfId="22"/>
    <cellStyle name="Normal 2 2 2" xfId="505"/>
    <cellStyle name="Normal 2 2 3" xfId="506"/>
    <cellStyle name="Normal 2 3" xfId="507"/>
    <cellStyle name="Normal 2 3 2" xfId="508"/>
    <cellStyle name="Normal 2 3 2 2" xfId="509"/>
    <cellStyle name="Normal 2 3 2 2 2" xfId="510"/>
    <cellStyle name="Normal 2 3 2 2 2 2" xfId="511"/>
    <cellStyle name="Normal 2 3 2 2 2 2 2" xfId="512"/>
    <cellStyle name="Normal 2 3 2 2 2 3" xfId="513"/>
    <cellStyle name="Normal 2 3 2 2 3" xfId="514"/>
    <cellStyle name="Normal 2 3 2 2 3 2" xfId="515"/>
    <cellStyle name="Normal 2 3 2 2 4" xfId="516"/>
    <cellStyle name="Normal 2 3 2 3" xfId="517"/>
    <cellStyle name="Normal 2 3 2 3 2" xfId="518"/>
    <cellStyle name="Normal 2 3 2 3 2 2" xfId="519"/>
    <cellStyle name="Normal 2 3 2 3 3" xfId="520"/>
    <cellStyle name="Normal 2 3 2 4" xfId="521"/>
    <cellStyle name="Normal 2 3 2 4 2" xfId="522"/>
    <cellStyle name="Normal 2 3 2 5" xfId="523"/>
    <cellStyle name="Normal 2 3 3" xfId="524"/>
    <cellStyle name="Normal 2 3 3 2" xfId="525"/>
    <cellStyle name="Normal 2 3 3 2 2" xfId="526"/>
    <cellStyle name="Normal 2 3 3 2 2 2" xfId="527"/>
    <cellStyle name="Normal 2 3 3 2 3" xfId="528"/>
    <cellStyle name="Normal 2 3 3 3" xfId="529"/>
    <cellStyle name="Normal 2 3 3 3 2" xfId="530"/>
    <cellStyle name="Normal 2 3 3 4" xfId="531"/>
    <cellStyle name="Normal 2 3 4" xfId="532"/>
    <cellStyle name="Normal 2 3 4 2" xfId="533"/>
    <cellStyle name="Normal 2 3 4 2 2" xfId="534"/>
    <cellStyle name="Normal 2 3 4 2 2 2" xfId="535"/>
    <cellStyle name="Normal 2 3 4 2 3" xfId="536"/>
    <cellStyle name="Normal 2 3 4 3" xfId="537"/>
    <cellStyle name="Normal 2 3 4 3 2" xfId="538"/>
    <cellStyle name="Normal 2 3 4 4" xfId="539"/>
    <cellStyle name="Normal 2 3 5" xfId="540"/>
    <cellStyle name="Normal 2 3 5 2" xfId="541"/>
    <cellStyle name="Normal 2 3 5 2 2" xfId="542"/>
    <cellStyle name="Normal 2 3 5 3" xfId="543"/>
    <cellStyle name="Normal 2 3 6" xfId="544"/>
    <cellStyle name="Normal 2 3 6 2" xfId="545"/>
    <cellStyle name="Normal 2 3 7" xfId="546"/>
    <cellStyle name="Normal 2 4" xfId="547"/>
    <cellStyle name="Normal 2 4 2" xfId="548"/>
    <cellStyle name="Normal 2 4 3" xfId="549"/>
    <cellStyle name="Normal 2 5" xfId="550"/>
    <cellStyle name="Normal 2 5 2" xfId="551"/>
    <cellStyle name="Normal 2 5 2 2" xfId="552"/>
    <cellStyle name="Normal 2 5 2 2 2" xfId="553"/>
    <cellStyle name="Normal 2 5 2 3" xfId="554"/>
    <cellStyle name="Normal 2 5 3" xfId="555"/>
    <cellStyle name="Normal 2 5 3 2" xfId="556"/>
    <cellStyle name="Normal 2 5 4" xfId="557"/>
    <cellStyle name="Normal 2 6" xfId="558"/>
    <cellStyle name="Normal 2_Current Payroll" xfId="559"/>
    <cellStyle name="Normal 20" xfId="560"/>
    <cellStyle name="Normal 20 2" xfId="561"/>
    <cellStyle name="Normal 20 2 2" xfId="562"/>
    <cellStyle name="Normal 20 3" xfId="563"/>
    <cellStyle name="Normal 21" xfId="564"/>
    <cellStyle name="Normal 21 2" xfId="565"/>
    <cellStyle name="Normal 21 2 2" xfId="566"/>
    <cellStyle name="Normal 21 3" xfId="567"/>
    <cellStyle name="Normal 22" xfId="568"/>
    <cellStyle name="Normal 22 2" xfId="569"/>
    <cellStyle name="Normal 22 2 2" xfId="570"/>
    <cellStyle name="Normal 22 3" xfId="571"/>
    <cellStyle name="Normal 23" xfId="572"/>
    <cellStyle name="Normal 23 2" xfId="573"/>
    <cellStyle name="Normal 23 2 2" xfId="574"/>
    <cellStyle name="Normal 23 3" xfId="575"/>
    <cellStyle name="Normal 24" xfId="576"/>
    <cellStyle name="Normal 24 2" xfId="577"/>
    <cellStyle name="Normal 24 2 2" xfId="578"/>
    <cellStyle name="Normal 24 3" xfId="579"/>
    <cellStyle name="Normal 25" xfId="580"/>
    <cellStyle name="Normal 25 2" xfId="581"/>
    <cellStyle name="Normal 25 2 2" xfId="582"/>
    <cellStyle name="Normal 25 3" xfId="583"/>
    <cellStyle name="Normal 26" xfId="584"/>
    <cellStyle name="Normal 26 2" xfId="585"/>
    <cellStyle name="Normal 26 2 2" xfId="586"/>
    <cellStyle name="Normal 26 3" xfId="587"/>
    <cellStyle name="Normal 27" xfId="588"/>
    <cellStyle name="Normal 27 2" xfId="589"/>
    <cellStyle name="Normal 27 2 2" xfId="590"/>
    <cellStyle name="Normal 27 3" xfId="591"/>
    <cellStyle name="Normal 28" xfId="592"/>
    <cellStyle name="Normal 28 2" xfId="593"/>
    <cellStyle name="Normal 28 2 2" xfId="594"/>
    <cellStyle name="Normal 28 3" xfId="595"/>
    <cellStyle name="Normal 29" xfId="596"/>
    <cellStyle name="Normal 29 2" xfId="597"/>
    <cellStyle name="Normal 29 2 2" xfId="598"/>
    <cellStyle name="Normal 29 3" xfId="599"/>
    <cellStyle name="Normal 3" xfId="13"/>
    <cellStyle name="Normal 3 10" xfId="600"/>
    <cellStyle name="Normal 3 11" xfId="601"/>
    <cellStyle name="Normal 3 12" xfId="602"/>
    <cellStyle name="Normal 3 2" xfId="603"/>
    <cellStyle name="Normal 3 2 2" xfId="604"/>
    <cellStyle name="Normal 3 2 2 2" xfId="605"/>
    <cellStyle name="Normal 3 2 2 2 2" xfId="606"/>
    <cellStyle name="Normal 3 2 2 2 2 2" xfId="607"/>
    <cellStyle name="Normal 3 2 2 2 2 2 2" xfId="608"/>
    <cellStyle name="Normal 3 2 2 2 2 3" xfId="609"/>
    <cellStyle name="Normal 3 2 2 2 3" xfId="610"/>
    <cellStyle name="Normal 3 2 2 2 3 2" xfId="611"/>
    <cellStyle name="Normal 3 2 2 2 4" xfId="612"/>
    <cellStyle name="Normal 3 2 2 3" xfId="613"/>
    <cellStyle name="Normal 3 2 2 3 2" xfId="614"/>
    <cellStyle name="Normal 3 2 2 3 2 2" xfId="615"/>
    <cellStyle name="Normal 3 2 2 3 3" xfId="616"/>
    <cellStyle name="Normal 3 2 2 4" xfId="617"/>
    <cellStyle name="Normal 3 2 2 4 2" xfId="618"/>
    <cellStyle name="Normal 3 2 2 5" xfId="619"/>
    <cellStyle name="Normal 3 2 3" xfId="620"/>
    <cellStyle name="Normal 3 2 3 2" xfId="621"/>
    <cellStyle name="Normal 3 2 3 2 2" xfId="622"/>
    <cellStyle name="Normal 3 2 3 2 2 2" xfId="623"/>
    <cellStyle name="Normal 3 2 3 2 3" xfId="624"/>
    <cellStyle name="Normal 3 2 3 3" xfId="625"/>
    <cellStyle name="Normal 3 2 3 3 2" xfId="626"/>
    <cellStyle name="Normal 3 2 3 4" xfId="627"/>
    <cellStyle name="Normal 3 2 4" xfId="628"/>
    <cellStyle name="Normal 3 2 4 2" xfId="629"/>
    <cellStyle name="Normal 3 2 4 2 2" xfId="630"/>
    <cellStyle name="Normal 3 2 4 2 2 2" xfId="631"/>
    <cellStyle name="Normal 3 2 4 2 3" xfId="632"/>
    <cellStyle name="Normal 3 2 4 3" xfId="633"/>
    <cellStyle name="Normal 3 2 4 3 2" xfId="634"/>
    <cellStyle name="Normal 3 2 4 4" xfId="635"/>
    <cellStyle name="Normal 3 2 5" xfId="636"/>
    <cellStyle name="Normal 3 2 5 2" xfId="637"/>
    <cellStyle name="Normal 3 2 5 2 2" xfId="638"/>
    <cellStyle name="Normal 3 2 5 2 2 2" xfId="639"/>
    <cellStyle name="Normal 3 2 5 2 3" xfId="640"/>
    <cellStyle name="Normal 3 2 5 3" xfId="641"/>
    <cellStyle name="Normal 3 2 5 3 2" xfId="642"/>
    <cellStyle name="Normal 3 2 5 4" xfId="643"/>
    <cellStyle name="Normal 3 3" xfId="644"/>
    <cellStyle name="Normal 3 3 2" xfId="645"/>
    <cellStyle name="Normal 3 3 2 2" xfId="646"/>
    <cellStyle name="Normal 3 3 2 2 2" xfId="647"/>
    <cellStyle name="Normal 3 3 2 2 2 2" xfId="648"/>
    <cellStyle name="Normal 3 3 2 2 3" xfId="649"/>
    <cellStyle name="Normal 3 3 2 3" xfId="650"/>
    <cellStyle name="Normal 3 3 2 3 2" xfId="651"/>
    <cellStyle name="Normal 3 3 2 4" xfId="652"/>
    <cellStyle name="Normal 3 3 3" xfId="653"/>
    <cellStyle name="Normal 3 3 3 2" xfId="654"/>
    <cellStyle name="Normal 3 3 3 2 2" xfId="655"/>
    <cellStyle name="Normal 3 3 3 3" xfId="656"/>
    <cellStyle name="Normal 3 3 4" xfId="657"/>
    <cellStyle name="Normal 3 3 4 2" xfId="658"/>
    <cellStyle name="Normal 3 3 5" xfId="659"/>
    <cellStyle name="Normal 3 4" xfId="660"/>
    <cellStyle name="Normal 3 4 2" xfId="661"/>
    <cellStyle name="Normal 3 4 2 2" xfId="662"/>
    <cellStyle name="Normal 3 4 2 2 2" xfId="663"/>
    <cellStyle name="Normal 3 4 2 3" xfId="664"/>
    <cellStyle name="Normal 3 4 3" xfId="665"/>
    <cellStyle name="Normal 3 4 3 2" xfId="666"/>
    <cellStyle name="Normal 3 4 4" xfId="667"/>
    <cellStyle name="Normal 3 5" xfId="668"/>
    <cellStyle name="Normal 3 5 2" xfId="669"/>
    <cellStyle name="Normal 3 5 2 2" xfId="670"/>
    <cellStyle name="Normal 3 5 2 2 2" xfId="671"/>
    <cellStyle name="Normal 3 5 2 3" xfId="672"/>
    <cellStyle name="Normal 3 5 3" xfId="673"/>
    <cellStyle name="Normal 3 5 3 2" xfId="674"/>
    <cellStyle name="Normal 3 5 4" xfId="675"/>
    <cellStyle name="Normal 3 6" xfId="676"/>
    <cellStyle name="Normal 3 6 2" xfId="677"/>
    <cellStyle name="Normal 3 6 2 2" xfId="678"/>
    <cellStyle name="Normal 3 6 2 2 2" xfId="679"/>
    <cellStyle name="Normal 3 6 2 3" xfId="680"/>
    <cellStyle name="Normal 3 6 3" xfId="681"/>
    <cellStyle name="Normal 3 6 3 2" xfId="682"/>
    <cellStyle name="Normal 3 6 4" xfId="683"/>
    <cellStyle name="Normal 3 7" xfId="684"/>
    <cellStyle name="Normal 3 8" xfId="685"/>
    <cellStyle name="Normal 3 9" xfId="686"/>
    <cellStyle name="Normal 3_Current Payroll" xfId="687"/>
    <cellStyle name="Normal 30" xfId="688"/>
    <cellStyle name="Normal 30 2" xfId="689"/>
    <cellStyle name="Normal 30 2 2" xfId="690"/>
    <cellStyle name="Normal 30 3" xfId="691"/>
    <cellStyle name="Normal 31" xfId="692"/>
    <cellStyle name="Normal 31 2" xfId="693"/>
    <cellStyle name="Normal 31 2 2" xfId="694"/>
    <cellStyle name="Normal 31 3" xfId="695"/>
    <cellStyle name="Normal 32" xfId="696"/>
    <cellStyle name="Normal 32 2" xfId="697"/>
    <cellStyle name="Normal 32 2 2" xfId="698"/>
    <cellStyle name="Normal 32 3" xfId="699"/>
    <cellStyle name="Normal 33" xfId="700"/>
    <cellStyle name="Normal 33 2" xfId="701"/>
    <cellStyle name="Normal 33 2 2" xfId="702"/>
    <cellStyle name="Normal 33 3" xfId="703"/>
    <cellStyle name="Normal 34" xfId="704"/>
    <cellStyle name="Normal 34 2" xfId="705"/>
    <cellStyle name="Normal 35" xfId="706"/>
    <cellStyle name="Normal 36" xfId="707"/>
    <cellStyle name="Normal 37" xfId="708"/>
    <cellStyle name="Normal 38" xfId="709"/>
    <cellStyle name="Normal 39" xfId="710"/>
    <cellStyle name="Normal 4" xfId="711"/>
    <cellStyle name="Normal 4 10" xfId="712"/>
    <cellStyle name="Normal 4 11" xfId="713"/>
    <cellStyle name="Normal 4 2" xfId="16"/>
    <cellStyle name="Normal 4 2 2" xfId="27"/>
    <cellStyle name="Normal 4 2 2 2" xfId="714"/>
    <cellStyle name="Normal 4 2 2 2 2" xfId="715"/>
    <cellStyle name="Normal 4 2 2 2 2 2" xfId="716"/>
    <cellStyle name="Normal 4 2 2 2 2 2 2" xfId="717"/>
    <cellStyle name="Normal 4 2 2 2 2 3" xfId="718"/>
    <cellStyle name="Normal 4 2 2 2 3" xfId="719"/>
    <cellStyle name="Normal 4 2 2 2 3 2" xfId="720"/>
    <cellStyle name="Normal 4 2 2 2 4" xfId="721"/>
    <cellStyle name="Normal 4 2 2 3" xfId="722"/>
    <cellStyle name="Normal 4 2 2 3 2" xfId="723"/>
    <cellStyle name="Normal 4 2 2 3 2 2" xfId="724"/>
    <cellStyle name="Normal 4 2 2 3 3" xfId="725"/>
    <cellStyle name="Normal 4 2 2 4" xfId="726"/>
    <cellStyle name="Normal 4 2 2 4 2" xfId="727"/>
    <cellStyle name="Normal 4 2 2 5" xfId="728"/>
    <cellStyle name="Normal 4 2 3" xfId="729"/>
    <cellStyle name="Normal 4 2 3 2" xfId="730"/>
    <cellStyle name="Normal 4 2 3 2 2" xfId="731"/>
    <cellStyle name="Normal 4 2 3 2 2 2" xfId="732"/>
    <cellStyle name="Normal 4 2 3 2 3" xfId="733"/>
    <cellStyle name="Normal 4 2 3 3" xfId="734"/>
    <cellStyle name="Normal 4 2 3 3 2" xfId="735"/>
    <cellStyle name="Normal 4 2 3 4" xfId="736"/>
    <cellStyle name="Normal 4 2 4" xfId="737"/>
    <cellStyle name="Normal 4 2 4 2" xfId="738"/>
    <cellStyle name="Normal 4 2 4 2 2" xfId="739"/>
    <cellStyle name="Normal 4 2 4 2 2 2" xfId="740"/>
    <cellStyle name="Normal 4 2 4 2 3" xfId="741"/>
    <cellStyle name="Normal 4 2 4 3" xfId="742"/>
    <cellStyle name="Normal 4 2 4 3 2" xfId="743"/>
    <cellStyle name="Normal 4 2 4 4" xfId="744"/>
    <cellStyle name="Normal 4 2 5" xfId="745"/>
    <cellStyle name="Normal 4 2 5 2" xfId="746"/>
    <cellStyle name="Normal 4 2 5 2 2" xfId="747"/>
    <cellStyle name="Normal 4 2 5 2 2 2" xfId="748"/>
    <cellStyle name="Normal 4 2 5 2 3" xfId="749"/>
    <cellStyle name="Normal 4 2 5 3" xfId="750"/>
    <cellStyle name="Normal 4 2 5 3 2" xfId="751"/>
    <cellStyle name="Normal 4 2 5 4" xfId="752"/>
    <cellStyle name="Normal 4 2 6" xfId="753"/>
    <cellStyle name="Normal 4 2 6 2" xfId="754"/>
    <cellStyle name="Normal 4 2 6 2 2" xfId="755"/>
    <cellStyle name="Normal 4 2 6 3" xfId="756"/>
    <cellStyle name="Normal 4 2 7" xfId="757"/>
    <cellStyle name="Normal 4 2 7 2" xfId="758"/>
    <cellStyle name="Normal 4 2 8" xfId="759"/>
    <cellStyle name="Normal 4 3" xfId="760"/>
    <cellStyle name="Normal 4 3 2" xfId="761"/>
    <cellStyle name="Normal 4 3 2 2" xfId="762"/>
    <cellStyle name="Normal 4 3 2 2 2" xfId="763"/>
    <cellStyle name="Normal 4 3 2 2 2 2" xfId="764"/>
    <cellStyle name="Normal 4 3 2 2 3" xfId="765"/>
    <cellStyle name="Normal 4 3 2 3" xfId="766"/>
    <cellStyle name="Normal 4 3 2 3 2" xfId="767"/>
    <cellStyle name="Normal 4 3 2 4" xfId="768"/>
    <cellStyle name="Normal 4 3 3" xfId="769"/>
    <cellStyle name="Normal 4 3 3 2" xfId="770"/>
    <cellStyle name="Normal 4 3 3 2 2" xfId="771"/>
    <cellStyle name="Normal 4 3 3 2 2 2" xfId="772"/>
    <cellStyle name="Normal 4 3 3 2 3" xfId="773"/>
    <cellStyle name="Normal 4 3 3 3" xfId="774"/>
    <cellStyle name="Normal 4 3 3 3 2" xfId="775"/>
    <cellStyle name="Normal 4 3 3 4" xfId="776"/>
    <cellStyle name="Normal 4 3 4" xfId="777"/>
    <cellStyle name="Normal 4 3 4 2" xfId="778"/>
    <cellStyle name="Normal 4 3 4 2 2" xfId="779"/>
    <cellStyle name="Normal 4 3 4 3" xfId="780"/>
    <cellStyle name="Normal 4 3 5" xfId="781"/>
    <cellStyle name="Normal 4 3 5 2" xfId="782"/>
    <cellStyle name="Normal 4 3 6" xfId="783"/>
    <cellStyle name="Normal 4 4" xfId="784"/>
    <cellStyle name="Normal 4 4 2" xfId="785"/>
    <cellStyle name="Normal 4 4 2 2" xfId="786"/>
    <cellStyle name="Normal 4 4 2 2 2" xfId="787"/>
    <cellStyle name="Normal 4 4 2 2 2 2" xfId="788"/>
    <cellStyle name="Normal 4 4 2 2 3" xfId="789"/>
    <cellStyle name="Normal 4 4 2 3" xfId="790"/>
    <cellStyle name="Normal 4 4 2 3 2" xfId="791"/>
    <cellStyle name="Normal 4 4 2 4" xfId="792"/>
    <cellStyle name="Normal 4 4 3" xfId="793"/>
    <cellStyle name="Normal 4 4 3 2" xfId="794"/>
    <cellStyle name="Normal 4 4 3 2 2" xfId="795"/>
    <cellStyle name="Normal 4 4 3 3" xfId="796"/>
    <cellStyle name="Normal 4 4 4" xfId="797"/>
    <cellStyle name="Normal 4 4 4 2" xfId="798"/>
    <cellStyle name="Normal 4 4 5" xfId="799"/>
    <cellStyle name="Normal 4 5" xfId="800"/>
    <cellStyle name="Normal 4 5 2" xfId="801"/>
    <cellStyle name="Normal 4 5 2 2" xfId="802"/>
    <cellStyle name="Normal 4 5 2 2 2" xfId="803"/>
    <cellStyle name="Normal 4 5 2 2 2 2" xfId="804"/>
    <cellStyle name="Normal 4 5 2 2 3" xfId="805"/>
    <cellStyle name="Normal 4 5 2 3" xfId="806"/>
    <cellStyle name="Normal 4 5 2 3 2" xfId="807"/>
    <cellStyle name="Normal 4 5 2 4" xfId="808"/>
    <cellStyle name="Normal 4 5 3" xfId="809"/>
    <cellStyle name="Normal 4 5 3 2" xfId="810"/>
    <cellStyle name="Normal 4 5 3 2 2" xfId="811"/>
    <cellStyle name="Normal 4 5 3 3" xfId="812"/>
    <cellStyle name="Normal 4 5 4" xfId="813"/>
    <cellStyle name="Normal 4 5 4 2" xfId="814"/>
    <cellStyle name="Normal 4 5 5" xfId="815"/>
    <cellStyle name="Normal 4 6" xfId="816"/>
    <cellStyle name="Normal 4 7" xfId="817"/>
    <cellStyle name="Normal 4 7 2" xfId="818"/>
    <cellStyle name="Normal 4 7 2 2" xfId="819"/>
    <cellStyle name="Normal 4 7 2 2 2" xfId="820"/>
    <cellStyle name="Normal 4 7 2 3" xfId="821"/>
    <cellStyle name="Normal 4 7 3" xfId="822"/>
    <cellStyle name="Normal 4 7 3 2" xfId="823"/>
    <cellStyle name="Normal 4 7 4" xfId="824"/>
    <cellStyle name="Normal 4 8" xfId="825"/>
    <cellStyle name="Normal 4 8 2" xfId="826"/>
    <cellStyle name="Normal 4 8 2 2" xfId="827"/>
    <cellStyle name="Normal 4 8 3" xfId="828"/>
    <cellStyle name="Normal 4 9" xfId="829"/>
    <cellStyle name="Normal 4 9 2" xfId="830"/>
    <cellStyle name="Normal 4_Current Payroll" xfId="831"/>
    <cellStyle name="Normal 40" xfId="26"/>
    <cellStyle name="Normal 5" xfId="832"/>
    <cellStyle name="Normal 5 10" xfId="4"/>
    <cellStyle name="Normal 5 10 2" xfId="833"/>
    <cellStyle name="Normal 5 11" xfId="834"/>
    <cellStyle name="Normal 5 12" xfId="835"/>
    <cellStyle name="Normal 5 13" xfId="836"/>
    <cellStyle name="Normal 5 2" xfId="837"/>
    <cellStyle name="Normal 5 2 2" xfId="838"/>
    <cellStyle name="Normal 5 2 2 2" xfId="839"/>
    <cellStyle name="Normal 5 2 2 2 2" xfId="840"/>
    <cellStyle name="Normal 5 2 2 2 2 2" xfId="841"/>
    <cellStyle name="Normal 5 2 2 2 2 2 2" xfId="842"/>
    <cellStyle name="Normal 5 2 2 2 2 3" xfId="843"/>
    <cellStyle name="Normal 5 2 2 2 3" xfId="844"/>
    <cellStyle name="Normal 5 2 2 2 3 2" xfId="845"/>
    <cellStyle name="Normal 5 2 2 2 4" xfId="846"/>
    <cellStyle name="Normal 5 2 2 3" xfId="847"/>
    <cellStyle name="Normal 5 2 2 3 2" xfId="848"/>
    <cellStyle name="Normal 5 2 2 3 2 2" xfId="849"/>
    <cellStyle name="Normal 5 2 2 3 3" xfId="850"/>
    <cellStyle name="Normal 5 2 2 4" xfId="851"/>
    <cellStyle name="Normal 5 2 2 4 2" xfId="852"/>
    <cellStyle name="Normal 5 2 2 5" xfId="853"/>
    <cellStyle name="Normal 5 2 3" xfId="854"/>
    <cellStyle name="Normal 5 2 3 2" xfId="855"/>
    <cellStyle name="Normal 5 2 3 2 2" xfId="856"/>
    <cellStyle name="Normal 5 2 3 2 2 2" xfId="857"/>
    <cellStyle name="Normal 5 2 3 2 3" xfId="858"/>
    <cellStyle name="Normal 5 2 3 3" xfId="859"/>
    <cellStyle name="Normal 5 2 3 3 2" xfId="860"/>
    <cellStyle name="Normal 5 2 3 4" xfId="861"/>
    <cellStyle name="Normal 5 2 4" xfId="862"/>
    <cellStyle name="Normal 5 2 4 2" xfId="863"/>
    <cellStyle name="Normal 5 2 4 2 2" xfId="864"/>
    <cellStyle name="Normal 5 2 4 2 2 2" xfId="865"/>
    <cellStyle name="Normal 5 2 4 2 3" xfId="866"/>
    <cellStyle name="Normal 5 2 4 3" xfId="867"/>
    <cellStyle name="Normal 5 2 4 3 2" xfId="868"/>
    <cellStyle name="Normal 5 2 4 4" xfId="869"/>
    <cellStyle name="Normal 5 2 5" xfId="870"/>
    <cellStyle name="Normal 5 2 5 2" xfId="871"/>
    <cellStyle name="Normal 5 2 5 2 2" xfId="872"/>
    <cellStyle name="Normal 5 2 5 2 2 2" xfId="873"/>
    <cellStyle name="Normal 5 2 5 2 3" xfId="874"/>
    <cellStyle name="Normal 5 2 5 3" xfId="875"/>
    <cellStyle name="Normal 5 2 5 3 2" xfId="876"/>
    <cellStyle name="Normal 5 2 5 4" xfId="877"/>
    <cellStyle name="Normal 5 2 6" xfId="878"/>
    <cellStyle name="Normal 5 2 6 2" xfId="879"/>
    <cellStyle name="Normal 5 2 6 2 2" xfId="880"/>
    <cellStyle name="Normal 5 2 6 3" xfId="881"/>
    <cellStyle name="Normal 5 2 7" xfId="882"/>
    <cellStyle name="Normal 5 2 7 2" xfId="883"/>
    <cellStyle name="Normal 5 2 8" xfId="884"/>
    <cellStyle name="Normal 5 3" xfId="885"/>
    <cellStyle name="Normal 5 3 2" xfId="886"/>
    <cellStyle name="Normal 5 3 2 2" xfId="887"/>
    <cellStyle name="Normal 5 3 2 2 2" xfId="888"/>
    <cellStyle name="Normal 5 3 2 2 2 2" xfId="889"/>
    <cellStyle name="Normal 5 3 2 2 3" xfId="890"/>
    <cellStyle name="Normal 5 3 2 3" xfId="891"/>
    <cellStyle name="Normal 5 3 2 3 2" xfId="892"/>
    <cellStyle name="Normal 5 3 2 4" xfId="893"/>
    <cellStyle name="Normal 5 3 3" xfId="894"/>
    <cellStyle name="Normal 5 3 3 2" xfId="895"/>
    <cellStyle name="Normal 5 3 3 2 2" xfId="896"/>
    <cellStyle name="Normal 5 3 3 2 2 2" xfId="897"/>
    <cellStyle name="Normal 5 3 3 2 3" xfId="898"/>
    <cellStyle name="Normal 5 3 3 3" xfId="899"/>
    <cellStyle name="Normal 5 3 3 3 2" xfId="900"/>
    <cellStyle name="Normal 5 3 3 4" xfId="901"/>
    <cellStyle name="Normal 5 3 4" xfId="902"/>
    <cellStyle name="Normal 5 3 4 2" xfId="903"/>
    <cellStyle name="Normal 5 3 4 2 2" xfId="904"/>
    <cellStyle name="Normal 5 3 4 3" xfId="905"/>
    <cellStyle name="Normal 5 3 5" xfId="906"/>
    <cellStyle name="Normal 5 3 5 2" xfId="907"/>
    <cellStyle name="Normal 5 3 6" xfId="908"/>
    <cellStyle name="Normal 5 4" xfId="909"/>
    <cellStyle name="Normal 5 4 2" xfId="910"/>
    <cellStyle name="Normal 5 4 2 2" xfId="911"/>
    <cellStyle name="Normal 5 4 2 2 2" xfId="912"/>
    <cellStyle name="Normal 5 4 2 2 2 2" xfId="913"/>
    <cellStyle name="Normal 5 4 2 2 3" xfId="914"/>
    <cellStyle name="Normal 5 4 2 3" xfId="915"/>
    <cellStyle name="Normal 5 4 2 3 2" xfId="916"/>
    <cellStyle name="Normal 5 4 2 4" xfId="917"/>
    <cellStyle name="Normal 5 4 3" xfId="918"/>
    <cellStyle name="Normal 5 4 3 2" xfId="919"/>
    <cellStyle name="Normal 5 4 3 2 2" xfId="920"/>
    <cellStyle name="Normal 5 4 3 3" xfId="921"/>
    <cellStyle name="Normal 5 4 4" xfId="922"/>
    <cellStyle name="Normal 5 4 4 2" xfId="923"/>
    <cellStyle name="Normal 5 4 5" xfId="924"/>
    <cellStyle name="Normal 5 5" xfId="925"/>
    <cellStyle name="Normal 5 5 2" xfId="926"/>
    <cellStyle name="Normal 5 5 2 2" xfId="927"/>
    <cellStyle name="Normal 5 5 2 2 2" xfId="928"/>
    <cellStyle name="Normal 5 5 2 2 2 2" xfId="929"/>
    <cellStyle name="Normal 5 5 2 2 3" xfId="930"/>
    <cellStyle name="Normal 5 5 2 3" xfId="931"/>
    <cellStyle name="Normal 5 5 2 3 2" xfId="932"/>
    <cellStyle name="Normal 5 5 2 4" xfId="933"/>
    <cellStyle name="Normal 5 5 3" xfId="934"/>
    <cellStyle name="Normal 5 5 3 2" xfId="935"/>
    <cellStyle name="Normal 5 5 3 2 2" xfId="936"/>
    <cellStyle name="Normal 5 5 3 3" xfId="937"/>
    <cellStyle name="Normal 5 5 4" xfId="938"/>
    <cellStyle name="Normal 5 5 4 2" xfId="939"/>
    <cellStyle name="Normal 5 5 5" xfId="940"/>
    <cellStyle name="Normal 5 6" xfId="941"/>
    <cellStyle name="Normal 5 6 2" xfId="942"/>
    <cellStyle name="Normal 5 6 2 2" xfId="943"/>
    <cellStyle name="Normal 5 6 2 2 2" xfId="944"/>
    <cellStyle name="Normal 5 6 2 3" xfId="945"/>
    <cellStyle name="Normal 5 6 3" xfId="946"/>
    <cellStyle name="Normal 5 6 3 2" xfId="947"/>
    <cellStyle name="Normal 5 6 4" xfId="948"/>
    <cellStyle name="Normal 5 7" xfId="949"/>
    <cellStyle name="Normal 5 8" xfId="950"/>
    <cellStyle name="Normal 5 8 2" xfId="951"/>
    <cellStyle name="Normal 5 8 2 2" xfId="952"/>
    <cellStyle name="Normal 5 8 2 2 2" xfId="953"/>
    <cellStyle name="Normal 5 8 2 3" xfId="954"/>
    <cellStyle name="Normal 5 8 3" xfId="955"/>
    <cellStyle name="Normal 5 8 3 2" xfId="956"/>
    <cellStyle name="Normal 5 8 4" xfId="957"/>
    <cellStyle name="Normal 5 9" xfId="958"/>
    <cellStyle name="Normal 5 9 2" xfId="959"/>
    <cellStyle name="Normal 5 9 2 2" xfId="960"/>
    <cellStyle name="Normal 5 9 3" xfId="961"/>
    <cellStyle name="Normal 5_Current Payroll" xfId="962"/>
    <cellStyle name="Normal 6" xfId="14"/>
    <cellStyle name="Normal 6 10" xfId="963"/>
    <cellStyle name="Normal 6 2" xfId="964"/>
    <cellStyle name="Normal 6 2 2" xfId="965"/>
    <cellStyle name="Normal 6 2 2 2" xfId="966"/>
    <cellStyle name="Normal 6 2 2 2 2" xfId="967"/>
    <cellStyle name="Normal 6 2 2 2 2 2" xfId="968"/>
    <cellStyle name="Normal 6 2 2 2 2 2 2" xfId="969"/>
    <cellStyle name="Normal 6 2 2 2 2 3" xfId="970"/>
    <cellStyle name="Normal 6 2 2 2 3" xfId="971"/>
    <cellStyle name="Normal 6 2 2 2 3 2" xfId="972"/>
    <cellStyle name="Normal 6 2 2 2 4" xfId="973"/>
    <cellStyle name="Normal 6 2 2 3" xfId="974"/>
    <cellStyle name="Normal 6 2 2 3 2" xfId="975"/>
    <cellStyle name="Normal 6 2 2 3 2 2" xfId="976"/>
    <cellStyle name="Normal 6 2 2 3 3" xfId="977"/>
    <cellStyle name="Normal 6 2 2 4" xfId="978"/>
    <cellStyle name="Normal 6 2 2 4 2" xfId="979"/>
    <cellStyle name="Normal 6 2 2 5" xfId="980"/>
    <cellStyle name="Normal 6 2 3" xfId="981"/>
    <cellStyle name="Normal 6 2 3 2" xfId="982"/>
    <cellStyle name="Normal 6 2 3 2 2" xfId="983"/>
    <cellStyle name="Normal 6 2 3 2 2 2" xfId="984"/>
    <cellStyle name="Normal 6 2 3 2 3" xfId="985"/>
    <cellStyle name="Normal 6 2 3 3" xfId="986"/>
    <cellStyle name="Normal 6 2 3 3 2" xfId="987"/>
    <cellStyle name="Normal 6 2 3 4" xfId="988"/>
    <cellStyle name="Normal 6 2 4" xfId="989"/>
    <cellStyle name="Normal 6 2 4 2" xfId="990"/>
    <cellStyle name="Normal 6 2 4 2 2" xfId="991"/>
    <cellStyle name="Normal 6 2 4 2 2 2" xfId="992"/>
    <cellStyle name="Normal 6 2 4 2 3" xfId="993"/>
    <cellStyle name="Normal 6 2 4 3" xfId="994"/>
    <cellStyle name="Normal 6 2 4 3 2" xfId="995"/>
    <cellStyle name="Normal 6 2 4 4" xfId="996"/>
    <cellStyle name="Normal 6 2 5" xfId="997"/>
    <cellStyle name="Normal 6 2 5 2" xfId="998"/>
    <cellStyle name="Normal 6 2 5 2 2" xfId="999"/>
    <cellStyle name="Normal 6 2 5 2 2 2" xfId="1000"/>
    <cellStyle name="Normal 6 2 5 2 3" xfId="1001"/>
    <cellStyle name="Normal 6 2 5 3" xfId="1002"/>
    <cellStyle name="Normal 6 2 5 3 2" xfId="1003"/>
    <cellStyle name="Normal 6 2 5 4" xfId="1004"/>
    <cellStyle name="Normal 6 2 6" xfId="1005"/>
    <cellStyle name="Normal 6 2 6 2" xfId="1006"/>
    <cellStyle name="Normal 6 2 6 2 2" xfId="1007"/>
    <cellStyle name="Normal 6 2 6 3" xfId="1008"/>
    <cellStyle name="Normal 6 2 7" xfId="1009"/>
    <cellStyle name="Normal 6 2 7 2" xfId="1010"/>
    <cellStyle name="Normal 6 2 8" xfId="1011"/>
    <cellStyle name="Normal 6 2 9" xfId="1012"/>
    <cellStyle name="Normal 6 3" xfId="1013"/>
    <cellStyle name="Normal 6 3 2" xfId="1014"/>
    <cellStyle name="Normal 6 3 2 2" xfId="1015"/>
    <cellStyle name="Normal 6 3 2 2 2" xfId="1016"/>
    <cellStyle name="Normal 6 3 2 2 2 2" xfId="1017"/>
    <cellStyle name="Normal 6 3 2 2 3" xfId="1018"/>
    <cellStyle name="Normal 6 3 2 3" xfId="1019"/>
    <cellStyle name="Normal 6 3 2 3 2" xfId="1020"/>
    <cellStyle name="Normal 6 3 2 4" xfId="1021"/>
    <cellStyle name="Normal 6 3 3" xfId="1022"/>
    <cellStyle name="Normal 6 3 3 2" xfId="1023"/>
    <cellStyle name="Normal 6 3 3 2 2" xfId="1024"/>
    <cellStyle name="Normal 6 3 3 2 2 2" xfId="1025"/>
    <cellStyle name="Normal 6 3 3 2 3" xfId="1026"/>
    <cellStyle name="Normal 6 3 3 3" xfId="1027"/>
    <cellStyle name="Normal 6 3 3 3 2" xfId="1028"/>
    <cellStyle name="Normal 6 3 3 4" xfId="1029"/>
    <cellStyle name="Normal 6 4" xfId="1030"/>
    <cellStyle name="Normal 6 4 2" xfId="1031"/>
    <cellStyle name="Normal 6 4 2 2" xfId="1032"/>
    <cellStyle name="Normal 6 4 2 2 2" xfId="1033"/>
    <cellStyle name="Normal 6 4 2 2 2 2" xfId="1034"/>
    <cellStyle name="Normal 6 4 2 2 3" xfId="1035"/>
    <cellStyle name="Normal 6 4 2 3" xfId="1036"/>
    <cellStyle name="Normal 6 4 2 3 2" xfId="1037"/>
    <cellStyle name="Normal 6 4 2 4" xfId="1038"/>
    <cellStyle name="Normal 6 5" xfId="1039"/>
    <cellStyle name="Normal 6 5 2" xfId="1040"/>
    <cellStyle name="Normal 6 5 2 2" xfId="1041"/>
    <cellStyle name="Normal 6 5 2 2 2" xfId="1042"/>
    <cellStyle name="Normal 6 5 2 3" xfId="1043"/>
    <cellStyle name="Normal 6 5 3" xfId="1044"/>
    <cellStyle name="Normal 6 5 3 2" xfId="1045"/>
    <cellStyle name="Normal 6 5 4" xfId="1046"/>
    <cellStyle name="Normal 6 6" xfId="1047"/>
    <cellStyle name="Normal 6 6 2" xfId="1048"/>
    <cellStyle name="Normal 6 6 2 2" xfId="1049"/>
    <cellStyle name="Normal 6 6 2 2 2" xfId="1050"/>
    <cellStyle name="Normal 6 6 2 3" xfId="1051"/>
    <cellStyle name="Normal 6 6 3" xfId="1052"/>
    <cellStyle name="Normal 6 6 3 2" xfId="1053"/>
    <cellStyle name="Normal 6 6 4" xfId="1054"/>
    <cellStyle name="Normal 6 7" xfId="1055"/>
    <cellStyle name="Normal 6 7 2" xfId="1056"/>
    <cellStyle name="Normal 6 7 2 2" xfId="1057"/>
    <cellStyle name="Normal 6 7 3" xfId="1058"/>
    <cellStyle name="Normal 6 8" xfId="1059"/>
    <cellStyle name="Normal 6 8 2" xfId="1060"/>
    <cellStyle name="Normal 6 9" xfId="1061"/>
    <cellStyle name="Normal 6_Current Payroll" xfId="1062"/>
    <cellStyle name="Normal 7" xfId="1063"/>
    <cellStyle name="Normal 7 2" xfId="1064"/>
    <cellStyle name="Normal 7 2 2" xfId="1065"/>
    <cellStyle name="Normal 7 2 2 2" xfId="1066"/>
    <cellStyle name="Normal 7 2 2 2 2" xfId="1067"/>
    <cellStyle name="Normal 7 2 2 2 2 2" xfId="1068"/>
    <cellStyle name="Normal 7 2 2 2 3" xfId="1069"/>
    <cellStyle name="Normal 7 2 2 3" xfId="1070"/>
    <cellStyle name="Normal 7 2 2 3 2" xfId="1071"/>
    <cellStyle name="Normal 7 2 2 4" xfId="1072"/>
    <cellStyle name="Normal 7 2 3" xfId="1073"/>
    <cellStyle name="Normal 7 2 3 2" xfId="1074"/>
    <cellStyle name="Normal 7 2 3 2 2" xfId="1075"/>
    <cellStyle name="Normal 7 2 3 2 2 2" xfId="1076"/>
    <cellStyle name="Normal 7 2 3 2 3" xfId="1077"/>
    <cellStyle name="Normal 7 2 3 3" xfId="1078"/>
    <cellStyle name="Normal 7 2 3 3 2" xfId="1079"/>
    <cellStyle name="Normal 7 2 3 4" xfId="1080"/>
    <cellStyle name="Normal 7 3" xfId="1081"/>
    <cellStyle name="Normal 7 3 2" xfId="1082"/>
    <cellStyle name="Normal 7 3 2 2" xfId="1083"/>
    <cellStyle name="Normal 7 3 2 2 2" xfId="1084"/>
    <cellStyle name="Normal 7 3 2 2 2 2" xfId="1085"/>
    <cellStyle name="Normal 7 3 2 2 3" xfId="1086"/>
    <cellStyle name="Normal 7 3 2 3" xfId="1087"/>
    <cellStyle name="Normal 7 3 2 3 2" xfId="1088"/>
    <cellStyle name="Normal 7 3 2 4" xfId="1089"/>
    <cellStyle name="Normal 7 4" xfId="1090"/>
    <cellStyle name="Normal 7 4 2" xfId="1091"/>
    <cellStyle name="Normal 7 4 2 2" xfId="1092"/>
    <cellStyle name="Normal 7 4 2 2 2" xfId="1093"/>
    <cellStyle name="Normal 7 4 2 3" xfId="1094"/>
    <cellStyle name="Normal 7 4 3" xfId="1095"/>
    <cellStyle name="Normal 7 4 3 2" xfId="1096"/>
    <cellStyle name="Normal 7 4 4" xfId="1097"/>
    <cellStyle name="Normal 7 5" xfId="1098"/>
    <cellStyle name="Normal 7 5 2" xfId="1099"/>
    <cellStyle name="Normal 7 5 2 2" xfId="1100"/>
    <cellStyle name="Normal 7 5 2 2 2" xfId="1101"/>
    <cellStyle name="Normal 7 5 2 3" xfId="1102"/>
    <cellStyle name="Normal 7 5 3" xfId="1103"/>
    <cellStyle name="Normal 7 5 3 2" xfId="1104"/>
    <cellStyle name="Normal 7 5 4" xfId="1105"/>
    <cellStyle name="Normal 7 6" xfId="1106"/>
    <cellStyle name="Normal 8" xfId="1107"/>
    <cellStyle name="Normal 8 2" xfId="1108"/>
    <cellStyle name="Normal 8 2 2" xfId="1109"/>
    <cellStyle name="Normal 8 2 2 2" xfId="1110"/>
    <cellStyle name="Normal 8 2 2 2 2" xfId="1111"/>
    <cellStyle name="Normal 8 2 2 2 2 2" xfId="1112"/>
    <cellStyle name="Normal 8 2 2 2 3" xfId="1113"/>
    <cellStyle name="Normal 8 2 2 3" xfId="1114"/>
    <cellStyle name="Normal 8 2 2 3 2" xfId="1115"/>
    <cellStyle name="Normal 8 2 2 4" xfId="1116"/>
    <cellStyle name="Normal 8 2 3" xfId="1117"/>
    <cellStyle name="Normal 8 2 3 2" xfId="1118"/>
    <cellStyle name="Normal 8 2 3 2 2" xfId="1119"/>
    <cellStyle name="Normal 8 2 3 2 2 2" xfId="1120"/>
    <cellStyle name="Normal 8 2 3 2 3" xfId="1121"/>
    <cellStyle name="Normal 8 2 3 3" xfId="1122"/>
    <cellStyle name="Normal 8 2 3 3 2" xfId="1123"/>
    <cellStyle name="Normal 8 2 3 4" xfId="1124"/>
    <cellStyle name="Normal 8 2 4" xfId="1125"/>
    <cellStyle name="Normal 8 2 4 2" xfId="1126"/>
    <cellStyle name="Normal 8 2 4 2 2" xfId="1127"/>
    <cellStyle name="Normal 8 2 4 3" xfId="1128"/>
    <cellStyle name="Normal 8 2 5" xfId="1129"/>
    <cellStyle name="Normal 8 2 5 2" xfId="1130"/>
    <cellStyle name="Normal 8 2 6" xfId="1131"/>
    <cellStyle name="Normal 8 3" xfId="1132"/>
    <cellStyle name="Normal 8 3 2" xfId="1133"/>
    <cellStyle name="Normal 8 3 2 2" xfId="1134"/>
    <cellStyle name="Normal 8 3 2 2 2" xfId="1135"/>
    <cellStyle name="Normal 8 3 2 2 2 2" xfId="1136"/>
    <cellStyle name="Normal 8 3 2 2 3" xfId="1137"/>
    <cellStyle name="Normal 8 3 2 3" xfId="1138"/>
    <cellStyle name="Normal 8 3 2 3 2" xfId="1139"/>
    <cellStyle name="Normal 8 3 2 4" xfId="1140"/>
    <cellStyle name="Normal 8 3 3" xfId="1141"/>
    <cellStyle name="Normal 8 3 3 2" xfId="1142"/>
    <cellStyle name="Normal 8 3 3 2 2" xfId="1143"/>
    <cellStyle name="Normal 8 3 3 3" xfId="1144"/>
    <cellStyle name="Normal 8 3 4" xfId="1145"/>
    <cellStyle name="Normal 8 3 4 2" xfId="1146"/>
    <cellStyle name="Normal 8 3 5" xfId="1147"/>
    <cellStyle name="Normal 8 4" xfId="1148"/>
    <cellStyle name="Normal 8 4 2" xfId="1149"/>
    <cellStyle name="Normal 8 4 2 2" xfId="1150"/>
    <cellStyle name="Normal 8 4 2 2 2" xfId="1151"/>
    <cellStyle name="Normal 8 4 2 3" xfId="1152"/>
    <cellStyle name="Normal 8 4 3" xfId="1153"/>
    <cellStyle name="Normal 8 4 3 2" xfId="1154"/>
    <cellStyle name="Normal 8 4 4" xfId="1155"/>
    <cellStyle name="Normal 8 5" xfId="1156"/>
    <cellStyle name="Normal 8 5 2" xfId="1157"/>
    <cellStyle name="Normal 8 5 2 2" xfId="1158"/>
    <cellStyle name="Normal 8 5 2 2 2" xfId="1159"/>
    <cellStyle name="Normal 8 5 2 3" xfId="1160"/>
    <cellStyle name="Normal 8 5 3" xfId="1161"/>
    <cellStyle name="Normal 8 5 3 2" xfId="1162"/>
    <cellStyle name="Normal 8 5 4" xfId="1163"/>
    <cellStyle name="Normal 8 6" xfId="1164"/>
    <cellStyle name="Normal 8 6 2" xfId="1165"/>
    <cellStyle name="Normal 8 6 2 2" xfId="1166"/>
    <cellStyle name="Normal 8 6 3" xfId="1167"/>
    <cellStyle name="Normal 8 7" xfId="1168"/>
    <cellStyle name="Normal 8 7 2" xfId="1169"/>
    <cellStyle name="Normal 8 8" xfId="1170"/>
    <cellStyle name="Normal 8_HH" xfId="1171"/>
    <cellStyle name="Normal 9" xfId="1172"/>
    <cellStyle name="Normal 9 2" xfId="1173"/>
    <cellStyle name="Normal 9 2 2" xfId="1174"/>
    <cellStyle name="Normal 9 2 3" xfId="1175"/>
    <cellStyle name="Normal 9 3" xfId="1176"/>
    <cellStyle name="Normal 9 3 2" xfId="1177"/>
    <cellStyle name="Normal 9 3 2 2" xfId="1178"/>
    <cellStyle name="Normal 9 3 3" xfId="1179"/>
    <cellStyle name="Normal 9 4" xfId="1180"/>
    <cellStyle name="Normal 9 4 2" xfId="1181"/>
    <cellStyle name="Normal 9 5" xfId="1182"/>
    <cellStyle name="Normal_DYS Rate Options 6.8.10 for DYS Review" xfId="7"/>
    <cellStyle name="Note 2" xfId="1183"/>
    <cellStyle name="Note 2 2" xfId="1184"/>
    <cellStyle name="Note 2 3" xfId="1185"/>
    <cellStyle name="Note 2 4" xfId="1186"/>
    <cellStyle name="Output 2" xfId="1187"/>
    <cellStyle name="Output 2 2" xfId="1188"/>
    <cellStyle name="Output 2 3" xfId="1189"/>
    <cellStyle name="Parent row" xfId="1190"/>
    <cellStyle name="Percent" xfId="3" builtinId="5"/>
    <cellStyle name="Percent 10" xfId="1191"/>
    <cellStyle name="Percent 10 2" xfId="1192"/>
    <cellStyle name="Percent 11" xfId="1193"/>
    <cellStyle name="Percent 12" xfId="1194"/>
    <cellStyle name="Percent 2" xfId="25"/>
    <cellStyle name="Percent 2 2" xfId="1195"/>
    <cellStyle name="Percent 2 2 2" xfId="1196"/>
    <cellStyle name="Percent 2 2 3" xfId="1197"/>
    <cellStyle name="Percent 2 3" xfId="1198"/>
    <cellStyle name="Percent 2 4" xfId="1199"/>
    <cellStyle name="Percent 2 5" xfId="1200"/>
    <cellStyle name="Percent 2 6" xfId="5"/>
    <cellStyle name="Percent 3" xfId="9"/>
    <cellStyle name="Percent 3 2" xfId="1201"/>
    <cellStyle name="Percent 3 2 2" xfId="1202"/>
    <cellStyle name="Percent 3 2 3" xfId="1203"/>
    <cellStyle name="Percent 3 3" xfId="1204"/>
    <cellStyle name="Percent 4" xfId="1205"/>
    <cellStyle name="Percent 4 2" xfId="1206"/>
    <cellStyle name="Percent 4 2 2" xfId="1207"/>
    <cellStyle name="Percent 4 2 3" xfId="1208"/>
    <cellStyle name="Percent 4 3" xfId="1209"/>
    <cellStyle name="Percent 4 3 2" xfId="1210"/>
    <cellStyle name="Percent 4 3 2 2" xfId="1211"/>
    <cellStyle name="Percent 4 3 3" xfId="1212"/>
    <cellStyle name="Percent 4 4" xfId="1213"/>
    <cellStyle name="Percent 4 4 2" xfId="1214"/>
    <cellStyle name="Percent 4 5" xfId="1215"/>
    <cellStyle name="Percent 5" xfId="1216"/>
    <cellStyle name="Percent 5 2" xfId="1217"/>
    <cellStyle name="Percent 5 2 2" xfId="1218"/>
    <cellStyle name="Percent 5 3" xfId="1219"/>
    <cellStyle name="Percent 5 4" xfId="1220"/>
    <cellStyle name="Percent 5 5" xfId="1221"/>
    <cellStyle name="Percent 6" xfId="1222"/>
    <cellStyle name="Percent 6 2" xfId="1223"/>
    <cellStyle name="Percent 6 3" xfId="21"/>
    <cellStyle name="Percent 6 4" xfId="1224"/>
    <cellStyle name="Percent 7" xfId="1225"/>
    <cellStyle name="Percent 7 2" xfId="1226"/>
    <cellStyle name="Percent 7 3" xfId="1227"/>
    <cellStyle name="Percent 7 4" xfId="1228"/>
    <cellStyle name="Percent 8" xfId="1229"/>
    <cellStyle name="Percent 8 2" xfId="1230"/>
    <cellStyle name="Percent 8 3" xfId="1231"/>
    <cellStyle name="Percent 9" xfId="19"/>
    <cellStyle name="Percent 9 2" xfId="1232"/>
    <cellStyle name="Style 1" xfId="1233"/>
    <cellStyle name="Style 2" xfId="1234"/>
    <cellStyle name="Table title" xfId="1235"/>
    <cellStyle name="Title 2" xfId="1236"/>
    <cellStyle name="Title 2 2" xfId="1237"/>
    <cellStyle name="Title 2 3" xfId="1238"/>
    <cellStyle name="Title 3" xfId="1239"/>
    <cellStyle name="Total 2" xfId="1240"/>
    <cellStyle name="Total 2 2" xfId="1241"/>
    <cellStyle name="Total 2 3" xfId="1242"/>
    <cellStyle name="Warning Text 2" xfId="1243"/>
    <cellStyle name="Warning Text 2 2" xfId="1244"/>
    <cellStyle name="Warning Text 2 3" xfId="12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25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46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externalLink" Target="externalLinks/externalLink16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15.xml"/><Relationship Id="rId45" Type="http://schemas.openxmlformats.org/officeDocument/2006/relationships/externalLink" Target="externalLinks/externalLink20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4" Type="http://schemas.openxmlformats.org/officeDocument/2006/relationships/externalLink" Target="externalLinks/externalLink19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18.xml"/><Relationship Id="rId48" Type="http://schemas.openxmlformats.org/officeDocument/2006/relationships/externalLink" Target="externalLinks/externalLink2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6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FARRELL\AppData\Local\Microsoft\Windows\Temporary%20Internet%20Files\Content.Outlook\R241IRMG\6.%20BLS%20Analysis%20May2020%20for%20Jan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SubAbuse\2013\Resi%20Rehab\Data\Resi%20Rehab%20_All%20Codes%20Analysi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Family%20Stab-CMR%20414\RATE%20REVIEW%20Jan%201,%202022\1.%20Materials\Family%20Stab%201.1.22%20Models%20DCF%204.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Family%20Stab-CMR%20414\Rate%20Review%20Jan%201,%202020\1.%20Strategy%20Team%20Materials\Old\Family%20Stab%20DCF%20Models%201.24.201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POS\Year%202%20Projects\Service%20Classes\Family%20Stabilization%20Services\Regulatory%20Process\DCF%20rates\1.%20Exec%20Comm%20Approval\Updated%20Version%209%207%2011%20DCF%20Discrete%20updated%20by%20grouping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POS\Year%202%20Projects\Service%20Classes\Family%20Stabilization%20Services\Regulatory%20Process\DCF%20rates\1.%20Exec%20Comm%20Approval\Updated%20Version%209%2015%2011%20DCF%20Discrete%20updated%20by%20grouping%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Administrative%20Services-POS%20Policy%20Office\Rate%20Setting\Rate%20Projects\Family%20Stab-CMR%20414\Rate%20Review%20January%201,%202018\3.%20Proposal,%20Hearing%20&amp;%20Signoff\FOR%20WEBSITE\2018%20DCF%20Mode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Administrative%20Services-POS%20Policy%20Office\Rate%20Setting\Rate%20Projects\Family%20Stab-CMR%20414\Rate%20Review%20January%201,%202018\3.%20Proposal,%20Hearing%20&amp;%20Signoff\FOR%20WEBSITE\Family%20Stab%20All%20Model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Family%20Stab-CMR%20414\Rate%20Review%20Jan%201,%202020\1.%20Strategy%20Team%20Materials\Old\Family%20Stab%20DDS%20MCB%20MRC%20Models%201.24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Family%20Stab-CMR%20414\Rate%20Review%20Jan%201,%202020\1.%20Strategy%20Team%20Materials\Family%20Stab%20All%20Models%206.17.19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Solimini\AppData\Local\Microsoft\Windows\Temporary%20Internet%20Files\Content.Outlook\WQ4JJXAQ\Discrete%20Models%20Revised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YITs%20413-%20FY22%20DCF%20&amp;%20DMH\July%202021\1.%20Strategy%20materials\4.%20Ch.%20257%20Model%20-%20CC%20Draft%20model%20budgets%20with%20New%20Models%205.27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E\X\Data%20&amp;%20Reporting%20Tools\STARR%20Utilization\STARR%20Utilization%20Tool%20FY10%20Ju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Family%20Stab_\1.%20Strategy%20Team%20Materials\Rate%20Review\OLD\Behavioral%20Support%20Bachelor%20(8)%2011-7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Family%20Stab_\Rate%20Review%20January%201,%202018\1.%20Strategy%20Team%20Materials\Original%20Models%20All%20Family%20Stab%20Rates%20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Family%20Stab-CMR%20414\RATE%20REVIEW%20Jan%201,%202022\1.%20Materials\Family%20Stab%201.1.22%20Models%20DD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lacorta\Downloads\FINAL%20ANALYSIS%20Counseling%20Rate%20Options%20071913.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-POS%20Policy%20Office\Rate%20Setting\Rate%20Projects\Family%20Stab_\1.%20Strategy%20Team%20Materials\Rate%20Review\Archive\Agency%20With%20Choice-Family%20Navigation%2011-7-14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aciri\Downloads\Resi%20Rehab%203386&amp;3401%20122613%20330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_M2020_dl"/>
      <sheetName val="Field Descriptions"/>
      <sheetName val="UpdateTime"/>
      <sheetName val="Filler"/>
      <sheetName val="Sheet1"/>
      <sheetName val="Management (2)"/>
      <sheetName val="Chart"/>
      <sheetName val="DC  CNA  DC III"/>
      <sheetName val="Case Social Worker.Manager"/>
      <sheetName val="Clinical"/>
      <sheetName val="Nursing"/>
      <sheetName val="Manag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16.791999999999998</v>
          </cell>
        </row>
        <row r="11">
          <cell r="G11">
            <v>17.260000000000002</v>
          </cell>
        </row>
        <row r="20">
          <cell r="G20">
            <v>21.736000000000001</v>
          </cell>
        </row>
      </sheetData>
      <sheetData sheetId="8">
        <row r="4">
          <cell r="G4">
            <v>21.814999999999998</v>
          </cell>
        </row>
        <row r="10">
          <cell r="G10">
            <v>26.16</v>
          </cell>
        </row>
      </sheetData>
      <sheetData sheetId="9">
        <row r="5">
          <cell r="G5">
            <v>30.59</v>
          </cell>
        </row>
        <row r="9">
          <cell r="G9">
            <v>40.57</v>
          </cell>
        </row>
      </sheetData>
      <sheetData sheetId="10">
        <row r="2">
          <cell r="G2">
            <v>28.8</v>
          </cell>
        </row>
        <row r="6">
          <cell r="G6">
            <v>43.41</v>
          </cell>
        </row>
        <row r="11">
          <cell r="G11">
            <v>59.6</v>
          </cell>
        </row>
      </sheetData>
      <sheetData sheetId="11">
        <row r="2">
          <cell r="G2">
            <v>33.46153846153846</v>
          </cell>
          <cell r="H2">
            <v>69600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g 2019 CAF"/>
      <sheetName val="Master Lookup"/>
      <sheetName val="BLS Chart"/>
      <sheetName val="2020 BLS"/>
      <sheetName val="BLS"/>
      <sheetName val="Master Look Up"/>
      <sheetName val="DCFClinicalComp"/>
      <sheetName val="Ed Coordination"/>
      <sheetName val="Specialty Family Skills Group"/>
      <sheetName val="Family Skills Dev Group"/>
      <sheetName val="Parent Skill Dev Group"/>
      <sheetName val="Unbundled IFC Support"/>
      <sheetName val="FY20 Spend"/>
      <sheetName val="HOURLY &amp; AFTER SCHOOL"/>
      <sheetName val="Adolescent Supprt Network model"/>
      <sheetName val="Add on Rates "/>
      <sheetName val="RATES &amp; FI"/>
      <sheetName val="Spring 2021 CAF"/>
      <sheetName val="Fall 2018"/>
      <sheetName val="Sheet3"/>
    </sheetNames>
    <sheetDataSet>
      <sheetData sheetId="0" refreshError="1"/>
      <sheetData sheetId="1">
        <row r="18">
          <cell r="D18">
            <v>36865.745036892295</v>
          </cell>
        </row>
        <row r="19">
          <cell r="D19">
            <v>44685.751559869437</v>
          </cell>
        </row>
      </sheetData>
      <sheetData sheetId="2">
        <row r="6">
          <cell r="C6">
            <v>34927.359999999993</v>
          </cell>
        </row>
        <row r="8">
          <cell r="C8">
            <v>45210.880000000005</v>
          </cell>
        </row>
        <row r="10">
          <cell r="C10">
            <v>35900.800000000003</v>
          </cell>
        </row>
        <row r="14">
          <cell r="C14">
            <v>54412.800000000003</v>
          </cell>
        </row>
        <row r="16">
          <cell r="C16">
            <v>63627.199999999997</v>
          </cell>
        </row>
        <row r="18">
          <cell r="C18">
            <v>69600</v>
          </cell>
        </row>
        <row r="22">
          <cell r="C22">
            <v>59904</v>
          </cell>
        </row>
        <row r="24">
          <cell r="C24">
            <v>90292.799999999988</v>
          </cell>
        </row>
        <row r="26">
          <cell r="C26">
            <v>123968</v>
          </cell>
        </row>
      </sheetData>
      <sheetData sheetId="3" refreshError="1"/>
      <sheetData sheetId="4" refreshError="1"/>
      <sheetData sheetId="5">
        <row r="4">
          <cell r="F4">
            <v>5963.9694954316819</v>
          </cell>
          <cell r="O4">
            <v>69600</v>
          </cell>
        </row>
        <row r="5">
          <cell r="F5">
            <v>159.61973086509079</v>
          </cell>
          <cell r="O5">
            <v>63627.199999999997</v>
          </cell>
        </row>
        <row r="6">
          <cell r="F6">
            <v>1056.8783932396871</v>
          </cell>
        </row>
        <row r="7">
          <cell r="F7">
            <v>659.46971027355744</v>
          </cell>
          <cell r="O7">
            <v>54412.800000000003</v>
          </cell>
        </row>
        <row r="8">
          <cell r="F8">
            <v>474.11060420697481</v>
          </cell>
          <cell r="O8">
            <v>34927.359999999993</v>
          </cell>
        </row>
        <row r="9">
          <cell r="O9">
            <v>69600</v>
          </cell>
          <cell r="P9" t="str">
            <v xml:space="preserve">BLS 2020 Manangement </v>
          </cell>
        </row>
        <row r="10">
          <cell r="O10">
            <v>54412.800000000003</v>
          </cell>
          <cell r="P10" t="str">
            <v>BLS 2020 Case Manager</v>
          </cell>
        </row>
        <row r="11">
          <cell r="F11">
            <v>1953.5170393964802</v>
          </cell>
          <cell r="O11">
            <v>34927.359999999993</v>
          </cell>
          <cell r="P11" t="str">
            <v>BLS 2020 Direct Care I</v>
          </cell>
        </row>
        <row r="12">
          <cell r="F12">
            <v>1347.3502436316674</v>
          </cell>
          <cell r="O12">
            <v>45210.880000000005</v>
          </cell>
        </row>
        <row r="13">
          <cell r="O13">
            <v>34927.359999999993</v>
          </cell>
          <cell r="P13" t="str">
            <v>BLS 2020 Direct Care I</v>
          </cell>
        </row>
        <row r="14">
          <cell r="O14">
            <v>69600</v>
          </cell>
        </row>
        <row r="16">
          <cell r="O16">
            <v>69600</v>
          </cell>
        </row>
        <row r="18">
          <cell r="D18">
            <v>0.224</v>
          </cell>
          <cell r="O18">
            <v>69600</v>
          </cell>
          <cell r="P18" t="str">
            <v xml:space="preserve">BLS 2020 Manangement </v>
          </cell>
        </row>
        <row r="19">
          <cell r="P19" t="str">
            <v>BLS 2020 Direct Care I</v>
          </cell>
        </row>
        <row r="20">
          <cell r="O20">
            <v>45375.199999999997</v>
          </cell>
          <cell r="P20" t="str">
            <v>BLS 2020 Case Worker</v>
          </cell>
        </row>
        <row r="21">
          <cell r="O21">
            <v>45210.880000000005</v>
          </cell>
          <cell r="P21" t="str">
            <v>BLS 2020 Direct Care III</v>
          </cell>
        </row>
        <row r="23">
          <cell r="D23">
            <v>0.12</v>
          </cell>
        </row>
        <row r="26">
          <cell r="D26">
            <v>1.0633805350099574E-2</v>
          </cell>
        </row>
        <row r="28">
          <cell r="D28">
            <v>3.7000000000000002E-3</v>
          </cell>
        </row>
        <row r="236">
          <cell r="F236">
            <v>1733.9343036087084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>
        <row r="26">
          <cell r="CD26">
            <v>1.0633805350099574E-2</v>
          </cell>
        </row>
      </sheetData>
      <sheetData sheetId="18">
        <row r="39">
          <cell r="BQ39">
            <v>2.5376928471248276E-2</v>
          </cell>
        </row>
      </sheetData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ll 2018"/>
      <sheetName val="DCFClinicalComp"/>
      <sheetName val="Specialty Family Skills Group"/>
      <sheetName val="Family Skills Dev Group"/>
      <sheetName val="Parent Skill Dev Group"/>
      <sheetName val="Ed Coordination"/>
      <sheetName val="RATES"/>
      <sheetName val="Activity Codes"/>
      <sheetName val="FY18 Spend"/>
      <sheetName val="Salary Compare"/>
    </sheetNames>
    <sheetDataSet>
      <sheetData sheetId="0"/>
      <sheetData sheetId="1"/>
      <sheetData sheetId="2">
        <row r="27">
          <cell r="E27">
            <v>4.4599999999999973E-2</v>
          </cell>
        </row>
      </sheetData>
      <sheetData sheetId="3">
        <row r="26">
          <cell r="E26">
            <v>2.9824052590873982E-2</v>
          </cell>
        </row>
      </sheetData>
      <sheetData sheetId="4">
        <row r="26">
          <cell r="E26">
            <v>2.9824052590873982E-2</v>
          </cell>
        </row>
        <row r="27">
          <cell r="E27">
            <v>2.7235921972764018E-2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tatus"/>
      <sheetName val="Pursue list"/>
      <sheetName val="READ ME"/>
      <sheetName val="BENCHMARKS (2)"/>
      <sheetName val="Spec Assessment"/>
      <sheetName val="Model Budget_Aft Schl Dy Rspt"/>
      <sheetName val="After School_Dy Respt"/>
      <sheetName val="Model Budgets-Edu Coord "/>
      <sheetName val="Edu Coord (Treehouse)"/>
      <sheetName val="Model Budgets-Combined Hr Data"/>
      <sheetName val="Combined Hrly Data"/>
      <sheetName val="Model Budgets-Groups- Specialty"/>
      <sheetName val="MB-Groups -Family Skills Dev."/>
      <sheetName val="MB-Groups -Fathers Program"/>
      <sheetName val="Group-Non Stnd"/>
      <sheetName val="Ref Sheet - Revised Approach"/>
      <sheetName val="Child Care"/>
      <sheetName val="CAF"/>
      <sheetName val="Unbundled IFC Support Rate"/>
      <sheetName val="un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D9">
            <v>52564.428772849235</v>
          </cell>
          <cell r="E9">
            <v>0.01</v>
          </cell>
          <cell r="F9">
            <v>525.64428772849237</v>
          </cell>
        </row>
        <row r="10">
          <cell r="D10">
            <v>47000</v>
          </cell>
          <cell r="E10">
            <v>0.19</v>
          </cell>
          <cell r="F10">
            <v>8930</v>
          </cell>
        </row>
        <row r="11">
          <cell r="E11">
            <v>0.2</v>
          </cell>
          <cell r="F11">
            <v>9455.6442877284917</v>
          </cell>
        </row>
        <row r="14">
          <cell r="D14">
            <v>0.21590826871491237</v>
          </cell>
          <cell r="F14">
            <v>2041.5517877475093</v>
          </cell>
        </row>
        <row r="15">
          <cell r="F15">
            <v>11497.196075476</v>
          </cell>
        </row>
        <row r="17">
          <cell r="D17">
            <v>940</v>
          </cell>
          <cell r="E17">
            <v>5</v>
          </cell>
        </row>
        <row r="19">
          <cell r="D19" t="str">
            <v>Standard/session</v>
          </cell>
          <cell r="F19">
            <v>1487.8947368421054</v>
          </cell>
        </row>
        <row r="20">
          <cell r="D20">
            <v>99.192982456140356</v>
          </cell>
        </row>
        <row r="23">
          <cell r="F23">
            <v>1750</v>
          </cell>
        </row>
        <row r="24">
          <cell r="D24">
            <v>44.322599999999994</v>
          </cell>
          <cell r="F24">
            <v>664.83899999999994</v>
          </cell>
        </row>
        <row r="25">
          <cell r="F25">
            <v>4500</v>
          </cell>
        </row>
        <row r="27">
          <cell r="F27">
            <v>27786.929812318107</v>
          </cell>
        </row>
        <row r="28">
          <cell r="F28">
            <v>3141.6515958477721</v>
          </cell>
        </row>
        <row r="29">
          <cell r="F29">
            <v>30928.581408165879</v>
          </cell>
        </row>
        <row r="30">
          <cell r="F30">
            <v>32307.996138970077</v>
          </cell>
        </row>
        <row r="31">
          <cell r="F31">
            <v>2153.8664092646718</v>
          </cell>
        </row>
      </sheetData>
      <sheetData sheetId="12" refreshError="1">
        <row r="18">
          <cell r="G18">
            <v>1190.3157894736842</v>
          </cell>
        </row>
        <row r="21">
          <cell r="G21">
            <v>1500</v>
          </cell>
        </row>
        <row r="25">
          <cell r="G25">
            <v>14188.315789473683</v>
          </cell>
        </row>
        <row r="26">
          <cell r="E26">
            <v>0.11306220647863946</v>
          </cell>
          <cell r="G26">
            <v>1604.1622893736139</v>
          </cell>
        </row>
        <row r="27">
          <cell r="G27">
            <v>15792.478078847296</v>
          </cell>
        </row>
        <row r="28">
          <cell r="G28">
            <v>16496.822601163887</v>
          </cell>
        </row>
        <row r="29">
          <cell r="G29">
            <v>1374.7352167636573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tatus"/>
      <sheetName val="Pursue list"/>
      <sheetName val="READ ME"/>
      <sheetName val="BENCHMARKS (2)"/>
      <sheetName val="Spec Assessment"/>
      <sheetName val="Model Budget_Aft Schl Dy Rspt"/>
      <sheetName val="After School_Dy Respt"/>
      <sheetName val="Model Budgets-Edu Coord "/>
      <sheetName val="Edu Coord (Treehouse)"/>
      <sheetName val="Model Budgets-Combined Hr Data"/>
      <sheetName val="Combined Hrly Data"/>
      <sheetName val="Model Budgets-Groups- Specialty"/>
      <sheetName val="MB-Groups -Family Skills Dev."/>
      <sheetName val="MB-Groups -Fathers Program"/>
      <sheetName val="Group-Non Stnd"/>
      <sheetName val="Ref Sheet - Revised Approach"/>
      <sheetName val="Child Care"/>
      <sheetName val="CAF"/>
      <sheetName val="Unbundled IFC Support Rate"/>
      <sheetName val="un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7">
          <cell r="F17">
            <v>4700</v>
          </cell>
        </row>
      </sheetData>
      <sheetData sheetId="12" refreshError="1"/>
      <sheetData sheetId="13" refreshError="1">
        <row r="9">
          <cell r="E9">
            <v>52564</v>
          </cell>
          <cell r="F9">
            <v>0.01</v>
          </cell>
          <cell r="G9">
            <v>525.64</v>
          </cell>
        </row>
        <row r="10">
          <cell r="E10">
            <v>47000</v>
          </cell>
          <cell r="F10">
            <v>0.15</v>
          </cell>
          <cell r="G10">
            <v>7050</v>
          </cell>
        </row>
        <row r="11">
          <cell r="G11">
            <v>7575.64</v>
          </cell>
        </row>
        <row r="14">
          <cell r="E14">
            <v>0.21590826871491237</v>
          </cell>
          <cell r="G14">
            <v>1635.6433168074389</v>
          </cell>
        </row>
        <row r="15">
          <cell r="G15">
            <v>9211.2833168074394</v>
          </cell>
        </row>
        <row r="19">
          <cell r="G19">
            <v>1289.5087719298247</v>
          </cell>
        </row>
        <row r="23">
          <cell r="G23">
            <v>880</v>
          </cell>
        </row>
        <row r="25">
          <cell r="G25">
            <v>250</v>
          </cell>
        </row>
        <row r="27">
          <cell r="G27">
            <v>11630.792088737264</v>
          </cell>
        </row>
        <row r="28">
          <cell r="G28">
            <v>1315.0030166469389</v>
          </cell>
        </row>
        <row r="29">
          <cell r="G29">
            <v>12945.795105384203</v>
          </cell>
        </row>
        <row r="30">
          <cell r="G30">
            <v>13523.696281184326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models changes"/>
      <sheetName val="Comp Models with newer bmarks"/>
      <sheetName val="Proposed Comp models"/>
      <sheetName val="Discrete Mods with newer bmarks"/>
      <sheetName val="Proposed (relevant)Discr Models"/>
      <sheetName val="Adolescent Supprt Network model"/>
      <sheetName val="Specialty Family Skills Group"/>
      <sheetName val="Family Skills Dev Group"/>
      <sheetName val="Parent Skill Dev Group"/>
      <sheetName val="Ed Coordina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>
        <row r="1">
          <cell r="N1">
            <v>2.9824052590873982E-2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eview"/>
      <sheetName val="CAF Spring17"/>
      <sheetName val="AdultCompanion"/>
      <sheetName val="AutFamSup"/>
      <sheetName val="AWC Admin-Family Nav "/>
      <sheetName val="Aut-FamSupCtrs"/>
      <sheetName val="AWC Admin - Family Nav"/>
      <sheetName val="BehavioralSupport"/>
      <sheetName val="FamTrn PeerSup Respite"/>
      <sheetName val="Fin. Assistance Admin"/>
      <sheetName val="Med Complex "/>
      <sheetName val="Respite Caregiver Home"/>
      <sheetName val="Site Based Respite"/>
      <sheetName val="DCFClinicalComp"/>
      <sheetName val="Rates For Reg"/>
      <sheetName val="Specialty Family Skills Group"/>
      <sheetName val="Family Skills Dev Group"/>
      <sheetName val="Parent Skill Dev Group"/>
      <sheetName val="Ed Coordination"/>
      <sheetName val="DMH DYI Model"/>
      <sheetName val="DMH Fam Sys Int "/>
      <sheetName val="DMH Indiv Youth Support"/>
      <sheetName val="Facility Based Respite"/>
      <sheetName val="DMH IFFS"/>
    </sheetNames>
    <sheetDataSet>
      <sheetData sheetId="0"/>
      <sheetData sheetId="1">
        <row r="27">
          <cell r="BK27">
            <v>2.7235921972764018E-2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eview"/>
      <sheetName val="Fall 2018"/>
      <sheetName val="CAF Spring17"/>
      <sheetName val="AdultCompanion"/>
      <sheetName val="AutFamSup"/>
      <sheetName val="AWC Admin-Family Nav "/>
      <sheetName val="Aut-FamSupCtrs"/>
      <sheetName val="Aut-FamSupCtrs (2)"/>
      <sheetName val="AWC Admin - Family Nav"/>
      <sheetName val="BehavioralSupport"/>
      <sheetName val="FamTrn PeerSup Respite"/>
      <sheetName val="Fin. Assistance Admin"/>
      <sheetName val="Med Complex "/>
      <sheetName val="Respite Caregiver Home"/>
      <sheetName val="Site Based Respite"/>
      <sheetName val="DCFClinicalComp"/>
      <sheetName val="Specialty Family Skills Group"/>
      <sheetName val="Family Skills Dev Group"/>
      <sheetName val="Parent Skill Dev Group"/>
      <sheetName val="Ed Coordination"/>
      <sheetName val=" IFFS "/>
      <sheetName val="RATES"/>
      <sheetName val="FSTAB FY18 RAW Spend"/>
      <sheetName val="DMH DYI Model"/>
      <sheetName val="DMH Fam Sys Int "/>
      <sheetName val="DMH Indiv Youth Support"/>
      <sheetName val="Facility Based Respite"/>
      <sheetName val="DMH IFFS"/>
      <sheetName val="Activity Codes"/>
      <sheetName val="FSTAB SPEND"/>
      <sheetName val="Salary Compare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V12">
            <v>6.3E-3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eview"/>
      <sheetName val="Spring 2019 CAF"/>
      <sheetName val="CAF Spring17"/>
      <sheetName val="AdultCompanion"/>
      <sheetName val="AutFamSup"/>
      <sheetName val="AWC Admin-Family Nav "/>
      <sheetName val="Aut-FamSupCtrs"/>
      <sheetName val="AWC Admin - Family Nav"/>
      <sheetName val="BehavioralSupport"/>
      <sheetName val="FamTrn PeerSup Respite"/>
      <sheetName val="Fin. Assistance Admin"/>
      <sheetName val="Med Complex "/>
      <sheetName val="Respite Caregiver Home"/>
      <sheetName val="Site Based Respite"/>
      <sheetName val="DCFClinicalComp"/>
      <sheetName val="Rates For Reg"/>
      <sheetName val="DMH DYI Model"/>
      <sheetName val="DMH Fam Sys Int "/>
      <sheetName val="DMH Indiv Youth Support"/>
      <sheetName val="Facility Based Respite"/>
      <sheetName val="DMH IFFS"/>
    </sheetNames>
    <sheetDataSet>
      <sheetData sheetId="0"/>
      <sheetData sheetId="1"/>
      <sheetData sheetId="2">
        <row r="27">
          <cell r="BK27">
            <v>2.7235921972764018E-2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tatus"/>
      <sheetName val="BENCHMARKS (2)"/>
      <sheetName val="Spec Assessment"/>
      <sheetName val="Model Budgets_Aft Schl Dy Rspt"/>
      <sheetName val="After School_Dy Respt"/>
      <sheetName val="Model Budget-Edu Coord "/>
      <sheetName val="Edu Coord (Treehouse)"/>
      <sheetName val="3066 FNSS 09 UFR Data "/>
      <sheetName val="Model Budgets-Combined Hr Data"/>
      <sheetName val="Combined Hrly Data"/>
      <sheetName val="Model Budgets-Groups- Specialty"/>
      <sheetName val="MB-Groups -Family Skills Dev."/>
      <sheetName val="MB-Groups -Fathers Program"/>
      <sheetName val="Group-Non Stnd"/>
      <sheetName val="Child Care"/>
      <sheetName val="CAF"/>
      <sheetName val="Unbundled IFC Support Rate"/>
      <sheetName val="Unbundled background file"/>
      <sheetName val="units"/>
    </sheetNames>
    <sheetDataSet>
      <sheetData sheetId="0"/>
      <sheetData sheetId="1">
        <row r="157">
          <cell r="D157">
            <v>52564.428772849235</v>
          </cell>
        </row>
      </sheetData>
      <sheetData sheetId="2"/>
      <sheetData sheetId="3"/>
      <sheetData sheetId="4">
        <row r="4">
          <cell r="F4">
            <v>229</v>
          </cell>
        </row>
        <row r="5">
          <cell r="F5">
            <v>260</v>
          </cell>
        </row>
        <row r="6">
          <cell r="F6">
            <v>240</v>
          </cell>
        </row>
        <row r="7">
          <cell r="F7">
            <v>365</v>
          </cell>
        </row>
        <row r="8">
          <cell r="F8">
            <v>260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AD20">
            <v>4.4640068153077195E-2</v>
          </cell>
        </row>
      </sheetData>
      <sheetData sheetId="16"/>
      <sheetData sheetId="17">
        <row r="45">
          <cell r="G45">
            <v>8.1111275183150191</v>
          </cell>
        </row>
        <row r="53">
          <cell r="G53">
            <v>2.84</v>
          </cell>
        </row>
        <row r="72">
          <cell r="K72">
            <v>1.0391381345926798</v>
          </cell>
        </row>
      </sheetData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 Bench Chart"/>
      <sheetName val="Consolidated Rate Chart"/>
      <sheetName val="FY21 Add on Rates "/>
      <sheetName val="EXAMPLE - Group Home 1-4"/>
      <sheetName val="GH 12 Beds(DMH) "/>
      <sheetName val="Latency Res with H. Parent"/>
      <sheetName val="XXCTR 0-6"/>
      <sheetName val="XXCTR 7-12"/>
      <sheetName val="Short Term CTR"/>
      <sheetName val="Teen Parent"/>
      <sheetName val="Emergency Model"/>
      <sheetName val="The CTR model (was 13-17)"/>
      <sheetName val="Specialty (Exploited)"/>
      <sheetName val="Specialty"/>
      <sheetName val="XXInt Treatment Res A NOT USING"/>
      <sheetName val="Intensive Treatment Residence M"/>
      <sheetName val="ITR Aggressive old"/>
      <sheetName val="ITR Mental Health old"/>
      <sheetName val="TEMPLATE (7)"/>
      <sheetName val="TEMPLATE (8)"/>
    </sheetNames>
    <sheetDataSet>
      <sheetData sheetId="0" refreshError="1">
        <row r="4">
          <cell r="C4">
            <v>32198.400000000001</v>
          </cell>
        </row>
        <row r="30">
          <cell r="C30">
            <v>0.224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 Behavioral Model Masters"/>
      <sheetName val="inhome beh rate ma"/>
      <sheetName val="PhDLevel"/>
      <sheetName val="All 3 Levels"/>
      <sheetName val="DDSSalaryStudyFY09"/>
      <sheetName val="3CAFS"/>
      <sheetName val="Compatibility Report"/>
    </sheetNames>
    <sheetDataSet>
      <sheetData sheetId="0">
        <row r="6">
          <cell r="C6">
            <v>55682</v>
          </cell>
        </row>
        <row r="24">
          <cell r="C24">
            <v>3</v>
          </cell>
          <cell r="D24">
            <v>40</v>
          </cell>
        </row>
        <row r="25">
          <cell r="C25">
            <v>2</v>
          </cell>
          <cell r="D25">
            <v>40</v>
          </cell>
        </row>
        <row r="27">
          <cell r="E27">
            <v>40</v>
          </cell>
        </row>
      </sheetData>
      <sheetData sheetId="1"/>
      <sheetData sheetId="2">
        <row r="6">
          <cell r="C6">
            <v>78011.75</v>
          </cell>
        </row>
      </sheetData>
      <sheetData sheetId="3">
        <row r="18">
          <cell r="I18">
            <v>58.8573007148077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Adult Companion"/>
      <sheetName val="Autism Support Centers"/>
      <sheetName val="Behavior Masters"/>
      <sheetName val="Behavior PhD"/>
      <sheetName val="Case Consultation"/>
      <sheetName val="Com Based Aft School Serv"/>
      <sheetName val="Family Support Centers"/>
      <sheetName val="IFFS"/>
      <sheetName val="Ind Home Support"/>
      <sheetName val="Facility Based Respite"/>
      <sheetName val="DMH Facil Base Resp FY09UFRData"/>
      <sheetName val="Fin. Assistance Admin"/>
      <sheetName val="Med Complex "/>
      <sheetName val="Med Complex Prop Budgets"/>
      <sheetName val="Fam Training Peer Supt Respite"/>
      <sheetName val="DMH Indiv Youth Support"/>
      <sheetName val="Family navigation"/>
      <sheetName val="DMH Fam Sys Int "/>
      <sheetName val="Respite in Care Caregiver Home"/>
      <sheetName val="Youth Group Support"/>
      <sheetName val="FY 09 UFR Salary Data"/>
      <sheetName val="DCF Comp FY10 Budget Data"/>
      <sheetName val="FNSS 3066 FY09 UFR Data"/>
      <sheetName val="DCF Model Comp Model  B"/>
      <sheetName val="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HS18">
            <v>20.56095890410959</v>
          </cell>
        </row>
      </sheetData>
      <sheetData sheetId="12"/>
      <sheetData sheetId="13"/>
      <sheetData sheetId="14">
        <row r="10">
          <cell r="AG10">
            <v>51829.268292682929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3">
          <cell r="H3">
            <v>56242.93</v>
          </cell>
        </row>
        <row r="24">
          <cell r="H24">
            <v>43813.11</v>
          </cell>
        </row>
        <row r="36">
          <cell r="F36">
            <v>33751.15474941882</v>
          </cell>
        </row>
        <row r="40">
          <cell r="H40">
            <v>25622.22</v>
          </cell>
        </row>
        <row r="42">
          <cell r="F42">
            <v>31320.912288456329</v>
          </cell>
        </row>
      </sheetData>
      <sheetData sheetId="22">
        <row r="63">
          <cell r="CJ63">
            <v>0.12316736039385787</v>
          </cell>
        </row>
      </sheetData>
      <sheetData sheetId="23">
        <row r="72">
          <cell r="EO72">
            <v>29820.716213693202</v>
          </cell>
        </row>
      </sheetData>
      <sheetData sheetId="24">
        <row r="14">
          <cell r="CS14">
            <v>0.8240960467372892</v>
          </cell>
        </row>
      </sheetData>
      <sheetData sheetId="25">
        <row r="24">
          <cell r="AA24">
            <v>3.2741867342628073E-2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eview"/>
      <sheetName val="CAF Spring17"/>
      <sheetName val="AdultCompanion (2)"/>
      <sheetName val="AutFamSup"/>
      <sheetName val="AWC Admin-Family Nav "/>
      <sheetName val="Chart"/>
      <sheetName val="BLS"/>
      <sheetName val="Master Look Up"/>
      <sheetName val="AdultCompanion"/>
      <sheetName val="Aut-FamSupCtrs"/>
      <sheetName val="Single FTE Model "/>
      <sheetName val="AWC ALL DDS"/>
      <sheetName val="Aut-FamSupCtrs Final"/>
      <sheetName val="AWC Admin - Family Nav"/>
      <sheetName val="BehavioralSupport"/>
      <sheetName val="Family Training "/>
      <sheetName val="Peer Suppt"/>
      <sheetName val="Respite Recipient Home "/>
      <sheetName val="Fin. Assistance Admin"/>
      <sheetName val="MCB FAMS"/>
      <sheetName val="Med Complex "/>
      <sheetName val="Respite Caregiver Home"/>
      <sheetName val="Site Based Respite"/>
      <sheetName val="DCFClinicalComp"/>
      <sheetName val="IFFS"/>
      <sheetName val="Spring 2019 CAF"/>
      <sheetName val="DMH DYI Model"/>
      <sheetName val="DMH Fam Sys Int "/>
      <sheetName val="DMH Indiv Youth Support"/>
      <sheetName val="Facility Based Respite"/>
      <sheetName val="UFR Salary Data"/>
      <sheetName val="UFR Salary"/>
      <sheetName val="Fiscal Impact"/>
      <sheetName val="Rate for Reg"/>
      <sheetName val="Spring 2021 CAF"/>
      <sheetName val="Sheet1"/>
    </sheetNames>
    <sheetDataSet>
      <sheetData sheetId="0" refreshError="1"/>
      <sheetData sheetId="1">
        <row r="27">
          <cell r="BK27">
            <v>2.7235921972764018E-2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CleanData (2)"/>
      <sheetName val="RawDataCalcs (2)"/>
      <sheetName val="Lookups"/>
      <sheetName val="RawDataCalcs"/>
      <sheetName val="Source"/>
      <sheetName val="FICurrentRate"/>
      <sheetName val="Model Budget"/>
      <sheetName val="Worksheet"/>
      <sheetName val="FamStabSala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L16">
            <v>0</v>
          </cell>
          <cell r="M16">
            <v>1.2139698974996782E-2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17680</v>
          </cell>
          <cell r="AA16">
            <v>0</v>
          </cell>
          <cell r="AB16">
            <v>105576.11844574883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17680</v>
          </cell>
          <cell r="BE16">
            <v>0</v>
          </cell>
          <cell r="BF16">
            <v>0</v>
          </cell>
          <cell r="BG16">
            <v>0</v>
          </cell>
          <cell r="BH16">
            <v>17680</v>
          </cell>
          <cell r="BI16">
            <v>0</v>
          </cell>
          <cell r="BJ16">
            <v>0</v>
          </cell>
          <cell r="BK16">
            <v>0</v>
          </cell>
          <cell r="BL16">
            <v>17680</v>
          </cell>
          <cell r="BM16">
            <v>0</v>
          </cell>
          <cell r="BN16">
            <v>17680</v>
          </cell>
          <cell r="BO16">
            <v>0</v>
          </cell>
          <cell r="BP16">
            <v>0</v>
          </cell>
          <cell r="BQ16">
            <v>0</v>
          </cell>
          <cell r="BR16">
            <v>17680</v>
          </cell>
          <cell r="BS16">
            <v>17680</v>
          </cell>
          <cell r="BT16">
            <v>-39873.996502157926</v>
          </cell>
          <cell r="BU16">
            <v>6.2242076161676985E-2</v>
          </cell>
          <cell r="BV16">
            <v>-11.437455797342871</v>
          </cell>
          <cell r="BW16">
            <v>-39859.701549495061</v>
          </cell>
          <cell r="BX16">
            <v>0</v>
          </cell>
          <cell r="BY16">
            <v>-321.11111111111109</v>
          </cell>
          <cell r="BZ16">
            <v>-41042.440256691923</v>
          </cell>
          <cell r="CA16">
            <v>-251770.26943483832</v>
          </cell>
          <cell r="CB16">
            <v>8.8729109375923237E-2</v>
          </cell>
          <cell r="CC16">
            <v>-23544.303378043831</v>
          </cell>
          <cell r="CD16">
            <v>0</v>
          </cell>
          <cell r="CE16">
            <v>0</v>
          </cell>
          <cell r="CF16">
            <v>0</v>
          </cell>
          <cell r="CG16">
            <v>-159694.9032558178</v>
          </cell>
          <cell r="CH16">
            <v>-4130.6725103641575</v>
          </cell>
          <cell r="CI16">
            <v>-186781.66945053823</v>
          </cell>
          <cell r="CJ16">
            <v>-39859.701549495061</v>
          </cell>
          <cell r="CK16">
            <v>-25547.777777777781</v>
          </cell>
          <cell r="CL16">
            <v>-321.11111111111109</v>
          </cell>
          <cell r="CM16">
            <v>-6940</v>
          </cell>
          <cell r="CN16">
            <v>-41042.440256691923</v>
          </cell>
          <cell r="CO16">
            <v>-292811.73882543447</v>
          </cell>
          <cell r="CP16">
            <v>0.61656919283408007</v>
          </cell>
          <cell r="CQ16">
            <v>5.1803668216236075E-2</v>
          </cell>
          <cell r="CR16">
            <v>0</v>
          </cell>
          <cell r="CS16">
            <v>0</v>
          </cell>
          <cell r="CT16">
            <v>0</v>
          </cell>
          <cell r="CU16">
            <v>8.2503417604680995E-2</v>
          </cell>
          <cell r="CV16">
            <v>-136.37044168758831</v>
          </cell>
          <cell r="CW16">
            <v>-7.9673250520136634</v>
          </cell>
          <cell r="CX16">
            <v>-3.9756890410485179</v>
          </cell>
          <cell r="CY16">
            <v>-4.9970605526161088E-2</v>
          </cell>
          <cell r="CZ16">
            <v>-1.0799875505757857</v>
          </cell>
          <cell r="DA16">
            <v>-17.30948263843479</v>
          </cell>
          <cell r="DB16">
            <v>-163.89396590439674</v>
          </cell>
        </row>
        <row r="17">
          <cell r="L17">
            <v>13.715630301246565</v>
          </cell>
          <cell r="M17">
            <v>1.5606998071978428</v>
          </cell>
          <cell r="N17">
            <v>0.94922482111054507</v>
          </cell>
          <cell r="O17">
            <v>0</v>
          </cell>
          <cell r="P17">
            <v>0</v>
          </cell>
          <cell r="Q17">
            <v>0</v>
          </cell>
          <cell r="R17">
            <v>12.278325920854748</v>
          </cell>
          <cell r="S17">
            <v>0.26594159209584445</v>
          </cell>
          <cell r="T17">
            <v>9.3352270138168464E-2</v>
          </cell>
          <cell r="U17">
            <v>0</v>
          </cell>
          <cell r="V17">
            <v>0</v>
          </cell>
          <cell r="W17">
            <v>0</v>
          </cell>
          <cell r="X17">
            <v>3.5337729155301019</v>
          </cell>
          <cell r="Y17">
            <v>1.0843633294937423</v>
          </cell>
          <cell r="Z17">
            <v>635149.05965226574</v>
          </cell>
          <cell r="AA17">
            <v>0</v>
          </cell>
          <cell r="AB17">
            <v>289423.88155425119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95399.979722212971</v>
          </cell>
          <cell r="BE17">
            <v>0</v>
          </cell>
          <cell r="BF17">
            <v>0</v>
          </cell>
          <cell r="BG17">
            <v>0</v>
          </cell>
          <cell r="BH17">
            <v>149082.9837242121</v>
          </cell>
          <cell r="BI17">
            <v>0</v>
          </cell>
          <cell r="BJ17">
            <v>0</v>
          </cell>
          <cell r="BK17">
            <v>0</v>
          </cell>
          <cell r="BL17">
            <v>110054.81441723154</v>
          </cell>
          <cell r="BM17">
            <v>0</v>
          </cell>
          <cell r="BN17">
            <v>400007.34183446097</v>
          </cell>
          <cell r="BO17">
            <v>0</v>
          </cell>
          <cell r="BP17">
            <v>0</v>
          </cell>
          <cell r="BQ17">
            <v>0</v>
          </cell>
          <cell r="BR17">
            <v>87486.515622537816</v>
          </cell>
          <cell r="BS17">
            <v>149082.9837242121</v>
          </cell>
          <cell r="BT17">
            <v>64201.596502157932</v>
          </cell>
          <cell r="BU17">
            <v>0.23470344685741057</v>
          </cell>
          <cell r="BV17">
            <v>16.01243811628002</v>
          </cell>
          <cell r="BW17">
            <v>64179.066581320978</v>
          </cell>
          <cell r="BX17">
            <v>0</v>
          </cell>
          <cell r="BY17">
            <v>449.55555555555554</v>
          </cell>
          <cell r="BZ17">
            <v>58166.527683455301</v>
          </cell>
          <cell r="CA17">
            <v>358246.58334140829</v>
          </cell>
          <cell r="CB17">
            <v>0.18701432287169942</v>
          </cell>
          <cell r="CC17">
            <v>33444.303378043827</v>
          </cell>
          <cell r="CD17">
            <v>0</v>
          </cell>
          <cell r="CE17">
            <v>0</v>
          </cell>
          <cell r="CF17">
            <v>0</v>
          </cell>
          <cell r="CG17">
            <v>227049.79214470668</v>
          </cell>
          <cell r="CH17">
            <v>6717.7836214752688</v>
          </cell>
          <cell r="CI17">
            <v>266623.66945053823</v>
          </cell>
          <cell r="CJ17">
            <v>64179.066581320978</v>
          </cell>
          <cell r="CK17">
            <v>35766.888888888891</v>
          </cell>
          <cell r="CL17">
            <v>449.55555555555554</v>
          </cell>
          <cell r="CM17">
            <v>9716</v>
          </cell>
          <cell r="CN17">
            <v>58166.527683455301</v>
          </cell>
          <cell r="CO17">
            <v>416412.14015876781</v>
          </cell>
          <cell r="CP17">
            <v>0.87831108535723879</v>
          </cell>
          <cell r="CQ17">
            <v>0.16744893411282175</v>
          </cell>
          <cell r="CR17">
            <v>0</v>
          </cell>
          <cell r="CS17">
            <v>0</v>
          </cell>
          <cell r="CT17">
            <v>0</v>
          </cell>
          <cell r="CU17">
            <v>0.15916705613811943</v>
          </cell>
          <cell r="CV17">
            <v>243.99908573780101</v>
          </cell>
          <cell r="CW17">
            <v>32.103055682549908</v>
          </cell>
          <cell r="CX17">
            <v>5.5659646574679247</v>
          </cell>
          <cell r="CY17">
            <v>6.9958847736625515E-2</v>
          </cell>
          <cell r="CZ17">
            <v>1.5119825708061001</v>
          </cell>
          <cell r="DA17">
            <v>32.83724687471225</v>
          </cell>
          <cell r="DB17">
            <v>302.50137230893381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9"/>
  <sheetViews>
    <sheetView zoomScale="50" zoomScaleNormal="50" workbookViewId="0">
      <selection activeCell="V13" sqref="V13"/>
    </sheetView>
  </sheetViews>
  <sheetFormatPr defaultRowHeight="14.4"/>
  <cols>
    <col min="1" max="1" width="5.5546875" style="4" customWidth="1"/>
    <col min="2" max="2" width="58" style="4" customWidth="1"/>
    <col min="3" max="3" width="24.21875" style="4" customWidth="1"/>
    <col min="4" max="5" width="14.77734375" style="4" hidden="1" customWidth="1"/>
    <col min="6" max="6" width="57.109375" style="4" customWidth="1"/>
    <col min="7" max="7" width="62.109375" style="5" customWidth="1"/>
    <col min="8" max="8" width="14.77734375" style="4" hidden="1" customWidth="1"/>
    <col min="9" max="9" width="0" style="4" hidden="1" customWidth="1"/>
    <col min="10" max="10" width="11" style="4" hidden="1" customWidth="1"/>
    <col min="11" max="11" width="0" style="4" hidden="1" customWidth="1"/>
    <col min="12" max="16384" width="8.88671875" style="4"/>
  </cols>
  <sheetData>
    <row r="1" spans="2:10" ht="21">
      <c r="B1" s="1"/>
      <c r="C1" s="2" t="s">
        <v>0</v>
      </c>
      <c r="D1" s="2" t="s">
        <v>0</v>
      </c>
      <c r="E1" s="3"/>
    </row>
    <row r="2" spans="2:10" ht="21">
      <c r="C2" s="6">
        <v>2020</v>
      </c>
      <c r="D2" s="7" t="s">
        <v>1</v>
      </c>
      <c r="E2" s="8"/>
    </row>
    <row r="3" spans="2:10" ht="21">
      <c r="B3" s="9"/>
      <c r="C3" s="7" t="s">
        <v>2</v>
      </c>
      <c r="D3" s="7" t="s">
        <v>2</v>
      </c>
      <c r="E3" s="7"/>
      <c r="F3" s="10"/>
      <c r="G3" s="11"/>
    </row>
    <row r="4" spans="2:10" ht="19.2" customHeight="1" thickBot="1">
      <c r="B4" s="12" t="s">
        <v>3</v>
      </c>
      <c r="C4" s="13" t="s">
        <v>4</v>
      </c>
      <c r="D4" s="14" t="s">
        <v>5</v>
      </c>
      <c r="E4" s="14" t="s">
        <v>6</v>
      </c>
      <c r="F4" s="12" t="s">
        <v>7</v>
      </c>
      <c r="G4" s="15" t="s">
        <v>8</v>
      </c>
      <c r="H4" s="8" t="s">
        <v>9</v>
      </c>
      <c r="J4" s="4" t="s">
        <v>10</v>
      </c>
    </row>
    <row r="5" spans="2:10" ht="31.2" customHeight="1">
      <c r="B5" s="16" t="s">
        <v>11</v>
      </c>
      <c r="C5" s="17">
        <f>'[1]DC  CNA  DC III'!G7</f>
        <v>16.791999999999998</v>
      </c>
      <c r="D5" s="17">
        <v>15.48</v>
      </c>
      <c r="E5" s="18"/>
      <c r="F5" s="19" t="s">
        <v>12</v>
      </c>
      <c r="G5" s="20" t="s">
        <v>13</v>
      </c>
      <c r="H5" s="21">
        <f>H6/2080</f>
        <v>15.480288461538462</v>
      </c>
      <c r="J5" s="22">
        <f>C5-H5</f>
        <v>1.3117115384615357</v>
      </c>
    </row>
    <row r="6" spans="2:10" ht="31.2" customHeight="1" thickBot="1">
      <c r="B6" s="23" t="s">
        <v>14</v>
      </c>
      <c r="C6" s="24">
        <f>C5*2080</f>
        <v>34927.359999999993</v>
      </c>
      <c r="D6" s="25">
        <f>D5*2080</f>
        <v>32198.400000000001</v>
      </c>
      <c r="E6" s="26">
        <f>(C6-D6)/D6</f>
        <v>8.4754521963824034E-2</v>
      </c>
      <c r="F6" s="27"/>
      <c r="G6" s="28"/>
      <c r="H6" s="29">
        <v>32199</v>
      </c>
      <c r="J6" s="22"/>
    </row>
    <row r="7" spans="2:10" ht="21">
      <c r="B7" s="16" t="s">
        <v>15</v>
      </c>
      <c r="C7" s="30">
        <f>'[1]DC  CNA  DC III'!G20</f>
        <v>21.736000000000001</v>
      </c>
      <c r="D7" s="17">
        <v>19.96</v>
      </c>
      <c r="E7" s="18"/>
      <c r="F7" s="31" t="s">
        <v>16</v>
      </c>
      <c r="G7" s="20" t="s">
        <v>17</v>
      </c>
      <c r="H7" s="21">
        <f>H8/2080</f>
        <v>18.400480769230768</v>
      </c>
      <c r="J7" s="22">
        <f>C7-H7</f>
        <v>3.3355192307692327</v>
      </c>
    </row>
    <row r="8" spans="2:10" ht="21.6" thickBot="1">
      <c r="B8" s="32" t="s">
        <v>18</v>
      </c>
      <c r="C8" s="33">
        <f>C7*2080</f>
        <v>45210.880000000005</v>
      </c>
      <c r="D8" s="34">
        <f>D7*2080</f>
        <v>41516.800000000003</v>
      </c>
      <c r="E8" s="35">
        <f>(C8-D8)/D8</f>
        <v>8.8977955911823683E-2</v>
      </c>
      <c r="F8" s="36"/>
      <c r="G8" s="37"/>
      <c r="H8" s="29">
        <v>38273</v>
      </c>
      <c r="J8" s="22"/>
    </row>
    <row r="9" spans="2:10" ht="21">
      <c r="B9" s="16" t="s">
        <v>19</v>
      </c>
      <c r="C9" s="30">
        <f>'[1]DC  CNA  DC III'!G11</f>
        <v>17.260000000000002</v>
      </c>
      <c r="D9" s="17">
        <v>15.53</v>
      </c>
      <c r="E9" s="18"/>
      <c r="F9" s="38"/>
      <c r="G9" s="20" t="s">
        <v>20</v>
      </c>
      <c r="H9" s="21">
        <f>H10/2080</f>
        <v>20.43028846153846</v>
      </c>
      <c r="J9" s="39">
        <f>C9-H9</f>
        <v>-3.1702884615384583</v>
      </c>
    </row>
    <row r="10" spans="2:10" ht="21.6" thickBot="1">
      <c r="B10" s="23" t="s">
        <v>21</v>
      </c>
      <c r="C10" s="24">
        <f>C9*2080</f>
        <v>35900.800000000003</v>
      </c>
      <c r="D10" s="25">
        <f>D9*2080</f>
        <v>32302.399999999998</v>
      </c>
      <c r="E10" s="26">
        <f>(C10-D10)/D10</f>
        <v>0.11139729555698664</v>
      </c>
      <c r="F10" s="40"/>
      <c r="G10" s="28"/>
      <c r="H10" s="29">
        <v>42495</v>
      </c>
      <c r="J10" s="22"/>
    </row>
    <row r="11" spans="2:10" ht="21">
      <c r="B11" s="16" t="s">
        <v>22</v>
      </c>
      <c r="C11" s="30">
        <f>'[1]Case Social Worker.Manager'!G4</f>
        <v>21.814999999999998</v>
      </c>
      <c r="D11" s="17">
        <v>21.14</v>
      </c>
      <c r="E11" s="18"/>
      <c r="F11" s="31" t="s">
        <v>23</v>
      </c>
      <c r="G11" s="20" t="s">
        <v>24</v>
      </c>
      <c r="H11" s="41" t="s">
        <v>25</v>
      </c>
      <c r="J11" s="22"/>
    </row>
    <row r="12" spans="2:10" ht="21.6" thickBot="1">
      <c r="B12" s="32" t="s">
        <v>26</v>
      </c>
      <c r="C12" s="33">
        <f>C11*2080</f>
        <v>45375.199999999997</v>
      </c>
      <c r="D12" s="34">
        <f>D11*2080</f>
        <v>43971.200000000004</v>
      </c>
      <c r="E12" s="35">
        <f>(C12-D12)/D12</f>
        <v>3.192999053926189E-2</v>
      </c>
      <c r="F12" s="36" t="s">
        <v>27</v>
      </c>
      <c r="G12" s="37"/>
      <c r="H12" s="42"/>
      <c r="J12" s="22"/>
    </row>
    <row r="13" spans="2:10" ht="42">
      <c r="B13" s="43" t="s">
        <v>28</v>
      </c>
      <c r="C13" s="30">
        <f>'[1]Case Social Worker.Manager'!G10</f>
        <v>26.16</v>
      </c>
      <c r="D13" s="17">
        <v>25.32</v>
      </c>
      <c r="E13" s="18"/>
      <c r="F13" s="31" t="s">
        <v>29</v>
      </c>
      <c r="G13" s="20" t="s">
        <v>30</v>
      </c>
      <c r="H13" s="21">
        <f>H14/2080</f>
        <v>19.703365384615385</v>
      </c>
      <c r="J13" s="22">
        <f>C13-H13</f>
        <v>6.4566346153846155</v>
      </c>
    </row>
    <row r="14" spans="2:10" ht="42.6" thickBot="1">
      <c r="B14" s="44" t="s">
        <v>31</v>
      </c>
      <c r="C14" s="24">
        <f>C13*2080</f>
        <v>54412.800000000003</v>
      </c>
      <c r="D14" s="25">
        <f>D13*2080</f>
        <v>52665.599999999999</v>
      </c>
      <c r="E14" s="26">
        <f>(C14-D14)/D14</f>
        <v>3.3175355450237053E-2</v>
      </c>
      <c r="F14" s="40" t="s">
        <v>32</v>
      </c>
      <c r="G14" s="28"/>
      <c r="H14" s="29">
        <v>40983</v>
      </c>
      <c r="J14" s="22"/>
    </row>
    <row r="15" spans="2:10" ht="21">
      <c r="B15" s="16" t="s">
        <v>33</v>
      </c>
      <c r="C15" s="30">
        <f>[1]Clinical!G5</f>
        <v>30.59</v>
      </c>
      <c r="D15" s="17">
        <v>29.29</v>
      </c>
      <c r="E15" s="18"/>
      <c r="F15" s="31" t="s">
        <v>34</v>
      </c>
      <c r="G15" s="20" t="s">
        <v>35</v>
      </c>
      <c r="H15" s="21">
        <f>H16/2080</f>
        <v>27.190865384615385</v>
      </c>
      <c r="J15" s="22">
        <f>C15-H15</f>
        <v>3.3991346153846145</v>
      </c>
    </row>
    <row r="16" spans="2:10" ht="21.6" thickBot="1">
      <c r="B16" s="23" t="s">
        <v>36</v>
      </c>
      <c r="C16" s="24">
        <f>C15*2080</f>
        <v>63627.199999999997</v>
      </c>
      <c r="D16" s="25">
        <f>D15*2080</f>
        <v>60923.199999999997</v>
      </c>
      <c r="E16" s="26">
        <f>(C16-D16)/D16</f>
        <v>4.4383748719699558E-2</v>
      </c>
      <c r="F16" s="40"/>
      <c r="G16" s="28"/>
      <c r="H16" s="29">
        <v>56557</v>
      </c>
      <c r="J16" s="22"/>
    </row>
    <row r="17" spans="2:10" s="1997" customFormat="1" ht="21">
      <c r="B17" s="1991" t="s">
        <v>37</v>
      </c>
      <c r="C17" s="1992">
        <f>[1]Management!G2</f>
        <v>33.46153846153846</v>
      </c>
      <c r="D17" s="33" t="s">
        <v>25</v>
      </c>
      <c r="E17" s="1993"/>
      <c r="F17" s="1994" t="s">
        <v>38</v>
      </c>
      <c r="G17" s="1995" t="s">
        <v>39</v>
      </c>
      <c r="H17" s="1996"/>
      <c r="J17" s="1998"/>
    </row>
    <row r="18" spans="2:10" s="1997" customFormat="1" ht="21.6" thickBot="1">
      <c r="B18" s="1991" t="s">
        <v>40</v>
      </c>
      <c r="C18" s="33">
        <f>[1]Management!H2</f>
        <v>69600</v>
      </c>
      <c r="D18" s="33" t="s">
        <v>25</v>
      </c>
      <c r="E18" s="1993"/>
      <c r="F18" s="1994" t="s">
        <v>41</v>
      </c>
      <c r="G18" s="1995"/>
      <c r="H18" s="1996"/>
      <c r="J18" s="1998"/>
    </row>
    <row r="19" spans="2:10" s="1997" customFormat="1" ht="21">
      <c r="B19" s="1999" t="s">
        <v>42</v>
      </c>
      <c r="C19" s="30">
        <f>[1]Clinical!G9</f>
        <v>40.57</v>
      </c>
      <c r="D19" s="30">
        <v>40.06</v>
      </c>
      <c r="E19" s="2000"/>
      <c r="F19" s="45" t="s">
        <v>43</v>
      </c>
      <c r="G19" s="20" t="s">
        <v>44</v>
      </c>
      <c r="H19" s="2001">
        <f>H20/2080</f>
        <v>33.217788461538461</v>
      </c>
      <c r="J19" s="1998">
        <f>C19-H19</f>
        <v>7.352211538461539</v>
      </c>
    </row>
    <row r="20" spans="2:10" ht="21.6" thickBot="1">
      <c r="B20" s="23" t="s">
        <v>45</v>
      </c>
      <c r="C20" s="24">
        <f>C19*2080</f>
        <v>84385.600000000006</v>
      </c>
      <c r="D20" s="25">
        <f>D19*2080</f>
        <v>83324.800000000003</v>
      </c>
      <c r="E20" s="26">
        <f>(C20-D20)/D20</f>
        <v>1.2730903644533234E-2</v>
      </c>
      <c r="F20" s="46"/>
      <c r="G20" s="28"/>
      <c r="H20" s="29">
        <v>69093</v>
      </c>
      <c r="J20" s="22"/>
    </row>
    <row r="21" spans="2:10" ht="21">
      <c r="B21" s="16" t="s">
        <v>46</v>
      </c>
      <c r="C21" s="30">
        <f>[1]Nursing!G2</f>
        <v>28.8</v>
      </c>
      <c r="D21" s="17">
        <v>27.62</v>
      </c>
      <c r="E21" s="18"/>
      <c r="F21" s="31"/>
      <c r="G21" s="20" t="s">
        <v>47</v>
      </c>
      <c r="H21" s="21">
        <f>H22/2080</f>
        <v>25.143750000000001</v>
      </c>
      <c r="J21" s="22">
        <f>C21-H21</f>
        <v>3.65625</v>
      </c>
    </row>
    <row r="22" spans="2:10" ht="21.6" thickBot="1">
      <c r="B22" s="23" t="s">
        <v>48</v>
      </c>
      <c r="C22" s="24">
        <f>C21*2080</f>
        <v>59904</v>
      </c>
      <c r="D22" s="25">
        <f>D21*2080</f>
        <v>57449.599999999999</v>
      </c>
      <c r="E22" s="26">
        <f>(C22-D22)/D22</f>
        <v>4.2722664735698794E-2</v>
      </c>
      <c r="F22" s="40"/>
      <c r="G22" s="28"/>
      <c r="H22" s="29">
        <v>52299</v>
      </c>
      <c r="J22" s="22"/>
    </row>
    <row r="23" spans="2:10" ht="21">
      <c r="B23" s="16" t="s">
        <v>49</v>
      </c>
      <c r="C23" s="30">
        <f>[1]Nursing!G6</f>
        <v>43.41</v>
      </c>
      <c r="D23" s="17">
        <v>41.76</v>
      </c>
      <c r="E23" s="18"/>
      <c r="F23" s="31"/>
      <c r="G23" s="20" t="s">
        <v>50</v>
      </c>
      <c r="H23" s="47">
        <f>H24/2080</f>
        <v>33.460576923076921</v>
      </c>
      <c r="J23" s="22">
        <f>C23-H23</f>
        <v>9.9494230769230754</v>
      </c>
    </row>
    <row r="24" spans="2:10" ht="21.6" thickBot="1">
      <c r="B24" s="23" t="s">
        <v>51</v>
      </c>
      <c r="C24" s="24">
        <f>C23*2080</f>
        <v>90292.799999999988</v>
      </c>
      <c r="D24" s="25">
        <f>D23*2080</f>
        <v>86860.800000000003</v>
      </c>
      <c r="E24" s="26">
        <f>(C24-D24)/D24</f>
        <v>3.9511494252873397E-2</v>
      </c>
      <c r="F24" s="40"/>
      <c r="G24" s="28"/>
      <c r="H24" s="29">
        <v>69598</v>
      </c>
      <c r="J24" s="22"/>
    </row>
    <row r="25" spans="2:10" ht="21">
      <c r="B25" s="16" t="s">
        <v>52</v>
      </c>
      <c r="C25" s="30">
        <f>[1]Nursing!G11</f>
        <v>59.6</v>
      </c>
      <c r="D25" s="17">
        <v>57.41</v>
      </c>
      <c r="E25" s="18"/>
      <c r="F25" s="31"/>
      <c r="G25" s="20" t="s">
        <v>53</v>
      </c>
      <c r="H25" s="21">
        <f>H26/2080</f>
        <v>48.354326923076925</v>
      </c>
      <c r="J25" s="22">
        <f>C25-H25</f>
        <v>11.245673076923076</v>
      </c>
    </row>
    <row r="26" spans="2:10" ht="21.6" thickBot="1">
      <c r="B26" s="23" t="s">
        <v>54</v>
      </c>
      <c r="C26" s="24">
        <f>C25*2080</f>
        <v>123968</v>
      </c>
      <c r="D26" s="25">
        <f>D25*2080</f>
        <v>119412.79999999999</v>
      </c>
      <c r="E26" s="26">
        <f>(C26-D26)/D26</f>
        <v>3.8146664344191006E-2</v>
      </c>
      <c r="F26" s="40"/>
      <c r="G26" s="28"/>
      <c r="H26" s="29">
        <v>100577</v>
      </c>
      <c r="J26" s="22"/>
    </row>
    <row r="27" spans="2:10" ht="21">
      <c r="B27" s="10"/>
      <c r="C27" s="10"/>
      <c r="D27" s="10"/>
      <c r="E27" s="10"/>
      <c r="F27" s="10"/>
      <c r="G27" s="11"/>
    </row>
    <row r="28" spans="2:10" ht="36">
      <c r="B28" s="48" t="s">
        <v>55</v>
      </c>
      <c r="C28" s="49">
        <f>C6</f>
        <v>34927.359999999993</v>
      </c>
      <c r="D28" s="50"/>
      <c r="E28" s="50"/>
      <c r="F28" s="50"/>
      <c r="G28" s="51"/>
    </row>
    <row r="29" spans="2:10" ht="18">
      <c r="B29" s="50"/>
      <c r="C29" s="50"/>
      <c r="D29" s="50"/>
      <c r="E29" s="50"/>
      <c r="F29" s="50"/>
      <c r="G29" s="51"/>
    </row>
    <row r="30" spans="2:10" ht="36">
      <c r="B30" s="48" t="s">
        <v>56</v>
      </c>
      <c r="C30" s="52">
        <f>AVERAGE(14.25,15)</f>
        <v>14.625</v>
      </c>
      <c r="D30" s="50"/>
      <c r="E30" s="50"/>
      <c r="F30" s="50" t="s">
        <v>57</v>
      </c>
      <c r="G30" s="51"/>
    </row>
    <row r="31" spans="2:10" ht="18">
      <c r="B31" s="50"/>
      <c r="C31" s="50"/>
      <c r="D31" s="50"/>
      <c r="E31" s="50"/>
      <c r="F31" s="50"/>
      <c r="G31" s="51"/>
    </row>
    <row r="32" spans="2:10" ht="18">
      <c r="B32" s="53" t="s">
        <v>58</v>
      </c>
      <c r="C32" s="54">
        <v>0.224</v>
      </c>
      <c r="D32" s="50"/>
      <c r="E32" s="50"/>
      <c r="F32" s="50" t="s">
        <v>59</v>
      </c>
      <c r="G32" s="51"/>
    </row>
    <row r="33" spans="2:7" ht="72">
      <c r="B33" s="53"/>
      <c r="C33" s="50"/>
      <c r="D33" s="50"/>
      <c r="E33" s="50"/>
      <c r="F33" s="51" t="s">
        <v>60</v>
      </c>
      <c r="G33" s="51"/>
    </row>
    <row r="34" spans="2:7" ht="18">
      <c r="B34" s="55" t="s">
        <v>61</v>
      </c>
      <c r="C34" s="54">
        <v>3.7000000000000002E-3</v>
      </c>
      <c r="D34" s="50"/>
      <c r="E34" s="50"/>
      <c r="F34" s="50"/>
      <c r="G34" s="51"/>
    </row>
    <row r="35" spans="2:7" ht="18">
      <c r="B35" s="50"/>
      <c r="C35" s="50"/>
      <c r="D35" s="50"/>
      <c r="E35" s="50"/>
      <c r="F35" s="50"/>
      <c r="G35" s="51"/>
    </row>
    <row r="36" spans="2:7" ht="18">
      <c r="B36" s="55" t="s">
        <v>62</v>
      </c>
      <c r="C36" s="56">
        <v>0.12</v>
      </c>
      <c r="D36" s="50"/>
      <c r="E36" s="50"/>
      <c r="F36" s="50" t="s">
        <v>63</v>
      </c>
      <c r="G36" s="51"/>
    </row>
    <row r="39" spans="2:7">
      <c r="B39" s="1" t="s">
        <v>64</v>
      </c>
      <c r="C39" s="22">
        <f>(C24*0.5)+(C22*0.5)</f>
        <v>75098.399999999994</v>
      </c>
    </row>
  </sheetData>
  <mergeCells count="13">
    <mergeCell ref="G25:G26"/>
    <mergeCell ref="G13:G14"/>
    <mergeCell ref="G15:G16"/>
    <mergeCell ref="F19:F20"/>
    <mergeCell ref="G19:G20"/>
    <mergeCell ref="G21:G22"/>
    <mergeCell ref="G23:G24"/>
    <mergeCell ref="F5:F6"/>
    <mergeCell ref="G5:G6"/>
    <mergeCell ref="G7:G8"/>
    <mergeCell ref="G9:G10"/>
    <mergeCell ref="G11:G12"/>
    <mergeCell ref="H11:H12"/>
  </mergeCells>
  <pageMargins left="0.25" right="0.25" top="0.25" bottom="0.25" header="0.05" footer="0.05"/>
  <pageSetup scale="57" fitToHeight="0" orientation="landscape" cellComments="asDisplayed" r:id="rId1"/>
  <ignoredErrors>
    <ignoredError sqref="C7:C2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zoomScaleNormal="100" workbookViewId="0">
      <selection activeCell="W17" sqref="W17"/>
    </sheetView>
  </sheetViews>
  <sheetFormatPr defaultRowHeight="14.4"/>
  <cols>
    <col min="2" max="2" width="24.109375" customWidth="1"/>
    <col min="3" max="3" width="11.5546875" bestFit="1" customWidth="1"/>
    <col min="4" max="4" width="50.44140625" customWidth="1"/>
    <col min="5" max="7" width="12" customWidth="1"/>
    <col min="8" max="8" width="25.5546875" customWidth="1"/>
    <col min="9" max="9" width="9.109375" customWidth="1"/>
    <col min="10" max="10" width="10" customWidth="1"/>
    <col min="12" max="12" width="11.109375" bestFit="1" customWidth="1"/>
    <col min="13" max="13" width="7" customWidth="1"/>
    <col min="14" max="14" width="27.33203125" customWidth="1"/>
    <col min="15" max="15" width="36.109375" customWidth="1"/>
    <col min="16" max="16" width="7.109375" customWidth="1"/>
    <col min="17" max="17" width="7.6640625" customWidth="1"/>
    <col min="258" max="258" width="30.88671875" customWidth="1"/>
    <col min="259" max="259" width="27" customWidth="1"/>
    <col min="260" max="260" width="11.5546875" bestFit="1" customWidth="1"/>
    <col min="261" max="261" width="9.6640625" customWidth="1"/>
    <col min="262" max="262" width="12" customWidth="1"/>
    <col min="263" max="263" width="38" customWidth="1"/>
    <col min="264" max="264" width="12" customWidth="1"/>
    <col min="265" max="265" width="12.109375" customWidth="1"/>
    <col min="514" max="514" width="30.88671875" customWidth="1"/>
    <col min="515" max="515" width="27" customWidth="1"/>
    <col min="516" max="516" width="11.5546875" bestFit="1" customWidth="1"/>
    <col min="517" max="517" width="9.6640625" customWidth="1"/>
    <col min="518" max="518" width="12" customWidth="1"/>
    <col min="519" max="519" width="38" customWidth="1"/>
    <col min="520" max="520" width="12" customWidth="1"/>
    <col min="521" max="521" width="12.109375" customWidth="1"/>
    <col min="770" max="770" width="30.88671875" customWidth="1"/>
    <col min="771" max="771" width="27" customWidth="1"/>
    <col min="772" max="772" width="11.5546875" bestFit="1" customWidth="1"/>
    <col min="773" max="773" width="9.6640625" customWidth="1"/>
    <col min="774" max="774" width="12" customWidth="1"/>
    <col min="775" max="775" width="38" customWidth="1"/>
    <col min="776" max="776" width="12" customWidth="1"/>
    <col min="777" max="777" width="12.109375" customWidth="1"/>
    <col min="1026" max="1026" width="30.88671875" customWidth="1"/>
    <col min="1027" max="1027" width="27" customWidth="1"/>
    <col min="1028" max="1028" width="11.5546875" bestFit="1" customWidth="1"/>
    <col min="1029" max="1029" width="9.6640625" customWidth="1"/>
    <col min="1030" max="1030" width="12" customWidth="1"/>
    <col min="1031" max="1031" width="38" customWidth="1"/>
    <col min="1032" max="1032" width="12" customWidth="1"/>
    <col min="1033" max="1033" width="12.109375" customWidth="1"/>
    <col min="1282" max="1282" width="30.88671875" customWidth="1"/>
    <col min="1283" max="1283" width="27" customWidth="1"/>
    <col min="1284" max="1284" width="11.5546875" bestFit="1" customWidth="1"/>
    <col min="1285" max="1285" width="9.6640625" customWidth="1"/>
    <col min="1286" max="1286" width="12" customWidth="1"/>
    <col min="1287" max="1287" width="38" customWidth="1"/>
    <col min="1288" max="1288" width="12" customWidth="1"/>
    <col min="1289" max="1289" width="12.109375" customWidth="1"/>
    <col min="1538" max="1538" width="30.88671875" customWidth="1"/>
    <col min="1539" max="1539" width="27" customWidth="1"/>
    <col min="1540" max="1540" width="11.5546875" bestFit="1" customWidth="1"/>
    <col min="1541" max="1541" width="9.6640625" customWidth="1"/>
    <col min="1542" max="1542" width="12" customWidth="1"/>
    <col min="1543" max="1543" width="38" customWidth="1"/>
    <col min="1544" max="1544" width="12" customWidth="1"/>
    <col min="1545" max="1545" width="12.109375" customWidth="1"/>
    <col min="1794" max="1794" width="30.88671875" customWidth="1"/>
    <col min="1795" max="1795" width="27" customWidth="1"/>
    <col min="1796" max="1796" width="11.5546875" bestFit="1" customWidth="1"/>
    <col min="1797" max="1797" width="9.6640625" customWidth="1"/>
    <col min="1798" max="1798" width="12" customWidth="1"/>
    <col min="1799" max="1799" width="38" customWidth="1"/>
    <col min="1800" max="1800" width="12" customWidth="1"/>
    <col min="1801" max="1801" width="12.109375" customWidth="1"/>
    <col min="2050" max="2050" width="30.88671875" customWidth="1"/>
    <col min="2051" max="2051" width="27" customWidth="1"/>
    <col min="2052" max="2052" width="11.5546875" bestFit="1" customWidth="1"/>
    <col min="2053" max="2053" width="9.6640625" customWidth="1"/>
    <col min="2054" max="2054" width="12" customWidth="1"/>
    <col min="2055" max="2055" width="38" customWidth="1"/>
    <col min="2056" max="2056" width="12" customWidth="1"/>
    <col min="2057" max="2057" width="12.109375" customWidth="1"/>
    <col min="2306" max="2306" width="30.88671875" customWidth="1"/>
    <col min="2307" max="2307" width="27" customWidth="1"/>
    <col min="2308" max="2308" width="11.5546875" bestFit="1" customWidth="1"/>
    <col min="2309" max="2309" width="9.6640625" customWidth="1"/>
    <col min="2310" max="2310" width="12" customWidth="1"/>
    <col min="2311" max="2311" width="38" customWidth="1"/>
    <col min="2312" max="2312" width="12" customWidth="1"/>
    <col min="2313" max="2313" width="12.109375" customWidth="1"/>
    <col min="2562" max="2562" width="30.88671875" customWidth="1"/>
    <col min="2563" max="2563" width="27" customWidth="1"/>
    <col min="2564" max="2564" width="11.5546875" bestFit="1" customWidth="1"/>
    <col min="2565" max="2565" width="9.6640625" customWidth="1"/>
    <col min="2566" max="2566" width="12" customWidth="1"/>
    <col min="2567" max="2567" width="38" customWidth="1"/>
    <col min="2568" max="2568" width="12" customWidth="1"/>
    <col min="2569" max="2569" width="12.109375" customWidth="1"/>
    <col min="2818" max="2818" width="30.88671875" customWidth="1"/>
    <col min="2819" max="2819" width="27" customWidth="1"/>
    <col min="2820" max="2820" width="11.5546875" bestFit="1" customWidth="1"/>
    <col min="2821" max="2821" width="9.6640625" customWidth="1"/>
    <col min="2822" max="2822" width="12" customWidth="1"/>
    <col min="2823" max="2823" width="38" customWidth="1"/>
    <col min="2824" max="2824" width="12" customWidth="1"/>
    <col min="2825" max="2825" width="12.109375" customWidth="1"/>
    <col min="3074" max="3074" width="30.88671875" customWidth="1"/>
    <col min="3075" max="3075" width="27" customWidth="1"/>
    <col min="3076" max="3076" width="11.5546875" bestFit="1" customWidth="1"/>
    <col min="3077" max="3077" width="9.6640625" customWidth="1"/>
    <col min="3078" max="3078" width="12" customWidth="1"/>
    <col min="3079" max="3079" width="38" customWidth="1"/>
    <col min="3080" max="3080" width="12" customWidth="1"/>
    <col min="3081" max="3081" width="12.109375" customWidth="1"/>
    <col min="3330" max="3330" width="30.88671875" customWidth="1"/>
    <col min="3331" max="3331" width="27" customWidth="1"/>
    <col min="3332" max="3332" width="11.5546875" bestFit="1" customWidth="1"/>
    <col min="3333" max="3333" width="9.6640625" customWidth="1"/>
    <col min="3334" max="3334" width="12" customWidth="1"/>
    <col min="3335" max="3335" width="38" customWidth="1"/>
    <col min="3336" max="3336" width="12" customWidth="1"/>
    <col min="3337" max="3337" width="12.109375" customWidth="1"/>
    <col min="3586" max="3586" width="30.88671875" customWidth="1"/>
    <col min="3587" max="3587" width="27" customWidth="1"/>
    <col min="3588" max="3588" width="11.5546875" bestFit="1" customWidth="1"/>
    <col min="3589" max="3589" width="9.6640625" customWidth="1"/>
    <col min="3590" max="3590" width="12" customWidth="1"/>
    <col min="3591" max="3591" width="38" customWidth="1"/>
    <col min="3592" max="3592" width="12" customWidth="1"/>
    <col min="3593" max="3593" width="12.109375" customWidth="1"/>
    <col min="3842" max="3842" width="30.88671875" customWidth="1"/>
    <col min="3843" max="3843" width="27" customWidth="1"/>
    <col min="3844" max="3844" width="11.5546875" bestFit="1" customWidth="1"/>
    <col min="3845" max="3845" width="9.6640625" customWidth="1"/>
    <col min="3846" max="3846" width="12" customWidth="1"/>
    <col min="3847" max="3847" width="38" customWidth="1"/>
    <col min="3848" max="3848" width="12" customWidth="1"/>
    <col min="3849" max="3849" width="12.109375" customWidth="1"/>
    <col min="4098" max="4098" width="30.88671875" customWidth="1"/>
    <col min="4099" max="4099" width="27" customWidth="1"/>
    <col min="4100" max="4100" width="11.5546875" bestFit="1" customWidth="1"/>
    <col min="4101" max="4101" width="9.6640625" customWidth="1"/>
    <col min="4102" max="4102" width="12" customWidth="1"/>
    <col min="4103" max="4103" width="38" customWidth="1"/>
    <col min="4104" max="4104" width="12" customWidth="1"/>
    <col min="4105" max="4105" width="12.109375" customWidth="1"/>
    <col min="4354" max="4354" width="30.88671875" customWidth="1"/>
    <col min="4355" max="4355" width="27" customWidth="1"/>
    <col min="4356" max="4356" width="11.5546875" bestFit="1" customWidth="1"/>
    <col min="4357" max="4357" width="9.6640625" customWidth="1"/>
    <col min="4358" max="4358" width="12" customWidth="1"/>
    <col min="4359" max="4359" width="38" customWidth="1"/>
    <col min="4360" max="4360" width="12" customWidth="1"/>
    <col min="4361" max="4361" width="12.109375" customWidth="1"/>
    <col min="4610" max="4610" width="30.88671875" customWidth="1"/>
    <col min="4611" max="4611" width="27" customWidth="1"/>
    <col min="4612" max="4612" width="11.5546875" bestFit="1" customWidth="1"/>
    <col min="4613" max="4613" width="9.6640625" customWidth="1"/>
    <col min="4614" max="4614" width="12" customWidth="1"/>
    <col min="4615" max="4615" width="38" customWidth="1"/>
    <col min="4616" max="4616" width="12" customWidth="1"/>
    <col min="4617" max="4617" width="12.109375" customWidth="1"/>
    <col min="4866" max="4866" width="30.88671875" customWidth="1"/>
    <col min="4867" max="4867" width="27" customWidth="1"/>
    <col min="4868" max="4868" width="11.5546875" bestFit="1" customWidth="1"/>
    <col min="4869" max="4869" width="9.6640625" customWidth="1"/>
    <col min="4870" max="4870" width="12" customWidth="1"/>
    <col min="4871" max="4871" width="38" customWidth="1"/>
    <col min="4872" max="4872" width="12" customWidth="1"/>
    <col min="4873" max="4873" width="12.109375" customWidth="1"/>
    <col min="5122" max="5122" width="30.88671875" customWidth="1"/>
    <col min="5123" max="5123" width="27" customWidth="1"/>
    <col min="5124" max="5124" width="11.5546875" bestFit="1" customWidth="1"/>
    <col min="5125" max="5125" width="9.6640625" customWidth="1"/>
    <col min="5126" max="5126" width="12" customWidth="1"/>
    <col min="5127" max="5127" width="38" customWidth="1"/>
    <col min="5128" max="5128" width="12" customWidth="1"/>
    <col min="5129" max="5129" width="12.109375" customWidth="1"/>
    <col min="5378" max="5378" width="30.88671875" customWidth="1"/>
    <col min="5379" max="5379" width="27" customWidth="1"/>
    <col min="5380" max="5380" width="11.5546875" bestFit="1" customWidth="1"/>
    <col min="5381" max="5381" width="9.6640625" customWidth="1"/>
    <col min="5382" max="5382" width="12" customWidth="1"/>
    <col min="5383" max="5383" width="38" customWidth="1"/>
    <col min="5384" max="5384" width="12" customWidth="1"/>
    <col min="5385" max="5385" width="12.109375" customWidth="1"/>
    <col min="5634" max="5634" width="30.88671875" customWidth="1"/>
    <col min="5635" max="5635" width="27" customWidth="1"/>
    <col min="5636" max="5636" width="11.5546875" bestFit="1" customWidth="1"/>
    <col min="5637" max="5637" width="9.6640625" customWidth="1"/>
    <col min="5638" max="5638" width="12" customWidth="1"/>
    <col min="5639" max="5639" width="38" customWidth="1"/>
    <col min="5640" max="5640" width="12" customWidth="1"/>
    <col min="5641" max="5641" width="12.109375" customWidth="1"/>
    <col min="5890" max="5890" width="30.88671875" customWidth="1"/>
    <col min="5891" max="5891" width="27" customWidth="1"/>
    <col min="5892" max="5892" width="11.5546875" bestFit="1" customWidth="1"/>
    <col min="5893" max="5893" width="9.6640625" customWidth="1"/>
    <col min="5894" max="5894" width="12" customWidth="1"/>
    <col min="5895" max="5895" width="38" customWidth="1"/>
    <col min="5896" max="5896" width="12" customWidth="1"/>
    <col min="5897" max="5897" width="12.109375" customWidth="1"/>
    <col min="6146" max="6146" width="30.88671875" customWidth="1"/>
    <col min="6147" max="6147" width="27" customWidth="1"/>
    <col min="6148" max="6148" width="11.5546875" bestFit="1" customWidth="1"/>
    <col min="6149" max="6149" width="9.6640625" customWidth="1"/>
    <col min="6150" max="6150" width="12" customWidth="1"/>
    <col min="6151" max="6151" width="38" customWidth="1"/>
    <col min="6152" max="6152" width="12" customWidth="1"/>
    <col min="6153" max="6153" width="12.109375" customWidth="1"/>
    <col min="6402" max="6402" width="30.88671875" customWidth="1"/>
    <col min="6403" max="6403" width="27" customWidth="1"/>
    <col min="6404" max="6404" width="11.5546875" bestFit="1" customWidth="1"/>
    <col min="6405" max="6405" width="9.6640625" customWidth="1"/>
    <col min="6406" max="6406" width="12" customWidth="1"/>
    <col min="6407" max="6407" width="38" customWidth="1"/>
    <col min="6408" max="6408" width="12" customWidth="1"/>
    <col min="6409" max="6409" width="12.109375" customWidth="1"/>
    <col min="6658" max="6658" width="30.88671875" customWidth="1"/>
    <col min="6659" max="6659" width="27" customWidth="1"/>
    <col min="6660" max="6660" width="11.5546875" bestFit="1" customWidth="1"/>
    <col min="6661" max="6661" width="9.6640625" customWidth="1"/>
    <col min="6662" max="6662" width="12" customWidth="1"/>
    <col min="6663" max="6663" width="38" customWidth="1"/>
    <col min="6664" max="6664" width="12" customWidth="1"/>
    <col min="6665" max="6665" width="12.109375" customWidth="1"/>
    <col min="6914" max="6914" width="30.88671875" customWidth="1"/>
    <col min="6915" max="6915" width="27" customWidth="1"/>
    <col min="6916" max="6916" width="11.5546875" bestFit="1" customWidth="1"/>
    <col min="6917" max="6917" width="9.6640625" customWidth="1"/>
    <col min="6918" max="6918" width="12" customWidth="1"/>
    <col min="6919" max="6919" width="38" customWidth="1"/>
    <col min="6920" max="6920" width="12" customWidth="1"/>
    <col min="6921" max="6921" width="12.109375" customWidth="1"/>
    <col min="7170" max="7170" width="30.88671875" customWidth="1"/>
    <col min="7171" max="7171" width="27" customWidth="1"/>
    <col min="7172" max="7172" width="11.5546875" bestFit="1" customWidth="1"/>
    <col min="7173" max="7173" width="9.6640625" customWidth="1"/>
    <col min="7174" max="7174" width="12" customWidth="1"/>
    <col min="7175" max="7175" width="38" customWidth="1"/>
    <col min="7176" max="7176" width="12" customWidth="1"/>
    <col min="7177" max="7177" width="12.109375" customWidth="1"/>
    <col min="7426" max="7426" width="30.88671875" customWidth="1"/>
    <col min="7427" max="7427" width="27" customWidth="1"/>
    <col min="7428" max="7428" width="11.5546875" bestFit="1" customWidth="1"/>
    <col min="7429" max="7429" width="9.6640625" customWidth="1"/>
    <col min="7430" max="7430" width="12" customWidth="1"/>
    <col min="7431" max="7431" width="38" customWidth="1"/>
    <col min="7432" max="7432" width="12" customWidth="1"/>
    <col min="7433" max="7433" width="12.109375" customWidth="1"/>
    <col min="7682" max="7682" width="30.88671875" customWidth="1"/>
    <col min="7683" max="7683" width="27" customWidth="1"/>
    <col min="7684" max="7684" width="11.5546875" bestFit="1" customWidth="1"/>
    <col min="7685" max="7685" width="9.6640625" customWidth="1"/>
    <col min="7686" max="7686" width="12" customWidth="1"/>
    <col min="7687" max="7687" width="38" customWidth="1"/>
    <col min="7688" max="7688" width="12" customWidth="1"/>
    <col min="7689" max="7689" width="12.109375" customWidth="1"/>
    <col min="7938" max="7938" width="30.88671875" customWidth="1"/>
    <col min="7939" max="7939" width="27" customWidth="1"/>
    <col min="7940" max="7940" width="11.5546875" bestFit="1" customWidth="1"/>
    <col min="7941" max="7941" width="9.6640625" customWidth="1"/>
    <col min="7942" max="7942" width="12" customWidth="1"/>
    <col min="7943" max="7943" width="38" customWidth="1"/>
    <col min="7944" max="7944" width="12" customWidth="1"/>
    <col min="7945" max="7945" width="12.109375" customWidth="1"/>
    <col min="8194" max="8194" width="30.88671875" customWidth="1"/>
    <col min="8195" max="8195" width="27" customWidth="1"/>
    <col min="8196" max="8196" width="11.5546875" bestFit="1" customWidth="1"/>
    <col min="8197" max="8197" width="9.6640625" customWidth="1"/>
    <col min="8198" max="8198" width="12" customWidth="1"/>
    <col min="8199" max="8199" width="38" customWidth="1"/>
    <col min="8200" max="8200" width="12" customWidth="1"/>
    <col min="8201" max="8201" width="12.109375" customWidth="1"/>
    <col min="8450" max="8450" width="30.88671875" customWidth="1"/>
    <col min="8451" max="8451" width="27" customWidth="1"/>
    <col min="8452" max="8452" width="11.5546875" bestFit="1" customWidth="1"/>
    <col min="8453" max="8453" width="9.6640625" customWidth="1"/>
    <col min="8454" max="8454" width="12" customWidth="1"/>
    <col min="8455" max="8455" width="38" customWidth="1"/>
    <col min="8456" max="8456" width="12" customWidth="1"/>
    <col min="8457" max="8457" width="12.109375" customWidth="1"/>
    <col min="8706" max="8706" width="30.88671875" customWidth="1"/>
    <col min="8707" max="8707" width="27" customWidth="1"/>
    <col min="8708" max="8708" width="11.5546875" bestFit="1" customWidth="1"/>
    <col min="8709" max="8709" width="9.6640625" customWidth="1"/>
    <col min="8710" max="8710" width="12" customWidth="1"/>
    <col min="8711" max="8711" width="38" customWidth="1"/>
    <col min="8712" max="8712" width="12" customWidth="1"/>
    <col min="8713" max="8713" width="12.109375" customWidth="1"/>
    <col min="8962" max="8962" width="30.88671875" customWidth="1"/>
    <col min="8963" max="8963" width="27" customWidth="1"/>
    <col min="8964" max="8964" width="11.5546875" bestFit="1" customWidth="1"/>
    <col min="8965" max="8965" width="9.6640625" customWidth="1"/>
    <col min="8966" max="8966" width="12" customWidth="1"/>
    <col min="8967" max="8967" width="38" customWidth="1"/>
    <col min="8968" max="8968" width="12" customWidth="1"/>
    <col min="8969" max="8969" width="12.109375" customWidth="1"/>
    <col min="9218" max="9218" width="30.88671875" customWidth="1"/>
    <col min="9219" max="9219" width="27" customWidth="1"/>
    <col min="9220" max="9220" width="11.5546875" bestFit="1" customWidth="1"/>
    <col min="9221" max="9221" width="9.6640625" customWidth="1"/>
    <col min="9222" max="9222" width="12" customWidth="1"/>
    <col min="9223" max="9223" width="38" customWidth="1"/>
    <col min="9224" max="9224" width="12" customWidth="1"/>
    <col min="9225" max="9225" width="12.109375" customWidth="1"/>
    <col min="9474" max="9474" width="30.88671875" customWidth="1"/>
    <col min="9475" max="9475" width="27" customWidth="1"/>
    <col min="9476" max="9476" width="11.5546875" bestFit="1" customWidth="1"/>
    <col min="9477" max="9477" width="9.6640625" customWidth="1"/>
    <col min="9478" max="9478" width="12" customWidth="1"/>
    <col min="9479" max="9479" width="38" customWidth="1"/>
    <col min="9480" max="9480" width="12" customWidth="1"/>
    <col min="9481" max="9481" width="12.109375" customWidth="1"/>
    <col min="9730" max="9730" width="30.88671875" customWidth="1"/>
    <col min="9731" max="9731" width="27" customWidth="1"/>
    <col min="9732" max="9732" width="11.5546875" bestFit="1" customWidth="1"/>
    <col min="9733" max="9733" width="9.6640625" customWidth="1"/>
    <col min="9734" max="9734" width="12" customWidth="1"/>
    <col min="9735" max="9735" width="38" customWidth="1"/>
    <col min="9736" max="9736" width="12" customWidth="1"/>
    <col min="9737" max="9737" width="12.109375" customWidth="1"/>
    <col min="9986" max="9986" width="30.88671875" customWidth="1"/>
    <col min="9987" max="9987" width="27" customWidth="1"/>
    <col min="9988" max="9988" width="11.5546875" bestFit="1" customWidth="1"/>
    <col min="9989" max="9989" width="9.6640625" customWidth="1"/>
    <col min="9990" max="9990" width="12" customWidth="1"/>
    <col min="9991" max="9991" width="38" customWidth="1"/>
    <col min="9992" max="9992" width="12" customWidth="1"/>
    <col min="9993" max="9993" width="12.109375" customWidth="1"/>
    <col min="10242" max="10242" width="30.88671875" customWidth="1"/>
    <col min="10243" max="10243" width="27" customWidth="1"/>
    <col min="10244" max="10244" width="11.5546875" bestFit="1" customWidth="1"/>
    <col min="10245" max="10245" width="9.6640625" customWidth="1"/>
    <col min="10246" max="10246" width="12" customWidth="1"/>
    <col min="10247" max="10247" width="38" customWidth="1"/>
    <col min="10248" max="10248" width="12" customWidth="1"/>
    <col min="10249" max="10249" width="12.109375" customWidth="1"/>
    <col min="10498" max="10498" width="30.88671875" customWidth="1"/>
    <col min="10499" max="10499" width="27" customWidth="1"/>
    <col min="10500" max="10500" width="11.5546875" bestFit="1" customWidth="1"/>
    <col min="10501" max="10501" width="9.6640625" customWidth="1"/>
    <col min="10502" max="10502" width="12" customWidth="1"/>
    <col min="10503" max="10503" width="38" customWidth="1"/>
    <col min="10504" max="10504" width="12" customWidth="1"/>
    <col min="10505" max="10505" width="12.109375" customWidth="1"/>
    <col min="10754" max="10754" width="30.88671875" customWidth="1"/>
    <col min="10755" max="10755" width="27" customWidth="1"/>
    <col min="10756" max="10756" width="11.5546875" bestFit="1" customWidth="1"/>
    <col min="10757" max="10757" width="9.6640625" customWidth="1"/>
    <col min="10758" max="10758" width="12" customWidth="1"/>
    <col min="10759" max="10759" width="38" customWidth="1"/>
    <col min="10760" max="10760" width="12" customWidth="1"/>
    <col min="10761" max="10761" width="12.109375" customWidth="1"/>
    <col min="11010" max="11010" width="30.88671875" customWidth="1"/>
    <col min="11011" max="11011" width="27" customWidth="1"/>
    <col min="11012" max="11012" width="11.5546875" bestFit="1" customWidth="1"/>
    <col min="11013" max="11013" width="9.6640625" customWidth="1"/>
    <col min="11014" max="11014" width="12" customWidth="1"/>
    <col min="11015" max="11015" width="38" customWidth="1"/>
    <col min="11016" max="11016" width="12" customWidth="1"/>
    <col min="11017" max="11017" width="12.109375" customWidth="1"/>
    <col min="11266" max="11266" width="30.88671875" customWidth="1"/>
    <col min="11267" max="11267" width="27" customWidth="1"/>
    <col min="11268" max="11268" width="11.5546875" bestFit="1" customWidth="1"/>
    <col min="11269" max="11269" width="9.6640625" customWidth="1"/>
    <col min="11270" max="11270" width="12" customWidth="1"/>
    <col min="11271" max="11271" width="38" customWidth="1"/>
    <col min="11272" max="11272" width="12" customWidth="1"/>
    <col min="11273" max="11273" width="12.109375" customWidth="1"/>
    <col min="11522" max="11522" width="30.88671875" customWidth="1"/>
    <col min="11523" max="11523" width="27" customWidth="1"/>
    <col min="11524" max="11524" width="11.5546875" bestFit="1" customWidth="1"/>
    <col min="11525" max="11525" width="9.6640625" customWidth="1"/>
    <col min="11526" max="11526" width="12" customWidth="1"/>
    <col min="11527" max="11527" width="38" customWidth="1"/>
    <col min="11528" max="11528" width="12" customWidth="1"/>
    <col min="11529" max="11529" width="12.109375" customWidth="1"/>
    <col min="11778" max="11778" width="30.88671875" customWidth="1"/>
    <col min="11779" max="11779" width="27" customWidth="1"/>
    <col min="11780" max="11780" width="11.5546875" bestFit="1" customWidth="1"/>
    <col min="11781" max="11781" width="9.6640625" customWidth="1"/>
    <col min="11782" max="11782" width="12" customWidth="1"/>
    <col min="11783" max="11783" width="38" customWidth="1"/>
    <col min="11784" max="11784" width="12" customWidth="1"/>
    <col min="11785" max="11785" width="12.109375" customWidth="1"/>
    <col min="12034" max="12034" width="30.88671875" customWidth="1"/>
    <col min="12035" max="12035" width="27" customWidth="1"/>
    <col min="12036" max="12036" width="11.5546875" bestFit="1" customWidth="1"/>
    <col min="12037" max="12037" width="9.6640625" customWidth="1"/>
    <col min="12038" max="12038" width="12" customWidth="1"/>
    <col min="12039" max="12039" width="38" customWidth="1"/>
    <col min="12040" max="12040" width="12" customWidth="1"/>
    <col min="12041" max="12041" width="12.109375" customWidth="1"/>
    <col min="12290" max="12290" width="30.88671875" customWidth="1"/>
    <col min="12291" max="12291" width="27" customWidth="1"/>
    <col min="12292" max="12292" width="11.5546875" bestFit="1" customWidth="1"/>
    <col min="12293" max="12293" width="9.6640625" customWidth="1"/>
    <col min="12294" max="12294" width="12" customWidth="1"/>
    <col min="12295" max="12295" width="38" customWidth="1"/>
    <col min="12296" max="12296" width="12" customWidth="1"/>
    <col min="12297" max="12297" width="12.109375" customWidth="1"/>
    <col min="12546" max="12546" width="30.88671875" customWidth="1"/>
    <col min="12547" max="12547" width="27" customWidth="1"/>
    <col min="12548" max="12548" width="11.5546875" bestFit="1" customWidth="1"/>
    <col min="12549" max="12549" width="9.6640625" customWidth="1"/>
    <col min="12550" max="12550" width="12" customWidth="1"/>
    <col min="12551" max="12551" width="38" customWidth="1"/>
    <col min="12552" max="12552" width="12" customWidth="1"/>
    <col min="12553" max="12553" width="12.109375" customWidth="1"/>
    <col min="12802" max="12802" width="30.88671875" customWidth="1"/>
    <col min="12803" max="12803" width="27" customWidth="1"/>
    <col min="12804" max="12804" width="11.5546875" bestFit="1" customWidth="1"/>
    <col min="12805" max="12805" width="9.6640625" customWidth="1"/>
    <col min="12806" max="12806" width="12" customWidth="1"/>
    <col min="12807" max="12807" width="38" customWidth="1"/>
    <col min="12808" max="12808" width="12" customWidth="1"/>
    <col min="12809" max="12809" width="12.109375" customWidth="1"/>
    <col min="13058" max="13058" width="30.88671875" customWidth="1"/>
    <col min="13059" max="13059" width="27" customWidth="1"/>
    <col min="13060" max="13060" width="11.5546875" bestFit="1" customWidth="1"/>
    <col min="13061" max="13061" width="9.6640625" customWidth="1"/>
    <col min="13062" max="13062" width="12" customWidth="1"/>
    <col min="13063" max="13063" width="38" customWidth="1"/>
    <col min="13064" max="13064" width="12" customWidth="1"/>
    <col min="13065" max="13065" width="12.109375" customWidth="1"/>
    <col min="13314" max="13314" width="30.88671875" customWidth="1"/>
    <col min="13315" max="13315" width="27" customWidth="1"/>
    <col min="13316" max="13316" width="11.5546875" bestFit="1" customWidth="1"/>
    <col min="13317" max="13317" width="9.6640625" customWidth="1"/>
    <col min="13318" max="13318" width="12" customWidth="1"/>
    <col min="13319" max="13319" width="38" customWidth="1"/>
    <col min="13320" max="13320" width="12" customWidth="1"/>
    <col min="13321" max="13321" width="12.109375" customWidth="1"/>
    <col min="13570" max="13570" width="30.88671875" customWidth="1"/>
    <col min="13571" max="13571" width="27" customWidth="1"/>
    <col min="13572" max="13572" width="11.5546875" bestFit="1" customWidth="1"/>
    <col min="13573" max="13573" width="9.6640625" customWidth="1"/>
    <col min="13574" max="13574" width="12" customWidth="1"/>
    <col min="13575" max="13575" width="38" customWidth="1"/>
    <col min="13576" max="13576" width="12" customWidth="1"/>
    <col min="13577" max="13577" width="12.109375" customWidth="1"/>
    <col min="13826" max="13826" width="30.88671875" customWidth="1"/>
    <col min="13827" max="13827" width="27" customWidth="1"/>
    <col min="13828" max="13828" width="11.5546875" bestFit="1" customWidth="1"/>
    <col min="13829" max="13829" width="9.6640625" customWidth="1"/>
    <col min="13830" max="13830" width="12" customWidth="1"/>
    <col min="13831" max="13831" width="38" customWidth="1"/>
    <col min="13832" max="13832" width="12" customWidth="1"/>
    <col min="13833" max="13833" width="12.109375" customWidth="1"/>
    <col min="14082" max="14082" width="30.88671875" customWidth="1"/>
    <col min="14083" max="14083" width="27" customWidth="1"/>
    <col min="14084" max="14084" width="11.5546875" bestFit="1" customWidth="1"/>
    <col min="14085" max="14085" width="9.6640625" customWidth="1"/>
    <col min="14086" max="14086" width="12" customWidth="1"/>
    <col min="14087" max="14087" width="38" customWidth="1"/>
    <col min="14088" max="14088" width="12" customWidth="1"/>
    <col min="14089" max="14089" width="12.109375" customWidth="1"/>
    <col min="14338" max="14338" width="30.88671875" customWidth="1"/>
    <col min="14339" max="14339" width="27" customWidth="1"/>
    <col min="14340" max="14340" width="11.5546875" bestFit="1" customWidth="1"/>
    <col min="14341" max="14341" width="9.6640625" customWidth="1"/>
    <col min="14342" max="14342" width="12" customWidth="1"/>
    <col min="14343" max="14343" width="38" customWidth="1"/>
    <col min="14344" max="14344" width="12" customWidth="1"/>
    <col min="14345" max="14345" width="12.109375" customWidth="1"/>
    <col min="14594" max="14594" width="30.88671875" customWidth="1"/>
    <col min="14595" max="14595" width="27" customWidth="1"/>
    <col min="14596" max="14596" width="11.5546875" bestFit="1" customWidth="1"/>
    <col min="14597" max="14597" width="9.6640625" customWidth="1"/>
    <col min="14598" max="14598" width="12" customWidth="1"/>
    <col min="14599" max="14599" width="38" customWidth="1"/>
    <col min="14600" max="14600" width="12" customWidth="1"/>
    <col min="14601" max="14601" width="12.109375" customWidth="1"/>
    <col min="14850" max="14850" width="30.88671875" customWidth="1"/>
    <col min="14851" max="14851" width="27" customWidth="1"/>
    <col min="14852" max="14852" width="11.5546875" bestFit="1" customWidth="1"/>
    <col min="14853" max="14853" width="9.6640625" customWidth="1"/>
    <col min="14854" max="14854" width="12" customWidth="1"/>
    <col min="14855" max="14855" width="38" customWidth="1"/>
    <col min="14856" max="14856" width="12" customWidth="1"/>
    <col min="14857" max="14857" width="12.109375" customWidth="1"/>
    <col min="15106" max="15106" width="30.88671875" customWidth="1"/>
    <col min="15107" max="15107" width="27" customWidth="1"/>
    <col min="15108" max="15108" width="11.5546875" bestFit="1" customWidth="1"/>
    <col min="15109" max="15109" width="9.6640625" customWidth="1"/>
    <col min="15110" max="15110" width="12" customWidth="1"/>
    <col min="15111" max="15111" width="38" customWidth="1"/>
    <col min="15112" max="15112" width="12" customWidth="1"/>
    <col min="15113" max="15113" width="12.109375" customWidth="1"/>
    <col min="15362" max="15362" width="30.88671875" customWidth="1"/>
    <col min="15363" max="15363" width="27" customWidth="1"/>
    <col min="15364" max="15364" width="11.5546875" bestFit="1" customWidth="1"/>
    <col min="15365" max="15365" width="9.6640625" customWidth="1"/>
    <col min="15366" max="15366" width="12" customWidth="1"/>
    <col min="15367" max="15367" width="38" customWidth="1"/>
    <col min="15368" max="15368" width="12" customWidth="1"/>
    <col min="15369" max="15369" width="12.109375" customWidth="1"/>
    <col min="15618" max="15618" width="30.88671875" customWidth="1"/>
    <col min="15619" max="15619" width="27" customWidth="1"/>
    <col min="15620" max="15620" width="11.5546875" bestFit="1" customWidth="1"/>
    <col min="15621" max="15621" width="9.6640625" customWidth="1"/>
    <col min="15622" max="15622" width="12" customWidth="1"/>
    <col min="15623" max="15623" width="38" customWidth="1"/>
    <col min="15624" max="15624" width="12" customWidth="1"/>
    <col min="15625" max="15625" width="12.109375" customWidth="1"/>
    <col min="15874" max="15874" width="30.88671875" customWidth="1"/>
    <col min="15875" max="15875" width="27" customWidth="1"/>
    <col min="15876" max="15876" width="11.5546875" bestFit="1" customWidth="1"/>
    <col min="15877" max="15877" width="9.6640625" customWidth="1"/>
    <col min="15878" max="15878" width="12" customWidth="1"/>
    <col min="15879" max="15879" width="38" customWidth="1"/>
    <col min="15880" max="15880" width="12" customWidth="1"/>
    <col min="15881" max="15881" width="12.109375" customWidth="1"/>
    <col min="16130" max="16130" width="30.88671875" customWidth="1"/>
    <col min="16131" max="16131" width="27" customWidth="1"/>
    <col min="16132" max="16132" width="11.5546875" bestFit="1" customWidth="1"/>
    <col min="16133" max="16133" width="9.6640625" customWidth="1"/>
    <col min="16134" max="16134" width="12" customWidth="1"/>
    <col min="16135" max="16135" width="38" customWidth="1"/>
    <col min="16136" max="16136" width="12" customWidth="1"/>
    <col min="16137" max="16137" width="12.109375" customWidth="1"/>
    <col min="16384" max="16384" width="9.109375" customWidth="1"/>
  </cols>
  <sheetData>
    <row r="1" spans="1:18" s="824" customFormat="1" ht="20.399999999999999">
      <c r="A1" s="1041"/>
      <c r="C1" s="1154"/>
      <c r="D1" s="1155"/>
      <c r="E1" s="1156"/>
      <c r="F1" s="1156"/>
      <c r="G1" s="1156"/>
      <c r="H1" s="1041"/>
      <c r="I1" s="1041"/>
      <c r="J1" s="1041"/>
      <c r="K1" s="1041"/>
      <c r="L1" s="1041"/>
      <c r="M1" s="1041"/>
      <c r="N1" s="1041"/>
      <c r="O1" s="1041"/>
      <c r="P1" s="1041"/>
      <c r="Q1" s="1041"/>
      <c r="R1" s="1041"/>
    </row>
    <row r="2" spans="1:18" s="838" customFormat="1" thickBot="1">
      <c r="A2" s="1047"/>
      <c r="B2" s="1157"/>
      <c r="C2" s="1047"/>
      <c r="D2" s="1158" t="s">
        <v>372</v>
      </c>
      <c r="E2" s="1049"/>
      <c r="F2" s="1047"/>
      <c r="G2" s="1047"/>
      <c r="H2" s="1159"/>
      <c r="I2" s="1047"/>
      <c r="J2" s="1047"/>
      <c r="K2" s="1047"/>
      <c r="L2" s="1047"/>
      <c r="M2" s="1047"/>
      <c r="N2" s="1047"/>
      <c r="O2" s="1047"/>
      <c r="P2" s="1047"/>
      <c r="Q2" s="1047"/>
      <c r="R2" s="1047"/>
    </row>
    <row r="3" spans="1:18" s="838" customFormat="1" thickBot="1">
      <c r="A3" s="1047"/>
      <c r="B3" s="1160"/>
      <c r="C3" s="1154"/>
      <c r="D3" s="1049"/>
      <c r="E3" s="1161"/>
      <c r="F3" s="1161"/>
      <c r="G3" s="1161"/>
      <c r="H3" s="1162" t="s">
        <v>373</v>
      </c>
      <c r="I3" s="1163"/>
      <c r="J3" s="1163"/>
      <c r="K3" s="1163"/>
      <c r="L3" s="1164"/>
      <c r="M3" s="1047"/>
    </row>
    <row r="4" spans="1:18" s="838" customFormat="1" thickBot="1">
      <c r="A4" s="1047"/>
      <c r="B4" s="1155"/>
      <c r="C4" s="1165"/>
      <c r="D4" s="1049"/>
      <c r="E4" s="1166"/>
      <c r="F4" s="1166"/>
      <c r="G4" s="1166"/>
      <c r="H4" s="1167"/>
      <c r="I4" s="1168"/>
      <c r="J4" s="1168"/>
      <c r="K4" s="1168"/>
      <c r="L4" s="1169"/>
      <c r="M4" s="1047"/>
    </row>
    <row r="5" spans="1:18" s="838" customFormat="1" ht="13.8">
      <c r="A5" s="1047"/>
      <c r="B5" s="1170" t="s">
        <v>3</v>
      </c>
      <c r="C5" s="1171"/>
      <c r="D5" s="1172"/>
      <c r="E5" s="1173"/>
      <c r="F5" s="1173"/>
      <c r="G5" s="1173"/>
      <c r="H5" s="1174"/>
      <c r="I5" s="1175"/>
      <c r="J5" s="1168" t="s">
        <v>172</v>
      </c>
      <c r="K5" s="1176" t="s">
        <v>216</v>
      </c>
      <c r="L5" s="1177" t="s">
        <v>174</v>
      </c>
      <c r="M5" s="1047"/>
    </row>
    <row r="6" spans="1:18" s="838" customFormat="1">
      <c r="A6" s="1047"/>
      <c r="B6" s="1178" t="s">
        <v>85</v>
      </c>
      <c r="C6" s="1179">
        <f>'Master Look Up'!N18</f>
        <v>69600</v>
      </c>
      <c r="D6" s="1180" t="s">
        <v>220</v>
      </c>
      <c r="E6" s="1173"/>
      <c r="F6" s="1173"/>
      <c r="G6" s="1173"/>
      <c r="H6" s="1181" t="s">
        <v>85</v>
      </c>
      <c r="I6" s="1182"/>
      <c r="J6" s="1183">
        <f>C6</f>
        <v>69600</v>
      </c>
      <c r="K6" s="1184">
        <v>5.0099999999999999E-2</v>
      </c>
      <c r="L6" s="1185">
        <f>J6*K6</f>
        <v>3486.96</v>
      </c>
      <c r="M6" s="1047"/>
    </row>
    <row r="7" spans="1:18" s="838" customFormat="1" ht="13.8">
      <c r="A7" s="1047"/>
      <c r="B7" s="1178" t="s">
        <v>127</v>
      </c>
      <c r="C7" s="1179">
        <f>'Master Look Up'!N17</f>
        <v>34927.359999999993</v>
      </c>
      <c r="D7" s="1186" t="s">
        <v>170</v>
      </c>
      <c r="E7" s="1173"/>
      <c r="F7" s="1173"/>
      <c r="G7" s="1173"/>
      <c r="H7" s="1187" t="s">
        <v>127</v>
      </c>
      <c r="I7" s="1182"/>
      <c r="J7" s="1183">
        <f>C7</f>
        <v>34927.359999999993</v>
      </c>
      <c r="K7" s="1184">
        <v>0.90439999999999998</v>
      </c>
      <c r="L7" s="1185">
        <f t="shared" ref="L7" si="0">J7*K7</f>
        <v>31588.304383999992</v>
      </c>
      <c r="M7" s="1047"/>
    </row>
    <row r="8" spans="1:18" s="838" customFormat="1" thickBot="1">
      <c r="A8" s="1047"/>
      <c r="B8" s="1188"/>
      <c r="C8" s="1189"/>
      <c r="D8" s="1190"/>
      <c r="E8" s="1173"/>
      <c r="F8" s="1173"/>
      <c r="G8" s="1173"/>
      <c r="H8" s="1191" t="s">
        <v>340</v>
      </c>
      <c r="I8" s="1192"/>
      <c r="J8" s="1193"/>
      <c r="K8" s="1194">
        <f>SUM(K6:K7)</f>
        <v>0.95450000000000002</v>
      </c>
      <c r="L8" s="1195">
        <f>SUM(L6:L7)</f>
        <v>35075.264383999995</v>
      </c>
      <c r="M8" s="1047"/>
    </row>
    <row r="9" spans="1:18" s="838" customFormat="1" thickBot="1">
      <c r="A9" s="1047"/>
      <c r="B9" s="1196" t="s">
        <v>177</v>
      </c>
      <c r="C9" s="1171"/>
      <c r="D9" s="1197"/>
      <c r="E9" s="1173"/>
      <c r="F9" s="1173"/>
      <c r="G9" s="1173"/>
      <c r="H9" s="1198" t="s">
        <v>224</v>
      </c>
      <c r="I9" s="1199"/>
      <c r="J9" s="1200"/>
      <c r="K9" s="1199"/>
      <c r="L9" s="1201"/>
      <c r="M9" s="1047"/>
    </row>
    <row r="10" spans="1:18" s="838" customFormat="1" ht="15" customHeight="1" thickBot="1">
      <c r="A10" s="1047"/>
      <c r="B10" s="1202"/>
      <c r="C10" s="972"/>
      <c r="D10" s="1203"/>
      <c r="E10" s="1173"/>
      <c r="F10" s="1173"/>
      <c r="G10" s="1173"/>
      <c r="H10" s="725" t="s">
        <v>183</v>
      </c>
      <c r="I10" s="1117">
        <f>C13</f>
        <v>0.224</v>
      </c>
      <c r="J10" s="1204"/>
      <c r="K10" s="1205"/>
      <c r="L10" s="1185">
        <f>I10*L8</f>
        <v>7856.859222015999</v>
      </c>
      <c r="M10" s="1047"/>
    </row>
    <row r="11" spans="1:18" s="838" customFormat="1" thickBot="1">
      <c r="A11" s="1047"/>
      <c r="B11" s="1206" t="str">
        <f>'Master Look Up'!C17</f>
        <v>Program Supplies &amp; Materials 215</v>
      </c>
      <c r="C11" s="1207">
        <f>'Master Look Up'!E17</f>
        <v>1347.3502436316674</v>
      </c>
      <c r="D11" s="1208" t="s">
        <v>180</v>
      </c>
      <c r="E11" s="1173"/>
      <c r="F11" s="1173"/>
      <c r="G11" s="1173"/>
      <c r="H11" s="1209" t="s">
        <v>225</v>
      </c>
      <c r="I11" s="1210"/>
      <c r="J11" s="1211"/>
      <c r="K11" s="1212"/>
      <c r="L11" s="1201">
        <f>L8+L10</f>
        <v>42932.123606015994</v>
      </c>
      <c r="M11" s="1047"/>
    </row>
    <row r="12" spans="1:18" s="838" customFormat="1" ht="13.8">
      <c r="A12" s="1047"/>
      <c r="B12" s="1202"/>
      <c r="C12" s="972"/>
      <c r="D12" s="1203"/>
      <c r="E12" s="1173"/>
      <c r="F12" s="1173"/>
      <c r="G12" s="1173"/>
      <c r="H12" s="725" t="s">
        <v>374</v>
      </c>
      <c r="I12" s="1213"/>
      <c r="J12" s="1204"/>
      <c r="K12" s="1214"/>
      <c r="L12" s="1185">
        <f>C11</f>
        <v>1347.3502436316674</v>
      </c>
      <c r="M12" s="1047"/>
    </row>
    <row r="13" spans="1:18" s="838" customFormat="1" ht="13.8">
      <c r="A13" s="1047"/>
      <c r="B13" s="1206" t="s">
        <v>183</v>
      </c>
      <c r="C13" s="1215">
        <f>'Master Look Up'!D25</f>
        <v>0.224</v>
      </c>
      <c r="D13" s="1216" t="s">
        <v>143</v>
      </c>
      <c r="E13" s="1173"/>
      <c r="F13" s="1173"/>
      <c r="G13" s="1173"/>
      <c r="H13" s="1217" t="s">
        <v>346</v>
      </c>
      <c r="I13" s="1218"/>
      <c r="J13" s="1219"/>
      <c r="K13" s="1220"/>
      <c r="L13" s="1221">
        <f>L12+L11</f>
        <v>44279.473849647664</v>
      </c>
      <c r="M13" s="1047"/>
    </row>
    <row r="14" spans="1:18" s="838" customFormat="1" ht="13.8">
      <c r="A14" s="1047"/>
      <c r="B14" s="1206" t="s">
        <v>61</v>
      </c>
      <c r="C14" s="1215">
        <v>3.7000000000000002E-3</v>
      </c>
      <c r="D14" s="1222" t="s">
        <v>186</v>
      </c>
      <c r="E14" s="1173"/>
      <c r="F14" s="1173"/>
      <c r="G14" s="1173"/>
      <c r="H14" s="1181" t="str">
        <f>B14</f>
        <v>PFMLA</v>
      </c>
      <c r="I14" s="1223">
        <f>C14</f>
        <v>3.7000000000000002E-3</v>
      </c>
      <c r="J14" s="673"/>
      <c r="K14" s="1224"/>
      <c r="L14" s="1195">
        <f>L8*I14</f>
        <v>129.7784782208</v>
      </c>
      <c r="M14" s="1047"/>
    </row>
    <row r="15" spans="1:18" s="838" customFormat="1" thickBot="1">
      <c r="A15" s="1047"/>
      <c r="B15" s="1206" t="s">
        <v>347</v>
      </c>
      <c r="C15" s="1215">
        <f>'Master Look Up'!D30</f>
        <v>0.12</v>
      </c>
      <c r="D15" s="1225" t="s">
        <v>151</v>
      </c>
      <c r="E15" s="1173"/>
      <c r="F15" s="1173"/>
      <c r="G15" s="1173"/>
      <c r="H15" s="725" t="s">
        <v>347</v>
      </c>
      <c r="I15" s="1226">
        <f>C15</f>
        <v>0.12</v>
      </c>
      <c r="J15" s="1204"/>
      <c r="K15" s="1224"/>
      <c r="L15" s="1185">
        <f>I15*L13</f>
        <v>5313.5368619577193</v>
      </c>
      <c r="M15" s="1047"/>
      <c r="N15" s="1047"/>
      <c r="O15" s="1047"/>
      <c r="P15" s="1047"/>
      <c r="Q15" s="1047"/>
      <c r="R15" s="1047"/>
    </row>
    <row r="16" spans="1:18" s="838" customFormat="1" thickBot="1">
      <c r="A16" s="1047"/>
      <c r="B16" s="1227" t="s">
        <v>348</v>
      </c>
      <c r="C16" s="1228">
        <f>'Master Look Up'!D33</f>
        <v>1.0633805350099574E-2</v>
      </c>
      <c r="D16" s="1229" t="s">
        <v>153</v>
      </c>
      <c r="E16" s="1173"/>
      <c r="F16" s="1173"/>
      <c r="G16" s="1173"/>
      <c r="H16" s="1230" t="s">
        <v>188</v>
      </c>
      <c r="I16" s="1231"/>
      <c r="J16" s="1232"/>
      <c r="K16" s="1233"/>
      <c r="L16" s="1234">
        <f>SUM(L13:L15)</f>
        <v>49722.789189826181</v>
      </c>
      <c r="M16" s="1047"/>
      <c r="N16" s="1047"/>
      <c r="O16" s="1047"/>
      <c r="P16" s="1047"/>
      <c r="Q16" s="1047"/>
      <c r="R16" s="1047"/>
    </row>
    <row r="17" spans="1:18" s="838" customFormat="1" thickBot="1">
      <c r="A17" s="1047"/>
      <c r="B17" s="1235"/>
      <c r="C17" s="1215"/>
      <c r="D17" s="1236"/>
      <c r="E17" s="1173"/>
      <c r="F17" s="1173"/>
      <c r="G17" s="1173"/>
      <c r="H17" s="1237"/>
      <c r="I17" s="1238" t="s">
        <v>189</v>
      </c>
      <c r="J17" s="1239">
        <f>C16</f>
        <v>1.0633805350099574E-2</v>
      </c>
      <c r="K17" s="1240"/>
      <c r="L17" s="1241">
        <f>L16*(J17+1)</f>
        <v>50251.531651534831</v>
      </c>
      <c r="M17" s="1047"/>
      <c r="N17" s="1047"/>
      <c r="O17" s="1047"/>
      <c r="P17" s="1047"/>
      <c r="Q17" s="1047"/>
      <c r="R17" s="1047"/>
    </row>
    <row r="18" spans="1:18" s="838" customFormat="1" thickBot="1">
      <c r="A18" s="1047"/>
      <c r="C18" s="970"/>
      <c r="E18" s="1242"/>
      <c r="F18" s="1173"/>
      <c r="G18" s="1173"/>
      <c r="H18" s="1243" t="s">
        <v>375</v>
      </c>
      <c r="I18" s="1244"/>
      <c r="J18" s="1245"/>
      <c r="K18" s="1246"/>
      <c r="L18" s="1247">
        <f>L17/12</f>
        <v>4187.6276376279029</v>
      </c>
      <c r="M18" s="1047"/>
      <c r="N18" s="1047"/>
      <c r="O18" s="1047"/>
      <c r="P18" s="1047"/>
      <c r="Q18" s="1047"/>
      <c r="R18" s="1047"/>
    </row>
    <row r="19" spans="1:18" s="838" customFormat="1" thickBot="1">
      <c r="A19" s="1047"/>
      <c r="C19" s="970"/>
      <c r="E19" s="1242"/>
      <c r="F19" s="1173"/>
      <c r="G19" s="1173"/>
      <c r="H19" s="1248" t="s">
        <v>376</v>
      </c>
      <c r="I19" s="1249"/>
      <c r="J19" s="1249"/>
      <c r="K19" s="1250"/>
      <c r="L19" s="1251">
        <f>(L18/140/2)+0.01</f>
        <v>14.965812991528225</v>
      </c>
      <c r="M19" s="1047"/>
      <c r="N19" s="1047"/>
      <c r="O19" s="1047"/>
      <c r="P19" s="1047"/>
      <c r="Q19" s="1047"/>
      <c r="R19" s="1047"/>
    </row>
    <row r="20" spans="1:18" s="838" customFormat="1" ht="15" customHeight="1">
      <c r="A20" s="1047"/>
      <c r="C20" s="970"/>
      <c r="E20" s="1252"/>
      <c r="F20" s="1252"/>
      <c r="G20" s="1252"/>
      <c r="H20" s="1049"/>
      <c r="I20" s="1049"/>
      <c r="J20" s="1253"/>
      <c r="K20" s="1253"/>
      <c r="L20" s="1254"/>
      <c r="M20" s="638"/>
      <c r="N20" s="1049"/>
      <c r="O20" s="1047"/>
      <c r="P20" s="1047"/>
      <c r="Q20" s="1047"/>
      <c r="R20" s="1047"/>
    </row>
    <row r="21" spans="1:18" s="838" customFormat="1" ht="15" customHeight="1">
      <c r="A21" s="1047"/>
      <c r="B21" s="1049"/>
      <c r="C21" s="1049"/>
      <c r="D21" s="1049"/>
      <c r="E21" s="1255"/>
      <c r="F21" s="1255"/>
      <c r="G21" s="1255"/>
      <c r="H21" s="1047"/>
      <c r="I21" s="1047"/>
      <c r="J21" s="1047"/>
      <c r="K21" s="1047"/>
      <c r="L21" s="1047"/>
      <c r="M21" s="1047"/>
      <c r="N21" s="1047"/>
      <c r="O21" s="1047"/>
      <c r="P21" s="1047"/>
      <c r="Q21" s="1047"/>
      <c r="R21" s="1047"/>
    </row>
    <row r="22" spans="1:18" s="838" customFormat="1" ht="15" hidden="1" customHeight="1">
      <c r="A22" s="1047"/>
      <c r="B22" s="1047"/>
      <c r="C22" s="1047"/>
      <c r="D22" s="1047"/>
      <c r="E22" s="1242"/>
      <c r="F22" s="1256"/>
      <c r="G22" s="1256"/>
      <c r="H22" s="1257" t="s">
        <v>377</v>
      </c>
      <c r="I22" s="1047"/>
      <c r="J22" s="1047"/>
      <c r="K22" s="1047"/>
      <c r="L22" s="1047"/>
      <c r="M22" s="1047"/>
      <c r="N22" s="1047"/>
      <c r="O22" s="1047"/>
      <c r="P22" s="1047"/>
      <c r="Q22" s="1047"/>
      <c r="R22" s="1047"/>
    </row>
    <row r="23" spans="1:18" s="838" customFormat="1" ht="15" hidden="1" customHeight="1">
      <c r="A23" s="1047"/>
      <c r="B23" s="1047"/>
      <c r="C23" s="1047"/>
      <c r="D23" s="1047"/>
      <c r="E23" s="1242"/>
      <c r="F23" s="1256"/>
      <c r="G23" s="1256"/>
      <c r="H23" s="1257" t="s">
        <v>378</v>
      </c>
      <c r="I23" s="1047"/>
      <c r="J23" s="1047"/>
      <c r="K23" s="1047"/>
      <c r="L23" s="1047"/>
      <c r="M23" s="1047"/>
      <c r="N23" s="1047"/>
      <c r="O23" s="1047"/>
      <c r="P23" s="1047"/>
      <c r="Q23" s="1047"/>
      <c r="R23" s="1047"/>
    </row>
    <row r="24" spans="1:18" s="838" customFormat="1" ht="15" hidden="1" customHeight="1">
      <c r="A24" s="1047"/>
      <c r="B24" s="1047"/>
      <c r="C24" s="970"/>
      <c r="D24" s="1047"/>
      <c r="E24" s="1242"/>
      <c r="F24" s="1256"/>
      <c r="G24" s="1256"/>
      <c r="H24" s="1047"/>
      <c r="I24" s="1047"/>
      <c r="J24" s="1047"/>
      <c r="K24" s="1047"/>
      <c r="L24" s="1047"/>
      <c r="M24" s="1047"/>
    </row>
    <row r="25" spans="1:18" s="838" customFormat="1" ht="13.2">
      <c r="C25" s="970"/>
      <c r="E25" s="984"/>
      <c r="F25" s="963"/>
      <c r="G25" s="963"/>
    </row>
    <row r="26" spans="1:18" s="838" customFormat="1" ht="13.8" hidden="1">
      <c r="C26" s="1258">
        <v>15.25</v>
      </c>
      <c r="D26" s="1047" t="s">
        <v>379</v>
      </c>
      <c r="E26" s="984"/>
      <c r="F26" s="963"/>
      <c r="G26" s="963"/>
      <c r="H26" s="1259" t="s">
        <v>188</v>
      </c>
      <c r="I26" s="1260"/>
      <c r="J26" s="1261"/>
      <c r="K26" s="1262"/>
      <c r="L26" s="1263">
        <f>L16</f>
        <v>49722.789189826181</v>
      </c>
    </row>
    <row r="27" spans="1:18" s="838" customFormat="1" hidden="1" thickBot="1">
      <c r="C27" s="1144">
        <v>2217.08</v>
      </c>
      <c r="D27" s="1047" t="s">
        <v>380</v>
      </c>
      <c r="E27" s="984"/>
      <c r="F27" s="963"/>
      <c r="G27" s="963"/>
      <c r="H27" s="1237"/>
      <c r="I27" s="1238" t="s">
        <v>189</v>
      </c>
      <c r="J27" s="1239">
        <f>J17</f>
        <v>1.0633805350099574E-2</v>
      </c>
      <c r="K27" s="1240"/>
      <c r="L27" s="1241">
        <f>L26*(J27+1)</f>
        <v>50251.531651534831</v>
      </c>
      <c r="M27" s="1223" t="s">
        <v>381</v>
      </c>
    </row>
    <row r="28" spans="1:18" s="838" customFormat="1" ht="13.8" hidden="1">
      <c r="C28" s="1144">
        <f>C27/C26</f>
        <v>145.38229508196721</v>
      </c>
      <c r="D28" s="1047" t="s">
        <v>382</v>
      </c>
      <c r="E28" s="984"/>
      <c r="F28" s="963"/>
      <c r="G28" s="963"/>
      <c r="L28" s="1193">
        <f>L27/12</f>
        <v>4187.6276376279029</v>
      </c>
      <c r="M28" s="1264" t="s">
        <v>383</v>
      </c>
      <c r="N28" s="1012"/>
    </row>
    <row r="29" spans="1:18" s="838" customFormat="1" ht="13.8" hidden="1">
      <c r="C29" s="1144">
        <f>C27/40</f>
        <v>55.427</v>
      </c>
      <c r="D29" s="1047" t="s">
        <v>384</v>
      </c>
      <c r="E29" s="984"/>
      <c r="F29" s="963"/>
      <c r="G29" s="963"/>
    </row>
    <row r="30" spans="1:18" s="838" customFormat="1" ht="13.8" hidden="1">
      <c r="C30" s="970"/>
      <c r="D30" s="1144"/>
      <c r="E30" s="984"/>
      <c r="F30" s="963"/>
      <c r="G30" s="963"/>
      <c r="L30" s="1193">
        <f>L28/40</f>
        <v>104.69069094069758</v>
      </c>
      <c r="M30" s="1265" t="s">
        <v>385</v>
      </c>
      <c r="N30" s="1012"/>
    </row>
    <row r="31" spans="1:18" s="838" customFormat="1" ht="13.8" hidden="1">
      <c r="C31" s="970"/>
      <c r="E31" s="984"/>
      <c r="F31" s="963"/>
      <c r="G31" s="963"/>
      <c r="L31" s="1193">
        <f>L28/15.25</f>
        <v>274.59853361494447</v>
      </c>
      <c r="M31" s="1265" t="s">
        <v>386</v>
      </c>
    </row>
    <row r="32" spans="1:18" s="838" customFormat="1" ht="13.2" hidden="1">
      <c r="C32" s="970"/>
      <c r="E32" s="984"/>
      <c r="F32" s="963"/>
      <c r="G32" s="963"/>
    </row>
    <row r="33" spans="3:7" s="838" customFormat="1" ht="13.2" hidden="1">
      <c r="C33" s="970"/>
      <c r="E33" s="984"/>
      <c r="F33" s="963"/>
      <c r="G33" s="963"/>
    </row>
    <row r="34" spans="3:7" s="838" customFormat="1" ht="13.2" hidden="1">
      <c r="C34" s="970"/>
      <c r="E34" s="984"/>
      <c r="F34" s="963"/>
      <c r="G34" s="963"/>
    </row>
    <row r="35" spans="3:7" s="838" customFormat="1" ht="13.2" hidden="1">
      <c r="C35" s="970"/>
      <c r="E35" s="984"/>
      <c r="F35" s="963"/>
      <c r="G35" s="963"/>
    </row>
    <row r="36" spans="3:7">
      <c r="C36" s="970"/>
      <c r="D36" s="838"/>
      <c r="E36" s="984"/>
      <c r="F36" s="963"/>
      <c r="G36" s="963"/>
    </row>
  </sheetData>
  <mergeCells count="2">
    <mergeCell ref="H3:L3"/>
    <mergeCell ref="J20:K20"/>
  </mergeCells>
  <pageMargins left="0.75" right="0.75" top="1" bottom="1" header="0.5" footer="0.5"/>
  <pageSetup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F4:W27"/>
  <sheetViews>
    <sheetView topLeftCell="B1" zoomScale="80" zoomScaleNormal="80" workbookViewId="0">
      <selection activeCell="W17" sqref="W17"/>
    </sheetView>
  </sheetViews>
  <sheetFormatPr defaultRowHeight="14.4"/>
  <cols>
    <col min="1" max="5" width="8.88671875" style="269"/>
    <col min="6" max="6" width="22" style="269" customWidth="1"/>
    <col min="7" max="7" width="14.6640625" style="269" customWidth="1"/>
    <col min="8" max="8" width="19.88671875" style="269" customWidth="1"/>
    <col min="9" max="9" width="14.6640625" style="269" customWidth="1"/>
    <col min="10" max="10" width="11.5546875" style="269" bestFit="1" customWidth="1"/>
    <col min="11" max="12" width="8.88671875" style="269"/>
    <col min="13" max="13" width="33" style="269" customWidth="1"/>
    <col min="14" max="14" width="12.5546875" style="269" customWidth="1"/>
    <col min="15" max="18" width="8.88671875" style="269"/>
    <col min="19" max="19" width="12.109375" style="269" customWidth="1"/>
    <col min="20" max="16384" width="8.88671875" style="269"/>
  </cols>
  <sheetData>
    <row r="4" spans="6:23" ht="15" thickBot="1"/>
    <row r="5" spans="6:23" ht="15" thickBot="1">
      <c r="F5" s="1266" t="s">
        <v>387</v>
      </c>
      <c r="G5" s="1267"/>
      <c r="H5" s="1267"/>
      <c r="I5" s="1268"/>
    </row>
    <row r="6" spans="6:23" ht="15" thickBot="1">
      <c r="F6" s="1269" t="s">
        <v>388</v>
      </c>
      <c r="G6" s="1270"/>
      <c r="H6" s="1270"/>
      <c r="I6" s="1271"/>
      <c r="M6" s="1272" t="s">
        <v>389</v>
      </c>
      <c r="N6" s="1273"/>
      <c r="O6" s="1273"/>
      <c r="P6" s="1273"/>
      <c r="Q6" s="1273"/>
      <c r="R6" s="1273"/>
      <c r="S6" s="1274"/>
    </row>
    <row r="7" spans="6:23" ht="15" thickBot="1">
      <c r="F7" s="1275"/>
      <c r="G7" s="1276"/>
      <c r="H7" s="1277" t="s">
        <v>390</v>
      </c>
      <c r="I7" s="1278">
        <v>507</v>
      </c>
      <c r="M7" s="1279" t="s">
        <v>391</v>
      </c>
      <c r="N7" s="1280"/>
      <c r="O7" s="1280"/>
      <c r="P7" s="1280"/>
      <c r="Q7" s="1280"/>
      <c r="R7" s="1280"/>
      <c r="S7" s="1281"/>
    </row>
    <row r="8" spans="6:23">
      <c r="F8" s="1275"/>
      <c r="G8" s="1277"/>
      <c r="H8" s="1277"/>
      <c r="I8" s="1282"/>
      <c r="M8" s="696" t="s">
        <v>85</v>
      </c>
      <c r="N8" s="1283">
        <f>'Master Look Up'!N19</f>
        <v>69600</v>
      </c>
      <c r="O8" s="317" t="s">
        <v>220</v>
      </c>
      <c r="P8" s="754"/>
      <c r="Q8" s="754"/>
      <c r="R8" s="754"/>
      <c r="S8" s="755"/>
    </row>
    <row r="9" spans="6:23" ht="15" thickBot="1">
      <c r="F9" s="1284"/>
      <c r="G9" s="1285" t="s">
        <v>172</v>
      </c>
      <c r="H9" s="1285" t="s">
        <v>216</v>
      </c>
      <c r="I9" s="1286" t="s">
        <v>174</v>
      </c>
      <c r="M9" s="696" t="s">
        <v>134</v>
      </c>
      <c r="N9" s="1283">
        <f>'Master Look Up'!N20</f>
        <v>45210.880000000005</v>
      </c>
      <c r="O9" s="1287" t="s">
        <v>101</v>
      </c>
      <c r="P9" s="754"/>
      <c r="Q9" s="754"/>
      <c r="R9" s="754"/>
      <c r="S9" s="755"/>
      <c r="W9" s="1288"/>
    </row>
    <row r="10" spans="6:23" ht="15" thickBot="1">
      <c r="F10" s="1289" t="s">
        <v>85</v>
      </c>
      <c r="G10" s="1290">
        <f>N8</f>
        <v>69600</v>
      </c>
      <c r="H10" s="1291">
        <v>0.05</v>
      </c>
      <c r="I10" s="1292">
        <f>H10*G10</f>
        <v>3480</v>
      </c>
      <c r="M10" s="1279" t="s">
        <v>392</v>
      </c>
      <c r="N10" s="1280"/>
      <c r="O10" s="1280"/>
      <c r="P10" s="1280"/>
      <c r="Q10" s="1280"/>
      <c r="R10" s="1280"/>
      <c r="S10" s="1281"/>
    </row>
    <row r="11" spans="6:23">
      <c r="F11" s="1275" t="s">
        <v>134</v>
      </c>
      <c r="G11" s="1293">
        <f>N9</f>
        <v>45210.880000000005</v>
      </c>
      <c r="H11" s="1294">
        <v>0.05</v>
      </c>
      <c r="I11" s="1295">
        <f>H11*G11</f>
        <v>2260.5440000000003</v>
      </c>
      <c r="M11" s="696" t="s">
        <v>85</v>
      </c>
      <c r="N11" s="1296">
        <v>0.05</v>
      </c>
      <c r="O11" s="1297" t="s">
        <v>393</v>
      </c>
      <c r="P11" s="754"/>
      <c r="Q11" s="754"/>
      <c r="R11" s="754"/>
      <c r="S11" s="755"/>
    </row>
    <row r="12" spans="6:23" ht="15" thickBot="1">
      <c r="F12" s="1298" t="s">
        <v>281</v>
      </c>
      <c r="G12" s="1299"/>
      <c r="H12" s="1300">
        <f>SUM(H10:H11)</f>
        <v>0.1</v>
      </c>
      <c r="I12" s="1301">
        <f>SUM(I10:I11)</f>
        <v>5740.5439999999999</v>
      </c>
      <c r="M12" s="696" t="s">
        <v>134</v>
      </c>
      <c r="N12" s="1296">
        <v>0.05</v>
      </c>
      <c r="O12" s="1287" t="s">
        <v>393</v>
      </c>
      <c r="P12" s="754"/>
      <c r="Q12" s="754"/>
      <c r="R12" s="754"/>
      <c r="S12" s="755"/>
    </row>
    <row r="13" spans="6:23" ht="15" thickBot="1">
      <c r="F13" s="1275"/>
      <c r="G13" s="1277"/>
      <c r="H13" s="1302"/>
      <c r="I13" s="1292"/>
      <c r="M13" s="1279" t="s">
        <v>177</v>
      </c>
      <c r="N13" s="1280"/>
      <c r="O13" s="1280"/>
      <c r="P13" s="1280"/>
      <c r="Q13" s="1280"/>
      <c r="R13" s="1280"/>
      <c r="S13" s="1281"/>
    </row>
    <row r="14" spans="6:23">
      <c r="F14" s="1275" t="s">
        <v>178</v>
      </c>
      <c r="G14" s="1303">
        <f>N16</f>
        <v>0.224</v>
      </c>
      <c r="H14" s="1277"/>
      <c r="I14" s="1292">
        <f>I12*G14</f>
        <v>1285.881856</v>
      </c>
      <c r="M14" s="707" t="s">
        <v>394</v>
      </c>
      <c r="N14" s="240">
        <v>20.11</v>
      </c>
      <c r="O14" s="1304" t="s">
        <v>101</v>
      </c>
      <c r="P14" s="1205"/>
      <c r="Q14" s="1205"/>
      <c r="R14" s="1168"/>
      <c r="S14" s="1305"/>
    </row>
    <row r="15" spans="6:23">
      <c r="F15" s="1298" t="s">
        <v>225</v>
      </c>
      <c r="G15" s="1299"/>
      <c r="H15" s="1306"/>
      <c r="I15" s="1301">
        <f>I14+I12</f>
        <v>7026.4258559999998</v>
      </c>
      <c r="M15" s="1307"/>
      <c r="N15" s="1205"/>
      <c r="O15" s="1308"/>
      <c r="P15" s="1205"/>
      <c r="Q15" s="1205"/>
      <c r="R15" s="1168"/>
      <c r="S15" s="1305"/>
    </row>
    <row r="16" spans="6:23">
      <c r="F16" s="1309" t="s">
        <v>394</v>
      </c>
      <c r="G16" s="1277"/>
      <c r="H16" s="1310">
        <f>N14</f>
        <v>20.11</v>
      </c>
      <c r="I16" s="1295">
        <f>H16*I7</f>
        <v>10195.77</v>
      </c>
      <c r="M16" s="696" t="s">
        <v>286</v>
      </c>
      <c r="N16" s="721">
        <f>'Master Look Up'!D25</f>
        <v>0.224</v>
      </c>
      <c r="O16" s="1311" t="s">
        <v>143</v>
      </c>
      <c r="P16" s="754"/>
      <c r="Q16" s="754"/>
      <c r="R16" s="754"/>
      <c r="S16" s="755"/>
    </row>
    <row r="17" spans="6:19">
      <c r="F17" s="1298" t="s">
        <v>287</v>
      </c>
      <c r="G17" s="1299"/>
      <c r="H17" s="1299"/>
      <c r="I17" s="1301">
        <f>I15+I16</f>
        <v>17222.195855999998</v>
      </c>
      <c r="K17" s="1312"/>
      <c r="M17" s="696" t="s">
        <v>62</v>
      </c>
      <c r="N17" s="721">
        <f>'Master Look Up'!D30</f>
        <v>0.12</v>
      </c>
      <c r="O17" s="1311" t="s">
        <v>151</v>
      </c>
      <c r="P17" s="754"/>
      <c r="Q17" s="754"/>
      <c r="R17" s="754"/>
      <c r="S17" s="755"/>
    </row>
    <row r="18" spans="6:19" ht="15" thickBot="1">
      <c r="F18" s="1275"/>
      <c r="G18" s="1277"/>
      <c r="H18" s="1277"/>
      <c r="I18" s="1282"/>
      <c r="M18" s="1313" t="s">
        <v>395</v>
      </c>
      <c r="N18" s="721">
        <v>3.7000000000000002E-3</v>
      </c>
      <c r="O18" s="1311" t="s">
        <v>186</v>
      </c>
      <c r="P18" s="754"/>
      <c r="Q18" s="754"/>
      <c r="R18" s="754"/>
      <c r="S18" s="755"/>
    </row>
    <row r="19" spans="6:19" ht="15" thickBot="1">
      <c r="F19" s="1275" t="s">
        <v>185</v>
      </c>
      <c r="G19" s="1303">
        <f>N17</f>
        <v>0.12</v>
      </c>
      <c r="H19" s="1277"/>
      <c r="I19" s="1292">
        <f>I17*G19</f>
        <v>2066.6635027199995</v>
      </c>
      <c r="M19" s="1314" t="s">
        <v>189</v>
      </c>
      <c r="N19" s="1315">
        <f>'Master Look Up'!D33</f>
        <v>1.0633805350099574E-2</v>
      </c>
      <c r="O19" s="1316" t="s">
        <v>153</v>
      </c>
      <c r="P19" s="1316"/>
      <c r="Q19" s="1316"/>
      <c r="R19" s="1316"/>
      <c r="S19" s="1317"/>
    </row>
    <row r="20" spans="6:19" ht="15" thickBot="1">
      <c r="F20" s="1318" t="s">
        <v>396</v>
      </c>
      <c r="G20" s="1319">
        <f>N18</f>
        <v>3.7000000000000002E-3</v>
      </c>
      <c r="H20" s="1320"/>
      <c r="I20" s="1321">
        <f>I12*G20</f>
        <v>21.240012799999999</v>
      </c>
    </row>
    <row r="21" spans="6:19" ht="15" thickTop="1">
      <c r="F21" s="1275" t="s">
        <v>188</v>
      </c>
      <c r="G21" s="1277"/>
      <c r="H21" s="1277"/>
      <c r="I21" s="1292">
        <f>I17+I19+I20</f>
        <v>19310.099371519998</v>
      </c>
    </row>
    <row r="22" spans="6:19" ht="15" thickBot="1">
      <c r="F22" s="1318" t="s">
        <v>320</v>
      </c>
      <c r="G22" s="1319">
        <f>N19</f>
        <v>1.0633805350099574E-2</v>
      </c>
      <c r="H22" s="1320"/>
      <c r="I22" s="1322">
        <f>I21*G22</f>
        <v>205.33983800782377</v>
      </c>
    </row>
    <row r="23" spans="6:19" ht="15.6" thickTop="1" thickBot="1">
      <c r="F23" s="1275" t="s">
        <v>381</v>
      </c>
      <c r="G23" s="1277"/>
      <c r="H23" s="1323"/>
      <c r="I23" s="1324">
        <f>I21+I22</f>
        <v>19515.439209527824</v>
      </c>
    </row>
    <row r="24" spans="6:19" ht="15" thickBot="1">
      <c r="F24" s="1325" t="s">
        <v>397</v>
      </c>
      <c r="G24" s="1326"/>
      <c r="H24" s="1327"/>
      <c r="I24" s="1328">
        <f>I23/I7-0.02</f>
        <v>38.47199055133693</v>
      </c>
    </row>
    <row r="25" spans="6:19">
      <c r="F25" s="350"/>
      <c r="G25" s="350"/>
      <c r="H25" s="350"/>
      <c r="I25" s="448"/>
      <c r="J25" s="491"/>
      <c r="K25" s="1329"/>
    </row>
    <row r="26" spans="6:19">
      <c r="I26" s="1330"/>
      <c r="J26" s="1312"/>
    </row>
    <row r="27" spans="6:19">
      <c r="I27" s="491"/>
    </row>
  </sheetData>
  <mergeCells count="6">
    <mergeCell ref="F5:I5"/>
    <mergeCell ref="F6:I6"/>
    <mergeCell ref="M6:S6"/>
    <mergeCell ref="M7:S7"/>
    <mergeCell ref="M10:S10"/>
    <mergeCell ref="M13:S13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GridLines="0" zoomScale="70" zoomScaleNormal="70" workbookViewId="0">
      <selection activeCell="W17" sqref="W17"/>
    </sheetView>
  </sheetViews>
  <sheetFormatPr defaultRowHeight="13.2"/>
  <cols>
    <col min="1" max="1" width="6.33203125" style="829" customWidth="1"/>
    <col min="2" max="2" width="26.109375" style="829" bestFit="1" customWidth="1"/>
    <col min="3" max="3" width="11.109375" style="829" customWidth="1"/>
    <col min="4" max="4" width="11.44140625" style="829" bestFit="1" customWidth="1"/>
    <col min="5" max="5" width="10" style="829" bestFit="1" customWidth="1"/>
    <col min="6" max="6" width="12.6640625" style="829" customWidth="1"/>
    <col min="7" max="7" width="9.44140625" style="829" customWidth="1"/>
    <col min="8" max="8" width="24.5546875" style="829" customWidth="1"/>
    <col min="9" max="9" width="13.5546875" style="829" customWidth="1"/>
    <col min="10" max="10" width="51.44140625" style="829" customWidth="1"/>
    <col min="11" max="246" width="8.88671875" style="829"/>
    <col min="247" max="247" width="19.6640625" style="829" bestFit="1" customWidth="1"/>
    <col min="248" max="248" width="8.88671875" style="829"/>
    <col min="249" max="249" width="12.6640625" style="829" bestFit="1" customWidth="1"/>
    <col min="250" max="502" width="8.88671875" style="829"/>
    <col min="503" max="503" width="19.6640625" style="829" bestFit="1" customWidth="1"/>
    <col min="504" max="504" width="8.88671875" style="829"/>
    <col min="505" max="505" width="12.6640625" style="829" bestFit="1" customWidth="1"/>
    <col min="506" max="758" width="8.88671875" style="829"/>
    <col min="759" max="759" width="19.6640625" style="829" bestFit="1" customWidth="1"/>
    <col min="760" max="760" width="8.88671875" style="829"/>
    <col min="761" max="761" width="12.6640625" style="829" bestFit="1" customWidth="1"/>
    <col min="762" max="1014" width="8.88671875" style="829"/>
    <col min="1015" max="1015" width="19.6640625" style="829" bestFit="1" customWidth="1"/>
    <col min="1016" max="1016" width="8.88671875" style="829"/>
    <col min="1017" max="1017" width="12.6640625" style="829" bestFit="1" customWidth="1"/>
    <col min="1018" max="1270" width="8.88671875" style="829"/>
    <col min="1271" max="1271" width="19.6640625" style="829" bestFit="1" customWidth="1"/>
    <col min="1272" max="1272" width="8.88671875" style="829"/>
    <col min="1273" max="1273" width="12.6640625" style="829" bestFit="1" customWidth="1"/>
    <col min="1274" max="1526" width="8.88671875" style="829"/>
    <col min="1527" max="1527" width="19.6640625" style="829" bestFit="1" customWidth="1"/>
    <col min="1528" max="1528" width="8.88671875" style="829"/>
    <col min="1529" max="1529" width="12.6640625" style="829" bestFit="1" customWidth="1"/>
    <col min="1530" max="1782" width="8.88671875" style="829"/>
    <col min="1783" max="1783" width="19.6640625" style="829" bestFit="1" customWidth="1"/>
    <col min="1784" max="1784" width="8.88671875" style="829"/>
    <col min="1785" max="1785" width="12.6640625" style="829" bestFit="1" customWidth="1"/>
    <col min="1786" max="2038" width="8.88671875" style="829"/>
    <col min="2039" max="2039" width="19.6640625" style="829" bestFit="1" customWidth="1"/>
    <col min="2040" max="2040" width="8.88671875" style="829"/>
    <col min="2041" max="2041" width="12.6640625" style="829" bestFit="1" customWidth="1"/>
    <col min="2042" max="2294" width="8.88671875" style="829"/>
    <col min="2295" max="2295" width="19.6640625" style="829" bestFit="1" customWidth="1"/>
    <col min="2296" max="2296" width="8.88671875" style="829"/>
    <col min="2297" max="2297" width="12.6640625" style="829" bestFit="1" customWidth="1"/>
    <col min="2298" max="2550" width="8.88671875" style="829"/>
    <col min="2551" max="2551" width="19.6640625" style="829" bestFit="1" customWidth="1"/>
    <col min="2552" max="2552" width="8.88671875" style="829"/>
    <col min="2553" max="2553" width="12.6640625" style="829" bestFit="1" customWidth="1"/>
    <col min="2554" max="2806" width="8.88671875" style="829"/>
    <col min="2807" max="2807" width="19.6640625" style="829" bestFit="1" customWidth="1"/>
    <col min="2808" max="2808" width="8.88671875" style="829"/>
    <col min="2809" max="2809" width="12.6640625" style="829" bestFit="1" customWidth="1"/>
    <col min="2810" max="3062" width="8.88671875" style="829"/>
    <col min="3063" max="3063" width="19.6640625" style="829" bestFit="1" customWidth="1"/>
    <col min="3064" max="3064" width="8.88671875" style="829"/>
    <col min="3065" max="3065" width="12.6640625" style="829" bestFit="1" customWidth="1"/>
    <col min="3066" max="3318" width="8.88671875" style="829"/>
    <col min="3319" max="3319" width="19.6640625" style="829" bestFit="1" customWidth="1"/>
    <col min="3320" max="3320" width="8.88671875" style="829"/>
    <col min="3321" max="3321" width="12.6640625" style="829" bestFit="1" customWidth="1"/>
    <col min="3322" max="3574" width="8.88671875" style="829"/>
    <col min="3575" max="3575" width="19.6640625" style="829" bestFit="1" customWidth="1"/>
    <col min="3576" max="3576" width="8.88671875" style="829"/>
    <col min="3577" max="3577" width="12.6640625" style="829" bestFit="1" customWidth="1"/>
    <col min="3578" max="3830" width="8.88671875" style="829"/>
    <col min="3831" max="3831" width="19.6640625" style="829" bestFit="1" customWidth="1"/>
    <col min="3832" max="3832" width="8.88671875" style="829"/>
    <col min="3833" max="3833" width="12.6640625" style="829" bestFit="1" customWidth="1"/>
    <col min="3834" max="4086" width="8.88671875" style="829"/>
    <col min="4087" max="4087" width="19.6640625" style="829" bestFit="1" customWidth="1"/>
    <col min="4088" max="4088" width="8.88671875" style="829"/>
    <col min="4089" max="4089" width="12.6640625" style="829" bestFit="1" customWidth="1"/>
    <col min="4090" max="4342" width="8.88671875" style="829"/>
    <col min="4343" max="4343" width="19.6640625" style="829" bestFit="1" customWidth="1"/>
    <col min="4344" max="4344" width="8.88671875" style="829"/>
    <col min="4345" max="4345" width="12.6640625" style="829" bestFit="1" customWidth="1"/>
    <col min="4346" max="4598" width="8.88671875" style="829"/>
    <col min="4599" max="4599" width="19.6640625" style="829" bestFit="1" customWidth="1"/>
    <col min="4600" max="4600" width="8.88671875" style="829"/>
    <col min="4601" max="4601" width="12.6640625" style="829" bestFit="1" customWidth="1"/>
    <col min="4602" max="4854" width="8.88671875" style="829"/>
    <col min="4855" max="4855" width="19.6640625" style="829" bestFit="1" customWidth="1"/>
    <col min="4856" max="4856" width="8.88671875" style="829"/>
    <col min="4857" max="4857" width="12.6640625" style="829" bestFit="1" customWidth="1"/>
    <col min="4858" max="5110" width="8.88671875" style="829"/>
    <col min="5111" max="5111" width="19.6640625" style="829" bestFit="1" customWidth="1"/>
    <col min="5112" max="5112" width="8.88671875" style="829"/>
    <col min="5113" max="5113" width="12.6640625" style="829" bestFit="1" customWidth="1"/>
    <col min="5114" max="5366" width="8.88671875" style="829"/>
    <col min="5367" max="5367" width="19.6640625" style="829" bestFit="1" customWidth="1"/>
    <col min="5368" max="5368" width="8.88671875" style="829"/>
    <col min="5369" max="5369" width="12.6640625" style="829" bestFit="1" customWidth="1"/>
    <col min="5370" max="5622" width="8.88671875" style="829"/>
    <col min="5623" max="5623" width="19.6640625" style="829" bestFit="1" customWidth="1"/>
    <col min="5624" max="5624" width="8.88671875" style="829"/>
    <col min="5625" max="5625" width="12.6640625" style="829" bestFit="1" customWidth="1"/>
    <col min="5626" max="5878" width="8.88671875" style="829"/>
    <col min="5879" max="5879" width="19.6640625" style="829" bestFit="1" customWidth="1"/>
    <col min="5880" max="5880" width="8.88671875" style="829"/>
    <col min="5881" max="5881" width="12.6640625" style="829" bestFit="1" customWidth="1"/>
    <col min="5882" max="6134" width="8.88671875" style="829"/>
    <col min="6135" max="6135" width="19.6640625" style="829" bestFit="1" customWidth="1"/>
    <col min="6136" max="6136" width="8.88671875" style="829"/>
    <col min="6137" max="6137" width="12.6640625" style="829" bestFit="1" customWidth="1"/>
    <col min="6138" max="6390" width="8.88671875" style="829"/>
    <col min="6391" max="6391" width="19.6640625" style="829" bestFit="1" customWidth="1"/>
    <col min="6392" max="6392" width="8.88671875" style="829"/>
    <col min="6393" max="6393" width="12.6640625" style="829" bestFit="1" customWidth="1"/>
    <col min="6394" max="6646" width="8.88671875" style="829"/>
    <col min="6647" max="6647" width="19.6640625" style="829" bestFit="1" customWidth="1"/>
    <col min="6648" max="6648" width="8.88671875" style="829"/>
    <col min="6649" max="6649" width="12.6640625" style="829" bestFit="1" customWidth="1"/>
    <col min="6650" max="6902" width="8.88671875" style="829"/>
    <col min="6903" max="6903" width="19.6640625" style="829" bestFit="1" customWidth="1"/>
    <col min="6904" max="6904" width="8.88671875" style="829"/>
    <col min="6905" max="6905" width="12.6640625" style="829" bestFit="1" customWidth="1"/>
    <col min="6906" max="7158" width="8.88671875" style="829"/>
    <col min="7159" max="7159" width="19.6640625" style="829" bestFit="1" customWidth="1"/>
    <col min="7160" max="7160" width="8.88671875" style="829"/>
    <col min="7161" max="7161" width="12.6640625" style="829" bestFit="1" customWidth="1"/>
    <col min="7162" max="7414" width="8.88671875" style="829"/>
    <col min="7415" max="7415" width="19.6640625" style="829" bestFit="1" customWidth="1"/>
    <col min="7416" max="7416" width="8.88671875" style="829"/>
    <col min="7417" max="7417" width="12.6640625" style="829" bestFit="1" customWidth="1"/>
    <col min="7418" max="7670" width="8.88671875" style="829"/>
    <col min="7671" max="7671" width="19.6640625" style="829" bestFit="1" customWidth="1"/>
    <col min="7672" max="7672" width="8.88671875" style="829"/>
    <col min="7673" max="7673" width="12.6640625" style="829" bestFit="1" customWidth="1"/>
    <col min="7674" max="7926" width="8.88671875" style="829"/>
    <col min="7927" max="7927" width="19.6640625" style="829" bestFit="1" customWidth="1"/>
    <col min="7928" max="7928" width="8.88671875" style="829"/>
    <col min="7929" max="7929" width="12.6640625" style="829" bestFit="1" customWidth="1"/>
    <col min="7930" max="8182" width="8.88671875" style="829"/>
    <col min="8183" max="8183" width="19.6640625" style="829" bestFit="1" customWidth="1"/>
    <col min="8184" max="8184" width="8.88671875" style="829"/>
    <col min="8185" max="8185" width="12.6640625" style="829" bestFit="1" customWidth="1"/>
    <col min="8186" max="8438" width="8.88671875" style="829"/>
    <col min="8439" max="8439" width="19.6640625" style="829" bestFit="1" customWidth="1"/>
    <col min="8440" max="8440" width="8.88671875" style="829"/>
    <col min="8441" max="8441" width="12.6640625" style="829" bestFit="1" customWidth="1"/>
    <col min="8442" max="8694" width="8.88671875" style="829"/>
    <col min="8695" max="8695" width="19.6640625" style="829" bestFit="1" customWidth="1"/>
    <col min="8696" max="8696" width="8.88671875" style="829"/>
    <col min="8697" max="8697" width="12.6640625" style="829" bestFit="1" customWidth="1"/>
    <col min="8698" max="8950" width="8.88671875" style="829"/>
    <col min="8951" max="8951" width="19.6640625" style="829" bestFit="1" customWidth="1"/>
    <col min="8952" max="8952" width="8.88671875" style="829"/>
    <col min="8953" max="8953" width="12.6640625" style="829" bestFit="1" customWidth="1"/>
    <col min="8954" max="9206" width="8.88671875" style="829"/>
    <col min="9207" max="9207" width="19.6640625" style="829" bestFit="1" customWidth="1"/>
    <col min="9208" max="9208" width="8.88671875" style="829"/>
    <col min="9209" max="9209" width="12.6640625" style="829" bestFit="1" customWidth="1"/>
    <col min="9210" max="9462" width="8.88671875" style="829"/>
    <col min="9463" max="9463" width="19.6640625" style="829" bestFit="1" customWidth="1"/>
    <col min="9464" max="9464" width="8.88671875" style="829"/>
    <col min="9465" max="9465" width="12.6640625" style="829" bestFit="1" customWidth="1"/>
    <col min="9466" max="9718" width="8.88671875" style="829"/>
    <col min="9719" max="9719" width="19.6640625" style="829" bestFit="1" customWidth="1"/>
    <col min="9720" max="9720" width="8.88671875" style="829"/>
    <col min="9721" max="9721" width="12.6640625" style="829" bestFit="1" customWidth="1"/>
    <col min="9722" max="9974" width="8.88671875" style="829"/>
    <col min="9975" max="9975" width="19.6640625" style="829" bestFit="1" customWidth="1"/>
    <col min="9976" max="9976" width="8.88671875" style="829"/>
    <col min="9977" max="9977" width="12.6640625" style="829" bestFit="1" customWidth="1"/>
    <col min="9978" max="10230" width="8.88671875" style="829"/>
    <col min="10231" max="10231" width="19.6640625" style="829" bestFit="1" customWidth="1"/>
    <col min="10232" max="10232" width="8.88671875" style="829"/>
    <col min="10233" max="10233" width="12.6640625" style="829" bestFit="1" customWidth="1"/>
    <col min="10234" max="10486" width="8.88671875" style="829"/>
    <col min="10487" max="10487" width="19.6640625" style="829" bestFit="1" customWidth="1"/>
    <col min="10488" max="10488" width="8.88671875" style="829"/>
    <col min="10489" max="10489" width="12.6640625" style="829" bestFit="1" customWidth="1"/>
    <col min="10490" max="10742" width="8.88671875" style="829"/>
    <col min="10743" max="10743" width="19.6640625" style="829" bestFit="1" customWidth="1"/>
    <col min="10744" max="10744" width="8.88671875" style="829"/>
    <col min="10745" max="10745" width="12.6640625" style="829" bestFit="1" customWidth="1"/>
    <col min="10746" max="10998" width="8.88671875" style="829"/>
    <col min="10999" max="10999" width="19.6640625" style="829" bestFit="1" customWidth="1"/>
    <col min="11000" max="11000" width="8.88671875" style="829"/>
    <col min="11001" max="11001" width="12.6640625" style="829" bestFit="1" customWidth="1"/>
    <col min="11002" max="11254" width="8.88671875" style="829"/>
    <col min="11255" max="11255" width="19.6640625" style="829" bestFit="1" customWidth="1"/>
    <col min="11256" max="11256" width="8.88671875" style="829"/>
    <col min="11257" max="11257" width="12.6640625" style="829" bestFit="1" customWidth="1"/>
    <col min="11258" max="11510" width="8.88671875" style="829"/>
    <col min="11511" max="11511" width="19.6640625" style="829" bestFit="1" customWidth="1"/>
    <col min="11512" max="11512" width="8.88671875" style="829"/>
    <col min="11513" max="11513" width="12.6640625" style="829" bestFit="1" customWidth="1"/>
    <col min="11514" max="11766" width="8.88671875" style="829"/>
    <col min="11767" max="11767" width="19.6640625" style="829" bestFit="1" customWidth="1"/>
    <col min="11768" max="11768" width="8.88671875" style="829"/>
    <col min="11769" max="11769" width="12.6640625" style="829" bestFit="1" customWidth="1"/>
    <col min="11770" max="12022" width="8.88671875" style="829"/>
    <col min="12023" max="12023" width="19.6640625" style="829" bestFit="1" customWidth="1"/>
    <col min="12024" max="12024" width="8.88671875" style="829"/>
    <col min="12025" max="12025" width="12.6640625" style="829" bestFit="1" customWidth="1"/>
    <col min="12026" max="12278" width="8.88671875" style="829"/>
    <col min="12279" max="12279" width="19.6640625" style="829" bestFit="1" customWidth="1"/>
    <col min="12280" max="12280" width="8.88671875" style="829"/>
    <col min="12281" max="12281" width="12.6640625" style="829" bestFit="1" customWidth="1"/>
    <col min="12282" max="12534" width="8.88671875" style="829"/>
    <col min="12535" max="12535" width="19.6640625" style="829" bestFit="1" customWidth="1"/>
    <col min="12536" max="12536" width="8.88671875" style="829"/>
    <col min="12537" max="12537" width="12.6640625" style="829" bestFit="1" customWidth="1"/>
    <col min="12538" max="12790" width="8.88671875" style="829"/>
    <col min="12791" max="12791" width="19.6640625" style="829" bestFit="1" customWidth="1"/>
    <col min="12792" max="12792" width="8.88671875" style="829"/>
    <col min="12793" max="12793" width="12.6640625" style="829" bestFit="1" customWidth="1"/>
    <col min="12794" max="13046" width="8.88671875" style="829"/>
    <col min="13047" max="13047" width="19.6640625" style="829" bestFit="1" customWidth="1"/>
    <col min="13048" max="13048" width="8.88671875" style="829"/>
    <col min="13049" max="13049" width="12.6640625" style="829" bestFit="1" customWidth="1"/>
    <col min="13050" max="13302" width="8.88671875" style="829"/>
    <col min="13303" max="13303" width="19.6640625" style="829" bestFit="1" customWidth="1"/>
    <col min="13304" max="13304" width="8.88671875" style="829"/>
    <col min="13305" max="13305" width="12.6640625" style="829" bestFit="1" customWidth="1"/>
    <col min="13306" max="13558" width="8.88671875" style="829"/>
    <col min="13559" max="13559" width="19.6640625" style="829" bestFit="1" customWidth="1"/>
    <col min="13560" max="13560" width="8.88671875" style="829"/>
    <col min="13561" max="13561" width="12.6640625" style="829" bestFit="1" customWidth="1"/>
    <col min="13562" max="13814" width="8.88671875" style="829"/>
    <col min="13815" max="13815" width="19.6640625" style="829" bestFit="1" customWidth="1"/>
    <col min="13816" max="13816" width="8.88671875" style="829"/>
    <col min="13817" max="13817" width="12.6640625" style="829" bestFit="1" customWidth="1"/>
    <col min="13818" max="14070" width="8.88671875" style="829"/>
    <col min="14071" max="14071" width="19.6640625" style="829" bestFit="1" customWidth="1"/>
    <col min="14072" max="14072" width="8.88671875" style="829"/>
    <col min="14073" max="14073" width="12.6640625" style="829" bestFit="1" customWidth="1"/>
    <col min="14074" max="14326" width="8.88671875" style="829"/>
    <col min="14327" max="14327" width="19.6640625" style="829" bestFit="1" customWidth="1"/>
    <col min="14328" max="14328" width="8.88671875" style="829"/>
    <col min="14329" max="14329" width="12.6640625" style="829" bestFit="1" customWidth="1"/>
    <col min="14330" max="14582" width="8.88671875" style="829"/>
    <col min="14583" max="14583" width="19.6640625" style="829" bestFit="1" customWidth="1"/>
    <col min="14584" max="14584" width="8.88671875" style="829"/>
    <col min="14585" max="14585" width="12.6640625" style="829" bestFit="1" customWidth="1"/>
    <col min="14586" max="14838" width="8.88671875" style="829"/>
    <col min="14839" max="14839" width="19.6640625" style="829" bestFit="1" customWidth="1"/>
    <col min="14840" max="14840" width="8.88671875" style="829"/>
    <col min="14841" max="14841" width="12.6640625" style="829" bestFit="1" customWidth="1"/>
    <col min="14842" max="15094" width="8.88671875" style="829"/>
    <col min="15095" max="15095" width="19.6640625" style="829" bestFit="1" customWidth="1"/>
    <col min="15096" max="15096" width="8.88671875" style="829"/>
    <col min="15097" max="15097" width="12.6640625" style="829" bestFit="1" customWidth="1"/>
    <col min="15098" max="15350" width="8.88671875" style="829"/>
    <col min="15351" max="15351" width="19.6640625" style="829" bestFit="1" customWidth="1"/>
    <col min="15352" max="15352" width="8.88671875" style="829"/>
    <col min="15353" max="15353" width="12.6640625" style="829" bestFit="1" customWidth="1"/>
    <col min="15354" max="15606" width="8.88671875" style="829"/>
    <col min="15607" max="15607" width="19.6640625" style="829" bestFit="1" customWidth="1"/>
    <col min="15608" max="15608" width="8.88671875" style="829"/>
    <col min="15609" max="15609" width="12.6640625" style="829" bestFit="1" customWidth="1"/>
    <col min="15610" max="15862" width="8.88671875" style="829"/>
    <col min="15863" max="15863" width="19.6640625" style="829" bestFit="1" customWidth="1"/>
    <col min="15864" max="15864" width="8.88671875" style="829"/>
    <col min="15865" max="15865" width="12.6640625" style="829" bestFit="1" customWidth="1"/>
    <col min="15866" max="16118" width="8.88671875" style="829"/>
    <col min="16119" max="16119" width="19.6640625" style="829" bestFit="1" customWidth="1"/>
    <col min="16120" max="16120" width="8.88671875" style="829"/>
    <col min="16121" max="16121" width="12.6640625" style="829" bestFit="1" customWidth="1"/>
    <col min="16122" max="16384" width="8.88671875" style="829"/>
  </cols>
  <sheetData>
    <row r="1" spans="1:13" ht="13.8">
      <c r="A1" s="1044"/>
      <c r="B1" s="1331" t="s">
        <v>398</v>
      </c>
      <c r="C1" s="1044"/>
      <c r="D1" s="1044"/>
      <c r="E1" s="1044"/>
      <c r="F1" s="1044"/>
      <c r="G1" s="1044"/>
      <c r="H1" s="1044"/>
      <c r="I1" s="1044"/>
      <c r="J1" s="1044"/>
      <c r="K1" s="1044"/>
      <c r="L1" s="1044"/>
    </row>
    <row r="2" spans="1:13" ht="13.8">
      <c r="A2" s="1044"/>
      <c r="B2" s="1044"/>
      <c r="C2" s="1044"/>
      <c r="D2" s="1044"/>
      <c r="E2" s="1044"/>
      <c r="F2" s="1044"/>
      <c r="G2" s="1044"/>
      <c r="H2" s="1044"/>
      <c r="I2" s="1044"/>
      <c r="J2" s="1044"/>
      <c r="K2" s="1044"/>
      <c r="L2" s="1044"/>
    </row>
    <row r="3" spans="1:13" ht="15" thickBot="1">
      <c r="A3" s="1044"/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4"/>
      <c r="M3" s="1332"/>
    </row>
    <row r="4" spans="1:13" ht="20.399999999999999" customHeight="1" thickBot="1">
      <c r="A4" s="1044"/>
      <c r="B4" s="1333"/>
      <c r="C4" s="1334" t="s">
        <v>399</v>
      </c>
      <c r="D4" s="1335"/>
      <c r="E4" s="1335"/>
      <c r="F4" s="1336"/>
      <c r="G4" s="1044"/>
      <c r="H4" s="1337" t="s">
        <v>400</v>
      </c>
      <c r="I4" s="1338"/>
      <c r="J4" s="1339"/>
      <c r="K4" s="1044"/>
      <c r="L4" s="1044"/>
      <c r="M4" s="1332"/>
    </row>
    <row r="5" spans="1:13" ht="22.5" customHeight="1" thickBot="1">
      <c r="A5" s="1044"/>
      <c r="B5" s="1340"/>
      <c r="C5" s="1341"/>
      <c r="D5" s="1342"/>
      <c r="E5" s="1342"/>
      <c r="F5" s="1343"/>
      <c r="G5" s="1044"/>
      <c r="H5" s="1344" t="s">
        <v>166</v>
      </c>
      <c r="I5" s="1345"/>
      <c r="J5" s="1346" t="s">
        <v>167</v>
      </c>
      <c r="K5" s="1044"/>
      <c r="L5" s="1044"/>
      <c r="M5" s="1332"/>
    </row>
    <row r="6" spans="1:13" ht="14.4">
      <c r="A6" s="1044"/>
      <c r="B6" s="1347" t="s">
        <v>401</v>
      </c>
      <c r="C6" s="1348"/>
      <c r="D6" s="1349" t="s">
        <v>172</v>
      </c>
      <c r="E6" s="1349" t="s">
        <v>216</v>
      </c>
      <c r="F6" s="1350" t="s">
        <v>174</v>
      </c>
      <c r="G6" s="1044"/>
      <c r="H6" s="1351" t="s">
        <v>85</v>
      </c>
      <c r="I6" s="1352">
        <f>'Master Look Up'!N22</f>
        <v>69600</v>
      </c>
      <c r="J6" s="1353" t="s">
        <v>220</v>
      </c>
      <c r="K6" s="1044"/>
      <c r="L6" s="1044"/>
      <c r="M6" s="1332"/>
    </row>
    <row r="7" spans="1:13" ht="15" thickBot="1">
      <c r="A7" s="1044"/>
      <c r="B7" s="1354" t="s">
        <v>85</v>
      </c>
      <c r="C7" s="1355">
        <v>580</v>
      </c>
      <c r="D7" s="1356">
        <f>I6</f>
        <v>69600</v>
      </c>
      <c r="E7" s="1355">
        <v>0.06</v>
      </c>
      <c r="F7" s="1357">
        <f>D7*E7</f>
        <v>4176</v>
      </c>
      <c r="G7" s="1044"/>
      <c r="H7" s="1340" t="s">
        <v>402</v>
      </c>
      <c r="I7" s="1358">
        <f>'Master Look Up'!N21</f>
        <v>45375.199999999997</v>
      </c>
      <c r="J7" s="1359" t="s">
        <v>279</v>
      </c>
      <c r="K7" s="1044"/>
      <c r="L7" s="1044"/>
      <c r="M7" s="1332"/>
    </row>
    <row r="8" spans="1:13" ht="15" thickBot="1">
      <c r="A8" s="1044"/>
      <c r="B8" s="1360" t="str">
        <f>H7</f>
        <v>Case Worker (BA Level)</v>
      </c>
      <c r="C8" s="1361">
        <v>35</v>
      </c>
      <c r="D8" s="1362">
        <f>I7</f>
        <v>45375.199999999997</v>
      </c>
      <c r="E8" s="1361">
        <v>1.63</v>
      </c>
      <c r="F8" s="1363">
        <f>E8*D8</f>
        <v>73961.575999999986</v>
      </c>
      <c r="G8" s="1044"/>
      <c r="H8" s="1364" t="s">
        <v>177</v>
      </c>
      <c r="I8" s="1365"/>
      <c r="J8" s="1366"/>
      <c r="K8" s="1044"/>
      <c r="L8" s="1044"/>
      <c r="M8" s="1332"/>
    </row>
    <row r="9" spans="1:13" ht="14.4">
      <c r="A9" s="1044"/>
      <c r="B9" s="1360"/>
      <c r="C9" s="1361"/>
      <c r="D9" s="1362"/>
      <c r="E9" s="1361"/>
      <c r="F9" s="1363"/>
      <c r="G9" s="1044"/>
      <c r="H9" s="1351" t="s">
        <v>73</v>
      </c>
      <c r="I9" s="1367">
        <f>'Master Look Up'!E4</f>
        <v>5963.9694954316819</v>
      </c>
      <c r="J9" s="1368" t="s">
        <v>180</v>
      </c>
      <c r="K9" s="1044"/>
      <c r="L9" s="1044"/>
      <c r="M9" s="1332"/>
    </row>
    <row r="10" spans="1:13" ht="14.4">
      <c r="A10" s="1044"/>
      <c r="B10" s="1369" t="s">
        <v>340</v>
      </c>
      <c r="C10" s="1370"/>
      <c r="D10" s="1370"/>
      <c r="E10" s="1370">
        <f>SUM(E7:E9)</f>
        <v>1.69</v>
      </c>
      <c r="F10" s="1371">
        <f>SUM(F7:F9)</f>
        <v>78137.575999999986</v>
      </c>
      <c r="G10" s="1044"/>
      <c r="H10" s="1360" t="s">
        <v>84</v>
      </c>
      <c r="I10" s="1372">
        <f>'Master Look Up'!E6</f>
        <v>159.61973086509079</v>
      </c>
      <c r="J10" s="1373" t="s">
        <v>180</v>
      </c>
      <c r="K10" s="1044"/>
      <c r="L10" s="1044"/>
      <c r="M10" s="1332"/>
    </row>
    <row r="11" spans="1:13" ht="15" thickBot="1">
      <c r="A11" s="1044"/>
      <c r="B11" s="1374" t="s">
        <v>183</v>
      </c>
      <c r="C11" s="1375">
        <f>I16</f>
        <v>0.224</v>
      </c>
      <c r="D11" s="1376"/>
      <c r="E11" s="1377"/>
      <c r="F11" s="1378">
        <f>F10*C11</f>
        <v>17502.817023999996</v>
      </c>
      <c r="G11" s="1044"/>
      <c r="H11" s="1360" t="s">
        <v>88</v>
      </c>
      <c r="I11" s="1372">
        <f>'Master Look Up'!E7</f>
        <v>1056.8783932396871</v>
      </c>
      <c r="J11" s="1373" t="s">
        <v>180</v>
      </c>
      <c r="K11" s="1044"/>
      <c r="L11" s="1044"/>
      <c r="M11" s="1332"/>
    </row>
    <row r="12" spans="1:13" ht="15" thickBot="1">
      <c r="A12" s="1044"/>
      <c r="B12" s="1379" t="s">
        <v>225</v>
      </c>
      <c r="C12" s="1380"/>
      <c r="D12" s="1380"/>
      <c r="E12" s="1381"/>
      <c r="F12" s="1382">
        <f>F10+F11</f>
        <v>95640.39302399999</v>
      </c>
      <c r="G12" s="1044"/>
      <c r="H12" s="1360" t="s">
        <v>94</v>
      </c>
      <c r="I12" s="1372">
        <f>'Master Look Up'!E9</f>
        <v>474.11060420697481</v>
      </c>
      <c r="J12" s="1373" t="s">
        <v>180</v>
      </c>
      <c r="K12" s="1044"/>
      <c r="L12" s="1044"/>
      <c r="M12" s="1332"/>
    </row>
    <row r="13" spans="1:13" ht="15" thickTop="1">
      <c r="A13" s="1044"/>
      <c r="B13" s="1360" t="s">
        <v>223</v>
      </c>
      <c r="C13" s="1361"/>
      <c r="D13" s="1361"/>
      <c r="E13" s="1383">
        <f>I9</f>
        <v>5963.9694954316819</v>
      </c>
      <c r="F13" s="1384">
        <f>E13*$E$8</f>
        <v>9721.2702775536418</v>
      </c>
      <c r="G13" s="1044"/>
      <c r="H13" s="1360" t="s">
        <v>125</v>
      </c>
      <c r="I13" s="1372">
        <f>'Master Look Up'!E17</f>
        <v>1347.3502436316674</v>
      </c>
      <c r="J13" s="1373" t="s">
        <v>180</v>
      </c>
      <c r="K13" s="1044"/>
      <c r="L13" s="1044"/>
      <c r="M13" s="1332"/>
    </row>
    <row r="14" spans="1:13" ht="14.4">
      <c r="A14" s="1044"/>
      <c r="B14" s="1360" t="s">
        <v>206</v>
      </c>
      <c r="C14" s="1361"/>
      <c r="D14" s="1361"/>
      <c r="E14" s="1383">
        <f t="shared" ref="E14" si="0">I10</f>
        <v>159.61973086509079</v>
      </c>
      <c r="F14" s="1384">
        <f t="shared" ref="F14:F16" si="1">E14*$E$8</f>
        <v>260.18016131009796</v>
      </c>
      <c r="G14" s="1044"/>
      <c r="H14" s="1360" t="s">
        <v>129</v>
      </c>
      <c r="I14" s="1372">
        <f>'Master Look Up'!E18</f>
        <v>2996.7173855870574</v>
      </c>
      <c r="J14" s="1373" t="s">
        <v>180</v>
      </c>
      <c r="K14" s="1044"/>
      <c r="L14" s="1044"/>
      <c r="M14" s="1332"/>
    </row>
    <row r="15" spans="1:13" ht="15" thickBot="1">
      <c r="A15" s="1044"/>
      <c r="B15" s="1360" t="s">
        <v>302</v>
      </c>
      <c r="C15" s="1385"/>
      <c r="D15" s="1385"/>
      <c r="E15" s="1383">
        <f>I11+I12</f>
        <v>1530.9889974466619</v>
      </c>
      <c r="F15" s="1384">
        <f t="shared" si="1"/>
        <v>2495.5120658380588</v>
      </c>
      <c r="H15" s="1386" t="s">
        <v>285</v>
      </c>
      <c r="I15" s="1387">
        <v>1000</v>
      </c>
      <c r="J15" s="1388" t="s">
        <v>176</v>
      </c>
      <c r="K15" s="1044"/>
      <c r="L15" s="1044"/>
      <c r="M15" s="1332"/>
    </row>
    <row r="16" spans="1:13" ht="14.4">
      <c r="A16" s="1044"/>
      <c r="B16" s="1360" t="s">
        <v>403</v>
      </c>
      <c r="C16" s="1385"/>
      <c r="D16" s="1385"/>
      <c r="E16" s="1383">
        <f>I13+I14</f>
        <v>4344.0676292187245</v>
      </c>
      <c r="F16" s="1384">
        <f t="shared" si="1"/>
        <v>7080.8302356265203</v>
      </c>
      <c r="H16" s="1360" t="s">
        <v>183</v>
      </c>
      <c r="I16" s="1389">
        <f>'Master Look Up'!D25</f>
        <v>0.224</v>
      </c>
      <c r="J16" s="1390" t="s">
        <v>143</v>
      </c>
      <c r="K16" s="1044"/>
      <c r="L16" s="1044"/>
      <c r="M16" s="1332"/>
    </row>
    <row r="17" spans="1:13" ht="14.4">
      <c r="A17" s="1044"/>
      <c r="B17" s="1391" t="s">
        <v>404</v>
      </c>
      <c r="C17" s="1385"/>
      <c r="D17" s="1385"/>
      <c r="E17" s="1383">
        <v>1000</v>
      </c>
      <c r="F17" s="1384">
        <f>E17*E8</f>
        <v>1630</v>
      </c>
      <c r="H17" s="1360" t="s">
        <v>347</v>
      </c>
      <c r="I17" s="1389">
        <f>'Master Look Up'!D30</f>
        <v>0.12</v>
      </c>
      <c r="J17" s="1392" t="s">
        <v>151</v>
      </c>
      <c r="K17" s="1044"/>
      <c r="L17" s="1044"/>
      <c r="M17" s="1332"/>
    </row>
    <row r="18" spans="1:13" ht="14.4">
      <c r="A18" s="1044"/>
      <c r="B18" s="1393" t="s">
        <v>346</v>
      </c>
      <c r="C18" s="1394"/>
      <c r="D18" s="1394"/>
      <c r="E18" s="1395"/>
      <c r="F18" s="1371">
        <f>SUM(F12:F17)</f>
        <v>116828.18576432831</v>
      </c>
      <c r="G18" s="1044"/>
      <c r="H18" s="1360" t="s">
        <v>61</v>
      </c>
      <c r="I18" s="1396">
        <v>3.7000000000000002E-3</v>
      </c>
      <c r="J18" s="1113" t="s">
        <v>186</v>
      </c>
      <c r="K18" s="1044"/>
      <c r="L18" s="1044"/>
      <c r="M18" s="1332"/>
    </row>
    <row r="19" spans="1:13" ht="15" thickBot="1">
      <c r="A19" s="1044"/>
      <c r="B19" s="1360" t="s">
        <v>347</v>
      </c>
      <c r="C19" s="1397">
        <f>I17</f>
        <v>0.12</v>
      </c>
      <c r="D19" s="1361"/>
      <c r="E19" s="1398"/>
      <c r="F19" s="1363">
        <f>F18*C19</f>
        <v>14019.382291719397</v>
      </c>
      <c r="G19" s="1044"/>
      <c r="H19" s="1399" t="s">
        <v>348</v>
      </c>
      <c r="I19" s="1400">
        <f>'Master Look Up'!D33</f>
        <v>1.0633805350099574E-2</v>
      </c>
      <c r="J19" s="1401" t="s">
        <v>153</v>
      </c>
      <c r="K19" s="1044"/>
      <c r="L19" s="1044"/>
      <c r="M19" s="1332"/>
    </row>
    <row r="20" spans="1:13" ht="14.4">
      <c r="A20" s="1044"/>
      <c r="B20" s="1360" t="str">
        <f>H18</f>
        <v>PFMLA</v>
      </c>
      <c r="C20" s="1389">
        <f>I18</f>
        <v>3.7000000000000002E-3</v>
      </c>
      <c r="D20" s="1361"/>
      <c r="E20" s="1398"/>
      <c r="F20" s="1363">
        <f>C20*F10</f>
        <v>289.10903119999995</v>
      </c>
      <c r="G20" s="1402"/>
      <c r="H20" s="1049"/>
      <c r="I20" s="1403"/>
      <c r="J20" s="1049"/>
      <c r="K20" s="1044"/>
      <c r="L20" s="1044"/>
      <c r="M20" s="1332"/>
    </row>
    <row r="21" spans="1:13" ht="15" thickBot="1">
      <c r="A21" s="1044"/>
      <c r="B21" s="1404" t="s">
        <v>188</v>
      </c>
      <c r="C21" s="1405"/>
      <c r="D21" s="1405"/>
      <c r="E21" s="1406"/>
      <c r="F21" s="1407">
        <f>SUM(F18:F20)</f>
        <v>131136.67708724772</v>
      </c>
      <c r="G21" s="1044"/>
      <c r="K21" s="1044"/>
      <c r="L21" s="1044"/>
      <c r="M21" s="1332"/>
    </row>
    <row r="22" spans="1:13" ht="15" thickTop="1">
      <c r="A22" s="1044"/>
      <c r="B22" s="1360" t="s">
        <v>354</v>
      </c>
      <c r="C22" s="1361" t="s">
        <v>189</v>
      </c>
      <c r="D22" s="1389">
        <f>I19</f>
        <v>1.0633805350099574E-2</v>
      </c>
      <c r="E22" s="1398"/>
      <c r="F22" s="1363">
        <f>F21*(D22+1)</f>
        <v>132531.15898565238</v>
      </c>
      <c r="G22" s="1044"/>
      <c r="K22" s="1044"/>
      <c r="L22" s="1044"/>
      <c r="M22" s="1332"/>
    </row>
    <row r="23" spans="1:13" ht="14.4">
      <c r="A23" s="1044"/>
      <c r="B23" s="1360" t="s">
        <v>405</v>
      </c>
      <c r="C23" s="1398"/>
      <c r="D23" s="1398"/>
      <c r="E23" s="1398"/>
      <c r="F23" s="1408">
        <v>35</v>
      </c>
      <c r="G23" s="1044"/>
      <c r="H23" s="1044"/>
      <c r="I23" s="1409"/>
      <c r="J23" s="1044"/>
      <c r="K23" s="1044"/>
      <c r="L23" s="1044"/>
      <c r="M23" s="1332"/>
    </row>
    <row r="24" spans="1:13" ht="15" thickBot="1">
      <c r="A24" s="1044"/>
      <c r="B24" s="1374" t="s">
        <v>406</v>
      </c>
      <c r="C24" s="1377"/>
      <c r="D24" s="1377"/>
      <c r="E24" s="1377"/>
      <c r="F24" s="1410">
        <f>(F22/F23)/12</f>
        <v>315.55037853726759</v>
      </c>
      <c r="H24" s="1044"/>
      <c r="I24" s="1044"/>
      <c r="J24" s="1044"/>
      <c r="K24" s="1044"/>
      <c r="L24" s="1044"/>
      <c r="M24" s="1332"/>
    </row>
    <row r="25" spans="1:13" ht="14.4">
      <c r="A25" s="1044"/>
      <c r="B25" s="1044"/>
      <c r="C25" s="1044"/>
      <c r="D25" s="1044"/>
      <c r="E25" s="1044"/>
      <c r="F25" s="1044"/>
      <c r="G25" s="1411"/>
      <c r="H25" s="1044"/>
      <c r="I25" s="1044"/>
      <c r="J25" s="1044"/>
      <c r="K25" s="1044"/>
      <c r="L25" s="1044"/>
      <c r="M25" s="1332"/>
    </row>
    <row r="26" spans="1:13" ht="14.4">
      <c r="A26" s="1044"/>
      <c r="B26" s="1044"/>
      <c r="C26" s="1044"/>
      <c r="D26" s="1044"/>
      <c r="E26" s="1044"/>
      <c r="F26" s="1044"/>
      <c r="G26" s="1412"/>
      <c r="H26" s="1044"/>
      <c r="I26" s="1044"/>
      <c r="J26" s="1044"/>
      <c r="K26" s="1044"/>
      <c r="L26" s="1044"/>
      <c r="M26" s="1332"/>
    </row>
    <row r="27" spans="1:13" ht="13.8">
      <c r="A27" s="1044"/>
      <c r="H27" s="1044"/>
      <c r="I27" s="1044"/>
      <c r="J27" s="1044"/>
      <c r="K27" s="1044"/>
      <c r="L27" s="1044"/>
    </row>
    <row r="28" spans="1:13" ht="13.8">
      <c r="A28" s="1044"/>
      <c r="B28" s="1044"/>
      <c r="C28" s="1044"/>
      <c r="D28" s="1044"/>
      <c r="E28" s="1044"/>
      <c r="F28" s="1044"/>
      <c r="G28" s="1044"/>
      <c r="H28" s="1044"/>
      <c r="I28" s="1044"/>
      <c r="J28" s="1044"/>
      <c r="K28" s="1044"/>
      <c r="L28" s="1044"/>
    </row>
    <row r="29" spans="1:13" ht="13.8">
      <c r="A29" s="1044"/>
      <c r="H29" s="1044"/>
      <c r="I29" s="1044"/>
      <c r="J29" s="1044"/>
      <c r="K29" s="1044"/>
      <c r="L29" s="1044"/>
    </row>
    <row r="30" spans="1:13" ht="13.8">
      <c r="A30" s="1044"/>
      <c r="H30" s="1044"/>
      <c r="I30" s="1044"/>
      <c r="J30" s="1044"/>
      <c r="K30" s="1044"/>
      <c r="L30" s="1044"/>
    </row>
    <row r="31" spans="1:13" ht="13.8">
      <c r="H31" s="1044"/>
      <c r="I31" s="1044"/>
      <c r="J31" s="1044"/>
    </row>
    <row r="32" spans="1:13" ht="13.8">
      <c r="H32" s="1044"/>
      <c r="I32" s="1044"/>
      <c r="J32" s="1044"/>
    </row>
    <row r="33" spans="8:10" ht="13.8">
      <c r="H33" s="1044"/>
      <c r="I33" s="1044"/>
      <c r="J33" s="1044"/>
    </row>
    <row r="34" spans="8:10" ht="13.8">
      <c r="H34" s="1044"/>
      <c r="I34" s="1044"/>
      <c r="J34" s="1044"/>
    </row>
  </sheetData>
  <mergeCells count="4">
    <mergeCell ref="H4:J4"/>
    <mergeCell ref="H5:I5"/>
    <mergeCell ref="B6:C6"/>
    <mergeCell ref="H8:J8"/>
  </mergeCells>
  <pageMargins left="0.75" right="0.75" top="1" bottom="1" header="0.5" footer="0.5"/>
  <pageSetup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topLeftCell="J25" zoomScale="80" zoomScaleNormal="80" workbookViewId="0">
      <selection activeCell="W17" sqref="W17"/>
    </sheetView>
  </sheetViews>
  <sheetFormatPr defaultRowHeight="17.399999999999999"/>
  <cols>
    <col min="1" max="1" width="36.109375" style="1414" hidden="1" customWidth="1"/>
    <col min="2" max="2" width="28.109375" style="1414" hidden="1" customWidth="1"/>
    <col min="3" max="3" width="10.6640625" style="1414" hidden="1" customWidth="1"/>
    <col min="4" max="4" width="8.6640625" style="1414" hidden="1" customWidth="1"/>
    <col min="5" max="5" width="10.109375" style="1414" hidden="1" customWidth="1"/>
    <col min="6" max="6" width="19.5546875" style="1414" hidden="1" customWidth="1"/>
    <col min="7" max="9" width="8.88671875" style="1414"/>
    <col min="10" max="10" width="1.6640625" style="1414" customWidth="1"/>
    <col min="11" max="11" width="9.109375" style="1414" hidden="1" customWidth="1"/>
    <col min="12" max="12" width="25.33203125" style="1414" customWidth="1"/>
    <col min="13" max="13" width="12.33203125" style="1414" bestFit="1" customWidth="1"/>
    <col min="14" max="14" width="7.5546875" style="1414" bestFit="1" customWidth="1"/>
    <col min="15" max="15" width="20.109375" style="1414" bestFit="1" customWidth="1"/>
    <col min="16" max="16" width="11.6640625" style="1414" customWidth="1"/>
    <col min="17" max="17" width="24.109375" style="1414" customWidth="1"/>
    <col min="18" max="18" width="12.33203125" style="1414" bestFit="1" customWidth="1"/>
    <col min="19" max="19" width="9.33203125" style="1414" customWidth="1"/>
    <col min="20" max="20" width="14" style="1579" customWidth="1"/>
    <col min="21" max="21" width="8.6640625" style="1414" customWidth="1"/>
    <col min="22" max="22" width="24.6640625" style="1414" customWidth="1"/>
    <col min="23" max="23" width="12.33203125" style="1414" bestFit="1" customWidth="1"/>
    <col min="24" max="24" width="10.109375" style="1414" customWidth="1"/>
    <col min="25" max="25" width="14.6640625" style="1414" customWidth="1"/>
    <col min="26" max="31" width="8.88671875" style="1414"/>
    <col min="32" max="32" width="17.109375" style="1414" bestFit="1" customWidth="1"/>
    <col min="33" max="263" width="8.88671875" style="1414"/>
    <col min="264" max="264" width="36.109375" style="1414" customWidth="1"/>
    <col min="265" max="265" width="28.109375" style="1414" bestFit="1" customWidth="1"/>
    <col min="266" max="266" width="10.6640625" style="1414" bestFit="1" customWidth="1"/>
    <col min="267" max="267" width="8.6640625" style="1414" bestFit="1" customWidth="1"/>
    <col min="268" max="268" width="10.109375" style="1414" bestFit="1" customWidth="1"/>
    <col min="269" max="269" width="19.5546875" style="1414" customWidth="1"/>
    <col min="270" max="270" width="8.88671875" style="1414"/>
    <col min="271" max="271" width="22.88671875" style="1414" bestFit="1" customWidth="1"/>
    <col min="272" max="272" width="28.109375" style="1414" bestFit="1" customWidth="1"/>
    <col min="273" max="273" width="10.6640625" style="1414" bestFit="1" customWidth="1"/>
    <col min="274" max="274" width="7" style="1414" bestFit="1" customWidth="1"/>
    <col min="275" max="275" width="8.88671875" style="1414"/>
    <col min="276" max="276" width="15.5546875" style="1414" bestFit="1" customWidth="1"/>
    <col min="277" max="277" width="8.88671875" style="1414"/>
    <col min="278" max="278" width="22.88671875" style="1414" bestFit="1" customWidth="1"/>
    <col min="279" max="279" width="28.109375" style="1414" bestFit="1" customWidth="1"/>
    <col min="280" max="280" width="10.6640625" style="1414" bestFit="1" customWidth="1"/>
    <col min="281" max="281" width="7" style="1414" bestFit="1" customWidth="1"/>
    <col min="282" max="519" width="8.88671875" style="1414"/>
    <col min="520" max="520" width="36.109375" style="1414" customWidth="1"/>
    <col min="521" max="521" width="28.109375" style="1414" bestFit="1" customWidth="1"/>
    <col min="522" max="522" width="10.6640625" style="1414" bestFit="1" customWidth="1"/>
    <col min="523" max="523" width="8.6640625" style="1414" bestFit="1" customWidth="1"/>
    <col min="524" max="524" width="10.109375" style="1414" bestFit="1" customWidth="1"/>
    <col min="525" max="525" width="19.5546875" style="1414" customWidth="1"/>
    <col min="526" max="526" width="8.88671875" style="1414"/>
    <col min="527" max="527" width="22.88671875" style="1414" bestFit="1" customWidth="1"/>
    <col min="528" max="528" width="28.109375" style="1414" bestFit="1" customWidth="1"/>
    <col min="529" max="529" width="10.6640625" style="1414" bestFit="1" customWidth="1"/>
    <col min="530" max="530" width="7" style="1414" bestFit="1" customWidth="1"/>
    <col min="531" max="531" width="8.88671875" style="1414"/>
    <col min="532" max="532" width="15.5546875" style="1414" bestFit="1" customWidth="1"/>
    <col min="533" max="533" width="8.88671875" style="1414"/>
    <col min="534" max="534" width="22.88671875" style="1414" bestFit="1" customWidth="1"/>
    <col min="535" max="535" width="28.109375" style="1414" bestFit="1" customWidth="1"/>
    <col min="536" max="536" width="10.6640625" style="1414" bestFit="1" customWidth="1"/>
    <col min="537" max="537" width="7" style="1414" bestFit="1" customWidth="1"/>
    <col min="538" max="775" width="8.88671875" style="1414"/>
    <col min="776" max="776" width="36.109375" style="1414" customWidth="1"/>
    <col min="777" max="777" width="28.109375" style="1414" bestFit="1" customWidth="1"/>
    <col min="778" max="778" width="10.6640625" style="1414" bestFit="1" customWidth="1"/>
    <col min="779" max="779" width="8.6640625" style="1414" bestFit="1" customWidth="1"/>
    <col min="780" max="780" width="10.109375" style="1414" bestFit="1" customWidth="1"/>
    <col min="781" max="781" width="19.5546875" style="1414" customWidth="1"/>
    <col min="782" max="782" width="8.88671875" style="1414"/>
    <col min="783" max="783" width="22.88671875" style="1414" bestFit="1" customWidth="1"/>
    <col min="784" max="784" width="28.109375" style="1414" bestFit="1" customWidth="1"/>
    <col min="785" max="785" width="10.6640625" style="1414" bestFit="1" customWidth="1"/>
    <col min="786" max="786" width="7" style="1414" bestFit="1" customWidth="1"/>
    <col min="787" max="787" width="8.88671875" style="1414"/>
    <col min="788" max="788" width="15.5546875" style="1414" bestFit="1" customWidth="1"/>
    <col min="789" max="789" width="8.88671875" style="1414"/>
    <col min="790" max="790" width="22.88671875" style="1414" bestFit="1" customWidth="1"/>
    <col min="791" max="791" width="28.109375" style="1414" bestFit="1" customWidth="1"/>
    <col min="792" max="792" width="10.6640625" style="1414" bestFit="1" customWidth="1"/>
    <col min="793" max="793" width="7" style="1414" bestFit="1" customWidth="1"/>
    <col min="794" max="1031" width="8.88671875" style="1414"/>
    <col min="1032" max="1032" width="36.109375" style="1414" customWidth="1"/>
    <col min="1033" max="1033" width="28.109375" style="1414" bestFit="1" customWidth="1"/>
    <col min="1034" max="1034" width="10.6640625" style="1414" bestFit="1" customWidth="1"/>
    <col min="1035" max="1035" width="8.6640625" style="1414" bestFit="1" customWidth="1"/>
    <col min="1036" max="1036" width="10.109375" style="1414" bestFit="1" customWidth="1"/>
    <col min="1037" max="1037" width="19.5546875" style="1414" customWidth="1"/>
    <col min="1038" max="1038" width="8.88671875" style="1414"/>
    <col min="1039" max="1039" width="22.88671875" style="1414" bestFit="1" customWidth="1"/>
    <col min="1040" max="1040" width="28.109375" style="1414" bestFit="1" customWidth="1"/>
    <col min="1041" max="1041" width="10.6640625" style="1414" bestFit="1" customWidth="1"/>
    <col min="1042" max="1042" width="7" style="1414" bestFit="1" customWidth="1"/>
    <col min="1043" max="1043" width="8.88671875" style="1414"/>
    <col min="1044" max="1044" width="15.5546875" style="1414" bestFit="1" customWidth="1"/>
    <col min="1045" max="1045" width="8.88671875" style="1414"/>
    <col min="1046" max="1046" width="22.88671875" style="1414" bestFit="1" customWidth="1"/>
    <col min="1047" max="1047" width="28.109375" style="1414" bestFit="1" customWidth="1"/>
    <col min="1048" max="1048" width="10.6640625" style="1414" bestFit="1" customWidth="1"/>
    <col min="1049" max="1049" width="7" style="1414" bestFit="1" customWidth="1"/>
    <col min="1050" max="1287" width="8.88671875" style="1414"/>
    <col min="1288" max="1288" width="36.109375" style="1414" customWidth="1"/>
    <col min="1289" max="1289" width="28.109375" style="1414" bestFit="1" customWidth="1"/>
    <col min="1290" max="1290" width="10.6640625" style="1414" bestFit="1" customWidth="1"/>
    <col min="1291" max="1291" width="8.6640625" style="1414" bestFit="1" customWidth="1"/>
    <col min="1292" max="1292" width="10.109375" style="1414" bestFit="1" customWidth="1"/>
    <col min="1293" max="1293" width="19.5546875" style="1414" customWidth="1"/>
    <col min="1294" max="1294" width="8.88671875" style="1414"/>
    <col min="1295" max="1295" width="22.88671875" style="1414" bestFit="1" customWidth="1"/>
    <col min="1296" max="1296" width="28.109375" style="1414" bestFit="1" customWidth="1"/>
    <col min="1297" max="1297" width="10.6640625" style="1414" bestFit="1" customWidth="1"/>
    <col min="1298" max="1298" width="7" style="1414" bestFit="1" customWidth="1"/>
    <col min="1299" max="1299" width="8.88671875" style="1414"/>
    <col min="1300" max="1300" width="15.5546875" style="1414" bestFit="1" customWidth="1"/>
    <col min="1301" max="1301" width="8.88671875" style="1414"/>
    <col min="1302" max="1302" width="22.88671875" style="1414" bestFit="1" customWidth="1"/>
    <col min="1303" max="1303" width="28.109375" style="1414" bestFit="1" customWidth="1"/>
    <col min="1304" max="1304" width="10.6640625" style="1414" bestFit="1" customWidth="1"/>
    <col min="1305" max="1305" width="7" style="1414" bestFit="1" customWidth="1"/>
    <col min="1306" max="1543" width="8.88671875" style="1414"/>
    <col min="1544" max="1544" width="36.109375" style="1414" customWidth="1"/>
    <col min="1545" max="1545" width="28.109375" style="1414" bestFit="1" customWidth="1"/>
    <col min="1546" max="1546" width="10.6640625" style="1414" bestFit="1" customWidth="1"/>
    <col min="1547" max="1547" width="8.6640625" style="1414" bestFit="1" customWidth="1"/>
    <col min="1548" max="1548" width="10.109375" style="1414" bestFit="1" customWidth="1"/>
    <col min="1549" max="1549" width="19.5546875" style="1414" customWidth="1"/>
    <col min="1550" max="1550" width="8.88671875" style="1414"/>
    <col min="1551" max="1551" width="22.88671875" style="1414" bestFit="1" customWidth="1"/>
    <col min="1552" max="1552" width="28.109375" style="1414" bestFit="1" customWidth="1"/>
    <col min="1553" max="1553" width="10.6640625" style="1414" bestFit="1" customWidth="1"/>
    <col min="1554" max="1554" width="7" style="1414" bestFit="1" customWidth="1"/>
    <col min="1555" max="1555" width="8.88671875" style="1414"/>
    <col min="1556" max="1556" width="15.5546875" style="1414" bestFit="1" customWidth="1"/>
    <col min="1557" max="1557" width="8.88671875" style="1414"/>
    <col min="1558" max="1558" width="22.88671875" style="1414" bestFit="1" customWidth="1"/>
    <col min="1559" max="1559" width="28.109375" style="1414" bestFit="1" customWidth="1"/>
    <col min="1560" max="1560" width="10.6640625" style="1414" bestFit="1" customWidth="1"/>
    <col min="1561" max="1561" width="7" style="1414" bestFit="1" customWidth="1"/>
    <col min="1562" max="1799" width="8.88671875" style="1414"/>
    <col min="1800" max="1800" width="36.109375" style="1414" customWidth="1"/>
    <col min="1801" max="1801" width="28.109375" style="1414" bestFit="1" customWidth="1"/>
    <col min="1802" max="1802" width="10.6640625" style="1414" bestFit="1" customWidth="1"/>
    <col min="1803" max="1803" width="8.6640625" style="1414" bestFit="1" customWidth="1"/>
    <col min="1804" max="1804" width="10.109375" style="1414" bestFit="1" customWidth="1"/>
    <col min="1805" max="1805" width="19.5546875" style="1414" customWidth="1"/>
    <col min="1806" max="1806" width="8.88671875" style="1414"/>
    <col min="1807" max="1807" width="22.88671875" style="1414" bestFit="1" customWidth="1"/>
    <col min="1808" max="1808" width="28.109375" style="1414" bestFit="1" customWidth="1"/>
    <col min="1809" max="1809" width="10.6640625" style="1414" bestFit="1" customWidth="1"/>
    <col min="1810" max="1810" width="7" style="1414" bestFit="1" customWidth="1"/>
    <col min="1811" max="1811" width="8.88671875" style="1414"/>
    <col min="1812" max="1812" width="15.5546875" style="1414" bestFit="1" customWidth="1"/>
    <col min="1813" max="1813" width="8.88671875" style="1414"/>
    <col min="1814" max="1814" width="22.88671875" style="1414" bestFit="1" customWidth="1"/>
    <col min="1815" max="1815" width="28.109375" style="1414" bestFit="1" customWidth="1"/>
    <col min="1816" max="1816" width="10.6640625" style="1414" bestFit="1" customWidth="1"/>
    <col min="1817" max="1817" width="7" style="1414" bestFit="1" customWidth="1"/>
    <col min="1818" max="2055" width="8.88671875" style="1414"/>
    <col min="2056" max="2056" width="36.109375" style="1414" customWidth="1"/>
    <col min="2057" max="2057" width="28.109375" style="1414" bestFit="1" customWidth="1"/>
    <col min="2058" max="2058" width="10.6640625" style="1414" bestFit="1" customWidth="1"/>
    <col min="2059" max="2059" width="8.6640625" style="1414" bestFit="1" customWidth="1"/>
    <col min="2060" max="2060" width="10.109375" style="1414" bestFit="1" customWidth="1"/>
    <col min="2061" max="2061" width="19.5546875" style="1414" customWidth="1"/>
    <col min="2062" max="2062" width="8.88671875" style="1414"/>
    <col min="2063" max="2063" width="22.88671875" style="1414" bestFit="1" customWidth="1"/>
    <col min="2064" max="2064" width="28.109375" style="1414" bestFit="1" customWidth="1"/>
    <col min="2065" max="2065" width="10.6640625" style="1414" bestFit="1" customWidth="1"/>
    <col min="2066" max="2066" width="7" style="1414" bestFit="1" customWidth="1"/>
    <col min="2067" max="2067" width="8.88671875" style="1414"/>
    <col min="2068" max="2068" width="15.5546875" style="1414" bestFit="1" customWidth="1"/>
    <col min="2069" max="2069" width="8.88671875" style="1414"/>
    <col min="2070" max="2070" width="22.88671875" style="1414" bestFit="1" customWidth="1"/>
    <col min="2071" max="2071" width="28.109375" style="1414" bestFit="1" customWidth="1"/>
    <col min="2072" max="2072" width="10.6640625" style="1414" bestFit="1" customWidth="1"/>
    <col min="2073" max="2073" width="7" style="1414" bestFit="1" customWidth="1"/>
    <col min="2074" max="2311" width="8.88671875" style="1414"/>
    <col min="2312" max="2312" width="36.109375" style="1414" customWidth="1"/>
    <col min="2313" max="2313" width="28.109375" style="1414" bestFit="1" customWidth="1"/>
    <col min="2314" max="2314" width="10.6640625" style="1414" bestFit="1" customWidth="1"/>
    <col min="2315" max="2315" width="8.6640625" style="1414" bestFit="1" customWidth="1"/>
    <col min="2316" max="2316" width="10.109375" style="1414" bestFit="1" customWidth="1"/>
    <col min="2317" max="2317" width="19.5546875" style="1414" customWidth="1"/>
    <col min="2318" max="2318" width="8.88671875" style="1414"/>
    <col min="2319" max="2319" width="22.88671875" style="1414" bestFit="1" customWidth="1"/>
    <col min="2320" max="2320" width="28.109375" style="1414" bestFit="1" customWidth="1"/>
    <col min="2321" max="2321" width="10.6640625" style="1414" bestFit="1" customWidth="1"/>
    <col min="2322" max="2322" width="7" style="1414" bestFit="1" customWidth="1"/>
    <col min="2323" max="2323" width="8.88671875" style="1414"/>
    <col min="2324" max="2324" width="15.5546875" style="1414" bestFit="1" customWidth="1"/>
    <col min="2325" max="2325" width="8.88671875" style="1414"/>
    <col min="2326" max="2326" width="22.88671875" style="1414" bestFit="1" customWidth="1"/>
    <col min="2327" max="2327" width="28.109375" style="1414" bestFit="1" customWidth="1"/>
    <col min="2328" max="2328" width="10.6640625" style="1414" bestFit="1" customWidth="1"/>
    <col min="2329" max="2329" width="7" style="1414" bestFit="1" customWidth="1"/>
    <col min="2330" max="2567" width="8.88671875" style="1414"/>
    <col min="2568" max="2568" width="36.109375" style="1414" customWidth="1"/>
    <col min="2569" max="2569" width="28.109375" style="1414" bestFit="1" customWidth="1"/>
    <col min="2570" max="2570" width="10.6640625" style="1414" bestFit="1" customWidth="1"/>
    <col min="2571" max="2571" width="8.6640625" style="1414" bestFit="1" customWidth="1"/>
    <col min="2572" max="2572" width="10.109375" style="1414" bestFit="1" customWidth="1"/>
    <col min="2573" max="2573" width="19.5546875" style="1414" customWidth="1"/>
    <col min="2574" max="2574" width="8.88671875" style="1414"/>
    <col min="2575" max="2575" width="22.88671875" style="1414" bestFit="1" customWidth="1"/>
    <col min="2576" max="2576" width="28.109375" style="1414" bestFit="1" customWidth="1"/>
    <col min="2577" max="2577" width="10.6640625" style="1414" bestFit="1" customWidth="1"/>
    <col min="2578" max="2578" width="7" style="1414" bestFit="1" customWidth="1"/>
    <col min="2579" max="2579" width="8.88671875" style="1414"/>
    <col min="2580" max="2580" width="15.5546875" style="1414" bestFit="1" customWidth="1"/>
    <col min="2581" max="2581" width="8.88671875" style="1414"/>
    <col min="2582" max="2582" width="22.88671875" style="1414" bestFit="1" customWidth="1"/>
    <col min="2583" max="2583" width="28.109375" style="1414" bestFit="1" customWidth="1"/>
    <col min="2584" max="2584" width="10.6640625" style="1414" bestFit="1" customWidth="1"/>
    <col min="2585" max="2585" width="7" style="1414" bestFit="1" customWidth="1"/>
    <col min="2586" max="2823" width="8.88671875" style="1414"/>
    <col min="2824" max="2824" width="36.109375" style="1414" customWidth="1"/>
    <col min="2825" max="2825" width="28.109375" style="1414" bestFit="1" customWidth="1"/>
    <col min="2826" max="2826" width="10.6640625" style="1414" bestFit="1" customWidth="1"/>
    <col min="2827" max="2827" width="8.6640625" style="1414" bestFit="1" customWidth="1"/>
    <col min="2828" max="2828" width="10.109375" style="1414" bestFit="1" customWidth="1"/>
    <col min="2829" max="2829" width="19.5546875" style="1414" customWidth="1"/>
    <col min="2830" max="2830" width="8.88671875" style="1414"/>
    <col min="2831" max="2831" width="22.88671875" style="1414" bestFit="1" customWidth="1"/>
    <col min="2832" max="2832" width="28.109375" style="1414" bestFit="1" customWidth="1"/>
    <col min="2833" max="2833" width="10.6640625" style="1414" bestFit="1" customWidth="1"/>
    <col min="2834" max="2834" width="7" style="1414" bestFit="1" customWidth="1"/>
    <col min="2835" max="2835" width="8.88671875" style="1414"/>
    <col min="2836" max="2836" width="15.5546875" style="1414" bestFit="1" customWidth="1"/>
    <col min="2837" max="2837" width="8.88671875" style="1414"/>
    <col min="2838" max="2838" width="22.88671875" style="1414" bestFit="1" customWidth="1"/>
    <col min="2839" max="2839" width="28.109375" style="1414" bestFit="1" customWidth="1"/>
    <col min="2840" max="2840" width="10.6640625" style="1414" bestFit="1" customWidth="1"/>
    <col min="2841" max="2841" width="7" style="1414" bestFit="1" customWidth="1"/>
    <col min="2842" max="3079" width="8.88671875" style="1414"/>
    <col min="3080" max="3080" width="36.109375" style="1414" customWidth="1"/>
    <col min="3081" max="3081" width="28.109375" style="1414" bestFit="1" customWidth="1"/>
    <col min="3082" max="3082" width="10.6640625" style="1414" bestFit="1" customWidth="1"/>
    <col min="3083" max="3083" width="8.6640625" style="1414" bestFit="1" customWidth="1"/>
    <col min="3084" max="3084" width="10.109375" style="1414" bestFit="1" customWidth="1"/>
    <col min="3085" max="3085" width="19.5546875" style="1414" customWidth="1"/>
    <col min="3086" max="3086" width="8.88671875" style="1414"/>
    <col min="3087" max="3087" width="22.88671875" style="1414" bestFit="1" customWidth="1"/>
    <col min="3088" max="3088" width="28.109375" style="1414" bestFit="1" customWidth="1"/>
    <col min="3089" max="3089" width="10.6640625" style="1414" bestFit="1" customWidth="1"/>
    <col min="3090" max="3090" width="7" style="1414" bestFit="1" customWidth="1"/>
    <col min="3091" max="3091" width="8.88671875" style="1414"/>
    <col min="3092" max="3092" width="15.5546875" style="1414" bestFit="1" customWidth="1"/>
    <col min="3093" max="3093" width="8.88671875" style="1414"/>
    <col min="3094" max="3094" width="22.88671875" style="1414" bestFit="1" customWidth="1"/>
    <col min="3095" max="3095" width="28.109375" style="1414" bestFit="1" customWidth="1"/>
    <col min="3096" max="3096" width="10.6640625" style="1414" bestFit="1" customWidth="1"/>
    <col min="3097" max="3097" width="7" style="1414" bestFit="1" customWidth="1"/>
    <col min="3098" max="3335" width="8.88671875" style="1414"/>
    <col min="3336" max="3336" width="36.109375" style="1414" customWidth="1"/>
    <col min="3337" max="3337" width="28.109375" style="1414" bestFit="1" customWidth="1"/>
    <col min="3338" max="3338" width="10.6640625" style="1414" bestFit="1" customWidth="1"/>
    <col min="3339" max="3339" width="8.6640625" style="1414" bestFit="1" customWidth="1"/>
    <col min="3340" max="3340" width="10.109375" style="1414" bestFit="1" customWidth="1"/>
    <col min="3341" max="3341" width="19.5546875" style="1414" customWidth="1"/>
    <col min="3342" max="3342" width="8.88671875" style="1414"/>
    <col min="3343" max="3343" width="22.88671875" style="1414" bestFit="1" customWidth="1"/>
    <col min="3344" max="3344" width="28.109375" style="1414" bestFit="1" customWidth="1"/>
    <col min="3345" max="3345" width="10.6640625" style="1414" bestFit="1" customWidth="1"/>
    <col min="3346" max="3346" width="7" style="1414" bestFit="1" customWidth="1"/>
    <col min="3347" max="3347" width="8.88671875" style="1414"/>
    <col min="3348" max="3348" width="15.5546875" style="1414" bestFit="1" customWidth="1"/>
    <col min="3349" max="3349" width="8.88671875" style="1414"/>
    <col min="3350" max="3350" width="22.88671875" style="1414" bestFit="1" customWidth="1"/>
    <col min="3351" max="3351" width="28.109375" style="1414" bestFit="1" customWidth="1"/>
    <col min="3352" max="3352" width="10.6640625" style="1414" bestFit="1" customWidth="1"/>
    <col min="3353" max="3353" width="7" style="1414" bestFit="1" customWidth="1"/>
    <col min="3354" max="3591" width="8.88671875" style="1414"/>
    <col min="3592" max="3592" width="36.109375" style="1414" customWidth="1"/>
    <col min="3593" max="3593" width="28.109375" style="1414" bestFit="1" customWidth="1"/>
    <col min="3594" max="3594" width="10.6640625" style="1414" bestFit="1" customWidth="1"/>
    <col min="3595" max="3595" width="8.6640625" style="1414" bestFit="1" customWidth="1"/>
    <col min="3596" max="3596" width="10.109375" style="1414" bestFit="1" customWidth="1"/>
    <col min="3597" max="3597" width="19.5546875" style="1414" customWidth="1"/>
    <col min="3598" max="3598" width="8.88671875" style="1414"/>
    <col min="3599" max="3599" width="22.88671875" style="1414" bestFit="1" customWidth="1"/>
    <col min="3600" max="3600" width="28.109375" style="1414" bestFit="1" customWidth="1"/>
    <col min="3601" max="3601" width="10.6640625" style="1414" bestFit="1" customWidth="1"/>
    <col min="3602" max="3602" width="7" style="1414" bestFit="1" customWidth="1"/>
    <col min="3603" max="3603" width="8.88671875" style="1414"/>
    <col min="3604" max="3604" width="15.5546875" style="1414" bestFit="1" customWidth="1"/>
    <col min="3605" max="3605" width="8.88671875" style="1414"/>
    <col min="3606" max="3606" width="22.88671875" style="1414" bestFit="1" customWidth="1"/>
    <col min="3607" max="3607" width="28.109375" style="1414" bestFit="1" customWidth="1"/>
    <col min="3608" max="3608" width="10.6640625" style="1414" bestFit="1" customWidth="1"/>
    <col min="3609" max="3609" width="7" style="1414" bestFit="1" customWidth="1"/>
    <col min="3610" max="3847" width="8.88671875" style="1414"/>
    <col min="3848" max="3848" width="36.109375" style="1414" customWidth="1"/>
    <col min="3849" max="3849" width="28.109375" style="1414" bestFit="1" customWidth="1"/>
    <col min="3850" max="3850" width="10.6640625" style="1414" bestFit="1" customWidth="1"/>
    <col min="3851" max="3851" width="8.6640625" style="1414" bestFit="1" customWidth="1"/>
    <col min="3852" max="3852" width="10.109375" style="1414" bestFit="1" customWidth="1"/>
    <col min="3853" max="3853" width="19.5546875" style="1414" customWidth="1"/>
    <col min="3854" max="3854" width="8.88671875" style="1414"/>
    <col min="3855" max="3855" width="22.88671875" style="1414" bestFit="1" customWidth="1"/>
    <col min="3856" max="3856" width="28.109375" style="1414" bestFit="1" customWidth="1"/>
    <col min="3857" max="3857" width="10.6640625" style="1414" bestFit="1" customWidth="1"/>
    <col min="3858" max="3858" width="7" style="1414" bestFit="1" customWidth="1"/>
    <col min="3859" max="3859" width="8.88671875" style="1414"/>
    <col min="3860" max="3860" width="15.5546875" style="1414" bestFit="1" customWidth="1"/>
    <col min="3861" max="3861" width="8.88671875" style="1414"/>
    <col min="3862" max="3862" width="22.88671875" style="1414" bestFit="1" customWidth="1"/>
    <col min="3863" max="3863" width="28.109375" style="1414" bestFit="1" customWidth="1"/>
    <col min="3864" max="3864" width="10.6640625" style="1414" bestFit="1" customWidth="1"/>
    <col min="3865" max="3865" width="7" style="1414" bestFit="1" customWidth="1"/>
    <col min="3866" max="4103" width="8.88671875" style="1414"/>
    <col min="4104" max="4104" width="36.109375" style="1414" customWidth="1"/>
    <col min="4105" max="4105" width="28.109375" style="1414" bestFit="1" customWidth="1"/>
    <col min="4106" max="4106" width="10.6640625" style="1414" bestFit="1" customWidth="1"/>
    <col min="4107" max="4107" width="8.6640625" style="1414" bestFit="1" customWidth="1"/>
    <col min="4108" max="4108" width="10.109375" style="1414" bestFit="1" customWidth="1"/>
    <col min="4109" max="4109" width="19.5546875" style="1414" customWidth="1"/>
    <col min="4110" max="4110" width="8.88671875" style="1414"/>
    <col min="4111" max="4111" width="22.88671875" style="1414" bestFit="1" customWidth="1"/>
    <col min="4112" max="4112" width="28.109375" style="1414" bestFit="1" customWidth="1"/>
    <col min="4113" max="4113" width="10.6640625" style="1414" bestFit="1" customWidth="1"/>
    <col min="4114" max="4114" width="7" style="1414" bestFit="1" customWidth="1"/>
    <col min="4115" max="4115" width="8.88671875" style="1414"/>
    <col min="4116" max="4116" width="15.5546875" style="1414" bestFit="1" customWidth="1"/>
    <col min="4117" max="4117" width="8.88671875" style="1414"/>
    <col min="4118" max="4118" width="22.88671875" style="1414" bestFit="1" customWidth="1"/>
    <col min="4119" max="4119" width="28.109375" style="1414" bestFit="1" customWidth="1"/>
    <col min="4120" max="4120" width="10.6640625" style="1414" bestFit="1" customWidth="1"/>
    <col min="4121" max="4121" width="7" style="1414" bestFit="1" customWidth="1"/>
    <col min="4122" max="4359" width="8.88671875" style="1414"/>
    <col min="4360" max="4360" width="36.109375" style="1414" customWidth="1"/>
    <col min="4361" max="4361" width="28.109375" style="1414" bestFit="1" customWidth="1"/>
    <col min="4362" max="4362" width="10.6640625" style="1414" bestFit="1" customWidth="1"/>
    <col min="4363" max="4363" width="8.6640625" style="1414" bestFit="1" customWidth="1"/>
    <col min="4364" max="4364" width="10.109375" style="1414" bestFit="1" customWidth="1"/>
    <col min="4365" max="4365" width="19.5546875" style="1414" customWidth="1"/>
    <col min="4366" max="4366" width="8.88671875" style="1414"/>
    <col min="4367" max="4367" width="22.88671875" style="1414" bestFit="1" customWidth="1"/>
    <col min="4368" max="4368" width="28.109375" style="1414" bestFit="1" customWidth="1"/>
    <col min="4369" max="4369" width="10.6640625" style="1414" bestFit="1" customWidth="1"/>
    <col min="4370" max="4370" width="7" style="1414" bestFit="1" customWidth="1"/>
    <col min="4371" max="4371" width="8.88671875" style="1414"/>
    <col min="4372" max="4372" width="15.5546875" style="1414" bestFit="1" customWidth="1"/>
    <col min="4373" max="4373" width="8.88671875" style="1414"/>
    <col min="4374" max="4374" width="22.88671875" style="1414" bestFit="1" customWidth="1"/>
    <col min="4375" max="4375" width="28.109375" style="1414" bestFit="1" customWidth="1"/>
    <col min="4376" max="4376" width="10.6640625" style="1414" bestFit="1" customWidth="1"/>
    <col min="4377" max="4377" width="7" style="1414" bestFit="1" customWidth="1"/>
    <col min="4378" max="4615" width="8.88671875" style="1414"/>
    <col min="4616" max="4616" width="36.109375" style="1414" customWidth="1"/>
    <col min="4617" max="4617" width="28.109375" style="1414" bestFit="1" customWidth="1"/>
    <col min="4618" max="4618" width="10.6640625" style="1414" bestFit="1" customWidth="1"/>
    <col min="4619" max="4619" width="8.6640625" style="1414" bestFit="1" customWidth="1"/>
    <col min="4620" max="4620" width="10.109375" style="1414" bestFit="1" customWidth="1"/>
    <col min="4621" max="4621" width="19.5546875" style="1414" customWidth="1"/>
    <col min="4622" max="4622" width="8.88671875" style="1414"/>
    <col min="4623" max="4623" width="22.88671875" style="1414" bestFit="1" customWidth="1"/>
    <col min="4624" max="4624" width="28.109375" style="1414" bestFit="1" customWidth="1"/>
    <col min="4625" max="4625" width="10.6640625" style="1414" bestFit="1" customWidth="1"/>
    <col min="4626" max="4626" width="7" style="1414" bestFit="1" customWidth="1"/>
    <col min="4627" max="4627" width="8.88671875" style="1414"/>
    <col min="4628" max="4628" width="15.5546875" style="1414" bestFit="1" customWidth="1"/>
    <col min="4629" max="4629" width="8.88671875" style="1414"/>
    <col min="4630" max="4630" width="22.88671875" style="1414" bestFit="1" customWidth="1"/>
    <col min="4631" max="4631" width="28.109375" style="1414" bestFit="1" customWidth="1"/>
    <col min="4632" max="4632" width="10.6640625" style="1414" bestFit="1" customWidth="1"/>
    <col min="4633" max="4633" width="7" style="1414" bestFit="1" customWidth="1"/>
    <col min="4634" max="4871" width="8.88671875" style="1414"/>
    <col min="4872" max="4872" width="36.109375" style="1414" customWidth="1"/>
    <col min="4873" max="4873" width="28.109375" style="1414" bestFit="1" customWidth="1"/>
    <col min="4874" max="4874" width="10.6640625" style="1414" bestFit="1" customWidth="1"/>
    <col min="4875" max="4875" width="8.6640625" style="1414" bestFit="1" customWidth="1"/>
    <col min="4876" max="4876" width="10.109375" style="1414" bestFit="1" customWidth="1"/>
    <col min="4877" max="4877" width="19.5546875" style="1414" customWidth="1"/>
    <col min="4878" max="4878" width="8.88671875" style="1414"/>
    <col min="4879" max="4879" width="22.88671875" style="1414" bestFit="1" customWidth="1"/>
    <col min="4880" max="4880" width="28.109375" style="1414" bestFit="1" customWidth="1"/>
    <col min="4881" max="4881" width="10.6640625" style="1414" bestFit="1" customWidth="1"/>
    <col min="4882" max="4882" width="7" style="1414" bestFit="1" customWidth="1"/>
    <col min="4883" max="4883" width="8.88671875" style="1414"/>
    <col min="4884" max="4884" width="15.5546875" style="1414" bestFit="1" customWidth="1"/>
    <col min="4885" max="4885" width="8.88671875" style="1414"/>
    <col min="4886" max="4886" width="22.88671875" style="1414" bestFit="1" customWidth="1"/>
    <col min="4887" max="4887" width="28.109375" style="1414" bestFit="1" customWidth="1"/>
    <col min="4888" max="4888" width="10.6640625" style="1414" bestFit="1" customWidth="1"/>
    <col min="4889" max="4889" width="7" style="1414" bestFit="1" customWidth="1"/>
    <col min="4890" max="5127" width="8.88671875" style="1414"/>
    <col min="5128" max="5128" width="36.109375" style="1414" customWidth="1"/>
    <col min="5129" max="5129" width="28.109375" style="1414" bestFit="1" customWidth="1"/>
    <col min="5130" max="5130" width="10.6640625" style="1414" bestFit="1" customWidth="1"/>
    <col min="5131" max="5131" width="8.6640625" style="1414" bestFit="1" customWidth="1"/>
    <col min="5132" max="5132" width="10.109375" style="1414" bestFit="1" customWidth="1"/>
    <col min="5133" max="5133" width="19.5546875" style="1414" customWidth="1"/>
    <col min="5134" max="5134" width="8.88671875" style="1414"/>
    <col min="5135" max="5135" width="22.88671875" style="1414" bestFit="1" customWidth="1"/>
    <col min="5136" max="5136" width="28.109375" style="1414" bestFit="1" customWidth="1"/>
    <col min="5137" max="5137" width="10.6640625" style="1414" bestFit="1" customWidth="1"/>
    <col min="5138" max="5138" width="7" style="1414" bestFit="1" customWidth="1"/>
    <col min="5139" max="5139" width="8.88671875" style="1414"/>
    <col min="5140" max="5140" width="15.5546875" style="1414" bestFit="1" customWidth="1"/>
    <col min="5141" max="5141" width="8.88671875" style="1414"/>
    <col min="5142" max="5142" width="22.88671875" style="1414" bestFit="1" customWidth="1"/>
    <col min="5143" max="5143" width="28.109375" style="1414" bestFit="1" customWidth="1"/>
    <col min="5144" max="5144" width="10.6640625" style="1414" bestFit="1" customWidth="1"/>
    <col min="5145" max="5145" width="7" style="1414" bestFit="1" customWidth="1"/>
    <col min="5146" max="5383" width="8.88671875" style="1414"/>
    <col min="5384" max="5384" width="36.109375" style="1414" customWidth="1"/>
    <col min="5385" max="5385" width="28.109375" style="1414" bestFit="1" customWidth="1"/>
    <col min="5386" max="5386" width="10.6640625" style="1414" bestFit="1" customWidth="1"/>
    <col min="5387" max="5387" width="8.6640625" style="1414" bestFit="1" customWidth="1"/>
    <col min="5388" max="5388" width="10.109375" style="1414" bestFit="1" customWidth="1"/>
    <col min="5389" max="5389" width="19.5546875" style="1414" customWidth="1"/>
    <col min="5390" max="5390" width="8.88671875" style="1414"/>
    <col min="5391" max="5391" width="22.88671875" style="1414" bestFit="1" customWidth="1"/>
    <col min="5392" max="5392" width="28.109375" style="1414" bestFit="1" customWidth="1"/>
    <col min="5393" max="5393" width="10.6640625" style="1414" bestFit="1" customWidth="1"/>
    <col min="5394" max="5394" width="7" style="1414" bestFit="1" customWidth="1"/>
    <col min="5395" max="5395" width="8.88671875" style="1414"/>
    <col min="5396" max="5396" width="15.5546875" style="1414" bestFit="1" customWidth="1"/>
    <col min="5397" max="5397" width="8.88671875" style="1414"/>
    <col min="5398" max="5398" width="22.88671875" style="1414" bestFit="1" customWidth="1"/>
    <col min="5399" max="5399" width="28.109375" style="1414" bestFit="1" customWidth="1"/>
    <col min="5400" max="5400" width="10.6640625" style="1414" bestFit="1" customWidth="1"/>
    <col min="5401" max="5401" width="7" style="1414" bestFit="1" customWidth="1"/>
    <col min="5402" max="5639" width="8.88671875" style="1414"/>
    <col min="5640" max="5640" width="36.109375" style="1414" customWidth="1"/>
    <col min="5641" max="5641" width="28.109375" style="1414" bestFit="1" customWidth="1"/>
    <col min="5642" max="5642" width="10.6640625" style="1414" bestFit="1" customWidth="1"/>
    <col min="5643" max="5643" width="8.6640625" style="1414" bestFit="1" customWidth="1"/>
    <col min="5644" max="5644" width="10.109375" style="1414" bestFit="1" customWidth="1"/>
    <col min="5645" max="5645" width="19.5546875" style="1414" customWidth="1"/>
    <col min="5646" max="5646" width="8.88671875" style="1414"/>
    <col min="5647" max="5647" width="22.88671875" style="1414" bestFit="1" customWidth="1"/>
    <col min="5648" max="5648" width="28.109375" style="1414" bestFit="1" customWidth="1"/>
    <col min="5649" max="5649" width="10.6640625" style="1414" bestFit="1" customWidth="1"/>
    <col min="5650" max="5650" width="7" style="1414" bestFit="1" customWidth="1"/>
    <col min="5651" max="5651" width="8.88671875" style="1414"/>
    <col min="5652" max="5652" width="15.5546875" style="1414" bestFit="1" customWidth="1"/>
    <col min="5653" max="5653" width="8.88671875" style="1414"/>
    <col min="5654" max="5654" width="22.88671875" style="1414" bestFit="1" customWidth="1"/>
    <col min="5655" max="5655" width="28.109375" style="1414" bestFit="1" customWidth="1"/>
    <col min="5656" max="5656" width="10.6640625" style="1414" bestFit="1" customWidth="1"/>
    <col min="5657" max="5657" width="7" style="1414" bestFit="1" customWidth="1"/>
    <col min="5658" max="5895" width="8.88671875" style="1414"/>
    <col min="5896" max="5896" width="36.109375" style="1414" customWidth="1"/>
    <col min="5897" max="5897" width="28.109375" style="1414" bestFit="1" customWidth="1"/>
    <col min="5898" max="5898" width="10.6640625" style="1414" bestFit="1" customWidth="1"/>
    <col min="5899" max="5899" width="8.6640625" style="1414" bestFit="1" customWidth="1"/>
    <col min="5900" max="5900" width="10.109375" style="1414" bestFit="1" customWidth="1"/>
    <col min="5901" max="5901" width="19.5546875" style="1414" customWidth="1"/>
    <col min="5902" max="5902" width="8.88671875" style="1414"/>
    <col min="5903" max="5903" width="22.88671875" style="1414" bestFit="1" customWidth="1"/>
    <col min="5904" max="5904" width="28.109375" style="1414" bestFit="1" customWidth="1"/>
    <col min="5905" max="5905" width="10.6640625" style="1414" bestFit="1" customWidth="1"/>
    <col min="5906" max="5906" width="7" style="1414" bestFit="1" customWidth="1"/>
    <col min="5907" max="5907" width="8.88671875" style="1414"/>
    <col min="5908" max="5908" width="15.5546875" style="1414" bestFit="1" customWidth="1"/>
    <col min="5909" max="5909" width="8.88671875" style="1414"/>
    <col min="5910" max="5910" width="22.88671875" style="1414" bestFit="1" customWidth="1"/>
    <col min="5911" max="5911" width="28.109375" style="1414" bestFit="1" customWidth="1"/>
    <col min="5912" max="5912" width="10.6640625" style="1414" bestFit="1" customWidth="1"/>
    <col min="5913" max="5913" width="7" style="1414" bestFit="1" customWidth="1"/>
    <col min="5914" max="6151" width="8.88671875" style="1414"/>
    <col min="6152" max="6152" width="36.109375" style="1414" customWidth="1"/>
    <col min="6153" max="6153" width="28.109375" style="1414" bestFit="1" customWidth="1"/>
    <col min="6154" max="6154" width="10.6640625" style="1414" bestFit="1" customWidth="1"/>
    <col min="6155" max="6155" width="8.6640625" style="1414" bestFit="1" customWidth="1"/>
    <col min="6156" max="6156" width="10.109375" style="1414" bestFit="1" customWidth="1"/>
    <col min="6157" max="6157" width="19.5546875" style="1414" customWidth="1"/>
    <col min="6158" max="6158" width="8.88671875" style="1414"/>
    <col min="6159" max="6159" width="22.88671875" style="1414" bestFit="1" customWidth="1"/>
    <col min="6160" max="6160" width="28.109375" style="1414" bestFit="1" customWidth="1"/>
    <col min="6161" max="6161" width="10.6640625" style="1414" bestFit="1" customWidth="1"/>
    <col min="6162" max="6162" width="7" style="1414" bestFit="1" customWidth="1"/>
    <col min="6163" max="6163" width="8.88671875" style="1414"/>
    <col min="6164" max="6164" width="15.5546875" style="1414" bestFit="1" customWidth="1"/>
    <col min="6165" max="6165" width="8.88671875" style="1414"/>
    <col min="6166" max="6166" width="22.88671875" style="1414" bestFit="1" customWidth="1"/>
    <col min="6167" max="6167" width="28.109375" style="1414" bestFit="1" customWidth="1"/>
    <col min="6168" max="6168" width="10.6640625" style="1414" bestFit="1" customWidth="1"/>
    <col min="6169" max="6169" width="7" style="1414" bestFit="1" customWidth="1"/>
    <col min="6170" max="6407" width="8.88671875" style="1414"/>
    <col min="6408" max="6408" width="36.109375" style="1414" customWidth="1"/>
    <col min="6409" max="6409" width="28.109375" style="1414" bestFit="1" customWidth="1"/>
    <col min="6410" max="6410" width="10.6640625" style="1414" bestFit="1" customWidth="1"/>
    <col min="6411" max="6411" width="8.6640625" style="1414" bestFit="1" customWidth="1"/>
    <col min="6412" max="6412" width="10.109375" style="1414" bestFit="1" customWidth="1"/>
    <col min="6413" max="6413" width="19.5546875" style="1414" customWidth="1"/>
    <col min="6414" max="6414" width="8.88671875" style="1414"/>
    <col min="6415" max="6415" width="22.88671875" style="1414" bestFit="1" customWidth="1"/>
    <col min="6416" max="6416" width="28.109375" style="1414" bestFit="1" customWidth="1"/>
    <col min="6417" max="6417" width="10.6640625" style="1414" bestFit="1" customWidth="1"/>
    <col min="6418" max="6418" width="7" style="1414" bestFit="1" customWidth="1"/>
    <col min="6419" max="6419" width="8.88671875" style="1414"/>
    <col min="6420" max="6420" width="15.5546875" style="1414" bestFit="1" customWidth="1"/>
    <col min="6421" max="6421" width="8.88671875" style="1414"/>
    <col min="6422" max="6422" width="22.88671875" style="1414" bestFit="1" customWidth="1"/>
    <col min="6423" max="6423" width="28.109375" style="1414" bestFit="1" customWidth="1"/>
    <col min="6424" max="6424" width="10.6640625" style="1414" bestFit="1" customWidth="1"/>
    <col min="6425" max="6425" width="7" style="1414" bestFit="1" customWidth="1"/>
    <col min="6426" max="6663" width="8.88671875" style="1414"/>
    <col min="6664" max="6664" width="36.109375" style="1414" customWidth="1"/>
    <col min="6665" max="6665" width="28.109375" style="1414" bestFit="1" customWidth="1"/>
    <col min="6666" max="6666" width="10.6640625" style="1414" bestFit="1" customWidth="1"/>
    <col min="6667" max="6667" width="8.6640625" style="1414" bestFit="1" customWidth="1"/>
    <col min="6668" max="6668" width="10.109375" style="1414" bestFit="1" customWidth="1"/>
    <col min="6669" max="6669" width="19.5546875" style="1414" customWidth="1"/>
    <col min="6670" max="6670" width="8.88671875" style="1414"/>
    <col min="6671" max="6671" width="22.88671875" style="1414" bestFit="1" customWidth="1"/>
    <col min="6672" max="6672" width="28.109375" style="1414" bestFit="1" customWidth="1"/>
    <col min="6673" max="6673" width="10.6640625" style="1414" bestFit="1" customWidth="1"/>
    <col min="6674" max="6674" width="7" style="1414" bestFit="1" customWidth="1"/>
    <col min="6675" max="6675" width="8.88671875" style="1414"/>
    <col min="6676" max="6676" width="15.5546875" style="1414" bestFit="1" customWidth="1"/>
    <col min="6677" max="6677" width="8.88671875" style="1414"/>
    <col min="6678" max="6678" width="22.88671875" style="1414" bestFit="1" customWidth="1"/>
    <col min="6679" max="6679" width="28.109375" style="1414" bestFit="1" customWidth="1"/>
    <col min="6680" max="6680" width="10.6640625" style="1414" bestFit="1" customWidth="1"/>
    <col min="6681" max="6681" width="7" style="1414" bestFit="1" customWidth="1"/>
    <col min="6682" max="6919" width="8.88671875" style="1414"/>
    <col min="6920" max="6920" width="36.109375" style="1414" customWidth="1"/>
    <col min="6921" max="6921" width="28.109375" style="1414" bestFit="1" customWidth="1"/>
    <col min="6922" max="6922" width="10.6640625" style="1414" bestFit="1" customWidth="1"/>
    <col min="6923" max="6923" width="8.6640625" style="1414" bestFit="1" customWidth="1"/>
    <col min="6924" max="6924" width="10.109375" style="1414" bestFit="1" customWidth="1"/>
    <col min="6925" max="6925" width="19.5546875" style="1414" customWidth="1"/>
    <col min="6926" max="6926" width="8.88671875" style="1414"/>
    <col min="6927" max="6927" width="22.88671875" style="1414" bestFit="1" customWidth="1"/>
    <col min="6928" max="6928" width="28.109375" style="1414" bestFit="1" customWidth="1"/>
    <col min="6929" max="6929" width="10.6640625" style="1414" bestFit="1" customWidth="1"/>
    <col min="6930" max="6930" width="7" style="1414" bestFit="1" customWidth="1"/>
    <col min="6931" max="6931" width="8.88671875" style="1414"/>
    <col min="6932" max="6932" width="15.5546875" style="1414" bestFit="1" customWidth="1"/>
    <col min="6933" max="6933" width="8.88671875" style="1414"/>
    <col min="6934" max="6934" width="22.88671875" style="1414" bestFit="1" customWidth="1"/>
    <col min="6935" max="6935" width="28.109375" style="1414" bestFit="1" customWidth="1"/>
    <col min="6936" max="6936" width="10.6640625" style="1414" bestFit="1" customWidth="1"/>
    <col min="6937" max="6937" width="7" style="1414" bestFit="1" customWidth="1"/>
    <col min="6938" max="7175" width="8.88671875" style="1414"/>
    <col min="7176" max="7176" width="36.109375" style="1414" customWidth="1"/>
    <col min="7177" max="7177" width="28.109375" style="1414" bestFit="1" customWidth="1"/>
    <col min="7178" max="7178" width="10.6640625" style="1414" bestFit="1" customWidth="1"/>
    <col min="7179" max="7179" width="8.6640625" style="1414" bestFit="1" customWidth="1"/>
    <col min="7180" max="7180" width="10.109375" style="1414" bestFit="1" customWidth="1"/>
    <col min="7181" max="7181" width="19.5546875" style="1414" customWidth="1"/>
    <col min="7182" max="7182" width="8.88671875" style="1414"/>
    <col min="7183" max="7183" width="22.88671875" style="1414" bestFit="1" customWidth="1"/>
    <col min="7184" max="7184" width="28.109375" style="1414" bestFit="1" customWidth="1"/>
    <col min="7185" max="7185" width="10.6640625" style="1414" bestFit="1" customWidth="1"/>
    <col min="7186" max="7186" width="7" style="1414" bestFit="1" customWidth="1"/>
    <col min="7187" max="7187" width="8.88671875" style="1414"/>
    <col min="7188" max="7188" width="15.5546875" style="1414" bestFit="1" customWidth="1"/>
    <col min="7189" max="7189" width="8.88671875" style="1414"/>
    <col min="7190" max="7190" width="22.88671875" style="1414" bestFit="1" customWidth="1"/>
    <col min="7191" max="7191" width="28.109375" style="1414" bestFit="1" customWidth="1"/>
    <col min="7192" max="7192" width="10.6640625" style="1414" bestFit="1" customWidth="1"/>
    <col min="7193" max="7193" width="7" style="1414" bestFit="1" customWidth="1"/>
    <col min="7194" max="7431" width="8.88671875" style="1414"/>
    <col min="7432" max="7432" width="36.109375" style="1414" customWidth="1"/>
    <col min="7433" max="7433" width="28.109375" style="1414" bestFit="1" customWidth="1"/>
    <col min="7434" max="7434" width="10.6640625" style="1414" bestFit="1" customWidth="1"/>
    <col min="7435" max="7435" width="8.6640625" style="1414" bestFit="1" customWidth="1"/>
    <col min="7436" max="7436" width="10.109375" style="1414" bestFit="1" customWidth="1"/>
    <col min="7437" max="7437" width="19.5546875" style="1414" customWidth="1"/>
    <col min="7438" max="7438" width="8.88671875" style="1414"/>
    <col min="7439" max="7439" width="22.88671875" style="1414" bestFit="1" customWidth="1"/>
    <col min="7440" max="7440" width="28.109375" style="1414" bestFit="1" customWidth="1"/>
    <col min="7441" max="7441" width="10.6640625" style="1414" bestFit="1" customWidth="1"/>
    <col min="7442" max="7442" width="7" style="1414" bestFit="1" customWidth="1"/>
    <col min="7443" max="7443" width="8.88671875" style="1414"/>
    <col min="7444" max="7444" width="15.5546875" style="1414" bestFit="1" customWidth="1"/>
    <col min="7445" max="7445" width="8.88671875" style="1414"/>
    <col min="7446" max="7446" width="22.88671875" style="1414" bestFit="1" customWidth="1"/>
    <col min="7447" max="7447" width="28.109375" style="1414" bestFit="1" customWidth="1"/>
    <col min="7448" max="7448" width="10.6640625" style="1414" bestFit="1" customWidth="1"/>
    <col min="7449" max="7449" width="7" style="1414" bestFit="1" customWidth="1"/>
    <col min="7450" max="7687" width="8.88671875" style="1414"/>
    <col min="7688" max="7688" width="36.109375" style="1414" customWidth="1"/>
    <col min="7689" max="7689" width="28.109375" style="1414" bestFit="1" customWidth="1"/>
    <col min="7690" max="7690" width="10.6640625" style="1414" bestFit="1" customWidth="1"/>
    <col min="7691" max="7691" width="8.6640625" style="1414" bestFit="1" customWidth="1"/>
    <col min="7692" max="7692" width="10.109375" style="1414" bestFit="1" customWidth="1"/>
    <col min="7693" max="7693" width="19.5546875" style="1414" customWidth="1"/>
    <col min="7694" max="7694" width="8.88671875" style="1414"/>
    <col min="7695" max="7695" width="22.88671875" style="1414" bestFit="1" customWidth="1"/>
    <col min="7696" max="7696" width="28.109375" style="1414" bestFit="1" customWidth="1"/>
    <col min="7697" max="7697" width="10.6640625" style="1414" bestFit="1" customWidth="1"/>
    <col min="7698" max="7698" width="7" style="1414" bestFit="1" customWidth="1"/>
    <col min="7699" max="7699" width="8.88671875" style="1414"/>
    <col min="7700" max="7700" width="15.5546875" style="1414" bestFit="1" customWidth="1"/>
    <col min="7701" max="7701" width="8.88671875" style="1414"/>
    <col min="7702" max="7702" width="22.88671875" style="1414" bestFit="1" customWidth="1"/>
    <col min="7703" max="7703" width="28.109375" style="1414" bestFit="1" customWidth="1"/>
    <col min="7704" max="7704" width="10.6640625" style="1414" bestFit="1" customWidth="1"/>
    <col min="7705" max="7705" width="7" style="1414" bestFit="1" customWidth="1"/>
    <col min="7706" max="7943" width="8.88671875" style="1414"/>
    <col min="7944" max="7944" width="36.109375" style="1414" customWidth="1"/>
    <col min="7945" max="7945" width="28.109375" style="1414" bestFit="1" customWidth="1"/>
    <col min="7946" max="7946" width="10.6640625" style="1414" bestFit="1" customWidth="1"/>
    <col min="7947" max="7947" width="8.6640625" style="1414" bestFit="1" customWidth="1"/>
    <col min="7948" max="7948" width="10.109375" style="1414" bestFit="1" customWidth="1"/>
    <col min="7949" max="7949" width="19.5546875" style="1414" customWidth="1"/>
    <col min="7950" max="7950" width="8.88671875" style="1414"/>
    <col min="7951" max="7951" width="22.88671875" style="1414" bestFit="1" customWidth="1"/>
    <col min="7952" max="7952" width="28.109375" style="1414" bestFit="1" customWidth="1"/>
    <col min="7953" max="7953" width="10.6640625" style="1414" bestFit="1" customWidth="1"/>
    <col min="7954" max="7954" width="7" style="1414" bestFit="1" customWidth="1"/>
    <col min="7955" max="7955" width="8.88671875" style="1414"/>
    <col min="7956" max="7956" width="15.5546875" style="1414" bestFit="1" customWidth="1"/>
    <col min="7957" max="7957" width="8.88671875" style="1414"/>
    <col min="7958" max="7958" width="22.88671875" style="1414" bestFit="1" customWidth="1"/>
    <col min="7959" max="7959" width="28.109375" style="1414" bestFit="1" customWidth="1"/>
    <col min="7960" max="7960" width="10.6640625" style="1414" bestFit="1" customWidth="1"/>
    <col min="7961" max="7961" width="7" style="1414" bestFit="1" customWidth="1"/>
    <col min="7962" max="8199" width="8.88671875" style="1414"/>
    <col min="8200" max="8200" width="36.109375" style="1414" customWidth="1"/>
    <col min="8201" max="8201" width="28.109375" style="1414" bestFit="1" customWidth="1"/>
    <col min="8202" max="8202" width="10.6640625" style="1414" bestFit="1" customWidth="1"/>
    <col min="8203" max="8203" width="8.6640625" style="1414" bestFit="1" customWidth="1"/>
    <col min="8204" max="8204" width="10.109375" style="1414" bestFit="1" customWidth="1"/>
    <col min="8205" max="8205" width="19.5546875" style="1414" customWidth="1"/>
    <col min="8206" max="8206" width="8.88671875" style="1414"/>
    <col min="8207" max="8207" width="22.88671875" style="1414" bestFit="1" customWidth="1"/>
    <col min="8208" max="8208" width="28.109375" style="1414" bestFit="1" customWidth="1"/>
    <col min="8209" max="8209" width="10.6640625" style="1414" bestFit="1" customWidth="1"/>
    <col min="8210" max="8210" width="7" style="1414" bestFit="1" customWidth="1"/>
    <col min="8211" max="8211" width="8.88671875" style="1414"/>
    <col min="8212" max="8212" width="15.5546875" style="1414" bestFit="1" customWidth="1"/>
    <col min="8213" max="8213" width="8.88671875" style="1414"/>
    <col min="8214" max="8214" width="22.88671875" style="1414" bestFit="1" customWidth="1"/>
    <col min="8215" max="8215" width="28.109375" style="1414" bestFit="1" customWidth="1"/>
    <col min="8216" max="8216" width="10.6640625" style="1414" bestFit="1" customWidth="1"/>
    <col min="8217" max="8217" width="7" style="1414" bestFit="1" customWidth="1"/>
    <col min="8218" max="8455" width="8.88671875" style="1414"/>
    <col min="8456" max="8456" width="36.109375" style="1414" customWidth="1"/>
    <col min="8457" max="8457" width="28.109375" style="1414" bestFit="1" customWidth="1"/>
    <col min="8458" max="8458" width="10.6640625" style="1414" bestFit="1" customWidth="1"/>
    <col min="8459" max="8459" width="8.6640625" style="1414" bestFit="1" customWidth="1"/>
    <col min="8460" max="8460" width="10.109375" style="1414" bestFit="1" customWidth="1"/>
    <col min="8461" max="8461" width="19.5546875" style="1414" customWidth="1"/>
    <col min="8462" max="8462" width="8.88671875" style="1414"/>
    <col min="8463" max="8463" width="22.88671875" style="1414" bestFit="1" customWidth="1"/>
    <col min="8464" max="8464" width="28.109375" style="1414" bestFit="1" customWidth="1"/>
    <col min="8465" max="8465" width="10.6640625" style="1414" bestFit="1" customWidth="1"/>
    <col min="8466" max="8466" width="7" style="1414" bestFit="1" customWidth="1"/>
    <col min="8467" max="8467" width="8.88671875" style="1414"/>
    <col min="8468" max="8468" width="15.5546875" style="1414" bestFit="1" customWidth="1"/>
    <col min="8469" max="8469" width="8.88671875" style="1414"/>
    <col min="8470" max="8470" width="22.88671875" style="1414" bestFit="1" customWidth="1"/>
    <col min="8471" max="8471" width="28.109375" style="1414" bestFit="1" customWidth="1"/>
    <col min="8472" max="8472" width="10.6640625" style="1414" bestFit="1" customWidth="1"/>
    <col min="8473" max="8473" width="7" style="1414" bestFit="1" customWidth="1"/>
    <col min="8474" max="8711" width="8.88671875" style="1414"/>
    <col min="8712" max="8712" width="36.109375" style="1414" customWidth="1"/>
    <col min="8713" max="8713" width="28.109375" style="1414" bestFit="1" customWidth="1"/>
    <col min="8714" max="8714" width="10.6640625" style="1414" bestFit="1" customWidth="1"/>
    <col min="8715" max="8715" width="8.6640625" style="1414" bestFit="1" customWidth="1"/>
    <col min="8716" max="8716" width="10.109375" style="1414" bestFit="1" customWidth="1"/>
    <col min="8717" max="8717" width="19.5546875" style="1414" customWidth="1"/>
    <col min="8718" max="8718" width="8.88671875" style="1414"/>
    <col min="8719" max="8719" width="22.88671875" style="1414" bestFit="1" customWidth="1"/>
    <col min="8720" max="8720" width="28.109375" style="1414" bestFit="1" customWidth="1"/>
    <col min="8721" max="8721" width="10.6640625" style="1414" bestFit="1" customWidth="1"/>
    <col min="8722" max="8722" width="7" style="1414" bestFit="1" customWidth="1"/>
    <col min="8723" max="8723" width="8.88671875" style="1414"/>
    <col min="8724" max="8724" width="15.5546875" style="1414" bestFit="1" customWidth="1"/>
    <col min="8725" max="8725" width="8.88671875" style="1414"/>
    <col min="8726" max="8726" width="22.88671875" style="1414" bestFit="1" customWidth="1"/>
    <col min="8727" max="8727" width="28.109375" style="1414" bestFit="1" customWidth="1"/>
    <col min="8728" max="8728" width="10.6640625" style="1414" bestFit="1" customWidth="1"/>
    <col min="8729" max="8729" width="7" style="1414" bestFit="1" customWidth="1"/>
    <col min="8730" max="8967" width="8.88671875" style="1414"/>
    <col min="8968" max="8968" width="36.109375" style="1414" customWidth="1"/>
    <col min="8969" max="8969" width="28.109375" style="1414" bestFit="1" customWidth="1"/>
    <col min="8970" max="8970" width="10.6640625" style="1414" bestFit="1" customWidth="1"/>
    <col min="8971" max="8971" width="8.6640625" style="1414" bestFit="1" customWidth="1"/>
    <col min="8972" max="8972" width="10.109375" style="1414" bestFit="1" customWidth="1"/>
    <col min="8973" max="8973" width="19.5546875" style="1414" customWidth="1"/>
    <col min="8974" max="8974" width="8.88671875" style="1414"/>
    <col min="8975" max="8975" width="22.88671875" style="1414" bestFit="1" customWidth="1"/>
    <col min="8976" max="8976" width="28.109375" style="1414" bestFit="1" customWidth="1"/>
    <col min="8977" max="8977" width="10.6640625" style="1414" bestFit="1" customWidth="1"/>
    <col min="8978" max="8978" width="7" style="1414" bestFit="1" customWidth="1"/>
    <col min="8979" max="8979" width="8.88671875" style="1414"/>
    <col min="8980" max="8980" width="15.5546875" style="1414" bestFit="1" customWidth="1"/>
    <col min="8981" max="8981" width="8.88671875" style="1414"/>
    <col min="8982" max="8982" width="22.88671875" style="1414" bestFit="1" customWidth="1"/>
    <col min="8983" max="8983" width="28.109375" style="1414" bestFit="1" customWidth="1"/>
    <col min="8984" max="8984" width="10.6640625" style="1414" bestFit="1" customWidth="1"/>
    <col min="8985" max="8985" width="7" style="1414" bestFit="1" customWidth="1"/>
    <col min="8986" max="9223" width="8.88671875" style="1414"/>
    <col min="9224" max="9224" width="36.109375" style="1414" customWidth="1"/>
    <col min="9225" max="9225" width="28.109375" style="1414" bestFit="1" customWidth="1"/>
    <col min="9226" max="9226" width="10.6640625" style="1414" bestFit="1" customWidth="1"/>
    <col min="9227" max="9227" width="8.6640625" style="1414" bestFit="1" customWidth="1"/>
    <col min="9228" max="9228" width="10.109375" style="1414" bestFit="1" customWidth="1"/>
    <col min="9229" max="9229" width="19.5546875" style="1414" customWidth="1"/>
    <col min="9230" max="9230" width="8.88671875" style="1414"/>
    <col min="9231" max="9231" width="22.88671875" style="1414" bestFit="1" customWidth="1"/>
    <col min="9232" max="9232" width="28.109375" style="1414" bestFit="1" customWidth="1"/>
    <col min="9233" max="9233" width="10.6640625" style="1414" bestFit="1" customWidth="1"/>
    <col min="9234" max="9234" width="7" style="1414" bestFit="1" customWidth="1"/>
    <col min="9235" max="9235" width="8.88671875" style="1414"/>
    <col min="9236" max="9236" width="15.5546875" style="1414" bestFit="1" customWidth="1"/>
    <col min="9237" max="9237" width="8.88671875" style="1414"/>
    <col min="9238" max="9238" width="22.88671875" style="1414" bestFit="1" customWidth="1"/>
    <col min="9239" max="9239" width="28.109375" style="1414" bestFit="1" customWidth="1"/>
    <col min="9240" max="9240" width="10.6640625" style="1414" bestFit="1" customWidth="1"/>
    <col min="9241" max="9241" width="7" style="1414" bestFit="1" customWidth="1"/>
    <col min="9242" max="9479" width="8.88671875" style="1414"/>
    <col min="9480" max="9480" width="36.109375" style="1414" customWidth="1"/>
    <col min="9481" max="9481" width="28.109375" style="1414" bestFit="1" customWidth="1"/>
    <col min="9482" max="9482" width="10.6640625" style="1414" bestFit="1" customWidth="1"/>
    <col min="9483" max="9483" width="8.6640625" style="1414" bestFit="1" customWidth="1"/>
    <col min="9484" max="9484" width="10.109375" style="1414" bestFit="1" customWidth="1"/>
    <col min="9485" max="9485" width="19.5546875" style="1414" customWidth="1"/>
    <col min="9486" max="9486" width="8.88671875" style="1414"/>
    <col min="9487" max="9487" width="22.88671875" style="1414" bestFit="1" customWidth="1"/>
    <col min="9488" max="9488" width="28.109375" style="1414" bestFit="1" customWidth="1"/>
    <col min="9489" max="9489" width="10.6640625" style="1414" bestFit="1" customWidth="1"/>
    <col min="9490" max="9490" width="7" style="1414" bestFit="1" customWidth="1"/>
    <col min="9491" max="9491" width="8.88671875" style="1414"/>
    <col min="9492" max="9492" width="15.5546875" style="1414" bestFit="1" customWidth="1"/>
    <col min="9493" max="9493" width="8.88671875" style="1414"/>
    <col min="9494" max="9494" width="22.88671875" style="1414" bestFit="1" customWidth="1"/>
    <col min="9495" max="9495" width="28.109375" style="1414" bestFit="1" customWidth="1"/>
    <col min="9496" max="9496" width="10.6640625" style="1414" bestFit="1" customWidth="1"/>
    <col min="9497" max="9497" width="7" style="1414" bestFit="1" customWidth="1"/>
    <col min="9498" max="9735" width="8.88671875" style="1414"/>
    <col min="9736" max="9736" width="36.109375" style="1414" customWidth="1"/>
    <col min="9737" max="9737" width="28.109375" style="1414" bestFit="1" customWidth="1"/>
    <col min="9738" max="9738" width="10.6640625" style="1414" bestFit="1" customWidth="1"/>
    <col min="9739" max="9739" width="8.6640625" style="1414" bestFit="1" customWidth="1"/>
    <col min="9740" max="9740" width="10.109375" style="1414" bestFit="1" customWidth="1"/>
    <col min="9741" max="9741" width="19.5546875" style="1414" customWidth="1"/>
    <col min="9742" max="9742" width="8.88671875" style="1414"/>
    <col min="9743" max="9743" width="22.88671875" style="1414" bestFit="1" customWidth="1"/>
    <col min="9744" max="9744" width="28.109375" style="1414" bestFit="1" customWidth="1"/>
    <col min="9745" max="9745" width="10.6640625" style="1414" bestFit="1" customWidth="1"/>
    <col min="9746" max="9746" width="7" style="1414" bestFit="1" customWidth="1"/>
    <col min="9747" max="9747" width="8.88671875" style="1414"/>
    <col min="9748" max="9748" width="15.5546875" style="1414" bestFit="1" customWidth="1"/>
    <col min="9749" max="9749" width="8.88671875" style="1414"/>
    <col min="9750" max="9750" width="22.88671875" style="1414" bestFit="1" customWidth="1"/>
    <col min="9751" max="9751" width="28.109375" style="1414" bestFit="1" customWidth="1"/>
    <col min="9752" max="9752" width="10.6640625" style="1414" bestFit="1" customWidth="1"/>
    <col min="9753" max="9753" width="7" style="1414" bestFit="1" customWidth="1"/>
    <col min="9754" max="9991" width="8.88671875" style="1414"/>
    <col min="9992" max="9992" width="36.109375" style="1414" customWidth="1"/>
    <col min="9993" max="9993" width="28.109375" style="1414" bestFit="1" customWidth="1"/>
    <col min="9994" max="9994" width="10.6640625" style="1414" bestFit="1" customWidth="1"/>
    <col min="9995" max="9995" width="8.6640625" style="1414" bestFit="1" customWidth="1"/>
    <col min="9996" max="9996" width="10.109375" style="1414" bestFit="1" customWidth="1"/>
    <col min="9997" max="9997" width="19.5546875" style="1414" customWidth="1"/>
    <col min="9998" max="9998" width="8.88671875" style="1414"/>
    <col min="9999" max="9999" width="22.88671875" style="1414" bestFit="1" customWidth="1"/>
    <col min="10000" max="10000" width="28.109375" style="1414" bestFit="1" customWidth="1"/>
    <col min="10001" max="10001" width="10.6640625" style="1414" bestFit="1" customWidth="1"/>
    <col min="10002" max="10002" width="7" style="1414" bestFit="1" customWidth="1"/>
    <col min="10003" max="10003" width="8.88671875" style="1414"/>
    <col min="10004" max="10004" width="15.5546875" style="1414" bestFit="1" customWidth="1"/>
    <col min="10005" max="10005" width="8.88671875" style="1414"/>
    <col min="10006" max="10006" width="22.88671875" style="1414" bestFit="1" customWidth="1"/>
    <col min="10007" max="10007" width="28.109375" style="1414" bestFit="1" customWidth="1"/>
    <col min="10008" max="10008" width="10.6640625" style="1414" bestFit="1" customWidth="1"/>
    <col min="10009" max="10009" width="7" style="1414" bestFit="1" customWidth="1"/>
    <col min="10010" max="10247" width="8.88671875" style="1414"/>
    <col min="10248" max="10248" width="36.109375" style="1414" customWidth="1"/>
    <col min="10249" max="10249" width="28.109375" style="1414" bestFit="1" customWidth="1"/>
    <col min="10250" max="10250" width="10.6640625" style="1414" bestFit="1" customWidth="1"/>
    <col min="10251" max="10251" width="8.6640625" style="1414" bestFit="1" customWidth="1"/>
    <col min="10252" max="10252" width="10.109375" style="1414" bestFit="1" customWidth="1"/>
    <col min="10253" max="10253" width="19.5546875" style="1414" customWidth="1"/>
    <col min="10254" max="10254" width="8.88671875" style="1414"/>
    <col min="10255" max="10255" width="22.88671875" style="1414" bestFit="1" customWidth="1"/>
    <col min="10256" max="10256" width="28.109375" style="1414" bestFit="1" customWidth="1"/>
    <col min="10257" max="10257" width="10.6640625" style="1414" bestFit="1" customWidth="1"/>
    <col min="10258" max="10258" width="7" style="1414" bestFit="1" customWidth="1"/>
    <col min="10259" max="10259" width="8.88671875" style="1414"/>
    <col min="10260" max="10260" width="15.5546875" style="1414" bestFit="1" customWidth="1"/>
    <col min="10261" max="10261" width="8.88671875" style="1414"/>
    <col min="10262" max="10262" width="22.88671875" style="1414" bestFit="1" customWidth="1"/>
    <col min="10263" max="10263" width="28.109375" style="1414" bestFit="1" customWidth="1"/>
    <col min="10264" max="10264" width="10.6640625" style="1414" bestFit="1" customWidth="1"/>
    <col min="10265" max="10265" width="7" style="1414" bestFit="1" customWidth="1"/>
    <col min="10266" max="10503" width="8.88671875" style="1414"/>
    <col min="10504" max="10504" width="36.109375" style="1414" customWidth="1"/>
    <col min="10505" max="10505" width="28.109375" style="1414" bestFit="1" customWidth="1"/>
    <col min="10506" max="10506" width="10.6640625" style="1414" bestFit="1" customWidth="1"/>
    <col min="10507" max="10507" width="8.6640625" style="1414" bestFit="1" customWidth="1"/>
    <col min="10508" max="10508" width="10.109375" style="1414" bestFit="1" customWidth="1"/>
    <col min="10509" max="10509" width="19.5546875" style="1414" customWidth="1"/>
    <col min="10510" max="10510" width="8.88671875" style="1414"/>
    <col min="10511" max="10511" width="22.88671875" style="1414" bestFit="1" customWidth="1"/>
    <col min="10512" max="10512" width="28.109375" style="1414" bestFit="1" customWidth="1"/>
    <col min="10513" max="10513" width="10.6640625" style="1414" bestFit="1" customWidth="1"/>
    <col min="10514" max="10514" width="7" style="1414" bestFit="1" customWidth="1"/>
    <col min="10515" max="10515" width="8.88671875" style="1414"/>
    <col min="10516" max="10516" width="15.5546875" style="1414" bestFit="1" customWidth="1"/>
    <col min="10517" max="10517" width="8.88671875" style="1414"/>
    <col min="10518" max="10518" width="22.88671875" style="1414" bestFit="1" customWidth="1"/>
    <col min="10519" max="10519" width="28.109375" style="1414" bestFit="1" customWidth="1"/>
    <col min="10520" max="10520" width="10.6640625" style="1414" bestFit="1" customWidth="1"/>
    <col min="10521" max="10521" width="7" style="1414" bestFit="1" customWidth="1"/>
    <col min="10522" max="10759" width="8.88671875" style="1414"/>
    <col min="10760" max="10760" width="36.109375" style="1414" customWidth="1"/>
    <col min="10761" max="10761" width="28.109375" style="1414" bestFit="1" customWidth="1"/>
    <col min="10762" max="10762" width="10.6640625" style="1414" bestFit="1" customWidth="1"/>
    <col min="10763" max="10763" width="8.6640625" style="1414" bestFit="1" customWidth="1"/>
    <col min="10764" max="10764" width="10.109375" style="1414" bestFit="1" customWidth="1"/>
    <col min="10765" max="10765" width="19.5546875" style="1414" customWidth="1"/>
    <col min="10766" max="10766" width="8.88671875" style="1414"/>
    <col min="10767" max="10767" width="22.88671875" style="1414" bestFit="1" customWidth="1"/>
    <col min="10768" max="10768" width="28.109375" style="1414" bestFit="1" customWidth="1"/>
    <col min="10769" max="10769" width="10.6640625" style="1414" bestFit="1" customWidth="1"/>
    <col min="10770" max="10770" width="7" style="1414" bestFit="1" customWidth="1"/>
    <col min="10771" max="10771" width="8.88671875" style="1414"/>
    <col min="10772" max="10772" width="15.5546875" style="1414" bestFit="1" customWidth="1"/>
    <col min="10773" max="10773" width="8.88671875" style="1414"/>
    <col min="10774" max="10774" width="22.88671875" style="1414" bestFit="1" customWidth="1"/>
    <col min="10775" max="10775" width="28.109375" style="1414" bestFit="1" customWidth="1"/>
    <col min="10776" max="10776" width="10.6640625" style="1414" bestFit="1" customWidth="1"/>
    <col min="10777" max="10777" width="7" style="1414" bestFit="1" customWidth="1"/>
    <col min="10778" max="11015" width="8.88671875" style="1414"/>
    <col min="11016" max="11016" width="36.109375" style="1414" customWidth="1"/>
    <col min="11017" max="11017" width="28.109375" style="1414" bestFit="1" customWidth="1"/>
    <col min="11018" max="11018" width="10.6640625" style="1414" bestFit="1" customWidth="1"/>
    <col min="11019" max="11019" width="8.6640625" style="1414" bestFit="1" customWidth="1"/>
    <col min="11020" max="11020" width="10.109375" style="1414" bestFit="1" customWidth="1"/>
    <col min="11021" max="11021" width="19.5546875" style="1414" customWidth="1"/>
    <col min="11022" max="11022" width="8.88671875" style="1414"/>
    <col min="11023" max="11023" width="22.88671875" style="1414" bestFit="1" customWidth="1"/>
    <col min="11024" max="11024" width="28.109375" style="1414" bestFit="1" customWidth="1"/>
    <col min="11025" max="11025" width="10.6640625" style="1414" bestFit="1" customWidth="1"/>
    <col min="11026" max="11026" width="7" style="1414" bestFit="1" customWidth="1"/>
    <col min="11027" max="11027" width="8.88671875" style="1414"/>
    <col min="11028" max="11028" width="15.5546875" style="1414" bestFit="1" customWidth="1"/>
    <col min="11029" max="11029" width="8.88671875" style="1414"/>
    <col min="11030" max="11030" width="22.88671875" style="1414" bestFit="1" customWidth="1"/>
    <col min="11031" max="11031" width="28.109375" style="1414" bestFit="1" customWidth="1"/>
    <col min="11032" max="11032" width="10.6640625" style="1414" bestFit="1" customWidth="1"/>
    <col min="11033" max="11033" width="7" style="1414" bestFit="1" customWidth="1"/>
    <col min="11034" max="11271" width="8.88671875" style="1414"/>
    <col min="11272" max="11272" width="36.109375" style="1414" customWidth="1"/>
    <col min="11273" max="11273" width="28.109375" style="1414" bestFit="1" customWidth="1"/>
    <col min="11274" max="11274" width="10.6640625" style="1414" bestFit="1" customWidth="1"/>
    <col min="11275" max="11275" width="8.6640625" style="1414" bestFit="1" customWidth="1"/>
    <col min="11276" max="11276" width="10.109375" style="1414" bestFit="1" customWidth="1"/>
    <col min="11277" max="11277" width="19.5546875" style="1414" customWidth="1"/>
    <col min="11278" max="11278" width="8.88671875" style="1414"/>
    <col min="11279" max="11279" width="22.88671875" style="1414" bestFit="1" customWidth="1"/>
    <col min="11280" max="11280" width="28.109375" style="1414" bestFit="1" customWidth="1"/>
    <col min="11281" max="11281" width="10.6640625" style="1414" bestFit="1" customWidth="1"/>
    <col min="11282" max="11282" width="7" style="1414" bestFit="1" customWidth="1"/>
    <col min="11283" max="11283" width="8.88671875" style="1414"/>
    <col min="11284" max="11284" width="15.5546875" style="1414" bestFit="1" customWidth="1"/>
    <col min="11285" max="11285" width="8.88671875" style="1414"/>
    <col min="11286" max="11286" width="22.88671875" style="1414" bestFit="1" customWidth="1"/>
    <col min="11287" max="11287" width="28.109375" style="1414" bestFit="1" customWidth="1"/>
    <col min="11288" max="11288" width="10.6640625" style="1414" bestFit="1" customWidth="1"/>
    <col min="11289" max="11289" width="7" style="1414" bestFit="1" customWidth="1"/>
    <col min="11290" max="11527" width="8.88671875" style="1414"/>
    <col min="11528" max="11528" width="36.109375" style="1414" customWidth="1"/>
    <col min="11529" max="11529" width="28.109375" style="1414" bestFit="1" customWidth="1"/>
    <col min="11530" max="11530" width="10.6640625" style="1414" bestFit="1" customWidth="1"/>
    <col min="11531" max="11531" width="8.6640625" style="1414" bestFit="1" customWidth="1"/>
    <col min="11532" max="11532" width="10.109375" style="1414" bestFit="1" customWidth="1"/>
    <col min="11533" max="11533" width="19.5546875" style="1414" customWidth="1"/>
    <col min="11534" max="11534" width="8.88671875" style="1414"/>
    <col min="11535" max="11535" width="22.88671875" style="1414" bestFit="1" customWidth="1"/>
    <col min="11536" max="11536" width="28.109375" style="1414" bestFit="1" customWidth="1"/>
    <col min="11537" max="11537" width="10.6640625" style="1414" bestFit="1" customWidth="1"/>
    <col min="11538" max="11538" width="7" style="1414" bestFit="1" customWidth="1"/>
    <col min="11539" max="11539" width="8.88671875" style="1414"/>
    <col min="11540" max="11540" width="15.5546875" style="1414" bestFit="1" customWidth="1"/>
    <col min="11541" max="11541" width="8.88671875" style="1414"/>
    <col min="11542" max="11542" width="22.88671875" style="1414" bestFit="1" customWidth="1"/>
    <col min="11543" max="11543" width="28.109375" style="1414" bestFit="1" customWidth="1"/>
    <col min="11544" max="11544" width="10.6640625" style="1414" bestFit="1" customWidth="1"/>
    <col min="11545" max="11545" width="7" style="1414" bestFit="1" customWidth="1"/>
    <col min="11546" max="11783" width="8.88671875" style="1414"/>
    <col min="11784" max="11784" width="36.109375" style="1414" customWidth="1"/>
    <col min="11785" max="11785" width="28.109375" style="1414" bestFit="1" customWidth="1"/>
    <col min="11786" max="11786" width="10.6640625" style="1414" bestFit="1" customWidth="1"/>
    <col min="11787" max="11787" width="8.6640625" style="1414" bestFit="1" customWidth="1"/>
    <col min="11788" max="11788" width="10.109375" style="1414" bestFit="1" customWidth="1"/>
    <col min="11789" max="11789" width="19.5546875" style="1414" customWidth="1"/>
    <col min="11790" max="11790" width="8.88671875" style="1414"/>
    <col min="11791" max="11791" width="22.88671875" style="1414" bestFit="1" customWidth="1"/>
    <col min="11792" max="11792" width="28.109375" style="1414" bestFit="1" customWidth="1"/>
    <col min="11793" max="11793" width="10.6640625" style="1414" bestFit="1" customWidth="1"/>
    <col min="11794" max="11794" width="7" style="1414" bestFit="1" customWidth="1"/>
    <col min="11795" max="11795" width="8.88671875" style="1414"/>
    <col min="11796" max="11796" width="15.5546875" style="1414" bestFit="1" customWidth="1"/>
    <col min="11797" max="11797" width="8.88671875" style="1414"/>
    <col min="11798" max="11798" width="22.88671875" style="1414" bestFit="1" customWidth="1"/>
    <col min="11799" max="11799" width="28.109375" style="1414" bestFit="1" customWidth="1"/>
    <col min="11800" max="11800" width="10.6640625" style="1414" bestFit="1" customWidth="1"/>
    <col min="11801" max="11801" width="7" style="1414" bestFit="1" customWidth="1"/>
    <col min="11802" max="12039" width="8.88671875" style="1414"/>
    <col min="12040" max="12040" width="36.109375" style="1414" customWidth="1"/>
    <col min="12041" max="12041" width="28.109375" style="1414" bestFit="1" customWidth="1"/>
    <col min="12042" max="12042" width="10.6640625" style="1414" bestFit="1" customWidth="1"/>
    <col min="12043" max="12043" width="8.6640625" style="1414" bestFit="1" customWidth="1"/>
    <col min="12044" max="12044" width="10.109375" style="1414" bestFit="1" customWidth="1"/>
    <col min="12045" max="12045" width="19.5546875" style="1414" customWidth="1"/>
    <col min="12046" max="12046" width="8.88671875" style="1414"/>
    <col min="12047" max="12047" width="22.88671875" style="1414" bestFit="1" customWidth="1"/>
    <col min="12048" max="12048" width="28.109375" style="1414" bestFit="1" customWidth="1"/>
    <col min="12049" max="12049" width="10.6640625" style="1414" bestFit="1" customWidth="1"/>
    <col min="12050" max="12050" width="7" style="1414" bestFit="1" customWidth="1"/>
    <col min="12051" max="12051" width="8.88671875" style="1414"/>
    <col min="12052" max="12052" width="15.5546875" style="1414" bestFit="1" customWidth="1"/>
    <col min="12053" max="12053" width="8.88671875" style="1414"/>
    <col min="12054" max="12054" width="22.88671875" style="1414" bestFit="1" customWidth="1"/>
    <col min="12055" max="12055" width="28.109375" style="1414" bestFit="1" customWidth="1"/>
    <col min="12056" max="12056" width="10.6640625" style="1414" bestFit="1" customWidth="1"/>
    <col min="12057" max="12057" width="7" style="1414" bestFit="1" customWidth="1"/>
    <col min="12058" max="12295" width="8.88671875" style="1414"/>
    <col min="12296" max="12296" width="36.109375" style="1414" customWidth="1"/>
    <col min="12297" max="12297" width="28.109375" style="1414" bestFit="1" customWidth="1"/>
    <col min="12298" max="12298" width="10.6640625" style="1414" bestFit="1" customWidth="1"/>
    <col min="12299" max="12299" width="8.6640625" style="1414" bestFit="1" customWidth="1"/>
    <col min="12300" max="12300" width="10.109375" style="1414" bestFit="1" customWidth="1"/>
    <col min="12301" max="12301" width="19.5546875" style="1414" customWidth="1"/>
    <col min="12302" max="12302" width="8.88671875" style="1414"/>
    <col min="12303" max="12303" width="22.88671875" style="1414" bestFit="1" customWidth="1"/>
    <col min="12304" max="12304" width="28.109375" style="1414" bestFit="1" customWidth="1"/>
    <col min="12305" max="12305" width="10.6640625" style="1414" bestFit="1" customWidth="1"/>
    <col min="12306" max="12306" width="7" style="1414" bestFit="1" customWidth="1"/>
    <col min="12307" max="12307" width="8.88671875" style="1414"/>
    <col min="12308" max="12308" width="15.5546875" style="1414" bestFit="1" customWidth="1"/>
    <col min="12309" max="12309" width="8.88671875" style="1414"/>
    <col min="12310" max="12310" width="22.88671875" style="1414" bestFit="1" customWidth="1"/>
    <col min="12311" max="12311" width="28.109375" style="1414" bestFit="1" customWidth="1"/>
    <col min="12312" max="12312" width="10.6640625" style="1414" bestFit="1" customWidth="1"/>
    <col min="12313" max="12313" width="7" style="1414" bestFit="1" customWidth="1"/>
    <col min="12314" max="12551" width="8.88671875" style="1414"/>
    <col min="12552" max="12552" width="36.109375" style="1414" customWidth="1"/>
    <col min="12553" max="12553" width="28.109375" style="1414" bestFit="1" customWidth="1"/>
    <col min="12554" max="12554" width="10.6640625" style="1414" bestFit="1" customWidth="1"/>
    <col min="12555" max="12555" width="8.6640625" style="1414" bestFit="1" customWidth="1"/>
    <col min="12556" max="12556" width="10.109375" style="1414" bestFit="1" customWidth="1"/>
    <col min="12557" max="12557" width="19.5546875" style="1414" customWidth="1"/>
    <col min="12558" max="12558" width="8.88671875" style="1414"/>
    <col min="12559" max="12559" width="22.88671875" style="1414" bestFit="1" customWidth="1"/>
    <col min="12560" max="12560" width="28.109375" style="1414" bestFit="1" customWidth="1"/>
    <col min="12561" max="12561" width="10.6640625" style="1414" bestFit="1" customWidth="1"/>
    <col min="12562" max="12562" width="7" style="1414" bestFit="1" customWidth="1"/>
    <col min="12563" max="12563" width="8.88671875" style="1414"/>
    <col min="12564" max="12564" width="15.5546875" style="1414" bestFit="1" customWidth="1"/>
    <col min="12565" max="12565" width="8.88671875" style="1414"/>
    <col min="12566" max="12566" width="22.88671875" style="1414" bestFit="1" customWidth="1"/>
    <col min="12567" max="12567" width="28.109375" style="1414" bestFit="1" customWidth="1"/>
    <col min="12568" max="12568" width="10.6640625" style="1414" bestFit="1" customWidth="1"/>
    <col min="12569" max="12569" width="7" style="1414" bestFit="1" customWidth="1"/>
    <col min="12570" max="12807" width="8.88671875" style="1414"/>
    <col min="12808" max="12808" width="36.109375" style="1414" customWidth="1"/>
    <col min="12809" max="12809" width="28.109375" style="1414" bestFit="1" customWidth="1"/>
    <col min="12810" max="12810" width="10.6640625" style="1414" bestFit="1" customWidth="1"/>
    <col min="12811" max="12811" width="8.6640625" style="1414" bestFit="1" customWidth="1"/>
    <col min="12812" max="12812" width="10.109375" style="1414" bestFit="1" customWidth="1"/>
    <col min="12813" max="12813" width="19.5546875" style="1414" customWidth="1"/>
    <col min="12814" max="12814" width="8.88671875" style="1414"/>
    <col min="12815" max="12815" width="22.88671875" style="1414" bestFit="1" customWidth="1"/>
    <col min="12816" max="12816" width="28.109375" style="1414" bestFit="1" customWidth="1"/>
    <col min="12817" max="12817" width="10.6640625" style="1414" bestFit="1" customWidth="1"/>
    <col min="12818" max="12818" width="7" style="1414" bestFit="1" customWidth="1"/>
    <col min="12819" max="12819" width="8.88671875" style="1414"/>
    <col min="12820" max="12820" width="15.5546875" style="1414" bestFit="1" customWidth="1"/>
    <col min="12821" max="12821" width="8.88671875" style="1414"/>
    <col min="12822" max="12822" width="22.88671875" style="1414" bestFit="1" customWidth="1"/>
    <col min="12823" max="12823" width="28.109375" style="1414" bestFit="1" customWidth="1"/>
    <col min="12824" max="12824" width="10.6640625" style="1414" bestFit="1" customWidth="1"/>
    <col min="12825" max="12825" width="7" style="1414" bestFit="1" customWidth="1"/>
    <col min="12826" max="13063" width="8.88671875" style="1414"/>
    <col min="13064" max="13064" width="36.109375" style="1414" customWidth="1"/>
    <col min="13065" max="13065" width="28.109375" style="1414" bestFit="1" customWidth="1"/>
    <col min="13066" max="13066" width="10.6640625" style="1414" bestFit="1" customWidth="1"/>
    <col min="13067" max="13067" width="8.6640625" style="1414" bestFit="1" customWidth="1"/>
    <col min="13068" max="13068" width="10.109375" style="1414" bestFit="1" customWidth="1"/>
    <col min="13069" max="13069" width="19.5546875" style="1414" customWidth="1"/>
    <col min="13070" max="13070" width="8.88671875" style="1414"/>
    <col min="13071" max="13071" width="22.88671875" style="1414" bestFit="1" customWidth="1"/>
    <col min="13072" max="13072" width="28.109375" style="1414" bestFit="1" customWidth="1"/>
    <col min="13073" max="13073" width="10.6640625" style="1414" bestFit="1" customWidth="1"/>
    <col min="13074" max="13074" width="7" style="1414" bestFit="1" customWidth="1"/>
    <col min="13075" max="13075" width="8.88671875" style="1414"/>
    <col min="13076" max="13076" width="15.5546875" style="1414" bestFit="1" customWidth="1"/>
    <col min="13077" max="13077" width="8.88671875" style="1414"/>
    <col min="13078" max="13078" width="22.88671875" style="1414" bestFit="1" customWidth="1"/>
    <col min="13079" max="13079" width="28.109375" style="1414" bestFit="1" customWidth="1"/>
    <col min="13080" max="13080" width="10.6640625" style="1414" bestFit="1" customWidth="1"/>
    <col min="13081" max="13081" width="7" style="1414" bestFit="1" customWidth="1"/>
    <col min="13082" max="13319" width="8.88671875" style="1414"/>
    <col min="13320" max="13320" width="36.109375" style="1414" customWidth="1"/>
    <col min="13321" max="13321" width="28.109375" style="1414" bestFit="1" customWidth="1"/>
    <col min="13322" max="13322" width="10.6640625" style="1414" bestFit="1" customWidth="1"/>
    <col min="13323" max="13323" width="8.6640625" style="1414" bestFit="1" customWidth="1"/>
    <col min="13324" max="13324" width="10.109375" style="1414" bestFit="1" customWidth="1"/>
    <col min="13325" max="13325" width="19.5546875" style="1414" customWidth="1"/>
    <col min="13326" max="13326" width="8.88671875" style="1414"/>
    <col min="13327" max="13327" width="22.88671875" style="1414" bestFit="1" customWidth="1"/>
    <col min="13328" max="13328" width="28.109375" style="1414" bestFit="1" customWidth="1"/>
    <col min="13329" max="13329" width="10.6640625" style="1414" bestFit="1" customWidth="1"/>
    <col min="13330" max="13330" width="7" style="1414" bestFit="1" customWidth="1"/>
    <col min="13331" max="13331" width="8.88671875" style="1414"/>
    <col min="13332" max="13332" width="15.5546875" style="1414" bestFit="1" customWidth="1"/>
    <col min="13333" max="13333" width="8.88671875" style="1414"/>
    <col min="13334" max="13334" width="22.88671875" style="1414" bestFit="1" customWidth="1"/>
    <col min="13335" max="13335" width="28.109375" style="1414" bestFit="1" customWidth="1"/>
    <col min="13336" max="13336" width="10.6640625" style="1414" bestFit="1" customWidth="1"/>
    <col min="13337" max="13337" width="7" style="1414" bestFit="1" customWidth="1"/>
    <col min="13338" max="13575" width="8.88671875" style="1414"/>
    <col min="13576" max="13576" width="36.109375" style="1414" customWidth="1"/>
    <col min="13577" max="13577" width="28.109375" style="1414" bestFit="1" customWidth="1"/>
    <col min="13578" max="13578" width="10.6640625" style="1414" bestFit="1" customWidth="1"/>
    <col min="13579" max="13579" width="8.6640625" style="1414" bestFit="1" customWidth="1"/>
    <col min="13580" max="13580" width="10.109375" style="1414" bestFit="1" customWidth="1"/>
    <col min="13581" max="13581" width="19.5546875" style="1414" customWidth="1"/>
    <col min="13582" max="13582" width="8.88671875" style="1414"/>
    <col min="13583" max="13583" width="22.88671875" style="1414" bestFit="1" customWidth="1"/>
    <col min="13584" max="13584" width="28.109375" style="1414" bestFit="1" customWidth="1"/>
    <col min="13585" max="13585" width="10.6640625" style="1414" bestFit="1" customWidth="1"/>
    <col min="13586" max="13586" width="7" style="1414" bestFit="1" customWidth="1"/>
    <col min="13587" max="13587" width="8.88671875" style="1414"/>
    <col min="13588" max="13588" width="15.5546875" style="1414" bestFit="1" customWidth="1"/>
    <col min="13589" max="13589" width="8.88671875" style="1414"/>
    <col min="13590" max="13590" width="22.88671875" style="1414" bestFit="1" customWidth="1"/>
    <col min="13591" max="13591" width="28.109375" style="1414" bestFit="1" customWidth="1"/>
    <col min="13592" max="13592" width="10.6640625" style="1414" bestFit="1" customWidth="1"/>
    <col min="13593" max="13593" width="7" style="1414" bestFit="1" customWidth="1"/>
    <col min="13594" max="13831" width="8.88671875" style="1414"/>
    <col min="13832" max="13832" width="36.109375" style="1414" customWidth="1"/>
    <col min="13833" max="13833" width="28.109375" style="1414" bestFit="1" customWidth="1"/>
    <col min="13834" max="13834" width="10.6640625" style="1414" bestFit="1" customWidth="1"/>
    <col min="13835" max="13835" width="8.6640625" style="1414" bestFit="1" customWidth="1"/>
    <col min="13836" max="13836" width="10.109375" style="1414" bestFit="1" customWidth="1"/>
    <col min="13837" max="13837" width="19.5546875" style="1414" customWidth="1"/>
    <col min="13838" max="13838" width="8.88671875" style="1414"/>
    <col min="13839" max="13839" width="22.88671875" style="1414" bestFit="1" customWidth="1"/>
    <col min="13840" max="13840" width="28.109375" style="1414" bestFit="1" customWidth="1"/>
    <col min="13841" max="13841" width="10.6640625" style="1414" bestFit="1" customWidth="1"/>
    <col min="13842" max="13842" width="7" style="1414" bestFit="1" customWidth="1"/>
    <col min="13843" max="13843" width="8.88671875" style="1414"/>
    <col min="13844" max="13844" width="15.5546875" style="1414" bestFit="1" customWidth="1"/>
    <col min="13845" max="13845" width="8.88671875" style="1414"/>
    <col min="13846" max="13846" width="22.88671875" style="1414" bestFit="1" customWidth="1"/>
    <col min="13847" max="13847" width="28.109375" style="1414" bestFit="1" customWidth="1"/>
    <col min="13848" max="13848" width="10.6640625" style="1414" bestFit="1" customWidth="1"/>
    <col min="13849" max="13849" width="7" style="1414" bestFit="1" customWidth="1"/>
    <col min="13850" max="14087" width="8.88671875" style="1414"/>
    <col min="14088" max="14088" width="36.109375" style="1414" customWidth="1"/>
    <col min="14089" max="14089" width="28.109375" style="1414" bestFit="1" customWidth="1"/>
    <col min="14090" max="14090" width="10.6640625" style="1414" bestFit="1" customWidth="1"/>
    <col min="14091" max="14091" width="8.6640625" style="1414" bestFit="1" customWidth="1"/>
    <col min="14092" max="14092" width="10.109375" style="1414" bestFit="1" customWidth="1"/>
    <col min="14093" max="14093" width="19.5546875" style="1414" customWidth="1"/>
    <col min="14094" max="14094" width="8.88671875" style="1414"/>
    <col min="14095" max="14095" width="22.88671875" style="1414" bestFit="1" customWidth="1"/>
    <col min="14096" max="14096" width="28.109375" style="1414" bestFit="1" customWidth="1"/>
    <col min="14097" max="14097" width="10.6640625" style="1414" bestFit="1" customWidth="1"/>
    <col min="14098" max="14098" width="7" style="1414" bestFit="1" customWidth="1"/>
    <col min="14099" max="14099" width="8.88671875" style="1414"/>
    <col min="14100" max="14100" width="15.5546875" style="1414" bestFit="1" customWidth="1"/>
    <col min="14101" max="14101" width="8.88671875" style="1414"/>
    <col min="14102" max="14102" width="22.88671875" style="1414" bestFit="1" customWidth="1"/>
    <col min="14103" max="14103" width="28.109375" style="1414" bestFit="1" customWidth="1"/>
    <col min="14104" max="14104" width="10.6640625" style="1414" bestFit="1" customWidth="1"/>
    <col min="14105" max="14105" width="7" style="1414" bestFit="1" customWidth="1"/>
    <col min="14106" max="14343" width="8.88671875" style="1414"/>
    <col min="14344" max="14344" width="36.109375" style="1414" customWidth="1"/>
    <col min="14345" max="14345" width="28.109375" style="1414" bestFit="1" customWidth="1"/>
    <col min="14346" max="14346" width="10.6640625" style="1414" bestFit="1" customWidth="1"/>
    <col min="14347" max="14347" width="8.6640625" style="1414" bestFit="1" customWidth="1"/>
    <col min="14348" max="14348" width="10.109375" style="1414" bestFit="1" customWidth="1"/>
    <col min="14349" max="14349" width="19.5546875" style="1414" customWidth="1"/>
    <col min="14350" max="14350" width="8.88671875" style="1414"/>
    <col min="14351" max="14351" width="22.88671875" style="1414" bestFit="1" customWidth="1"/>
    <col min="14352" max="14352" width="28.109375" style="1414" bestFit="1" customWidth="1"/>
    <col min="14353" max="14353" width="10.6640625" style="1414" bestFit="1" customWidth="1"/>
    <col min="14354" max="14354" width="7" style="1414" bestFit="1" customWidth="1"/>
    <col min="14355" max="14355" width="8.88671875" style="1414"/>
    <col min="14356" max="14356" width="15.5546875" style="1414" bestFit="1" customWidth="1"/>
    <col min="14357" max="14357" width="8.88671875" style="1414"/>
    <col min="14358" max="14358" width="22.88671875" style="1414" bestFit="1" customWidth="1"/>
    <col min="14359" max="14359" width="28.109375" style="1414" bestFit="1" customWidth="1"/>
    <col min="14360" max="14360" width="10.6640625" style="1414" bestFit="1" customWidth="1"/>
    <col min="14361" max="14361" width="7" style="1414" bestFit="1" customWidth="1"/>
    <col min="14362" max="14599" width="8.88671875" style="1414"/>
    <col min="14600" max="14600" width="36.109375" style="1414" customWidth="1"/>
    <col min="14601" max="14601" width="28.109375" style="1414" bestFit="1" customWidth="1"/>
    <col min="14602" max="14602" width="10.6640625" style="1414" bestFit="1" customWidth="1"/>
    <col min="14603" max="14603" width="8.6640625" style="1414" bestFit="1" customWidth="1"/>
    <col min="14604" max="14604" width="10.109375" style="1414" bestFit="1" customWidth="1"/>
    <col min="14605" max="14605" width="19.5546875" style="1414" customWidth="1"/>
    <col min="14606" max="14606" width="8.88671875" style="1414"/>
    <col min="14607" max="14607" width="22.88671875" style="1414" bestFit="1" customWidth="1"/>
    <col min="14608" max="14608" width="28.109375" style="1414" bestFit="1" customWidth="1"/>
    <col min="14609" max="14609" width="10.6640625" style="1414" bestFit="1" customWidth="1"/>
    <col min="14610" max="14610" width="7" style="1414" bestFit="1" customWidth="1"/>
    <col min="14611" max="14611" width="8.88671875" style="1414"/>
    <col min="14612" max="14612" width="15.5546875" style="1414" bestFit="1" customWidth="1"/>
    <col min="14613" max="14613" width="8.88671875" style="1414"/>
    <col min="14614" max="14614" width="22.88671875" style="1414" bestFit="1" customWidth="1"/>
    <col min="14615" max="14615" width="28.109375" style="1414" bestFit="1" customWidth="1"/>
    <col min="14616" max="14616" width="10.6640625" style="1414" bestFit="1" customWidth="1"/>
    <col min="14617" max="14617" width="7" style="1414" bestFit="1" customWidth="1"/>
    <col min="14618" max="14855" width="8.88671875" style="1414"/>
    <col min="14856" max="14856" width="36.109375" style="1414" customWidth="1"/>
    <col min="14857" max="14857" width="28.109375" style="1414" bestFit="1" customWidth="1"/>
    <col min="14858" max="14858" width="10.6640625" style="1414" bestFit="1" customWidth="1"/>
    <col min="14859" max="14859" width="8.6640625" style="1414" bestFit="1" customWidth="1"/>
    <col min="14860" max="14860" width="10.109375" style="1414" bestFit="1" customWidth="1"/>
    <col min="14861" max="14861" width="19.5546875" style="1414" customWidth="1"/>
    <col min="14862" max="14862" width="8.88671875" style="1414"/>
    <col min="14863" max="14863" width="22.88671875" style="1414" bestFit="1" customWidth="1"/>
    <col min="14864" max="14864" width="28.109375" style="1414" bestFit="1" customWidth="1"/>
    <col min="14865" max="14865" width="10.6640625" style="1414" bestFit="1" customWidth="1"/>
    <col min="14866" max="14866" width="7" style="1414" bestFit="1" customWidth="1"/>
    <col min="14867" max="14867" width="8.88671875" style="1414"/>
    <col min="14868" max="14868" width="15.5546875" style="1414" bestFit="1" customWidth="1"/>
    <col min="14869" max="14869" width="8.88671875" style="1414"/>
    <col min="14870" max="14870" width="22.88671875" style="1414" bestFit="1" customWidth="1"/>
    <col min="14871" max="14871" width="28.109375" style="1414" bestFit="1" customWidth="1"/>
    <col min="14872" max="14872" width="10.6640625" style="1414" bestFit="1" customWidth="1"/>
    <col min="14873" max="14873" width="7" style="1414" bestFit="1" customWidth="1"/>
    <col min="14874" max="15111" width="8.88671875" style="1414"/>
    <col min="15112" max="15112" width="36.109375" style="1414" customWidth="1"/>
    <col min="15113" max="15113" width="28.109375" style="1414" bestFit="1" customWidth="1"/>
    <col min="15114" max="15114" width="10.6640625" style="1414" bestFit="1" customWidth="1"/>
    <col min="15115" max="15115" width="8.6640625" style="1414" bestFit="1" customWidth="1"/>
    <col min="15116" max="15116" width="10.109375" style="1414" bestFit="1" customWidth="1"/>
    <col min="15117" max="15117" width="19.5546875" style="1414" customWidth="1"/>
    <col min="15118" max="15118" width="8.88671875" style="1414"/>
    <col min="15119" max="15119" width="22.88671875" style="1414" bestFit="1" customWidth="1"/>
    <col min="15120" max="15120" width="28.109375" style="1414" bestFit="1" customWidth="1"/>
    <col min="15121" max="15121" width="10.6640625" style="1414" bestFit="1" customWidth="1"/>
    <col min="15122" max="15122" width="7" style="1414" bestFit="1" customWidth="1"/>
    <col min="15123" max="15123" width="8.88671875" style="1414"/>
    <col min="15124" max="15124" width="15.5546875" style="1414" bestFit="1" customWidth="1"/>
    <col min="15125" max="15125" width="8.88671875" style="1414"/>
    <col min="15126" max="15126" width="22.88671875" style="1414" bestFit="1" customWidth="1"/>
    <col min="15127" max="15127" width="28.109375" style="1414" bestFit="1" customWidth="1"/>
    <col min="15128" max="15128" width="10.6640625" style="1414" bestFit="1" customWidth="1"/>
    <col min="15129" max="15129" width="7" style="1414" bestFit="1" customWidth="1"/>
    <col min="15130" max="15367" width="8.88671875" style="1414"/>
    <col min="15368" max="15368" width="36.109375" style="1414" customWidth="1"/>
    <col min="15369" max="15369" width="28.109375" style="1414" bestFit="1" customWidth="1"/>
    <col min="15370" max="15370" width="10.6640625" style="1414" bestFit="1" customWidth="1"/>
    <col min="15371" max="15371" width="8.6640625" style="1414" bestFit="1" customWidth="1"/>
    <col min="15372" max="15372" width="10.109375" style="1414" bestFit="1" customWidth="1"/>
    <col min="15373" max="15373" width="19.5546875" style="1414" customWidth="1"/>
    <col min="15374" max="15374" width="8.88671875" style="1414"/>
    <col min="15375" max="15375" width="22.88671875" style="1414" bestFit="1" customWidth="1"/>
    <col min="15376" max="15376" width="28.109375" style="1414" bestFit="1" customWidth="1"/>
    <col min="15377" max="15377" width="10.6640625" style="1414" bestFit="1" customWidth="1"/>
    <col min="15378" max="15378" width="7" style="1414" bestFit="1" customWidth="1"/>
    <col min="15379" max="15379" width="8.88671875" style="1414"/>
    <col min="15380" max="15380" width="15.5546875" style="1414" bestFit="1" customWidth="1"/>
    <col min="15381" max="15381" width="8.88671875" style="1414"/>
    <col min="15382" max="15382" width="22.88671875" style="1414" bestFit="1" customWidth="1"/>
    <col min="15383" max="15383" width="28.109375" style="1414" bestFit="1" customWidth="1"/>
    <col min="15384" max="15384" width="10.6640625" style="1414" bestFit="1" customWidth="1"/>
    <col min="15385" max="15385" width="7" style="1414" bestFit="1" customWidth="1"/>
    <col min="15386" max="15623" width="8.88671875" style="1414"/>
    <col min="15624" max="15624" width="36.109375" style="1414" customWidth="1"/>
    <col min="15625" max="15625" width="28.109375" style="1414" bestFit="1" customWidth="1"/>
    <col min="15626" max="15626" width="10.6640625" style="1414" bestFit="1" customWidth="1"/>
    <col min="15627" max="15627" width="8.6640625" style="1414" bestFit="1" customWidth="1"/>
    <col min="15628" max="15628" width="10.109375" style="1414" bestFit="1" customWidth="1"/>
    <col min="15629" max="15629" width="19.5546875" style="1414" customWidth="1"/>
    <col min="15630" max="15630" width="8.88671875" style="1414"/>
    <col min="15631" max="15631" width="22.88671875" style="1414" bestFit="1" customWidth="1"/>
    <col min="15632" max="15632" width="28.109375" style="1414" bestFit="1" customWidth="1"/>
    <col min="15633" max="15633" width="10.6640625" style="1414" bestFit="1" customWidth="1"/>
    <col min="15634" max="15634" width="7" style="1414" bestFit="1" customWidth="1"/>
    <col min="15635" max="15635" width="8.88671875" style="1414"/>
    <col min="15636" max="15636" width="15.5546875" style="1414" bestFit="1" customWidth="1"/>
    <col min="15637" max="15637" width="8.88671875" style="1414"/>
    <col min="15638" max="15638" width="22.88671875" style="1414" bestFit="1" customWidth="1"/>
    <col min="15639" max="15639" width="28.109375" style="1414" bestFit="1" customWidth="1"/>
    <col min="15640" max="15640" width="10.6640625" style="1414" bestFit="1" customWidth="1"/>
    <col min="15641" max="15641" width="7" style="1414" bestFit="1" customWidth="1"/>
    <col min="15642" max="15879" width="8.88671875" style="1414"/>
    <col min="15880" max="15880" width="36.109375" style="1414" customWidth="1"/>
    <col min="15881" max="15881" width="28.109375" style="1414" bestFit="1" customWidth="1"/>
    <col min="15882" max="15882" width="10.6640625" style="1414" bestFit="1" customWidth="1"/>
    <col min="15883" max="15883" width="8.6640625" style="1414" bestFit="1" customWidth="1"/>
    <col min="15884" max="15884" width="10.109375" style="1414" bestFit="1" customWidth="1"/>
    <col min="15885" max="15885" width="19.5546875" style="1414" customWidth="1"/>
    <col min="15886" max="15886" width="8.88671875" style="1414"/>
    <col min="15887" max="15887" width="22.88671875" style="1414" bestFit="1" customWidth="1"/>
    <col min="15888" max="15888" width="28.109375" style="1414" bestFit="1" customWidth="1"/>
    <col min="15889" max="15889" width="10.6640625" style="1414" bestFit="1" customWidth="1"/>
    <col min="15890" max="15890" width="7" style="1414" bestFit="1" customWidth="1"/>
    <col min="15891" max="15891" width="8.88671875" style="1414"/>
    <col min="15892" max="15892" width="15.5546875" style="1414" bestFit="1" customWidth="1"/>
    <col min="15893" max="15893" width="8.88671875" style="1414"/>
    <col min="15894" max="15894" width="22.88671875" style="1414" bestFit="1" customWidth="1"/>
    <col min="15895" max="15895" width="28.109375" style="1414" bestFit="1" customWidth="1"/>
    <col min="15896" max="15896" width="10.6640625" style="1414" bestFit="1" customWidth="1"/>
    <col min="15897" max="15897" width="7" style="1414" bestFit="1" customWidth="1"/>
    <col min="15898" max="16135" width="8.88671875" style="1414"/>
    <col min="16136" max="16136" width="36.109375" style="1414" customWidth="1"/>
    <col min="16137" max="16137" width="28.109375" style="1414" bestFit="1" customWidth="1"/>
    <col min="16138" max="16138" width="10.6640625" style="1414" bestFit="1" customWidth="1"/>
    <col min="16139" max="16139" width="8.6640625" style="1414" bestFit="1" customWidth="1"/>
    <col min="16140" max="16140" width="10.109375" style="1414" bestFit="1" customWidth="1"/>
    <col min="16141" max="16141" width="19.5546875" style="1414" customWidth="1"/>
    <col min="16142" max="16142" width="8.88671875" style="1414"/>
    <col min="16143" max="16143" width="22.88671875" style="1414" bestFit="1" customWidth="1"/>
    <col min="16144" max="16144" width="28.109375" style="1414" bestFit="1" customWidth="1"/>
    <col min="16145" max="16145" width="10.6640625" style="1414" bestFit="1" customWidth="1"/>
    <col min="16146" max="16146" width="7" style="1414" bestFit="1" customWidth="1"/>
    <col min="16147" max="16147" width="8.88671875" style="1414"/>
    <col min="16148" max="16148" width="15.5546875" style="1414" bestFit="1" customWidth="1"/>
    <col min="16149" max="16149" width="8.88671875" style="1414"/>
    <col min="16150" max="16150" width="22.88671875" style="1414" bestFit="1" customWidth="1"/>
    <col min="16151" max="16151" width="28.109375" style="1414" bestFit="1" customWidth="1"/>
    <col min="16152" max="16152" width="10.6640625" style="1414" bestFit="1" customWidth="1"/>
    <col min="16153" max="16153" width="7" style="1414" bestFit="1" customWidth="1"/>
    <col min="16154" max="16384" width="8.88671875" style="1414"/>
  </cols>
  <sheetData>
    <row r="1" spans="1:33">
      <c r="A1" s="1413" t="s">
        <v>407</v>
      </c>
      <c r="O1" s="1415" t="s">
        <v>408</v>
      </c>
      <c r="P1" s="1415"/>
      <c r="Q1" s="1415"/>
      <c r="R1" s="1415"/>
      <c r="S1" s="1415"/>
      <c r="T1" s="1415"/>
      <c r="U1" s="1415"/>
      <c r="V1" s="1415"/>
    </row>
    <row r="2" spans="1:33" ht="18" thickBot="1">
      <c r="A2" s="1416" t="s">
        <v>156</v>
      </c>
      <c r="L2" s="1332"/>
      <c r="M2" s="1332"/>
      <c r="N2" s="1332"/>
      <c r="O2" s="1415"/>
      <c r="P2" s="1415"/>
      <c r="Q2" s="1415"/>
      <c r="R2" s="1415"/>
      <c r="S2" s="1415"/>
      <c r="T2" s="1415"/>
      <c r="U2" s="1415"/>
      <c r="V2" s="1415"/>
      <c r="W2" s="1332"/>
      <c r="X2" s="1332"/>
      <c r="Y2" s="1332"/>
      <c r="Z2" s="1332"/>
      <c r="AA2" s="1332"/>
      <c r="AB2" s="1332"/>
    </row>
    <row r="3" spans="1:33" ht="18" thickBot="1">
      <c r="A3" s="1417" t="s">
        <v>409</v>
      </c>
      <c r="B3" s="1418"/>
      <c r="C3" s="1418"/>
      <c r="D3" s="1418"/>
      <c r="E3" s="1418"/>
      <c r="F3" s="1419"/>
      <c r="G3" s="1420"/>
      <c r="H3" s="1420"/>
      <c r="I3" s="1420"/>
      <c r="J3" s="1420"/>
      <c r="K3" s="1420"/>
      <c r="L3" s="1421"/>
      <c r="M3" s="1332"/>
      <c r="N3" s="1332"/>
      <c r="O3" s="1332"/>
      <c r="P3" s="1332"/>
      <c r="Q3" s="1332"/>
      <c r="R3" s="1332"/>
      <c r="S3" s="1332"/>
      <c r="T3" s="1422"/>
      <c r="U3" s="1421"/>
      <c r="V3" s="1332"/>
      <c r="W3" s="1332"/>
      <c r="X3" s="1332"/>
      <c r="Y3" s="1332"/>
      <c r="Z3" s="1332"/>
      <c r="AA3" s="1332"/>
      <c r="AB3" s="1332"/>
    </row>
    <row r="4" spans="1:33" ht="18" thickBot="1">
      <c r="A4" s="1423" t="s">
        <v>328</v>
      </c>
      <c r="B4" s="1424"/>
      <c r="C4" s="1425" t="s">
        <v>329</v>
      </c>
      <c r="D4" s="1426" t="s">
        <v>330</v>
      </c>
      <c r="E4" s="1427" t="s">
        <v>331</v>
      </c>
      <c r="F4" s="1428"/>
      <c r="G4" s="1429"/>
      <c r="H4" s="1429"/>
      <c r="I4" s="1429"/>
      <c r="J4" s="1429"/>
      <c r="K4" s="1429"/>
      <c r="L4" s="848"/>
      <c r="M4" s="1332"/>
      <c r="N4" s="1332"/>
      <c r="O4" s="1430" t="s">
        <v>400</v>
      </c>
      <c r="P4" s="1431"/>
      <c r="Q4" s="1431"/>
      <c r="R4" s="1431"/>
      <c r="S4" s="1431"/>
      <c r="T4" s="1431"/>
      <c r="U4" s="1431"/>
      <c r="V4" s="1432"/>
      <c r="W4" s="1332"/>
      <c r="X4" s="1332"/>
      <c r="Y4" s="1332"/>
      <c r="Z4" s="1332"/>
      <c r="AA4" s="1332"/>
      <c r="AB4" s="1332"/>
    </row>
    <row r="5" spans="1:33" ht="18" thickBot="1">
      <c r="A5" s="1433" t="s">
        <v>333</v>
      </c>
      <c r="B5" s="1434"/>
      <c r="C5" s="1435"/>
      <c r="D5" s="1436"/>
      <c r="E5" s="1437"/>
      <c r="F5" s="1438"/>
      <c r="G5" s="1429"/>
      <c r="H5" s="1429"/>
      <c r="I5" s="1429"/>
      <c r="J5" s="1429"/>
      <c r="K5" s="1429"/>
      <c r="L5" s="848"/>
      <c r="M5" s="1332"/>
      <c r="N5" s="1332"/>
      <c r="O5" s="1439" t="s">
        <v>166</v>
      </c>
      <c r="P5" s="1440"/>
      <c r="Q5" s="1441" t="s">
        <v>167</v>
      </c>
      <c r="R5" s="1441"/>
      <c r="S5" s="1441"/>
      <c r="T5" s="1441"/>
      <c r="U5" s="1441"/>
      <c r="V5" s="1442"/>
      <c r="W5" s="1332"/>
      <c r="X5" s="1332"/>
      <c r="Y5" s="1332"/>
      <c r="Z5" s="1332"/>
      <c r="AA5" s="1332"/>
      <c r="AB5" s="1332"/>
    </row>
    <row r="6" spans="1:33">
      <c r="A6" s="1433"/>
      <c r="B6" s="1443" t="s">
        <v>81</v>
      </c>
      <c r="C6" s="1444">
        <f>'[4]FY 09 UFR Salary Data'!$F$36</f>
        <v>33751.15474941882</v>
      </c>
      <c r="D6" s="1445">
        <v>0.15</v>
      </c>
      <c r="E6" s="1446">
        <f>C6*D6</f>
        <v>5062.673212412823</v>
      </c>
      <c r="F6" s="1447"/>
      <c r="G6" s="1429"/>
      <c r="H6" s="1429"/>
      <c r="I6" s="1429"/>
      <c r="J6" s="1429"/>
      <c r="K6" s="1429"/>
      <c r="L6" s="848"/>
      <c r="M6" s="1332"/>
      <c r="N6" s="1332"/>
      <c r="O6" s="1448" t="s">
        <v>117</v>
      </c>
      <c r="P6" s="1449">
        <f>'Master Look Up'!N23</f>
        <v>45375.199999999997</v>
      </c>
      <c r="Q6" s="1450" t="s">
        <v>279</v>
      </c>
      <c r="R6" s="1451"/>
      <c r="S6" s="1451"/>
      <c r="T6" s="1451"/>
      <c r="U6" s="1451"/>
      <c r="V6" s="1452"/>
      <c r="W6" s="1332"/>
      <c r="X6" s="1332"/>
      <c r="Y6" s="1332"/>
      <c r="Z6" s="1332"/>
      <c r="AA6" s="1332"/>
      <c r="AB6" s="1332"/>
    </row>
    <row r="7" spans="1:33">
      <c r="A7" s="1453" t="s">
        <v>337</v>
      </c>
      <c r="B7" s="1454"/>
      <c r="C7" s="1444"/>
      <c r="D7" s="1445">
        <f>SUM(D6:D6)</f>
        <v>0.15</v>
      </c>
      <c r="E7" s="1446">
        <f>SUM(E6:E6)</f>
        <v>5062.673212412823</v>
      </c>
      <c r="F7" s="1447"/>
      <c r="G7" s="1429"/>
      <c r="H7" s="1429"/>
      <c r="I7" s="1429"/>
      <c r="J7" s="1429"/>
      <c r="K7" s="1429"/>
      <c r="L7" s="848"/>
      <c r="M7" s="1332"/>
      <c r="N7" s="1332"/>
      <c r="O7" s="1455"/>
      <c r="P7" s="1456"/>
      <c r="Q7" s="1457"/>
      <c r="R7" s="1458"/>
      <c r="S7" s="1458"/>
      <c r="T7" s="1458"/>
      <c r="U7" s="1458"/>
      <c r="V7" s="1459"/>
      <c r="W7" s="1332"/>
      <c r="X7" s="1332"/>
      <c r="Y7" s="1332"/>
      <c r="Z7" s="1332"/>
      <c r="AA7" s="1332"/>
      <c r="AB7" s="1332"/>
    </row>
    <row r="8" spans="1:33" hidden="1">
      <c r="A8" s="1460" t="s">
        <v>338</v>
      </c>
      <c r="B8" s="1461" t="s">
        <v>339</v>
      </c>
      <c r="C8" s="1462">
        <v>0.22</v>
      </c>
      <c r="D8" s="1445"/>
      <c r="E8" s="1446">
        <f>E7*C8</f>
        <v>1113.788106730821</v>
      </c>
      <c r="F8" s="1447"/>
      <c r="G8" s="1429"/>
      <c r="H8" s="1429"/>
      <c r="I8" s="1429"/>
      <c r="J8" s="1429"/>
      <c r="K8" s="1429"/>
      <c r="L8" s="848"/>
      <c r="M8" s="1332"/>
      <c r="N8" s="1332"/>
      <c r="O8" s="1455"/>
      <c r="P8" s="1456"/>
      <c r="Q8" s="1457"/>
      <c r="R8" s="1458"/>
      <c r="S8" s="1458"/>
      <c r="T8" s="1458"/>
      <c r="U8" s="1458"/>
      <c r="V8" s="1459"/>
      <c r="W8" s="1332"/>
      <c r="X8" s="1332"/>
      <c r="Y8" s="1463"/>
      <c r="Z8" s="1332"/>
      <c r="AA8" s="1332"/>
      <c r="AB8" s="1332"/>
    </row>
    <row r="9" spans="1:33" hidden="1">
      <c r="A9" s="1464" t="s">
        <v>410</v>
      </c>
      <c r="B9" s="1465"/>
      <c r="C9" s="1465"/>
      <c r="D9" s="1465"/>
      <c r="E9" s="1466">
        <f>+SUM(E7:E8)</f>
        <v>6176.4613191436438</v>
      </c>
      <c r="F9" s="1467" t="e">
        <f>E9/#REF!</f>
        <v>#REF!</v>
      </c>
      <c r="G9" s="1420"/>
      <c r="H9" s="1420"/>
      <c r="I9" s="1420"/>
      <c r="J9" s="1420"/>
      <c r="K9" s="1420"/>
      <c r="L9" s="1421"/>
      <c r="M9" s="1332"/>
      <c r="N9" s="1332"/>
      <c r="O9" s="1455" t="s">
        <v>411</v>
      </c>
      <c r="P9" s="1456">
        <v>22590</v>
      </c>
      <c r="Q9" s="1457" t="s">
        <v>412</v>
      </c>
      <c r="R9" s="1458"/>
      <c r="S9" s="1458"/>
      <c r="T9" s="1458"/>
      <c r="U9" s="1458"/>
      <c r="V9" s="1459"/>
      <c r="X9" s="1332"/>
      <c r="Y9" s="1463"/>
      <c r="Z9" s="1332"/>
      <c r="AA9" s="1332"/>
      <c r="AB9" s="1332"/>
      <c r="AF9" s="1456">
        <v>22187.520000000004</v>
      </c>
      <c r="AG9" s="1414">
        <f>(AF9*(1+$P$20))</f>
        <v>22423.457768881446</v>
      </c>
    </row>
    <row r="10" spans="1:33" hidden="1">
      <c r="A10" s="1468" t="s">
        <v>413</v>
      </c>
      <c r="B10" s="1469"/>
      <c r="C10" s="1470"/>
      <c r="D10" s="1436"/>
      <c r="E10" s="1437">
        <v>5500</v>
      </c>
      <c r="F10" s="1447" t="e">
        <f>E10/#REF!</f>
        <v>#REF!</v>
      </c>
      <c r="G10" s="1429"/>
      <c r="H10" s="1429"/>
      <c r="I10" s="1429"/>
      <c r="J10" s="1429"/>
      <c r="K10" s="1429"/>
      <c r="L10" s="848"/>
      <c r="M10" s="1332"/>
      <c r="N10" s="1332"/>
      <c r="O10" s="1455" t="s">
        <v>414</v>
      </c>
      <c r="P10" s="1456">
        <v>30804</v>
      </c>
      <c r="Q10" s="1457" t="s">
        <v>412</v>
      </c>
      <c r="R10" s="1458"/>
      <c r="S10" s="1458"/>
      <c r="T10" s="1458"/>
      <c r="U10" s="1458"/>
      <c r="V10" s="1459"/>
      <c r="W10" s="1471"/>
      <c r="X10" s="1332"/>
      <c r="Y10" s="1463"/>
      <c r="Z10" s="1332"/>
      <c r="AA10" s="1332"/>
      <c r="AB10" s="1332"/>
      <c r="AF10" s="1456">
        <v>30256.176000000003</v>
      </c>
      <c r="AG10" s="1414">
        <f t="shared" ref="AG10:AG11" si="0">(AF10*(1+$P$20))</f>
        <v>30577.91428622236</v>
      </c>
    </row>
    <row r="11" spans="1:33" hidden="1">
      <c r="A11" s="1468" t="s">
        <v>415</v>
      </c>
      <c r="B11" s="1469" t="s">
        <v>416</v>
      </c>
      <c r="C11" s="1435"/>
      <c r="D11" s="1436"/>
      <c r="E11" s="1437">
        <f>55*365</f>
        <v>20075</v>
      </c>
      <c r="F11" s="1472" t="e">
        <f>E11/#REF!</f>
        <v>#REF!</v>
      </c>
      <c r="G11" s="1429"/>
      <c r="H11" s="1429"/>
      <c r="I11" s="1429"/>
      <c r="J11" s="1429"/>
      <c r="K11" s="1429"/>
      <c r="L11" s="848"/>
      <c r="M11" s="1332"/>
      <c r="N11" s="1332"/>
      <c r="O11" s="1455" t="s">
        <v>417</v>
      </c>
      <c r="P11" s="1456">
        <v>39018</v>
      </c>
      <c r="Q11" s="1457" t="s">
        <v>412</v>
      </c>
      <c r="R11" s="1458"/>
      <c r="S11" s="1458"/>
      <c r="T11" s="1458"/>
      <c r="U11" s="1458"/>
      <c r="V11" s="1459"/>
      <c r="W11" s="1471"/>
      <c r="X11" s="1332"/>
      <c r="Y11" s="1332"/>
      <c r="Z11" s="1332"/>
      <c r="AA11" s="1332"/>
      <c r="AB11" s="1332"/>
      <c r="AF11" s="1456">
        <v>38323.804800000005</v>
      </c>
      <c r="AG11" s="1414">
        <f t="shared" si="0"/>
        <v>38731.332680518419</v>
      </c>
    </row>
    <row r="12" spans="1:33" ht="18" hidden="1">
      <c r="A12" s="1473" t="s">
        <v>418</v>
      </c>
      <c r="B12" s="1474"/>
      <c r="C12" s="1475"/>
      <c r="D12" s="1476"/>
      <c r="E12" s="1477">
        <f>SUM(E11:E11)</f>
        <v>20075</v>
      </c>
      <c r="F12" s="1467" t="e">
        <f>E12/#REF!</f>
        <v>#REF!</v>
      </c>
      <c r="G12" s="1429"/>
      <c r="H12" s="1429"/>
      <c r="I12" s="1429"/>
      <c r="J12" s="1429"/>
      <c r="K12" s="1429"/>
      <c r="L12" s="848"/>
      <c r="M12" s="1332"/>
      <c r="N12" s="1332"/>
      <c r="O12" s="1478"/>
      <c r="P12" s="1420"/>
      <c r="Q12" s="1420"/>
      <c r="R12" s="1420"/>
      <c r="S12" s="1420"/>
      <c r="T12" s="1420"/>
      <c r="U12" s="1420"/>
      <c r="V12" s="1479"/>
      <c r="W12" s="1332"/>
      <c r="X12" s="1332"/>
      <c r="Y12" s="1332"/>
      <c r="Z12" s="1332"/>
      <c r="AA12" s="1332"/>
      <c r="AB12" s="1332"/>
    </row>
    <row r="13" spans="1:33" ht="18">
      <c r="A13" s="1480"/>
      <c r="B13" s="1481"/>
      <c r="C13" s="1482"/>
      <c r="D13" s="1483"/>
      <c r="E13" s="1484"/>
      <c r="F13" s="1447"/>
      <c r="G13" s="1429"/>
      <c r="H13" s="1429"/>
      <c r="I13" s="1429"/>
      <c r="J13" s="1429"/>
      <c r="K13" s="1429"/>
      <c r="L13" s="848"/>
      <c r="M13" s="1332"/>
      <c r="N13" s="1332"/>
      <c r="O13" s="1455" t="s">
        <v>419</v>
      </c>
      <c r="P13" s="1485">
        <f>'Master Look Up'!E9</f>
        <v>474.11060420697481</v>
      </c>
      <c r="Q13" s="1457" t="s">
        <v>420</v>
      </c>
      <c r="R13" s="1458"/>
      <c r="S13" s="1458"/>
      <c r="T13" s="1458"/>
      <c r="U13" s="1458"/>
      <c r="V13" s="1459"/>
      <c r="W13" s="1332"/>
      <c r="X13" s="1332"/>
      <c r="Y13" s="1332"/>
      <c r="Z13" s="1332"/>
      <c r="AA13" s="1332"/>
      <c r="AB13" s="1332"/>
    </row>
    <row r="14" spans="1:33" ht="18">
      <c r="A14" s="1480"/>
      <c r="B14" s="1481"/>
      <c r="C14" s="1482"/>
      <c r="D14" s="1483"/>
      <c r="E14" s="1484"/>
      <c r="F14" s="1447"/>
      <c r="G14" s="1429"/>
      <c r="H14" s="1429"/>
      <c r="I14" s="1429"/>
      <c r="J14" s="1429"/>
      <c r="K14" s="1429"/>
      <c r="L14" s="848"/>
      <c r="M14" s="1332"/>
      <c r="N14" s="1332"/>
      <c r="O14" s="1455" t="s">
        <v>73</v>
      </c>
      <c r="P14" s="1485">
        <f>'Master Look Up'!E4</f>
        <v>5963.9694954316819</v>
      </c>
      <c r="Q14" s="1457" t="s">
        <v>420</v>
      </c>
      <c r="R14" s="1458"/>
      <c r="S14" s="1458"/>
      <c r="T14" s="1458"/>
      <c r="U14" s="1458"/>
      <c r="V14" s="1459"/>
      <c r="W14" s="1332"/>
      <c r="X14" s="1332"/>
      <c r="Y14" s="1332"/>
      <c r="Z14" s="1332"/>
      <c r="AA14" s="1332"/>
      <c r="AB14" s="1332"/>
    </row>
    <row r="15" spans="1:33" ht="18">
      <c r="A15" s="1480"/>
      <c r="B15" s="1481"/>
      <c r="C15" s="1482"/>
      <c r="D15" s="1483"/>
      <c r="E15" s="1484"/>
      <c r="F15" s="1447"/>
      <c r="G15" s="1429"/>
      <c r="H15" s="1429"/>
      <c r="I15" s="1429"/>
      <c r="J15" s="1429"/>
      <c r="K15" s="1429"/>
      <c r="L15" s="848"/>
      <c r="M15" s="1332"/>
      <c r="N15" s="1332"/>
      <c r="O15" s="1455"/>
      <c r="P15" s="1486"/>
      <c r="Q15" s="1457"/>
      <c r="R15" s="1458"/>
      <c r="S15" s="1458"/>
      <c r="T15" s="1458"/>
      <c r="U15" s="1458"/>
      <c r="V15" s="1459"/>
      <c r="W15" s="1332"/>
      <c r="X15" s="1332"/>
      <c r="Y15" s="1332"/>
      <c r="Z15" s="1332"/>
      <c r="AA15" s="1332"/>
      <c r="AB15" s="1332"/>
    </row>
    <row r="16" spans="1:33" ht="18">
      <c r="A16" s="1480"/>
      <c r="B16" s="1481"/>
      <c r="C16" s="1482"/>
      <c r="D16" s="1483"/>
      <c r="E16" s="1484"/>
      <c r="F16" s="1447"/>
      <c r="G16" s="1429"/>
      <c r="H16" s="1429"/>
      <c r="I16" s="1429"/>
      <c r="J16" s="1429"/>
      <c r="K16" s="1429"/>
      <c r="L16" s="848"/>
      <c r="M16" s="1332"/>
      <c r="N16" s="1332"/>
      <c r="O16" s="1455"/>
      <c r="P16" s="1487"/>
      <c r="Q16" s="1457"/>
      <c r="R16" s="1458"/>
      <c r="S16" s="1458"/>
      <c r="T16" s="1458"/>
      <c r="U16" s="1458"/>
      <c r="V16" s="1459"/>
      <c r="W16" s="1332"/>
      <c r="X16" s="1332"/>
      <c r="Y16" s="1332"/>
      <c r="Z16" s="1332"/>
      <c r="AA16" s="1332"/>
      <c r="AB16" s="1332"/>
    </row>
    <row r="17" spans="1:28">
      <c r="A17" s="1460" t="s">
        <v>341</v>
      </c>
      <c r="B17" s="1461"/>
      <c r="C17" s="1444"/>
      <c r="D17" s="1445"/>
      <c r="E17" s="1446">
        <f>SUM(E7,E8,E10:E11)</f>
        <v>31751.461319143644</v>
      </c>
      <c r="F17" s="1447" t="e">
        <f>E17/#REF!</f>
        <v>#REF!</v>
      </c>
      <c r="G17" s="1429"/>
      <c r="H17" s="1429"/>
      <c r="I17" s="1429"/>
      <c r="J17" s="1429"/>
      <c r="K17" s="1429"/>
      <c r="L17" s="848"/>
      <c r="M17" s="1332"/>
      <c r="N17" s="1332"/>
      <c r="O17" s="1455" t="s">
        <v>183</v>
      </c>
      <c r="P17" s="1488">
        <f>'Master Look Up'!D25</f>
        <v>0.224</v>
      </c>
      <c r="Q17" s="1457" t="s">
        <v>143</v>
      </c>
      <c r="R17" s="1458"/>
      <c r="S17" s="1458"/>
      <c r="T17" s="1458"/>
      <c r="U17" s="1458"/>
      <c r="V17" s="1459"/>
      <c r="W17" s="1332"/>
      <c r="X17" s="1332"/>
      <c r="Y17" s="1332"/>
      <c r="Z17" s="1332"/>
      <c r="AA17" s="1332"/>
      <c r="AB17" s="1332"/>
    </row>
    <row r="18" spans="1:28">
      <c r="A18" s="1468"/>
      <c r="B18" s="1469"/>
      <c r="C18" s="1435"/>
      <c r="D18" s="1436"/>
      <c r="E18" s="1437"/>
      <c r="F18" s="1447"/>
      <c r="G18" s="1429"/>
      <c r="H18" s="1429"/>
      <c r="I18" s="1429"/>
      <c r="J18" s="1429"/>
      <c r="K18" s="1429"/>
      <c r="L18" s="848"/>
      <c r="M18" s="1332"/>
      <c r="N18" s="1332"/>
      <c r="O18" s="1455" t="s">
        <v>347</v>
      </c>
      <c r="P18" s="1488">
        <f>'Master Look Up'!D30</f>
        <v>0.12</v>
      </c>
      <c r="Q18" s="1457" t="s">
        <v>151</v>
      </c>
      <c r="R18" s="1458"/>
      <c r="S18" s="1458"/>
      <c r="T18" s="1458"/>
      <c r="U18" s="1458"/>
      <c r="V18" s="1459"/>
      <c r="W18" s="1332"/>
      <c r="X18" s="1332"/>
      <c r="Y18" s="1332"/>
      <c r="Z18" s="1332"/>
      <c r="AA18" s="1332"/>
      <c r="AB18" s="1332"/>
    </row>
    <row r="19" spans="1:28">
      <c r="A19" s="1468"/>
      <c r="B19" s="1469"/>
      <c r="C19" s="1435"/>
      <c r="D19" s="1436"/>
      <c r="E19" s="1437"/>
      <c r="F19" s="1447"/>
      <c r="G19" s="1429"/>
      <c r="H19" s="1429"/>
      <c r="I19" s="1429"/>
      <c r="J19" s="1429"/>
      <c r="K19" s="1429"/>
      <c r="L19" s="848"/>
      <c r="M19" s="1332"/>
      <c r="N19" s="1332"/>
      <c r="O19" s="1455" t="s">
        <v>61</v>
      </c>
      <c r="P19" s="1489">
        <v>3.7000000000000002E-3</v>
      </c>
      <c r="Q19" s="1457" t="s">
        <v>186</v>
      </c>
      <c r="R19" s="1458"/>
      <c r="S19" s="1458"/>
      <c r="T19" s="1458"/>
      <c r="U19" s="1458"/>
      <c r="V19" s="1459"/>
      <c r="W19" s="1332"/>
      <c r="X19" s="1332"/>
      <c r="Y19" s="1332"/>
      <c r="Z19" s="1332"/>
      <c r="AA19" s="1332"/>
      <c r="AB19" s="1332"/>
    </row>
    <row r="20" spans="1:28" ht="18" thickBot="1">
      <c r="A20" s="1490" t="s">
        <v>342</v>
      </c>
      <c r="B20" s="1491" t="s">
        <v>343</v>
      </c>
      <c r="C20" s="1492">
        <v>0.11</v>
      </c>
      <c r="D20" s="1493"/>
      <c r="E20" s="1494">
        <f>C20*E17</f>
        <v>3492.6607451058007</v>
      </c>
      <c r="F20" s="1447" t="e">
        <f>E20/#REF!</f>
        <v>#REF!</v>
      </c>
      <c r="G20" s="1429"/>
      <c r="H20" s="1429"/>
      <c r="I20" s="1429"/>
      <c r="J20" s="1429"/>
      <c r="K20" s="1429"/>
      <c r="L20" s="848"/>
      <c r="M20" s="1332"/>
      <c r="N20" s="1332"/>
      <c r="O20" s="1495" t="s">
        <v>348</v>
      </c>
      <c r="P20" s="1496">
        <f>'Master Look Up'!D33</f>
        <v>1.0633805350099574E-2</v>
      </c>
      <c r="Q20" s="1497" t="s">
        <v>153</v>
      </c>
      <c r="R20" s="1498"/>
      <c r="S20" s="1498"/>
      <c r="T20" s="1498"/>
      <c r="U20" s="1498"/>
      <c r="V20" s="1499"/>
      <c r="W20" s="1332"/>
      <c r="X20" s="1332"/>
      <c r="Y20" s="1332"/>
      <c r="Z20" s="1332"/>
      <c r="AA20" s="1332"/>
      <c r="AB20" s="1332"/>
    </row>
    <row r="21" spans="1:28" ht="18" hidden="1" thickBot="1">
      <c r="A21" s="1500" t="s">
        <v>344</v>
      </c>
      <c r="B21" s="1501"/>
      <c r="C21" s="1502"/>
      <c r="D21" s="1493"/>
      <c r="E21" s="1494">
        <f>E20</f>
        <v>3492.6607451058007</v>
      </c>
      <c r="F21" s="1447" t="e">
        <f>E21/#REF!</f>
        <v>#REF!</v>
      </c>
      <c r="G21" s="1429"/>
      <c r="H21" s="1429"/>
      <c r="I21" s="1429"/>
      <c r="J21" s="1429"/>
      <c r="K21" s="1429"/>
      <c r="L21" s="848"/>
      <c r="M21" s="1332"/>
      <c r="N21" s="1332"/>
      <c r="O21" s="1503" t="s">
        <v>421</v>
      </c>
      <c r="P21" s="1504">
        <f>'[5]CAF Spring17'!BK27</f>
        <v>2.7235921972764018E-2</v>
      </c>
      <c r="Q21" s="1505" t="s">
        <v>422</v>
      </c>
      <c r="R21" s="1506"/>
      <c r="S21" s="1506"/>
      <c r="T21" s="1506"/>
      <c r="U21" s="1506"/>
      <c r="V21" s="1507"/>
      <c r="W21" s="1332"/>
      <c r="X21" s="1332"/>
      <c r="Y21" s="1421"/>
      <c r="Z21" s="1332"/>
      <c r="AA21" s="1332"/>
      <c r="AB21" s="1421"/>
    </row>
    <row r="22" spans="1:28" ht="18" thickBot="1">
      <c r="A22" s="1508"/>
      <c r="B22" s="1509"/>
      <c r="C22" s="1510"/>
      <c r="D22" s="1511"/>
      <c r="E22" s="1512"/>
      <c r="F22" s="1447"/>
      <c r="G22" s="1429"/>
      <c r="H22" s="1429"/>
      <c r="I22" s="1429"/>
      <c r="J22" s="1429"/>
      <c r="K22" s="1429"/>
      <c r="L22" s="848"/>
      <c r="M22" s="848"/>
      <c r="N22" s="848"/>
      <c r="O22" s="848"/>
      <c r="P22" s="848"/>
      <c r="Q22" s="848"/>
      <c r="R22" s="848"/>
      <c r="S22" s="1332"/>
      <c r="T22" s="1332"/>
      <c r="U22" s="1332"/>
      <c r="V22" s="1422"/>
      <c r="W22" s="1332"/>
      <c r="X22" s="1332"/>
      <c r="Y22" s="1332"/>
      <c r="Z22" s="1332"/>
      <c r="AA22" s="1332"/>
      <c r="AB22" s="1421"/>
    </row>
    <row r="23" spans="1:28" ht="18" thickBot="1">
      <c r="A23" s="1417" t="s">
        <v>423</v>
      </c>
      <c r="B23" s="1418"/>
      <c r="C23" s="1418"/>
      <c r="D23" s="1418"/>
      <c r="E23" s="1418"/>
      <c r="F23" s="1419"/>
      <c r="L23" s="1332"/>
      <c r="M23" s="1332"/>
      <c r="N23" s="1332"/>
      <c r="O23" s="1332"/>
      <c r="P23" s="1332"/>
      <c r="Q23" s="1332"/>
      <c r="R23" s="1332"/>
      <c r="S23" s="1332"/>
      <c r="T23" s="1422"/>
      <c r="U23" s="1332"/>
      <c r="V23" s="1332"/>
      <c r="W23" s="1332"/>
      <c r="X23" s="1332"/>
      <c r="Y23" s="1332"/>
      <c r="Z23" s="1332"/>
      <c r="AA23" s="1332"/>
      <c r="AB23" s="1332"/>
    </row>
    <row r="24" spans="1:28" ht="18" thickBot="1">
      <c r="A24" s="1423" t="s">
        <v>328</v>
      </c>
      <c r="B24" s="1424"/>
      <c r="C24" s="1425" t="s">
        <v>329</v>
      </c>
      <c r="D24" s="1426" t="s">
        <v>330</v>
      </c>
      <c r="E24" s="1427" t="s">
        <v>331</v>
      </c>
      <c r="F24" s="1428"/>
      <c r="L24" s="1513" t="s">
        <v>424</v>
      </c>
      <c r="M24" s="1514"/>
      <c r="N24" s="1514"/>
      <c r="O24" s="1515"/>
      <c r="P24" s="1332"/>
      <c r="Q24" s="1516" t="s">
        <v>425</v>
      </c>
      <c r="R24" s="1517"/>
      <c r="S24" s="1517"/>
      <c r="T24" s="1518"/>
      <c r="U24" s="1332"/>
      <c r="V24" s="1516" t="s">
        <v>426</v>
      </c>
      <c r="W24" s="1517"/>
      <c r="X24" s="1517"/>
      <c r="Y24" s="1518"/>
      <c r="Z24" s="1332"/>
      <c r="AA24" s="1332"/>
      <c r="AB24" s="1332"/>
    </row>
    <row r="25" spans="1:28">
      <c r="A25" s="1433" t="s">
        <v>333</v>
      </c>
      <c r="B25" s="1434"/>
      <c r="C25" s="1435"/>
      <c r="D25" s="1436"/>
      <c r="E25" s="1437"/>
      <c r="F25" s="1438"/>
      <c r="L25" s="1519"/>
      <c r="M25" s="1520" t="s">
        <v>290</v>
      </c>
      <c r="N25" s="1520">
        <v>365</v>
      </c>
      <c r="O25" s="1521"/>
      <c r="P25" s="1332"/>
      <c r="Q25" s="1519"/>
      <c r="R25" s="1520" t="s">
        <v>290</v>
      </c>
      <c r="S25" s="1520">
        <v>365</v>
      </c>
      <c r="T25" s="1521"/>
      <c r="U25" s="1332"/>
      <c r="V25" s="1519"/>
      <c r="W25" s="1520" t="s">
        <v>290</v>
      </c>
      <c r="X25" s="1520">
        <v>365</v>
      </c>
      <c r="Y25" s="1521"/>
      <c r="Z25" s="1332"/>
      <c r="AA25" s="1332"/>
      <c r="AB25" s="1332"/>
    </row>
    <row r="26" spans="1:28" ht="18" thickBot="1">
      <c r="A26" s="1433"/>
      <c r="B26" s="1443" t="s">
        <v>81</v>
      </c>
      <c r="C26" s="1444">
        <f>'[4]FY 09 UFR Salary Data'!$F$36</f>
        <v>33751.15474941882</v>
      </c>
      <c r="D26" s="1445">
        <v>0.15</v>
      </c>
      <c r="E26" s="1446">
        <f>C26*D26</f>
        <v>5062.673212412823</v>
      </c>
      <c r="F26" s="1447"/>
      <c r="L26" s="1522"/>
      <c r="M26" s="1523" t="s">
        <v>172</v>
      </c>
      <c r="N26" s="1523" t="s">
        <v>216</v>
      </c>
      <c r="O26" s="1524" t="s">
        <v>174</v>
      </c>
      <c r="P26" s="1332"/>
      <c r="Q26" s="1525"/>
      <c r="R26" s="1526" t="s">
        <v>172</v>
      </c>
      <c r="S26" s="1526" t="s">
        <v>216</v>
      </c>
      <c r="T26" s="1527" t="s">
        <v>174</v>
      </c>
      <c r="U26" s="1332"/>
      <c r="V26" s="1525"/>
      <c r="W26" s="1526" t="s">
        <v>172</v>
      </c>
      <c r="X26" s="1526" t="s">
        <v>216</v>
      </c>
      <c r="Y26" s="1527" t="s">
        <v>174</v>
      </c>
      <c r="Z26" s="1332"/>
      <c r="AA26" s="1332"/>
      <c r="AB26" s="1332"/>
    </row>
    <row r="27" spans="1:28" ht="18" thickBot="1">
      <c r="A27" s="1453" t="s">
        <v>337</v>
      </c>
      <c r="B27" s="1454"/>
      <c r="C27" s="1444"/>
      <c r="D27" s="1445">
        <f>SUM(D26:D26)</f>
        <v>0.15</v>
      </c>
      <c r="E27" s="1446">
        <f>SUM(E26:E26)</f>
        <v>5062.673212412823</v>
      </c>
      <c r="F27" s="1447"/>
      <c r="L27" s="1528" t="str">
        <f>O6</f>
        <v>Case Worker</v>
      </c>
      <c r="M27" s="1529">
        <f>P6</f>
        <v>45375.199999999997</v>
      </c>
      <c r="N27" s="1530">
        <v>0.15</v>
      </c>
      <c r="O27" s="1531">
        <f>M27*N27</f>
        <v>6806.28</v>
      </c>
      <c r="P27" s="1332"/>
      <c r="Q27" s="1528" t="str">
        <f>O6</f>
        <v>Case Worker</v>
      </c>
      <c r="R27" s="1529">
        <f>P6</f>
        <v>45375.199999999997</v>
      </c>
      <c r="S27" s="1530">
        <v>0.15</v>
      </c>
      <c r="T27" s="1531">
        <f>R27*S27</f>
        <v>6806.28</v>
      </c>
      <c r="U27" s="1332"/>
      <c r="V27" s="1528" t="str">
        <f>O6</f>
        <v>Case Worker</v>
      </c>
      <c r="W27" s="1529">
        <f>P6</f>
        <v>45375.199999999997</v>
      </c>
      <c r="X27" s="1530">
        <v>0.15</v>
      </c>
      <c r="Y27" s="1531">
        <f>W27*X27</f>
        <v>6806.28</v>
      </c>
      <c r="Z27" s="1332"/>
      <c r="AA27" s="1332"/>
      <c r="AB27" s="1332"/>
    </row>
    <row r="28" spans="1:28">
      <c r="A28" s="1433" t="s">
        <v>410</v>
      </c>
      <c r="B28" s="1532"/>
      <c r="C28" s="1532"/>
      <c r="D28" s="1532"/>
      <c r="E28" s="1533">
        <f>+SUM(E27:E27)</f>
        <v>5062.673212412823</v>
      </c>
      <c r="F28" s="1534" t="e">
        <f t="shared" ref="F28:F38" si="1">E28/$E$42</f>
        <v>#REF!</v>
      </c>
      <c r="L28" s="1535" t="s">
        <v>340</v>
      </c>
      <c r="M28" s="1536"/>
      <c r="N28" s="1421"/>
      <c r="O28" s="1537">
        <f>SUM(O27:O27)</f>
        <v>6806.28</v>
      </c>
      <c r="P28" s="1332"/>
      <c r="Q28" s="1535" t="s">
        <v>340</v>
      </c>
      <c r="R28" s="1536"/>
      <c r="S28" s="1421"/>
      <c r="T28" s="1537">
        <f>SUM(T27:T27)</f>
        <v>6806.28</v>
      </c>
      <c r="U28" s="1332"/>
      <c r="V28" s="1535" t="s">
        <v>340</v>
      </c>
      <c r="W28" s="1536"/>
      <c r="X28" s="1421"/>
      <c r="Y28" s="1537">
        <f>SUM(Y27:Y27)</f>
        <v>6806.28</v>
      </c>
      <c r="Z28" s="1332"/>
      <c r="AA28" s="1332"/>
      <c r="AB28" s="1332"/>
    </row>
    <row r="29" spans="1:28" ht="18" thickBot="1">
      <c r="A29" s="1468" t="s">
        <v>427</v>
      </c>
      <c r="B29" s="1469"/>
      <c r="C29" s="1470"/>
      <c r="D29" s="1436"/>
      <c r="E29" s="1437">
        <v>5500</v>
      </c>
      <c r="F29" s="1447" t="e">
        <f t="shared" si="1"/>
        <v>#REF!</v>
      </c>
      <c r="L29" s="1535" t="s">
        <v>183</v>
      </c>
      <c r="M29" s="1538">
        <f>P17</f>
        <v>0.224</v>
      </c>
      <c r="N29" s="1421"/>
      <c r="O29" s="1539">
        <f>M29*O28</f>
        <v>1524.60672</v>
      </c>
      <c r="P29" s="1332"/>
      <c r="Q29" s="1535" t="s">
        <v>183</v>
      </c>
      <c r="R29" s="1538">
        <f>P17</f>
        <v>0.224</v>
      </c>
      <c r="S29" s="1421"/>
      <c r="T29" s="1539">
        <f>R29*T28</f>
        <v>1524.60672</v>
      </c>
      <c r="U29" s="1332"/>
      <c r="V29" s="1535" t="s">
        <v>183</v>
      </c>
      <c r="W29" s="1538">
        <f>P17</f>
        <v>0.224</v>
      </c>
      <c r="X29" s="1421"/>
      <c r="Y29" s="1539">
        <f>W29*Y28</f>
        <v>1524.60672</v>
      </c>
      <c r="Z29" s="1332"/>
      <c r="AA29" s="1332"/>
      <c r="AB29" s="1332"/>
    </row>
    <row r="30" spans="1:28" ht="18.600000000000001" thickTop="1" thickBot="1">
      <c r="A30" s="1468" t="s">
        <v>415</v>
      </c>
      <c r="B30" s="1469" t="s">
        <v>428</v>
      </c>
      <c r="C30" s="1435"/>
      <c r="D30" s="1436"/>
      <c r="E30" s="1437">
        <f>75*365</f>
        <v>27375</v>
      </c>
      <c r="F30" s="1472" t="e">
        <f t="shared" si="1"/>
        <v>#REF!</v>
      </c>
      <c r="L30" s="1535" t="s">
        <v>225</v>
      </c>
      <c r="M30" s="1536"/>
      <c r="N30" s="1421"/>
      <c r="O30" s="1537">
        <f>O28+O29</f>
        <v>8330.8867200000004</v>
      </c>
      <c r="P30" s="1332"/>
      <c r="Q30" s="1535" t="s">
        <v>225</v>
      </c>
      <c r="R30" s="1536"/>
      <c r="S30" s="1421"/>
      <c r="T30" s="1537">
        <f>T28+T29</f>
        <v>8330.8867200000004</v>
      </c>
      <c r="U30" s="1332"/>
      <c r="V30" s="1535" t="s">
        <v>225</v>
      </c>
      <c r="W30" s="1536"/>
      <c r="X30" s="1421"/>
      <c r="Y30" s="1537">
        <f>Y28+Y29</f>
        <v>8330.8867200000004</v>
      </c>
      <c r="Z30" s="1332"/>
      <c r="AA30" s="1332"/>
      <c r="AB30" s="1332"/>
    </row>
    <row r="31" spans="1:28" ht="18">
      <c r="A31" s="1473" t="s">
        <v>418</v>
      </c>
      <c r="B31" s="1474"/>
      <c r="C31" s="1475"/>
      <c r="D31" s="1476"/>
      <c r="E31" s="1477">
        <f>SUM(E30:E30)</f>
        <v>27375</v>
      </c>
      <c r="F31" s="1540" t="e">
        <f>E31/$E$42</f>
        <v>#REF!</v>
      </c>
      <c r="L31" s="1528" t="s">
        <v>429</v>
      </c>
      <c r="M31" s="1541"/>
      <c r="N31" s="1530"/>
      <c r="O31" s="1542"/>
      <c r="P31" s="1332"/>
      <c r="Q31" s="1528" t="s">
        <v>429</v>
      </c>
      <c r="R31" s="1541"/>
      <c r="S31" s="1530"/>
      <c r="T31" s="1542"/>
      <c r="U31" s="1332"/>
      <c r="V31" s="1528" t="s">
        <v>429</v>
      </c>
      <c r="W31" s="1541"/>
      <c r="X31" s="1530"/>
      <c r="Y31" s="1542"/>
      <c r="Z31" s="1332"/>
      <c r="AA31" s="1332"/>
      <c r="AB31" s="1332"/>
    </row>
    <row r="32" spans="1:28">
      <c r="A32" s="1453" t="s">
        <v>341</v>
      </c>
      <c r="B32" s="1461"/>
      <c r="C32" s="1444"/>
      <c r="D32" s="1445"/>
      <c r="E32" s="1446" t="e">
        <f>SUM(E27,#REF!,E29:E30)</f>
        <v>#REF!</v>
      </c>
      <c r="F32" s="1447" t="e">
        <f t="shared" si="1"/>
        <v>#REF!</v>
      </c>
      <c r="L32" s="1543" t="s">
        <v>94</v>
      </c>
      <c r="M32" s="1536"/>
      <c r="N32" s="1421"/>
      <c r="O32" s="1537">
        <f>P13</f>
        <v>474.11060420697481</v>
      </c>
      <c r="P32" s="1332"/>
      <c r="Q32" s="1543" t="s">
        <v>94</v>
      </c>
      <c r="R32" s="1536"/>
      <c r="S32" s="1421"/>
      <c r="T32" s="1537">
        <f>P13</f>
        <v>474.11060420697481</v>
      </c>
      <c r="U32" s="1332"/>
      <c r="V32" s="1543" t="s">
        <v>94</v>
      </c>
      <c r="W32" s="1536"/>
      <c r="X32" s="1421"/>
      <c r="Y32" s="1537">
        <f>P13</f>
        <v>474.11060420697481</v>
      </c>
      <c r="Z32" s="1332"/>
      <c r="AA32" s="1332"/>
      <c r="AB32" s="1332"/>
    </row>
    <row r="33" spans="1:28">
      <c r="A33" s="1468"/>
      <c r="B33" s="1469"/>
      <c r="C33" s="1435"/>
      <c r="D33" s="1436"/>
      <c r="E33" s="1437"/>
      <c r="F33" s="1447"/>
      <c r="L33" s="1543" t="s">
        <v>73</v>
      </c>
      <c r="M33" s="1536"/>
      <c r="N33" s="1421"/>
      <c r="O33" s="1537">
        <f>P14</f>
        <v>5963.9694954316819</v>
      </c>
      <c r="P33" s="1332"/>
      <c r="Q33" s="1543" t="s">
        <v>73</v>
      </c>
      <c r="R33" s="1536"/>
      <c r="S33" s="1421"/>
      <c r="T33" s="1537">
        <f>P14</f>
        <v>5963.9694954316819</v>
      </c>
      <c r="U33" s="1332"/>
      <c r="V33" s="1543" t="s">
        <v>73</v>
      </c>
      <c r="W33" s="1536"/>
      <c r="X33" s="1421"/>
      <c r="Y33" s="1537">
        <f>P14</f>
        <v>5963.9694954316819</v>
      </c>
      <c r="Z33" s="1332"/>
      <c r="AA33" s="1332"/>
      <c r="AB33" s="1332"/>
    </row>
    <row r="34" spans="1:28">
      <c r="A34" s="1468"/>
      <c r="B34" s="1469"/>
      <c r="C34" s="1435"/>
      <c r="D34" s="1436"/>
      <c r="E34" s="1437"/>
      <c r="F34" s="1447"/>
      <c r="L34" s="1543"/>
      <c r="M34" s="1536"/>
      <c r="N34" s="1421"/>
      <c r="O34" s="1537"/>
      <c r="P34" s="1332"/>
      <c r="Q34" s="1543"/>
      <c r="R34" s="1536"/>
      <c r="S34" s="1421"/>
      <c r="T34" s="1537"/>
      <c r="U34" s="1332"/>
      <c r="V34" s="1543"/>
      <c r="W34" s="1536"/>
      <c r="X34" s="1421"/>
      <c r="Y34" s="1537"/>
      <c r="Z34" s="1332"/>
      <c r="AA34" s="1332"/>
      <c r="AB34" s="1332"/>
    </row>
    <row r="35" spans="1:28" ht="18" thickBot="1">
      <c r="A35" s="1468"/>
      <c r="B35" s="1469"/>
      <c r="C35" s="1435"/>
      <c r="D35" s="1436"/>
      <c r="E35" s="1437"/>
      <c r="F35" s="1447" t="e">
        <f t="shared" si="1"/>
        <v>#REF!</v>
      </c>
      <c r="L35" s="1535" t="s">
        <v>430</v>
      </c>
      <c r="M35" s="1536"/>
      <c r="N35" s="1421"/>
      <c r="O35" s="1539">
        <f>P9</f>
        <v>22590</v>
      </c>
      <c r="P35" s="1332"/>
      <c r="Q35" s="1535" t="str">
        <f>O10</f>
        <v>Stipend - Level 2</v>
      </c>
      <c r="R35" s="1536"/>
      <c r="S35" s="1421"/>
      <c r="T35" s="1539">
        <f>P10</f>
        <v>30804</v>
      </c>
      <c r="U35" s="1332"/>
      <c r="V35" s="1535" t="str">
        <f>O11</f>
        <v>Stipend - Level 3</v>
      </c>
      <c r="W35" s="1536"/>
      <c r="X35" s="1421"/>
      <c r="Y35" s="1539">
        <f>P11</f>
        <v>39018</v>
      </c>
      <c r="Z35" s="1332"/>
      <c r="AA35" s="1332"/>
      <c r="AB35" s="1332"/>
    </row>
    <row r="36" spans="1:28" ht="18.600000000000001" thickTop="1" thickBot="1">
      <c r="A36" s="1490" t="s">
        <v>342</v>
      </c>
      <c r="B36" s="1491" t="s">
        <v>343</v>
      </c>
      <c r="C36" s="1492">
        <v>0.11</v>
      </c>
      <c r="D36" s="1493"/>
      <c r="E36" s="1494" t="e">
        <f>C36*E32</f>
        <v>#REF!</v>
      </c>
      <c r="F36" s="1447" t="e">
        <f t="shared" si="1"/>
        <v>#REF!</v>
      </c>
      <c r="L36" s="1544" t="s">
        <v>431</v>
      </c>
      <c r="M36" s="1545"/>
      <c r="N36" s="1546"/>
      <c r="O36" s="1539">
        <f>SUM(O32:O35)</f>
        <v>29028.080099638657</v>
      </c>
      <c r="P36" s="1332"/>
      <c r="Q36" s="1544" t="s">
        <v>431</v>
      </c>
      <c r="R36" s="1545"/>
      <c r="S36" s="1546"/>
      <c r="T36" s="1539">
        <f>SUM(T32:T35)</f>
        <v>37242.080099638653</v>
      </c>
      <c r="U36" s="1332"/>
      <c r="V36" s="1544" t="s">
        <v>431</v>
      </c>
      <c r="W36" s="1545"/>
      <c r="X36" s="1546"/>
      <c r="Y36" s="1539">
        <f>SUM(Y32:Y35)</f>
        <v>45456.080099638653</v>
      </c>
      <c r="Z36" s="1332"/>
      <c r="AA36" s="1332"/>
      <c r="AB36" s="1332"/>
    </row>
    <row r="37" spans="1:28" ht="18" thickTop="1">
      <c r="A37" s="1490"/>
      <c r="B37" s="1491"/>
      <c r="C37" s="1492"/>
      <c r="D37" s="1493"/>
      <c r="E37" s="1494"/>
      <c r="F37" s="1447"/>
      <c r="L37" s="1535" t="s">
        <v>188</v>
      </c>
      <c r="M37" s="1536"/>
      <c r="N37" s="1421"/>
      <c r="O37" s="1537">
        <f>O36+O30</f>
        <v>37358.966819638656</v>
      </c>
      <c r="P37" s="1332"/>
      <c r="Q37" s="1535" t="s">
        <v>188</v>
      </c>
      <c r="R37" s="1536"/>
      <c r="S37" s="1421"/>
      <c r="T37" s="1537">
        <f>T36+T30</f>
        <v>45572.966819638656</v>
      </c>
      <c r="U37" s="1332"/>
      <c r="V37" s="1535" t="s">
        <v>188</v>
      </c>
      <c r="W37" s="1536"/>
      <c r="X37" s="1421"/>
      <c r="Y37" s="1537">
        <f>Y36+Y30</f>
        <v>53786.966819638656</v>
      </c>
      <c r="Z37" s="1332"/>
      <c r="AA37" s="1332"/>
      <c r="AB37" s="1332"/>
    </row>
    <row r="38" spans="1:28">
      <c r="A38" s="1500" t="s">
        <v>344</v>
      </c>
      <c r="B38" s="1501"/>
      <c r="C38" s="1502"/>
      <c r="D38" s="1493"/>
      <c r="E38" s="1494" t="e">
        <f>E36</f>
        <v>#REF!</v>
      </c>
      <c r="F38" s="1447" t="e">
        <f t="shared" si="1"/>
        <v>#REF!</v>
      </c>
      <c r="L38" s="1535" t="s">
        <v>432</v>
      </c>
      <c r="M38" s="1547">
        <f>P18</f>
        <v>0.12</v>
      </c>
      <c r="N38" s="1421"/>
      <c r="O38" s="1537">
        <f>M38*O37</f>
        <v>4483.0760183566381</v>
      </c>
      <c r="P38" s="1332"/>
      <c r="Q38" s="1535" t="s">
        <v>432</v>
      </c>
      <c r="R38" s="1547">
        <f>P18</f>
        <v>0.12</v>
      </c>
      <c r="S38" s="1421"/>
      <c r="T38" s="1537">
        <f>R38*T36</f>
        <v>4469.0496119566378</v>
      </c>
      <c r="U38" s="1332"/>
      <c r="V38" s="1535" t="s">
        <v>432</v>
      </c>
      <c r="W38" s="1547">
        <f>P18</f>
        <v>0.12</v>
      </c>
      <c r="X38" s="1421"/>
      <c r="Y38" s="1537">
        <f>W38*Y36</f>
        <v>5454.7296119566381</v>
      </c>
      <c r="Z38" s="1332"/>
      <c r="AA38" s="1332"/>
      <c r="AB38" s="1332"/>
    </row>
    <row r="39" spans="1:28" ht="18" thickBot="1">
      <c r="A39" s="1548"/>
      <c r="B39" s="1549"/>
      <c r="C39" s="1549"/>
      <c r="D39" s="1550"/>
      <c r="E39" s="1512"/>
      <c r="F39" s="1447"/>
      <c r="L39" s="1551" t="str">
        <f>O19</f>
        <v>PFMLA</v>
      </c>
      <c r="M39" s="1552">
        <f>P19</f>
        <v>3.7000000000000002E-3</v>
      </c>
      <c r="N39" s="1553"/>
      <c r="O39" s="1554">
        <f>O28*M39</f>
        <v>25.183236000000001</v>
      </c>
      <c r="P39" s="1332"/>
      <c r="Q39" s="1551" t="str">
        <f>O19</f>
        <v>PFMLA</v>
      </c>
      <c r="R39" s="1552">
        <f>P19</f>
        <v>3.7000000000000002E-3</v>
      </c>
      <c r="S39" s="1553"/>
      <c r="T39" s="1554">
        <f>T28*R39</f>
        <v>25.183236000000001</v>
      </c>
      <c r="U39" s="1332"/>
      <c r="V39" s="1551" t="str">
        <f>O19</f>
        <v>PFMLA</v>
      </c>
      <c r="W39" s="1552">
        <f>P19</f>
        <v>3.7000000000000002E-3</v>
      </c>
      <c r="X39" s="1553"/>
      <c r="Y39" s="1554">
        <f>Y28*W39</f>
        <v>25.183236000000001</v>
      </c>
      <c r="Z39" s="1332"/>
      <c r="AA39" s="1332"/>
      <c r="AB39" s="1332"/>
    </row>
    <row r="40" spans="1:28">
      <c r="A40" s="1548"/>
      <c r="B40" s="1549"/>
      <c r="C40" s="1549"/>
      <c r="D40" s="1550"/>
      <c r="E40" s="1512"/>
      <c r="F40" s="1447"/>
      <c r="L40" s="1535"/>
      <c r="M40" s="1538"/>
      <c r="N40" s="1421"/>
      <c r="O40" s="1555">
        <f>SUM(O37:O39)</f>
        <v>41867.226073995291</v>
      </c>
      <c r="P40" s="1332"/>
      <c r="Q40" s="1535"/>
      <c r="R40" s="1538"/>
      <c r="S40" s="1421"/>
      <c r="T40" s="1555">
        <f>SUM(T37:T39)</f>
        <v>50067.199667595291</v>
      </c>
      <c r="U40" s="1332"/>
      <c r="V40" s="1535"/>
      <c r="W40" s="1538"/>
      <c r="X40" s="1421"/>
      <c r="Y40" s="1555">
        <f>SUM(Y37:Y39)</f>
        <v>59266.879667595291</v>
      </c>
      <c r="Z40" s="1332"/>
      <c r="AA40" s="1332"/>
      <c r="AB40" s="1332"/>
    </row>
    <row r="41" spans="1:28" ht="18" thickBot="1">
      <c r="A41" s="1508"/>
      <c r="B41" s="1509"/>
      <c r="C41" s="1510"/>
      <c r="D41" s="1511"/>
      <c r="E41" s="1512"/>
      <c r="F41" s="1447"/>
      <c r="L41" s="1551" t="s">
        <v>189</v>
      </c>
      <c r="M41" s="1552">
        <f>P20</f>
        <v>1.0633805350099574E-2</v>
      </c>
      <c r="N41" s="1553"/>
      <c r="O41" s="1554">
        <f>O40*(1+M41)</f>
        <v>42312.434006614771</v>
      </c>
      <c r="P41" s="1332"/>
      <c r="Q41" s="1551" t="s">
        <v>189</v>
      </c>
      <c r="R41" s="1552">
        <f>P20</f>
        <v>1.0633805350099574E-2</v>
      </c>
      <c r="S41" s="1553"/>
      <c r="T41" s="1554">
        <f>T40*(1+R41)</f>
        <v>50599.604523285074</v>
      </c>
      <c r="U41" s="1332"/>
      <c r="V41" s="1551" t="s">
        <v>189</v>
      </c>
      <c r="W41" s="1552">
        <f>P20</f>
        <v>1.0633805350099574E-2</v>
      </c>
      <c r="X41" s="1553"/>
      <c r="Y41" s="1554">
        <f>Y40*(1+W41)</f>
        <v>59897.112129688277</v>
      </c>
      <c r="Z41" s="1332"/>
      <c r="AA41" s="1332"/>
      <c r="AB41" s="1332"/>
    </row>
    <row r="42" spans="1:28" ht="18" thickBot="1">
      <c r="A42" s="1556" t="s">
        <v>345</v>
      </c>
      <c r="B42" s="1557"/>
      <c r="C42" s="1558"/>
      <c r="D42" s="1559"/>
      <c r="E42" s="1494" t="e">
        <f>SUM(E32,E38)</f>
        <v>#REF!</v>
      </c>
      <c r="F42" s="1447" t="e">
        <f>E42/$E$42</f>
        <v>#REF!</v>
      </c>
      <c r="L42" s="1560" t="s">
        <v>433</v>
      </c>
      <c r="M42" s="1561"/>
      <c r="N42" s="1561"/>
      <c r="O42" s="1562">
        <f>O38+O41</f>
        <v>46795.510024971409</v>
      </c>
      <c r="P42" s="1332"/>
      <c r="Q42" s="1560" t="s">
        <v>433</v>
      </c>
      <c r="R42" s="1561"/>
      <c r="S42" s="1561"/>
      <c r="T42" s="1562">
        <f>T38+T41</f>
        <v>55068.654135241712</v>
      </c>
      <c r="U42" s="1332"/>
      <c r="V42" s="1560" t="s">
        <v>433</v>
      </c>
      <c r="W42" s="1561"/>
      <c r="X42" s="1561"/>
      <c r="Y42" s="1562">
        <f>Y38+Y41</f>
        <v>65351.841741644916</v>
      </c>
      <c r="Z42" s="1332"/>
      <c r="AA42" s="1332"/>
      <c r="AB42" s="1332"/>
    </row>
    <row r="43" spans="1:28" ht="18" thickBot="1">
      <c r="A43" s="1563"/>
      <c r="B43" s="1564"/>
      <c r="C43" s="1429"/>
      <c r="D43" s="1565"/>
      <c r="E43" s="1566"/>
      <c r="F43" s="1438"/>
      <c r="L43" s="1567" t="s">
        <v>434</v>
      </c>
      <c r="M43" s="1568"/>
      <c r="N43" s="1568"/>
      <c r="O43" s="1569">
        <f>O42/N25</f>
        <v>128.20687678074358</v>
      </c>
      <c r="P43" s="1332"/>
      <c r="Q43" s="1567" t="s">
        <v>434</v>
      </c>
      <c r="R43" s="1568"/>
      <c r="S43" s="1568"/>
      <c r="T43" s="1569">
        <f>T42/S25</f>
        <v>150.87302502805949</v>
      </c>
      <c r="U43" s="1332"/>
      <c r="V43" s="1567" t="s">
        <v>434</v>
      </c>
      <c r="W43" s="1568"/>
      <c r="X43" s="1568"/>
      <c r="Y43" s="1569">
        <f>Y42/X25</f>
        <v>179.04614175793128</v>
      </c>
      <c r="Z43" s="1332"/>
      <c r="AA43" s="1332"/>
      <c r="AB43" s="1332"/>
    </row>
    <row r="44" spans="1:28" ht="18">
      <c r="A44" s="1570" t="e">
        <f>E42/365</f>
        <v>#REF!</v>
      </c>
      <c r="B44" s="1571" t="s">
        <v>435</v>
      </c>
      <c r="C44" s="1429"/>
      <c r="D44" s="1565"/>
      <c r="E44" s="1566"/>
      <c r="F44" s="1438"/>
      <c r="L44" s="1332"/>
      <c r="M44" s="1332"/>
      <c r="N44" s="1332"/>
      <c r="O44" s="1572"/>
      <c r="P44" s="1332"/>
      <c r="Q44" s="1332"/>
      <c r="R44" s="1332"/>
      <c r="S44" s="1332"/>
      <c r="T44" s="1572"/>
      <c r="U44" s="1332"/>
      <c r="V44" s="1332"/>
      <c r="W44" s="1332"/>
      <c r="X44" s="1332"/>
      <c r="Y44" s="1572"/>
      <c r="Z44" s="1332"/>
      <c r="AA44" s="1332"/>
      <c r="AB44" s="1332"/>
    </row>
    <row r="45" spans="1:28" ht="18" thickBot="1">
      <c r="A45" s="1573" t="s">
        <v>436</v>
      </c>
      <c r="B45" s="1574" t="e">
        <f>A44*(1+0.0327)</f>
        <v>#REF!</v>
      </c>
      <c r="C45" s="1575"/>
      <c r="D45" s="1575"/>
      <c r="E45" s="1576" t="e">
        <f>#REF!</f>
        <v>#REF!</v>
      </c>
      <c r="F45" s="1577" t="e">
        <f>B45*(E45+1)</f>
        <v>#REF!</v>
      </c>
      <c r="L45" s="1332"/>
      <c r="M45" s="1332"/>
      <c r="N45" s="1332"/>
      <c r="O45" s="491"/>
      <c r="P45" s="1578"/>
      <c r="Q45" s="1578"/>
      <c r="R45" s="1578"/>
      <c r="S45" s="1578"/>
      <c r="T45" s="491"/>
      <c r="U45" s="1578"/>
      <c r="V45" s="1578"/>
      <c r="W45" s="1578"/>
      <c r="X45" s="1578"/>
      <c r="Y45" s="491"/>
      <c r="Z45" s="1332"/>
      <c r="AA45" s="1332"/>
      <c r="AB45" s="1332"/>
    </row>
    <row r="46" spans="1:28">
      <c r="A46" s="1417" t="s">
        <v>437</v>
      </c>
      <c r="B46" s="1418"/>
      <c r="C46" s="1418"/>
      <c r="D46" s="1418"/>
      <c r="E46" s="1418"/>
      <c r="F46" s="1419"/>
    </row>
    <row r="47" spans="1:28">
      <c r="A47" s="1423" t="s">
        <v>328</v>
      </c>
      <c r="B47" s="1424"/>
      <c r="C47" s="1425" t="s">
        <v>329</v>
      </c>
      <c r="D47" s="1426" t="s">
        <v>330</v>
      </c>
      <c r="E47" s="1427" t="s">
        <v>331</v>
      </c>
      <c r="F47" s="1428"/>
      <c r="T47" s="1580"/>
    </row>
    <row r="48" spans="1:28">
      <c r="A48" s="1433" t="s">
        <v>333</v>
      </c>
      <c r="B48" s="1434"/>
      <c r="C48" s="1435"/>
      <c r="D48" s="1436"/>
      <c r="E48" s="1437"/>
      <c r="F48" s="1438"/>
    </row>
    <row r="49" spans="1:6">
      <c r="A49" s="1433"/>
      <c r="B49" s="1443" t="s">
        <v>81</v>
      </c>
      <c r="C49" s="1444">
        <f>'[4]FY 09 UFR Salary Data'!$F$36</f>
        <v>33751.15474941882</v>
      </c>
      <c r="D49" s="1445">
        <v>0.15</v>
      </c>
      <c r="E49" s="1446">
        <f>C49*D49</f>
        <v>5062.673212412823</v>
      </c>
      <c r="F49" s="1447"/>
    </row>
    <row r="50" spans="1:6">
      <c r="A50" s="1453" t="s">
        <v>337</v>
      </c>
      <c r="B50" s="1454"/>
      <c r="C50" s="1444"/>
      <c r="D50" s="1445">
        <f>SUM(D49:D49)</f>
        <v>0.15</v>
      </c>
      <c r="E50" s="1446">
        <f>SUM(E49:E49)</f>
        <v>5062.673212412823</v>
      </c>
      <c r="F50" s="1447"/>
    </row>
    <row r="51" spans="1:6">
      <c r="A51" s="1453" t="s">
        <v>338</v>
      </c>
      <c r="B51" s="1461" t="s">
        <v>339</v>
      </c>
      <c r="C51" s="1462">
        <v>0.22</v>
      </c>
      <c r="D51" s="1445"/>
      <c r="E51" s="1446">
        <f>E50*C51</f>
        <v>1113.788106730821</v>
      </c>
      <c r="F51" s="1447"/>
    </row>
    <row r="52" spans="1:6">
      <c r="A52" s="1433" t="s">
        <v>410</v>
      </c>
      <c r="B52" s="1532"/>
      <c r="C52" s="1532"/>
      <c r="D52" s="1532"/>
      <c r="E52" s="1533">
        <f>+SUM(E50:E51)</f>
        <v>6176.4613191436438</v>
      </c>
      <c r="F52" s="1534">
        <f t="shared" ref="F52:F59" si="2">E52/$E$61</f>
        <v>0.12004755423963144</v>
      </c>
    </row>
    <row r="53" spans="1:6">
      <c r="A53" s="1468" t="s">
        <v>413</v>
      </c>
      <c r="B53" s="1469"/>
      <c r="C53" s="1470"/>
      <c r="D53" s="1436"/>
      <c r="E53" s="1437">
        <v>5500</v>
      </c>
      <c r="F53" s="1447">
        <f t="shared" si="2"/>
        <v>0.10689964920067162</v>
      </c>
    </row>
    <row r="54" spans="1:6">
      <c r="A54" s="1468" t="s">
        <v>415</v>
      </c>
      <c r="B54" s="1469" t="s">
        <v>438</v>
      </c>
      <c r="C54" s="1435"/>
      <c r="D54" s="1436"/>
      <c r="E54" s="1437">
        <f>95*365</f>
        <v>34675</v>
      </c>
      <c r="F54" s="1472">
        <f t="shared" si="2"/>
        <v>0.67395369746059786</v>
      </c>
    </row>
    <row r="55" spans="1:6" ht="18">
      <c r="A55" s="1473" t="s">
        <v>418</v>
      </c>
      <c r="B55" s="1474"/>
      <c r="C55" s="1475"/>
      <c r="D55" s="1476"/>
      <c r="E55" s="1477">
        <f>SUM(E54:E54)</f>
        <v>34675</v>
      </c>
      <c r="F55" s="1540">
        <f t="shared" si="2"/>
        <v>0.67395369746059786</v>
      </c>
    </row>
    <row r="56" spans="1:6">
      <c r="A56" s="1581" t="s">
        <v>439</v>
      </c>
      <c r="B56" s="1582"/>
      <c r="C56" s="1583"/>
      <c r="D56" s="1584"/>
      <c r="E56" s="1585">
        <f>SUM(E50,E51,E53:E54)</f>
        <v>46351.461319143644</v>
      </c>
      <c r="F56" s="1586">
        <f t="shared" si="2"/>
        <v>0.90090090090090091</v>
      </c>
    </row>
    <row r="57" spans="1:6">
      <c r="A57" s="1468"/>
      <c r="B57" s="1469"/>
      <c r="C57" s="1435"/>
      <c r="D57" s="1436"/>
      <c r="E57" s="1437"/>
      <c r="F57" s="1447">
        <f t="shared" si="2"/>
        <v>0</v>
      </c>
    </row>
    <row r="58" spans="1:6">
      <c r="A58" s="1490" t="s">
        <v>342</v>
      </c>
      <c r="B58" s="1491" t="s">
        <v>343</v>
      </c>
      <c r="C58" s="1492">
        <v>0.11</v>
      </c>
      <c r="D58" s="1493"/>
      <c r="E58" s="1494">
        <f>C58*E56</f>
        <v>5098.6607451058007</v>
      </c>
      <c r="F58" s="1447">
        <f t="shared" si="2"/>
        <v>9.90990990990991E-2</v>
      </c>
    </row>
    <row r="59" spans="1:6">
      <c r="A59" s="1500" t="s">
        <v>344</v>
      </c>
      <c r="B59" s="1501"/>
      <c r="C59" s="1502"/>
      <c r="D59" s="1493"/>
      <c r="E59" s="1494">
        <f>E58</f>
        <v>5098.6607451058007</v>
      </c>
      <c r="F59" s="1447">
        <f t="shared" si="2"/>
        <v>9.90990990990991E-2</v>
      </c>
    </row>
    <row r="60" spans="1:6">
      <c r="A60" s="1508"/>
      <c r="B60" s="1509"/>
      <c r="C60" s="1510"/>
      <c r="D60" s="1511"/>
      <c r="E60" s="1512"/>
      <c r="F60" s="1447"/>
    </row>
    <row r="61" spans="1:6">
      <c r="A61" s="1556" t="s">
        <v>345</v>
      </c>
      <c r="B61" s="1557"/>
      <c r="C61" s="1558"/>
      <c r="D61" s="1559"/>
      <c r="E61" s="1494">
        <f>SUM(E56,E59)</f>
        <v>51450.122064249445</v>
      </c>
      <c r="F61" s="1447">
        <f>E61/$E$61</f>
        <v>1</v>
      </c>
    </row>
    <row r="62" spans="1:6">
      <c r="A62" s="1563"/>
      <c r="B62" s="1564"/>
      <c r="C62" s="1429"/>
      <c r="D62" s="1565"/>
      <c r="E62" s="1566"/>
      <c r="F62" s="1438"/>
    </row>
    <row r="63" spans="1:6" ht="18">
      <c r="A63" s="1570">
        <f>E61/365</f>
        <v>140.95923853219026</v>
      </c>
      <c r="B63" s="1571" t="s">
        <v>435</v>
      </c>
      <c r="C63" s="1429"/>
      <c r="D63" s="1565"/>
      <c r="E63" s="1566"/>
      <c r="F63" s="1438"/>
    </row>
    <row r="64" spans="1:6" ht="18" thickBot="1">
      <c r="A64" s="1573" t="s">
        <v>436</v>
      </c>
      <c r="B64" s="1574">
        <f>A63*(1+0.0327)</f>
        <v>145.56860563219286</v>
      </c>
      <c r="C64" s="1575"/>
      <c r="D64" s="1575"/>
      <c r="E64" s="1576" t="e">
        <f>E45</f>
        <v>#REF!</v>
      </c>
      <c r="F64" s="1587" t="e">
        <f>B64*(E64+1)</f>
        <v>#REF!</v>
      </c>
    </row>
  </sheetData>
  <mergeCells count="4">
    <mergeCell ref="O1:V2"/>
    <mergeCell ref="O4:V4"/>
    <mergeCell ref="O5:P5"/>
    <mergeCell ref="Q5:V5"/>
  </mergeCells>
  <pageMargins left="0.17" right="0.2" top="1" bottom="0.72" header="0.5" footer="0.5"/>
  <pageSetup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17"/>
  <sheetViews>
    <sheetView showGridLines="0" topLeftCell="A25" zoomScale="75" zoomScaleNormal="75" workbookViewId="0">
      <selection activeCell="W17" sqref="W17"/>
    </sheetView>
  </sheetViews>
  <sheetFormatPr defaultColWidth="9.44140625" defaultRowHeight="13.8"/>
  <cols>
    <col min="1" max="1" width="2.44140625" style="1588" customWidth="1"/>
    <col min="2" max="2" width="41.5546875" style="1588" customWidth="1"/>
    <col min="3" max="3" width="9.33203125" style="1588" hidden="1" customWidth="1"/>
    <col min="4" max="4" width="10.33203125" style="1588" hidden="1" customWidth="1"/>
    <col min="5" max="5" width="11.33203125" style="1588" customWidth="1"/>
    <col min="6" max="6" width="9.88671875" style="1588" bestFit="1" customWidth="1"/>
    <col min="7" max="7" width="9" style="1588" customWidth="1"/>
    <col min="8" max="8" width="11.6640625" style="1588" customWidth="1"/>
    <col min="9" max="9" width="9.33203125" style="1588" bestFit="1" customWidth="1"/>
    <col min="10" max="10" width="3.5546875" style="1588" customWidth="1"/>
    <col min="11" max="11" width="37.33203125" style="1591" customWidth="1"/>
    <col min="12" max="12" width="9" style="1591" hidden="1" customWidth="1"/>
    <col min="13" max="13" width="10.88671875" style="1591" hidden="1" customWidth="1"/>
    <col min="14" max="14" width="9.5546875" style="1591" customWidth="1"/>
    <col min="15" max="15" width="9" style="1591" bestFit="1" customWidth="1"/>
    <col min="16" max="16" width="11" style="1591" bestFit="1" customWidth="1"/>
    <col min="17" max="17" width="12.5546875" style="1591" bestFit="1" customWidth="1"/>
    <col min="18" max="18" width="8.6640625" style="1591" bestFit="1" customWidth="1"/>
    <col min="19" max="19" width="3.109375" style="1591" customWidth="1"/>
    <col min="20" max="20" width="37.44140625" style="1591" customWidth="1"/>
    <col min="21" max="21" width="13.6640625" style="1591" customWidth="1"/>
    <col min="22" max="22" width="10.6640625" style="1591" customWidth="1"/>
    <col min="23" max="23" width="12.44140625" style="1591" customWidth="1"/>
    <col min="24" max="24" width="11.44140625" style="1591" customWidth="1"/>
    <col min="25" max="25" width="16.44140625" style="1591" customWidth="1"/>
    <col min="26" max="27" width="10.6640625" style="1591" customWidth="1"/>
    <col min="28" max="28" width="43" style="1591" customWidth="1"/>
    <col min="29" max="29" width="12.44140625" style="1591" customWidth="1"/>
    <col min="30" max="30" width="11.88671875" style="1591" customWidth="1"/>
    <col min="31" max="31" width="9.44140625" style="1592" customWidth="1"/>
    <col min="32" max="32" width="8.44140625" style="1593" customWidth="1"/>
    <col min="33" max="33" width="9.44140625" style="1592" customWidth="1"/>
    <col min="34" max="34" width="7.5546875" style="1588" customWidth="1"/>
    <col min="35" max="35" width="7.88671875" style="1588" bestFit="1" customWidth="1"/>
    <col min="36" max="36" width="10.33203125" style="1588" bestFit="1" customWidth="1"/>
    <col min="37" max="37" width="4.88671875" style="1588" customWidth="1"/>
    <col min="38" max="38" width="21.88671875" style="1588" bestFit="1" customWidth="1"/>
    <col min="39" max="39" width="8.88671875" style="1588" customWidth="1"/>
    <col min="40" max="40" width="7.5546875" style="1588" bestFit="1" customWidth="1"/>
    <col min="41" max="41" width="4.5546875" style="1588" customWidth="1"/>
    <col min="42" max="253" width="9.44140625" style="1588"/>
    <col min="254" max="254" width="2.44140625" style="1588" customWidth="1"/>
    <col min="255" max="255" width="29.6640625" style="1588" customWidth="1"/>
    <col min="256" max="256" width="9.33203125" style="1588" bestFit="1" customWidth="1"/>
    <col min="257" max="257" width="10.33203125" style="1588" customWidth="1"/>
    <col min="258" max="258" width="8.109375" style="1588" bestFit="1" customWidth="1"/>
    <col min="259" max="259" width="9.88671875" style="1588" bestFit="1" customWidth="1"/>
    <col min="260" max="260" width="9" style="1588" customWidth="1"/>
    <col min="261" max="261" width="11.6640625" style="1588" customWidth="1"/>
    <col min="262" max="262" width="12.44140625" style="1588" customWidth="1"/>
    <col min="263" max="263" width="2.88671875" style="1588" customWidth="1"/>
    <col min="264" max="264" width="29.88671875" style="1588" customWidth="1"/>
    <col min="265" max="265" width="9" style="1588" customWidth="1"/>
    <col min="266" max="266" width="10.88671875" style="1588" customWidth="1"/>
    <col min="267" max="267" width="8" style="1588" bestFit="1" customWidth="1"/>
    <col min="268" max="268" width="9" style="1588" bestFit="1" customWidth="1"/>
    <col min="269" max="269" width="11" style="1588" bestFit="1" customWidth="1"/>
    <col min="270" max="270" width="12.5546875" style="1588" bestFit="1" customWidth="1"/>
    <col min="271" max="271" width="12.109375" style="1588" customWidth="1"/>
    <col min="272" max="285" width="2.88671875" style="1588" customWidth="1"/>
    <col min="286" max="286" width="22.33203125" style="1588" customWidth="1"/>
    <col min="287" max="287" width="9.44140625" style="1588" customWidth="1"/>
    <col min="288" max="288" width="8.44140625" style="1588" customWidth="1"/>
    <col min="289" max="289" width="9.44140625" style="1588" customWidth="1"/>
    <col min="290" max="290" width="7.5546875" style="1588" customWidth="1"/>
    <col min="291" max="291" width="7.88671875" style="1588" bestFit="1" customWidth="1"/>
    <col min="292" max="292" width="10.33203125" style="1588" bestFit="1" customWidth="1"/>
    <col min="293" max="293" width="4.88671875" style="1588" customWidth="1"/>
    <col min="294" max="294" width="21.88671875" style="1588" bestFit="1" customWidth="1"/>
    <col min="295" max="295" width="8.88671875" style="1588" customWidth="1"/>
    <col min="296" max="296" width="7.5546875" style="1588" bestFit="1" customWidth="1"/>
    <col min="297" max="297" width="4.5546875" style="1588" customWidth="1"/>
    <col min="298" max="509" width="9.44140625" style="1588"/>
    <col min="510" max="510" width="2.44140625" style="1588" customWidth="1"/>
    <col min="511" max="511" width="29.6640625" style="1588" customWidth="1"/>
    <col min="512" max="512" width="9.33203125" style="1588" bestFit="1" customWidth="1"/>
    <col min="513" max="513" width="10.33203125" style="1588" customWidth="1"/>
    <col min="514" max="514" width="8.109375" style="1588" bestFit="1" customWidth="1"/>
    <col min="515" max="515" width="9.88671875" style="1588" bestFit="1" customWidth="1"/>
    <col min="516" max="516" width="9" style="1588" customWidth="1"/>
    <col min="517" max="517" width="11.6640625" style="1588" customWidth="1"/>
    <col min="518" max="518" width="12.44140625" style="1588" customWidth="1"/>
    <col min="519" max="519" width="2.88671875" style="1588" customWidth="1"/>
    <col min="520" max="520" width="29.88671875" style="1588" customWidth="1"/>
    <col min="521" max="521" width="9" style="1588" customWidth="1"/>
    <col min="522" max="522" width="10.88671875" style="1588" customWidth="1"/>
    <col min="523" max="523" width="8" style="1588" bestFit="1" customWidth="1"/>
    <col min="524" max="524" width="9" style="1588" bestFit="1" customWidth="1"/>
    <col min="525" max="525" width="11" style="1588" bestFit="1" customWidth="1"/>
    <col min="526" max="526" width="12.5546875" style="1588" bestFit="1" customWidth="1"/>
    <col min="527" max="527" width="12.109375" style="1588" customWidth="1"/>
    <col min="528" max="541" width="2.88671875" style="1588" customWidth="1"/>
    <col min="542" max="542" width="22.33203125" style="1588" customWidth="1"/>
    <col min="543" max="543" width="9.44140625" style="1588" customWidth="1"/>
    <col min="544" max="544" width="8.44140625" style="1588" customWidth="1"/>
    <col min="545" max="545" width="9.44140625" style="1588" customWidth="1"/>
    <col min="546" max="546" width="7.5546875" style="1588" customWidth="1"/>
    <col min="547" max="547" width="7.88671875" style="1588" bestFit="1" customWidth="1"/>
    <col min="548" max="548" width="10.33203125" style="1588" bestFit="1" customWidth="1"/>
    <col min="549" max="549" width="4.88671875" style="1588" customWidth="1"/>
    <col min="550" max="550" width="21.88671875" style="1588" bestFit="1" customWidth="1"/>
    <col min="551" max="551" width="8.88671875" style="1588" customWidth="1"/>
    <col min="552" max="552" width="7.5546875" style="1588" bestFit="1" customWidth="1"/>
    <col min="553" max="553" width="4.5546875" style="1588" customWidth="1"/>
    <col min="554" max="765" width="9.44140625" style="1588"/>
    <col min="766" max="766" width="2.44140625" style="1588" customWidth="1"/>
    <col min="767" max="767" width="29.6640625" style="1588" customWidth="1"/>
    <col min="768" max="768" width="9.33203125" style="1588" bestFit="1" customWidth="1"/>
    <col min="769" max="769" width="10.33203125" style="1588" customWidth="1"/>
    <col min="770" max="770" width="8.109375" style="1588" bestFit="1" customWidth="1"/>
    <col min="771" max="771" width="9.88671875" style="1588" bestFit="1" customWidth="1"/>
    <col min="772" max="772" width="9" style="1588" customWidth="1"/>
    <col min="773" max="773" width="11.6640625" style="1588" customWidth="1"/>
    <col min="774" max="774" width="12.44140625" style="1588" customWidth="1"/>
    <col min="775" max="775" width="2.88671875" style="1588" customWidth="1"/>
    <col min="776" max="776" width="29.88671875" style="1588" customWidth="1"/>
    <col min="777" max="777" width="9" style="1588" customWidth="1"/>
    <col min="778" max="778" width="10.88671875" style="1588" customWidth="1"/>
    <col min="779" max="779" width="8" style="1588" bestFit="1" customWidth="1"/>
    <col min="780" max="780" width="9" style="1588" bestFit="1" customWidth="1"/>
    <col min="781" max="781" width="11" style="1588" bestFit="1" customWidth="1"/>
    <col min="782" max="782" width="12.5546875" style="1588" bestFit="1" customWidth="1"/>
    <col min="783" max="783" width="12.109375" style="1588" customWidth="1"/>
    <col min="784" max="797" width="2.88671875" style="1588" customWidth="1"/>
    <col min="798" max="798" width="22.33203125" style="1588" customWidth="1"/>
    <col min="799" max="799" width="9.44140625" style="1588" customWidth="1"/>
    <col min="800" max="800" width="8.44140625" style="1588" customWidth="1"/>
    <col min="801" max="801" width="9.44140625" style="1588" customWidth="1"/>
    <col min="802" max="802" width="7.5546875" style="1588" customWidth="1"/>
    <col min="803" max="803" width="7.88671875" style="1588" bestFit="1" customWidth="1"/>
    <col min="804" max="804" width="10.33203125" style="1588" bestFit="1" customWidth="1"/>
    <col min="805" max="805" width="4.88671875" style="1588" customWidth="1"/>
    <col min="806" max="806" width="21.88671875" style="1588" bestFit="1" customWidth="1"/>
    <col min="807" max="807" width="8.88671875" style="1588" customWidth="1"/>
    <col min="808" max="808" width="7.5546875" style="1588" bestFit="1" customWidth="1"/>
    <col min="809" max="809" width="4.5546875" style="1588" customWidth="1"/>
    <col min="810" max="1021" width="9.44140625" style="1588"/>
    <col min="1022" max="1022" width="2.44140625" style="1588" customWidth="1"/>
    <col min="1023" max="1023" width="29.6640625" style="1588" customWidth="1"/>
    <col min="1024" max="1024" width="9.33203125" style="1588" bestFit="1" customWidth="1"/>
    <col min="1025" max="1025" width="10.33203125" style="1588" customWidth="1"/>
    <col min="1026" max="1026" width="8.109375" style="1588" bestFit="1" customWidth="1"/>
    <col min="1027" max="1027" width="9.88671875" style="1588" bestFit="1" customWidth="1"/>
    <col min="1028" max="1028" width="9" style="1588" customWidth="1"/>
    <col min="1029" max="1029" width="11.6640625" style="1588" customWidth="1"/>
    <col min="1030" max="1030" width="12.44140625" style="1588" customWidth="1"/>
    <col min="1031" max="1031" width="2.88671875" style="1588" customWidth="1"/>
    <col min="1032" max="1032" width="29.88671875" style="1588" customWidth="1"/>
    <col min="1033" max="1033" width="9" style="1588" customWidth="1"/>
    <col min="1034" max="1034" width="10.88671875" style="1588" customWidth="1"/>
    <col min="1035" max="1035" width="8" style="1588" bestFit="1" customWidth="1"/>
    <col min="1036" max="1036" width="9" style="1588" bestFit="1" customWidth="1"/>
    <col min="1037" max="1037" width="11" style="1588" bestFit="1" customWidth="1"/>
    <col min="1038" max="1038" width="12.5546875" style="1588" bestFit="1" customWidth="1"/>
    <col min="1039" max="1039" width="12.109375" style="1588" customWidth="1"/>
    <col min="1040" max="1053" width="2.88671875" style="1588" customWidth="1"/>
    <col min="1054" max="1054" width="22.33203125" style="1588" customWidth="1"/>
    <col min="1055" max="1055" width="9.44140625" style="1588" customWidth="1"/>
    <col min="1056" max="1056" width="8.44140625" style="1588" customWidth="1"/>
    <col min="1057" max="1057" width="9.44140625" style="1588" customWidth="1"/>
    <col min="1058" max="1058" width="7.5546875" style="1588" customWidth="1"/>
    <col min="1059" max="1059" width="7.88671875" style="1588" bestFit="1" customWidth="1"/>
    <col min="1060" max="1060" width="10.33203125" style="1588" bestFit="1" customWidth="1"/>
    <col min="1061" max="1061" width="4.88671875" style="1588" customWidth="1"/>
    <col min="1062" max="1062" width="21.88671875" style="1588" bestFit="1" customWidth="1"/>
    <col min="1063" max="1063" width="8.88671875" style="1588" customWidth="1"/>
    <col min="1064" max="1064" width="7.5546875" style="1588" bestFit="1" customWidth="1"/>
    <col min="1065" max="1065" width="4.5546875" style="1588" customWidth="1"/>
    <col min="1066" max="1277" width="9.44140625" style="1588"/>
    <col min="1278" max="1278" width="2.44140625" style="1588" customWidth="1"/>
    <col min="1279" max="1279" width="29.6640625" style="1588" customWidth="1"/>
    <col min="1280" max="1280" width="9.33203125" style="1588" bestFit="1" customWidth="1"/>
    <col min="1281" max="1281" width="10.33203125" style="1588" customWidth="1"/>
    <col min="1282" max="1282" width="8.109375" style="1588" bestFit="1" customWidth="1"/>
    <col min="1283" max="1283" width="9.88671875" style="1588" bestFit="1" customWidth="1"/>
    <col min="1284" max="1284" width="9" style="1588" customWidth="1"/>
    <col min="1285" max="1285" width="11.6640625" style="1588" customWidth="1"/>
    <col min="1286" max="1286" width="12.44140625" style="1588" customWidth="1"/>
    <col min="1287" max="1287" width="2.88671875" style="1588" customWidth="1"/>
    <col min="1288" max="1288" width="29.88671875" style="1588" customWidth="1"/>
    <col min="1289" max="1289" width="9" style="1588" customWidth="1"/>
    <col min="1290" max="1290" width="10.88671875" style="1588" customWidth="1"/>
    <col min="1291" max="1291" width="8" style="1588" bestFit="1" customWidth="1"/>
    <col min="1292" max="1292" width="9" style="1588" bestFit="1" customWidth="1"/>
    <col min="1293" max="1293" width="11" style="1588" bestFit="1" customWidth="1"/>
    <col min="1294" max="1294" width="12.5546875" style="1588" bestFit="1" customWidth="1"/>
    <col min="1295" max="1295" width="12.109375" style="1588" customWidth="1"/>
    <col min="1296" max="1309" width="2.88671875" style="1588" customWidth="1"/>
    <col min="1310" max="1310" width="22.33203125" style="1588" customWidth="1"/>
    <col min="1311" max="1311" width="9.44140625" style="1588" customWidth="1"/>
    <col min="1312" max="1312" width="8.44140625" style="1588" customWidth="1"/>
    <col min="1313" max="1313" width="9.44140625" style="1588" customWidth="1"/>
    <col min="1314" max="1314" width="7.5546875" style="1588" customWidth="1"/>
    <col min="1315" max="1315" width="7.88671875" style="1588" bestFit="1" customWidth="1"/>
    <col min="1316" max="1316" width="10.33203125" style="1588" bestFit="1" customWidth="1"/>
    <col min="1317" max="1317" width="4.88671875" style="1588" customWidth="1"/>
    <col min="1318" max="1318" width="21.88671875" style="1588" bestFit="1" customWidth="1"/>
    <col min="1319" max="1319" width="8.88671875" style="1588" customWidth="1"/>
    <col min="1320" max="1320" width="7.5546875" style="1588" bestFit="1" customWidth="1"/>
    <col min="1321" max="1321" width="4.5546875" style="1588" customWidth="1"/>
    <col min="1322" max="1533" width="9.44140625" style="1588"/>
    <col min="1534" max="1534" width="2.44140625" style="1588" customWidth="1"/>
    <col min="1535" max="1535" width="29.6640625" style="1588" customWidth="1"/>
    <col min="1536" max="1536" width="9.33203125" style="1588" bestFit="1" customWidth="1"/>
    <col min="1537" max="1537" width="10.33203125" style="1588" customWidth="1"/>
    <col min="1538" max="1538" width="8.109375" style="1588" bestFit="1" customWidth="1"/>
    <col min="1539" max="1539" width="9.88671875" style="1588" bestFit="1" customWidth="1"/>
    <col min="1540" max="1540" width="9" style="1588" customWidth="1"/>
    <col min="1541" max="1541" width="11.6640625" style="1588" customWidth="1"/>
    <col min="1542" max="1542" width="12.44140625" style="1588" customWidth="1"/>
    <col min="1543" max="1543" width="2.88671875" style="1588" customWidth="1"/>
    <col min="1544" max="1544" width="29.88671875" style="1588" customWidth="1"/>
    <col min="1545" max="1545" width="9" style="1588" customWidth="1"/>
    <col min="1546" max="1546" width="10.88671875" style="1588" customWidth="1"/>
    <col min="1547" max="1547" width="8" style="1588" bestFit="1" customWidth="1"/>
    <col min="1548" max="1548" width="9" style="1588" bestFit="1" customWidth="1"/>
    <col min="1549" max="1549" width="11" style="1588" bestFit="1" customWidth="1"/>
    <col min="1550" max="1550" width="12.5546875" style="1588" bestFit="1" customWidth="1"/>
    <col min="1551" max="1551" width="12.109375" style="1588" customWidth="1"/>
    <col min="1552" max="1565" width="2.88671875" style="1588" customWidth="1"/>
    <col min="1566" max="1566" width="22.33203125" style="1588" customWidth="1"/>
    <col min="1567" max="1567" width="9.44140625" style="1588" customWidth="1"/>
    <col min="1568" max="1568" width="8.44140625" style="1588" customWidth="1"/>
    <col min="1569" max="1569" width="9.44140625" style="1588" customWidth="1"/>
    <col min="1570" max="1570" width="7.5546875" style="1588" customWidth="1"/>
    <col min="1571" max="1571" width="7.88671875" style="1588" bestFit="1" customWidth="1"/>
    <col min="1572" max="1572" width="10.33203125" style="1588" bestFit="1" customWidth="1"/>
    <col min="1573" max="1573" width="4.88671875" style="1588" customWidth="1"/>
    <col min="1574" max="1574" width="21.88671875" style="1588" bestFit="1" customWidth="1"/>
    <col min="1575" max="1575" width="8.88671875" style="1588" customWidth="1"/>
    <col min="1576" max="1576" width="7.5546875" style="1588" bestFit="1" customWidth="1"/>
    <col min="1577" max="1577" width="4.5546875" style="1588" customWidth="1"/>
    <col min="1578" max="1789" width="9.44140625" style="1588"/>
    <col min="1790" max="1790" width="2.44140625" style="1588" customWidth="1"/>
    <col min="1791" max="1791" width="29.6640625" style="1588" customWidth="1"/>
    <col min="1792" max="1792" width="9.33203125" style="1588" bestFit="1" customWidth="1"/>
    <col min="1793" max="1793" width="10.33203125" style="1588" customWidth="1"/>
    <col min="1794" max="1794" width="8.109375" style="1588" bestFit="1" customWidth="1"/>
    <col min="1795" max="1795" width="9.88671875" style="1588" bestFit="1" customWidth="1"/>
    <col min="1796" max="1796" width="9" style="1588" customWidth="1"/>
    <col min="1797" max="1797" width="11.6640625" style="1588" customWidth="1"/>
    <col min="1798" max="1798" width="12.44140625" style="1588" customWidth="1"/>
    <col min="1799" max="1799" width="2.88671875" style="1588" customWidth="1"/>
    <col min="1800" max="1800" width="29.88671875" style="1588" customWidth="1"/>
    <col min="1801" max="1801" width="9" style="1588" customWidth="1"/>
    <col min="1802" max="1802" width="10.88671875" style="1588" customWidth="1"/>
    <col min="1803" max="1803" width="8" style="1588" bestFit="1" customWidth="1"/>
    <col min="1804" max="1804" width="9" style="1588" bestFit="1" customWidth="1"/>
    <col min="1805" max="1805" width="11" style="1588" bestFit="1" customWidth="1"/>
    <col min="1806" max="1806" width="12.5546875" style="1588" bestFit="1" customWidth="1"/>
    <col min="1807" max="1807" width="12.109375" style="1588" customWidth="1"/>
    <col min="1808" max="1821" width="2.88671875" style="1588" customWidth="1"/>
    <col min="1822" max="1822" width="22.33203125" style="1588" customWidth="1"/>
    <col min="1823" max="1823" width="9.44140625" style="1588" customWidth="1"/>
    <col min="1824" max="1824" width="8.44140625" style="1588" customWidth="1"/>
    <col min="1825" max="1825" width="9.44140625" style="1588" customWidth="1"/>
    <col min="1826" max="1826" width="7.5546875" style="1588" customWidth="1"/>
    <col min="1827" max="1827" width="7.88671875" style="1588" bestFit="1" customWidth="1"/>
    <col min="1828" max="1828" width="10.33203125" style="1588" bestFit="1" customWidth="1"/>
    <col min="1829" max="1829" width="4.88671875" style="1588" customWidth="1"/>
    <col min="1830" max="1830" width="21.88671875" style="1588" bestFit="1" customWidth="1"/>
    <col min="1831" max="1831" width="8.88671875" style="1588" customWidth="1"/>
    <col min="1832" max="1832" width="7.5546875" style="1588" bestFit="1" customWidth="1"/>
    <col min="1833" max="1833" width="4.5546875" style="1588" customWidth="1"/>
    <col min="1834" max="2045" width="9.44140625" style="1588"/>
    <col min="2046" max="2046" width="2.44140625" style="1588" customWidth="1"/>
    <col min="2047" max="2047" width="29.6640625" style="1588" customWidth="1"/>
    <col min="2048" max="2048" width="9.33203125" style="1588" bestFit="1" customWidth="1"/>
    <col min="2049" max="2049" width="10.33203125" style="1588" customWidth="1"/>
    <col min="2050" max="2050" width="8.109375" style="1588" bestFit="1" customWidth="1"/>
    <col min="2051" max="2051" width="9.88671875" style="1588" bestFit="1" customWidth="1"/>
    <col min="2052" max="2052" width="9" style="1588" customWidth="1"/>
    <col min="2053" max="2053" width="11.6640625" style="1588" customWidth="1"/>
    <col min="2054" max="2054" width="12.44140625" style="1588" customWidth="1"/>
    <col min="2055" max="2055" width="2.88671875" style="1588" customWidth="1"/>
    <col min="2056" max="2056" width="29.88671875" style="1588" customWidth="1"/>
    <col min="2057" max="2057" width="9" style="1588" customWidth="1"/>
    <col min="2058" max="2058" width="10.88671875" style="1588" customWidth="1"/>
    <col min="2059" max="2059" width="8" style="1588" bestFit="1" customWidth="1"/>
    <col min="2060" max="2060" width="9" style="1588" bestFit="1" customWidth="1"/>
    <col min="2061" max="2061" width="11" style="1588" bestFit="1" customWidth="1"/>
    <col min="2062" max="2062" width="12.5546875" style="1588" bestFit="1" customWidth="1"/>
    <col min="2063" max="2063" width="12.109375" style="1588" customWidth="1"/>
    <col min="2064" max="2077" width="2.88671875" style="1588" customWidth="1"/>
    <col min="2078" max="2078" width="22.33203125" style="1588" customWidth="1"/>
    <col min="2079" max="2079" width="9.44140625" style="1588" customWidth="1"/>
    <col min="2080" max="2080" width="8.44140625" style="1588" customWidth="1"/>
    <col min="2081" max="2081" width="9.44140625" style="1588" customWidth="1"/>
    <col min="2082" max="2082" width="7.5546875" style="1588" customWidth="1"/>
    <col min="2083" max="2083" width="7.88671875" style="1588" bestFit="1" customWidth="1"/>
    <col min="2084" max="2084" width="10.33203125" style="1588" bestFit="1" customWidth="1"/>
    <col min="2085" max="2085" width="4.88671875" style="1588" customWidth="1"/>
    <col min="2086" max="2086" width="21.88671875" style="1588" bestFit="1" customWidth="1"/>
    <col min="2087" max="2087" width="8.88671875" style="1588" customWidth="1"/>
    <col min="2088" max="2088" width="7.5546875" style="1588" bestFit="1" customWidth="1"/>
    <col min="2089" max="2089" width="4.5546875" style="1588" customWidth="1"/>
    <col min="2090" max="2301" width="9.44140625" style="1588"/>
    <col min="2302" max="2302" width="2.44140625" style="1588" customWidth="1"/>
    <col min="2303" max="2303" width="29.6640625" style="1588" customWidth="1"/>
    <col min="2304" max="2304" width="9.33203125" style="1588" bestFit="1" customWidth="1"/>
    <col min="2305" max="2305" width="10.33203125" style="1588" customWidth="1"/>
    <col min="2306" max="2306" width="8.109375" style="1588" bestFit="1" customWidth="1"/>
    <col min="2307" max="2307" width="9.88671875" style="1588" bestFit="1" customWidth="1"/>
    <col min="2308" max="2308" width="9" style="1588" customWidth="1"/>
    <col min="2309" max="2309" width="11.6640625" style="1588" customWidth="1"/>
    <col min="2310" max="2310" width="12.44140625" style="1588" customWidth="1"/>
    <col min="2311" max="2311" width="2.88671875" style="1588" customWidth="1"/>
    <col min="2312" max="2312" width="29.88671875" style="1588" customWidth="1"/>
    <col min="2313" max="2313" width="9" style="1588" customWidth="1"/>
    <col min="2314" max="2314" width="10.88671875" style="1588" customWidth="1"/>
    <col min="2315" max="2315" width="8" style="1588" bestFit="1" customWidth="1"/>
    <col min="2316" max="2316" width="9" style="1588" bestFit="1" customWidth="1"/>
    <col min="2317" max="2317" width="11" style="1588" bestFit="1" customWidth="1"/>
    <col min="2318" max="2318" width="12.5546875" style="1588" bestFit="1" customWidth="1"/>
    <col min="2319" max="2319" width="12.109375" style="1588" customWidth="1"/>
    <col min="2320" max="2333" width="2.88671875" style="1588" customWidth="1"/>
    <col min="2334" max="2334" width="22.33203125" style="1588" customWidth="1"/>
    <col min="2335" max="2335" width="9.44140625" style="1588" customWidth="1"/>
    <col min="2336" max="2336" width="8.44140625" style="1588" customWidth="1"/>
    <col min="2337" max="2337" width="9.44140625" style="1588" customWidth="1"/>
    <col min="2338" max="2338" width="7.5546875" style="1588" customWidth="1"/>
    <col min="2339" max="2339" width="7.88671875" style="1588" bestFit="1" customWidth="1"/>
    <col min="2340" max="2340" width="10.33203125" style="1588" bestFit="1" customWidth="1"/>
    <col min="2341" max="2341" width="4.88671875" style="1588" customWidth="1"/>
    <col min="2342" max="2342" width="21.88671875" style="1588" bestFit="1" customWidth="1"/>
    <col min="2343" max="2343" width="8.88671875" style="1588" customWidth="1"/>
    <col min="2344" max="2344" width="7.5546875" style="1588" bestFit="1" customWidth="1"/>
    <col min="2345" max="2345" width="4.5546875" style="1588" customWidth="1"/>
    <col min="2346" max="2557" width="9.44140625" style="1588"/>
    <col min="2558" max="2558" width="2.44140625" style="1588" customWidth="1"/>
    <col min="2559" max="2559" width="29.6640625" style="1588" customWidth="1"/>
    <col min="2560" max="2560" width="9.33203125" style="1588" bestFit="1" customWidth="1"/>
    <col min="2561" max="2561" width="10.33203125" style="1588" customWidth="1"/>
    <col min="2562" max="2562" width="8.109375" style="1588" bestFit="1" customWidth="1"/>
    <col min="2563" max="2563" width="9.88671875" style="1588" bestFit="1" customWidth="1"/>
    <col min="2564" max="2564" width="9" style="1588" customWidth="1"/>
    <col min="2565" max="2565" width="11.6640625" style="1588" customWidth="1"/>
    <col min="2566" max="2566" width="12.44140625" style="1588" customWidth="1"/>
    <col min="2567" max="2567" width="2.88671875" style="1588" customWidth="1"/>
    <col min="2568" max="2568" width="29.88671875" style="1588" customWidth="1"/>
    <col min="2569" max="2569" width="9" style="1588" customWidth="1"/>
    <col min="2570" max="2570" width="10.88671875" style="1588" customWidth="1"/>
    <col min="2571" max="2571" width="8" style="1588" bestFit="1" customWidth="1"/>
    <col min="2572" max="2572" width="9" style="1588" bestFit="1" customWidth="1"/>
    <col min="2573" max="2573" width="11" style="1588" bestFit="1" customWidth="1"/>
    <col min="2574" max="2574" width="12.5546875" style="1588" bestFit="1" customWidth="1"/>
    <col min="2575" max="2575" width="12.109375" style="1588" customWidth="1"/>
    <col min="2576" max="2589" width="2.88671875" style="1588" customWidth="1"/>
    <col min="2590" max="2590" width="22.33203125" style="1588" customWidth="1"/>
    <col min="2591" max="2591" width="9.44140625" style="1588" customWidth="1"/>
    <col min="2592" max="2592" width="8.44140625" style="1588" customWidth="1"/>
    <col min="2593" max="2593" width="9.44140625" style="1588" customWidth="1"/>
    <col min="2594" max="2594" width="7.5546875" style="1588" customWidth="1"/>
    <col min="2595" max="2595" width="7.88671875" style="1588" bestFit="1" customWidth="1"/>
    <col min="2596" max="2596" width="10.33203125" style="1588" bestFit="1" customWidth="1"/>
    <col min="2597" max="2597" width="4.88671875" style="1588" customWidth="1"/>
    <col min="2598" max="2598" width="21.88671875" style="1588" bestFit="1" customWidth="1"/>
    <col min="2599" max="2599" width="8.88671875" style="1588" customWidth="1"/>
    <col min="2600" max="2600" width="7.5546875" style="1588" bestFit="1" customWidth="1"/>
    <col min="2601" max="2601" width="4.5546875" style="1588" customWidth="1"/>
    <col min="2602" max="2813" width="9.44140625" style="1588"/>
    <col min="2814" max="2814" width="2.44140625" style="1588" customWidth="1"/>
    <col min="2815" max="2815" width="29.6640625" style="1588" customWidth="1"/>
    <col min="2816" max="2816" width="9.33203125" style="1588" bestFit="1" customWidth="1"/>
    <col min="2817" max="2817" width="10.33203125" style="1588" customWidth="1"/>
    <col min="2818" max="2818" width="8.109375" style="1588" bestFit="1" customWidth="1"/>
    <col min="2819" max="2819" width="9.88671875" style="1588" bestFit="1" customWidth="1"/>
    <col min="2820" max="2820" width="9" style="1588" customWidth="1"/>
    <col min="2821" max="2821" width="11.6640625" style="1588" customWidth="1"/>
    <col min="2822" max="2822" width="12.44140625" style="1588" customWidth="1"/>
    <col min="2823" max="2823" width="2.88671875" style="1588" customWidth="1"/>
    <col min="2824" max="2824" width="29.88671875" style="1588" customWidth="1"/>
    <col min="2825" max="2825" width="9" style="1588" customWidth="1"/>
    <col min="2826" max="2826" width="10.88671875" style="1588" customWidth="1"/>
    <col min="2827" max="2827" width="8" style="1588" bestFit="1" customWidth="1"/>
    <col min="2828" max="2828" width="9" style="1588" bestFit="1" customWidth="1"/>
    <col min="2829" max="2829" width="11" style="1588" bestFit="1" customWidth="1"/>
    <col min="2830" max="2830" width="12.5546875" style="1588" bestFit="1" customWidth="1"/>
    <col min="2831" max="2831" width="12.109375" style="1588" customWidth="1"/>
    <col min="2832" max="2845" width="2.88671875" style="1588" customWidth="1"/>
    <col min="2846" max="2846" width="22.33203125" style="1588" customWidth="1"/>
    <col min="2847" max="2847" width="9.44140625" style="1588" customWidth="1"/>
    <col min="2848" max="2848" width="8.44140625" style="1588" customWidth="1"/>
    <col min="2849" max="2849" width="9.44140625" style="1588" customWidth="1"/>
    <col min="2850" max="2850" width="7.5546875" style="1588" customWidth="1"/>
    <col min="2851" max="2851" width="7.88671875" style="1588" bestFit="1" customWidth="1"/>
    <col min="2852" max="2852" width="10.33203125" style="1588" bestFit="1" customWidth="1"/>
    <col min="2853" max="2853" width="4.88671875" style="1588" customWidth="1"/>
    <col min="2854" max="2854" width="21.88671875" style="1588" bestFit="1" customWidth="1"/>
    <col min="2855" max="2855" width="8.88671875" style="1588" customWidth="1"/>
    <col min="2856" max="2856" width="7.5546875" style="1588" bestFit="1" customWidth="1"/>
    <col min="2857" max="2857" width="4.5546875" style="1588" customWidth="1"/>
    <col min="2858" max="3069" width="9.44140625" style="1588"/>
    <col min="3070" max="3070" width="2.44140625" style="1588" customWidth="1"/>
    <col min="3071" max="3071" width="29.6640625" style="1588" customWidth="1"/>
    <col min="3072" max="3072" width="9.33203125" style="1588" bestFit="1" customWidth="1"/>
    <col min="3073" max="3073" width="10.33203125" style="1588" customWidth="1"/>
    <col min="3074" max="3074" width="8.109375" style="1588" bestFit="1" customWidth="1"/>
    <col min="3075" max="3075" width="9.88671875" style="1588" bestFit="1" customWidth="1"/>
    <col min="3076" max="3076" width="9" style="1588" customWidth="1"/>
    <col min="3077" max="3077" width="11.6640625" style="1588" customWidth="1"/>
    <col min="3078" max="3078" width="12.44140625" style="1588" customWidth="1"/>
    <col min="3079" max="3079" width="2.88671875" style="1588" customWidth="1"/>
    <col min="3080" max="3080" width="29.88671875" style="1588" customWidth="1"/>
    <col min="3081" max="3081" width="9" style="1588" customWidth="1"/>
    <col min="3082" max="3082" width="10.88671875" style="1588" customWidth="1"/>
    <col min="3083" max="3083" width="8" style="1588" bestFit="1" customWidth="1"/>
    <col min="3084" max="3084" width="9" style="1588" bestFit="1" customWidth="1"/>
    <col min="3085" max="3085" width="11" style="1588" bestFit="1" customWidth="1"/>
    <col min="3086" max="3086" width="12.5546875" style="1588" bestFit="1" customWidth="1"/>
    <col min="3087" max="3087" width="12.109375" style="1588" customWidth="1"/>
    <col min="3088" max="3101" width="2.88671875" style="1588" customWidth="1"/>
    <col min="3102" max="3102" width="22.33203125" style="1588" customWidth="1"/>
    <col min="3103" max="3103" width="9.44140625" style="1588" customWidth="1"/>
    <col min="3104" max="3104" width="8.44140625" style="1588" customWidth="1"/>
    <col min="3105" max="3105" width="9.44140625" style="1588" customWidth="1"/>
    <col min="3106" max="3106" width="7.5546875" style="1588" customWidth="1"/>
    <col min="3107" max="3107" width="7.88671875" style="1588" bestFit="1" customWidth="1"/>
    <col min="3108" max="3108" width="10.33203125" style="1588" bestFit="1" customWidth="1"/>
    <col min="3109" max="3109" width="4.88671875" style="1588" customWidth="1"/>
    <col min="3110" max="3110" width="21.88671875" style="1588" bestFit="1" customWidth="1"/>
    <col min="3111" max="3111" width="8.88671875" style="1588" customWidth="1"/>
    <col min="3112" max="3112" width="7.5546875" style="1588" bestFit="1" customWidth="1"/>
    <col min="3113" max="3113" width="4.5546875" style="1588" customWidth="1"/>
    <col min="3114" max="3325" width="9.44140625" style="1588"/>
    <col min="3326" max="3326" width="2.44140625" style="1588" customWidth="1"/>
    <col min="3327" max="3327" width="29.6640625" style="1588" customWidth="1"/>
    <col min="3328" max="3328" width="9.33203125" style="1588" bestFit="1" customWidth="1"/>
    <col min="3329" max="3329" width="10.33203125" style="1588" customWidth="1"/>
    <col min="3330" max="3330" width="8.109375" style="1588" bestFit="1" customWidth="1"/>
    <col min="3331" max="3331" width="9.88671875" style="1588" bestFit="1" customWidth="1"/>
    <col min="3332" max="3332" width="9" style="1588" customWidth="1"/>
    <col min="3333" max="3333" width="11.6640625" style="1588" customWidth="1"/>
    <col min="3334" max="3334" width="12.44140625" style="1588" customWidth="1"/>
    <col min="3335" max="3335" width="2.88671875" style="1588" customWidth="1"/>
    <col min="3336" max="3336" width="29.88671875" style="1588" customWidth="1"/>
    <col min="3337" max="3337" width="9" style="1588" customWidth="1"/>
    <col min="3338" max="3338" width="10.88671875" style="1588" customWidth="1"/>
    <col min="3339" max="3339" width="8" style="1588" bestFit="1" customWidth="1"/>
    <col min="3340" max="3340" width="9" style="1588" bestFit="1" customWidth="1"/>
    <col min="3341" max="3341" width="11" style="1588" bestFit="1" customWidth="1"/>
    <col min="3342" max="3342" width="12.5546875" style="1588" bestFit="1" customWidth="1"/>
    <col min="3343" max="3343" width="12.109375" style="1588" customWidth="1"/>
    <col min="3344" max="3357" width="2.88671875" style="1588" customWidth="1"/>
    <col min="3358" max="3358" width="22.33203125" style="1588" customWidth="1"/>
    <col min="3359" max="3359" width="9.44140625" style="1588" customWidth="1"/>
    <col min="3360" max="3360" width="8.44140625" style="1588" customWidth="1"/>
    <col min="3361" max="3361" width="9.44140625" style="1588" customWidth="1"/>
    <col min="3362" max="3362" width="7.5546875" style="1588" customWidth="1"/>
    <col min="3363" max="3363" width="7.88671875" style="1588" bestFit="1" customWidth="1"/>
    <col min="3364" max="3364" width="10.33203125" style="1588" bestFit="1" customWidth="1"/>
    <col min="3365" max="3365" width="4.88671875" style="1588" customWidth="1"/>
    <col min="3366" max="3366" width="21.88671875" style="1588" bestFit="1" customWidth="1"/>
    <col min="3367" max="3367" width="8.88671875" style="1588" customWidth="1"/>
    <col min="3368" max="3368" width="7.5546875" style="1588" bestFit="1" customWidth="1"/>
    <col min="3369" max="3369" width="4.5546875" style="1588" customWidth="1"/>
    <col min="3370" max="3581" width="9.44140625" style="1588"/>
    <col min="3582" max="3582" width="2.44140625" style="1588" customWidth="1"/>
    <col min="3583" max="3583" width="29.6640625" style="1588" customWidth="1"/>
    <col min="3584" max="3584" width="9.33203125" style="1588" bestFit="1" customWidth="1"/>
    <col min="3585" max="3585" width="10.33203125" style="1588" customWidth="1"/>
    <col min="3586" max="3586" width="8.109375" style="1588" bestFit="1" customWidth="1"/>
    <col min="3587" max="3587" width="9.88671875" style="1588" bestFit="1" customWidth="1"/>
    <col min="3588" max="3588" width="9" style="1588" customWidth="1"/>
    <col min="3589" max="3589" width="11.6640625" style="1588" customWidth="1"/>
    <col min="3590" max="3590" width="12.44140625" style="1588" customWidth="1"/>
    <col min="3591" max="3591" width="2.88671875" style="1588" customWidth="1"/>
    <col min="3592" max="3592" width="29.88671875" style="1588" customWidth="1"/>
    <col min="3593" max="3593" width="9" style="1588" customWidth="1"/>
    <col min="3594" max="3594" width="10.88671875" style="1588" customWidth="1"/>
    <col min="3595" max="3595" width="8" style="1588" bestFit="1" customWidth="1"/>
    <col min="3596" max="3596" width="9" style="1588" bestFit="1" customWidth="1"/>
    <col min="3597" max="3597" width="11" style="1588" bestFit="1" customWidth="1"/>
    <col min="3598" max="3598" width="12.5546875" style="1588" bestFit="1" customWidth="1"/>
    <col min="3599" max="3599" width="12.109375" style="1588" customWidth="1"/>
    <col min="3600" max="3613" width="2.88671875" style="1588" customWidth="1"/>
    <col min="3614" max="3614" width="22.33203125" style="1588" customWidth="1"/>
    <col min="3615" max="3615" width="9.44140625" style="1588" customWidth="1"/>
    <col min="3616" max="3616" width="8.44140625" style="1588" customWidth="1"/>
    <col min="3617" max="3617" width="9.44140625" style="1588" customWidth="1"/>
    <col min="3618" max="3618" width="7.5546875" style="1588" customWidth="1"/>
    <col min="3619" max="3619" width="7.88671875" style="1588" bestFit="1" customWidth="1"/>
    <col min="3620" max="3620" width="10.33203125" style="1588" bestFit="1" customWidth="1"/>
    <col min="3621" max="3621" width="4.88671875" style="1588" customWidth="1"/>
    <col min="3622" max="3622" width="21.88671875" style="1588" bestFit="1" customWidth="1"/>
    <col min="3623" max="3623" width="8.88671875" style="1588" customWidth="1"/>
    <col min="3624" max="3624" width="7.5546875" style="1588" bestFit="1" customWidth="1"/>
    <col min="3625" max="3625" width="4.5546875" style="1588" customWidth="1"/>
    <col min="3626" max="3837" width="9.44140625" style="1588"/>
    <col min="3838" max="3838" width="2.44140625" style="1588" customWidth="1"/>
    <col min="3839" max="3839" width="29.6640625" style="1588" customWidth="1"/>
    <col min="3840" max="3840" width="9.33203125" style="1588" bestFit="1" customWidth="1"/>
    <col min="3841" max="3841" width="10.33203125" style="1588" customWidth="1"/>
    <col min="3842" max="3842" width="8.109375" style="1588" bestFit="1" customWidth="1"/>
    <col min="3843" max="3843" width="9.88671875" style="1588" bestFit="1" customWidth="1"/>
    <col min="3844" max="3844" width="9" style="1588" customWidth="1"/>
    <col min="3845" max="3845" width="11.6640625" style="1588" customWidth="1"/>
    <col min="3846" max="3846" width="12.44140625" style="1588" customWidth="1"/>
    <col min="3847" max="3847" width="2.88671875" style="1588" customWidth="1"/>
    <col min="3848" max="3848" width="29.88671875" style="1588" customWidth="1"/>
    <col min="3849" max="3849" width="9" style="1588" customWidth="1"/>
    <col min="3850" max="3850" width="10.88671875" style="1588" customWidth="1"/>
    <col min="3851" max="3851" width="8" style="1588" bestFit="1" customWidth="1"/>
    <col min="3852" max="3852" width="9" style="1588" bestFit="1" customWidth="1"/>
    <col min="3853" max="3853" width="11" style="1588" bestFit="1" customWidth="1"/>
    <col min="3854" max="3854" width="12.5546875" style="1588" bestFit="1" customWidth="1"/>
    <col min="3855" max="3855" width="12.109375" style="1588" customWidth="1"/>
    <col min="3856" max="3869" width="2.88671875" style="1588" customWidth="1"/>
    <col min="3870" max="3870" width="22.33203125" style="1588" customWidth="1"/>
    <col min="3871" max="3871" width="9.44140625" style="1588" customWidth="1"/>
    <col min="3872" max="3872" width="8.44140625" style="1588" customWidth="1"/>
    <col min="3873" max="3873" width="9.44140625" style="1588" customWidth="1"/>
    <col min="3874" max="3874" width="7.5546875" style="1588" customWidth="1"/>
    <col min="3875" max="3875" width="7.88671875" style="1588" bestFit="1" customWidth="1"/>
    <col min="3876" max="3876" width="10.33203125" style="1588" bestFit="1" customWidth="1"/>
    <col min="3877" max="3877" width="4.88671875" style="1588" customWidth="1"/>
    <col min="3878" max="3878" width="21.88671875" style="1588" bestFit="1" customWidth="1"/>
    <col min="3879" max="3879" width="8.88671875" style="1588" customWidth="1"/>
    <col min="3880" max="3880" width="7.5546875" style="1588" bestFit="1" customWidth="1"/>
    <col min="3881" max="3881" width="4.5546875" style="1588" customWidth="1"/>
    <col min="3882" max="4093" width="9.44140625" style="1588"/>
    <col min="4094" max="4094" width="2.44140625" style="1588" customWidth="1"/>
    <col min="4095" max="4095" width="29.6640625" style="1588" customWidth="1"/>
    <col min="4096" max="4096" width="9.33203125" style="1588" bestFit="1" customWidth="1"/>
    <col min="4097" max="4097" width="10.33203125" style="1588" customWidth="1"/>
    <col min="4098" max="4098" width="8.109375" style="1588" bestFit="1" customWidth="1"/>
    <col min="4099" max="4099" width="9.88671875" style="1588" bestFit="1" customWidth="1"/>
    <col min="4100" max="4100" width="9" style="1588" customWidth="1"/>
    <col min="4101" max="4101" width="11.6640625" style="1588" customWidth="1"/>
    <col min="4102" max="4102" width="12.44140625" style="1588" customWidth="1"/>
    <col min="4103" max="4103" width="2.88671875" style="1588" customWidth="1"/>
    <col min="4104" max="4104" width="29.88671875" style="1588" customWidth="1"/>
    <col min="4105" max="4105" width="9" style="1588" customWidth="1"/>
    <col min="4106" max="4106" width="10.88671875" style="1588" customWidth="1"/>
    <col min="4107" max="4107" width="8" style="1588" bestFit="1" customWidth="1"/>
    <col min="4108" max="4108" width="9" style="1588" bestFit="1" customWidth="1"/>
    <col min="4109" max="4109" width="11" style="1588" bestFit="1" customWidth="1"/>
    <col min="4110" max="4110" width="12.5546875" style="1588" bestFit="1" customWidth="1"/>
    <col min="4111" max="4111" width="12.109375" style="1588" customWidth="1"/>
    <col min="4112" max="4125" width="2.88671875" style="1588" customWidth="1"/>
    <col min="4126" max="4126" width="22.33203125" style="1588" customWidth="1"/>
    <col min="4127" max="4127" width="9.44140625" style="1588" customWidth="1"/>
    <col min="4128" max="4128" width="8.44140625" style="1588" customWidth="1"/>
    <col min="4129" max="4129" width="9.44140625" style="1588" customWidth="1"/>
    <col min="4130" max="4130" width="7.5546875" style="1588" customWidth="1"/>
    <col min="4131" max="4131" width="7.88671875" style="1588" bestFit="1" customWidth="1"/>
    <col min="4132" max="4132" width="10.33203125" style="1588" bestFit="1" customWidth="1"/>
    <col min="4133" max="4133" width="4.88671875" style="1588" customWidth="1"/>
    <col min="4134" max="4134" width="21.88671875" style="1588" bestFit="1" customWidth="1"/>
    <col min="4135" max="4135" width="8.88671875" style="1588" customWidth="1"/>
    <col min="4136" max="4136" width="7.5546875" style="1588" bestFit="1" customWidth="1"/>
    <col min="4137" max="4137" width="4.5546875" style="1588" customWidth="1"/>
    <col min="4138" max="4349" width="9.44140625" style="1588"/>
    <col min="4350" max="4350" width="2.44140625" style="1588" customWidth="1"/>
    <col min="4351" max="4351" width="29.6640625" style="1588" customWidth="1"/>
    <col min="4352" max="4352" width="9.33203125" style="1588" bestFit="1" customWidth="1"/>
    <col min="4353" max="4353" width="10.33203125" style="1588" customWidth="1"/>
    <col min="4354" max="4354" width="8.109375" style="1588" bestFit="1" customWidth="1"/>
    <col min="4355" max="4355" width="9.88671875" style="1588" bestFit="1" customWidth="1"/>
    <col min="4356" max="4356" width="9" style="1588" customWidth="1"/>
    <col min="4357" max="4357" width="11.6640625" style="1588" customWidth="1"/>
    <col min="4358" max="4358" width="12.44140625" style="1588" customWidth="1"/>
    <col min="4359" max="4359" width="2.88671875" style="1588" customWidth="1"/>
    <col min="4360" max="4360" width="29.88671875" style="1588" customWidth="1"/>
    <col min="4361" max="4361" width="9" style="1588" customWidth="1"/>
    <col min="4362" max="4362" width="10.88671875" style="1588" customWidth="1"/>
    <col min="4363" max="4363" width="8" style="1588" bestFit="1" customWidth="1"/>
    <col min="4364" max="4364" width="9" style="1588" bestFit="1" customWidth="1"/>
    <col min="4365" max="4365" width="11" style="1588" bestFit="1" customWidth="1"/>
    <col min="4366" max="4366" width="12.5546875" style="1588" bestFit="1" customWidth="1"/>
    <col min="4367" max="4367" width="12.109375" style="1588" customWidth="1"/>
    <col min="4368" max="4381" width="2.88671875" style="1588" customWidth="1"/>
    <col min="4382" max="4382" width="22.33203125" style="1588" customWidth="1"/>
    <col min="4383" max="4383" width="9.44140625" style="1588" customWidth="1"/>
    <col min="4384" max="4384" width="8.44140625" style="1588" customWidth="1"/>
    <col min="4385" max="4385" width="9.44140625" style="1588" customWidth="1"/>
    <col min="4386" max="4386" width="7.5546875" style="1588" customWidth="1"/>
    <col min="4387" max="4387" width="7.88671875" style="1588" bestFit="1" customWidth="1"/>
    <col min="4388" max="4388" width="10.33203125" style="1588" bestFit="1" customWidth="1"/>
    <col min="4389" max="4389" width="4.88671875" style="1588" customWidth="1"/>
    <col min="4390" max="4390" width="21.88671875" style="1588" bestFit="1" customWidth="1"/>
    <col min="4391" max="4391" width="8.88671875" style="1588" customWidth="1"/>
    <col min="4392" max="4392" width="7.5546875" style="1588" bestFit="1" customWidth="1"/>
    <col min="4393" max="4393" width="4.5546875" style="1588" customWidth="1"/>
    <col min="4394" max="4605" width="9.44140625" style="1588"/>
    <col min="4606" max="4606" width="2.44140625" style="1588" customWidth="1"/>
    <col min="4607" max="4607" width="29.6640625" style="1588" customWidth="1"/>
    <col min="4608" max="4608" width="9.33203125" style="1588" bestFit="1" customWidth="1"/>
    <col min="4609" max="4609" width="10.33203125" style="1588" customWidth="1"/>
    <col min="4610" max="4610" width="8.109375" style="1588" bestFit="1" customWidth="1"/>
    <col min="4611" max="4611" width="9.88671875" style="1588" bestFit="1" customWidth="1"/>
    <col min="4612" max="4612" width="9" style="1588" customWidth="1"/>
    <col min="4613" max="4613" width="11.6640625" style="1588" customWidth="1"/>
    <col min="4614" max="4614" width="12.44140625" style="1588" customWidth="1"/>
    <col min="4615" max="4615" width="2.88671875" style="1588" customWidth="1"/>
    <col min="4616" max="4616" width="29.88671875" style="1588" customWidth="1"/>
    <col min="4617" max="4617" width="9" style="1588" customWidth="1"/>
    <col min="4618" max="4618" width="10.88671875" style="1588" customWidth="1"/>
    <col min="4619" max="4619" width="8" style="1588" bestFit="1" customWidth="1"/>
    <col min="4620" max="4620" width="9" style="1588" bestFit="1" customWidth="1"/>
    <col min="4621" max="4621" width="11" style="1588" bestFit="1" customWidth="1"/>
    <col min="4622" max="4622" width="12.5546875" style="1588" bestFit="1" customWidth="1"/>
    <col min="4623" max="4623" width="12.109375" style="1588" customWidth="1"/>
    <col min="4624" max="4637" width="2.88671875" style="1588" customWidth="1"/>
    <col min="4638" max="4638" width="22.33203125" style="1588" customWidth="1"/>
    <col min="4639" max="4639" width="9.44140625" style="1588" customWidth="1"/>
    <col min="4640" max="4640" width="8.44140625" style="1588" customWidth="1"/>
    <col min="4641" max="4641" width="9.44140625" style="1588" customWidth="1"/>
    <col min="4642" max="4642" width="7.5546875" style="1588" customWidth="1"/>
    <col min="4643" max="4643" width="7.88671875" style="1588" bestFit="1" customWidth="1"/>
    <col min="4644" max="4644" width="10.33203125" style="1588" bestFit="1" customWidth="1"/>
    <col min="4645" max="4645" width="4.88671875" style="1588" customWidth="1"/>
    <col min="4646" max="4646" width="21.88671875" style="1588" bestFit="1" customWidth="1"/>
    <col min="4647" max="4647" width="8.88671875" style="1588" customWidth="1"/>
    <col min="4648" max="4648" width="7.5546875" style="1588" bestFit="1" customWidth="1"/>
    <col min="4649" max="4649" width="4.5546875" style="1588" customWidth="1"/>
    <col min="4650" max="4861" width="9.44140625" style="1588"/>
    <col min="4862" max="4862" width="2.44140625" style="1588" customWidth="1"/>
    <col min="4863" max="4863" width="29.6640625" style="1588" customWidth="1"/>
    <col min="4864" max="4864" width="9.33203125" style="1588" bestFit="1" customWidth="1"/>
    <col min="4865" max="4865" width="10.33203125" style="1588" customWidth="1"/>
    <col min="4866" max="4866" width="8.109375" style="1588" bestFit="1" customWidth="1"/>
    <col min="4867" max="4867" width="9.88671875" style="1588" bestFit="1" customWidth="1"/>
    <col min="4868" max="4868" width="9" style="1588" customWidth="1"/>
    <col min="4869" max="4869" width="11.6640625" style="1588" customWidth="1"/>
    <col min="4870" max="4870" width="12.44140625" style="1588" customWidth="1"/>
    <col min="4871" max="4871" width="2.88671875" style="1588" customWidth="1"/>
    <col min="4872" max="4872" width="29.88671875" style="1588" customWidth="1"/>
    <col min="4873" max="4873" width="9" style="1588" customWidth="1"/>
    <col min="4874" max="4874" width="10.88671875" style="1588" customWidth="1"/>
    <col min="4875" max="4875" width="8" style="1588" bestFit="1" customWidth="1"/>
    <col min="4876" max="4876" width="9" style="1588" bestFit="1" customWidth="1"/>
    <col min="4877" max="4877" width="11" style="1588" bestFit="1" customWidth="1"/>
    <col min="4878" max="4878" width="12.5546875" style="1588" bestFit="1" customWidth="1"/>
    <col min="4879" max="4879" width="12.109375" style="1588" customWidth="1"/>
    <col min="4880" max="4893" width="2.88671875" style="1588" customWidth="1"/>
    <col min="4894" max="4894" width="22.33203125" style="1588" customWidth="1"/>
    <col min="4895" max="4895" width="9.44140625" style="1588" customWidth="1"/>
    <col min="4896" max="4896" width="8.44140625" style="1588" customWidth="1"/>
    <col min="4897" max="4897" width="9.44140625" style="1588" customWidth="1"/>
    <col min="4898" max="4898" width="7.5546875" style="1588" customWidth="1"/>
    <col min="4899" max="4899" width="7.88671875" style="1588" bestFit="1" customWidth="1"/>
    <col min="4900" max="4900" width="10.33203125" style="1588" bestFit="1" customWidth="1"/>
    <col min="4901" max="4901" width="4.88671875" style="1588" customWidth="1"/>
    <col min="4902" max="4902" width="21.88671875" style="1588" bestFit="1" customWidth="1"/>
    <col min="4903" max="4903" width="8.88671875" style="1588" customWidth="1"/>
    <col min="4904" max="4904" width="7.5546875" style="1588" bestFit="1" customWidth="1"/>
    <col min="4905" max="4905" width="4.5546875" style="1588" customWidth="1"/>
    <col min="4906" max="5117" width="9.44140625" style="1588"/>
    <col min="5118" max="5118" width="2.44140625" style="1588" customWidth="1"/>
    <col min="5119" max="5119" width="29.6640625" style="1588" customWidth="1"/>
    <col min="5120" max="5120" width="9.33203125" style="1588" bestFit="1" customWidth="1"/>
    <col min="5121" max="5121" width="10.33203125" style="1588" customWidth="1"/>
    <col min="5122" max="5122" width="8.109375" style="1588" bestFit="1" customWidth="1"/>
    <col min="5123" max="5123" width="9.88671875" style="1588" bestFit="1" customWidth="1"/>
    <col min="5124" max="5124" width="9" style="1588" customWidth="1"/>
    <col min="5125" max="5125" width="11.6640625" style="1588" customWidth="1"/>
    <col min="5126" max="5126" width="12.44140625" style="1588" customWidth="1"/>
    <col min="5127" max="5127" width="2.88671875" style="1588" customWidth="1"/>
    <col min="5128" max="5128" width="29.88671875" style="1588" customWidth="1"/>
    <col min="5129" max="5129" width="9" style="1588" customWidth="1"/>
    <col min="5130" max="5130" width="10.88671875" style="1588" customWidth="1"/>
    <col min="5131" max="5131" width="8" style="1588" bestFit="1" customWidth="1"/>
    <col min="5132" max="5132" width="9" style="1588" bestFit="1" customWidth="1"/>
    <col min="5133" max="5133" width="11" style="1588" bestFit="1" customWidth="1"/>
    <col min="5134" max="5134" width="12.5546875" style="1588" bestFit="1" customWidth="1"/>
    <col min="5135" max="5135" width="12.109375" style="1588" customWidth="1"/>
    <col min="5136" max="5149" width="2.88671875" style="1588" customWidth="1"/>
    <col min="5150" max="5150" width="22.33203125" style="1588" customWidth="1"/>
    <col min="5151" max="5151" width="9.44140625" style="1588" customWidth="1"/>
    <col min="5152" max="5152" width="8.44140625" style="1588" customWidth="1"/>
    <col min="5153" max="5153" width="9.44140625" style="1588" customWidth="1"/>
    <col min="5154" max="5154" width="7.5546875" style="1588" customWidth="1"/>
    <col min="5155" max="5155" width="7.88671875" style="1588" bestFit="1" customWidth="1"/>
    <col min="5156" max="5156" width="10.33203125" style="1588" bestFit="1" customWidth="1"/>
    <col min="5157" max="5157" width="4.88671875" style="1588" customWidth="1"/>
    <col min="5158" max="5158" width="21.88671875" style="1588" bestFit="1" customWidth="1"/>
    <col min="5159" max="5159" width="8.88671875" style="1588" customWidth="1"/>
    <col min="5160" max="5160" width="7.5546875" style="1588" bestFit="1" customWidth="1"/>
    <col min="5161" max="5161" width="4.5546875" style="1588" customWidth="1"/>
    <col min="5162" max="5373" width="9.44140625" style="1588"/>
    <col min="5374" max="5374" width="2.44140625" style="1588" customWidth="1"/>
    <col min="5375" max="5375" width="29.6640625" style="1588" customWidth="1"/>
    <col min="5376" max="5376" width="9.33203125" style="1588" bestFit="1" customWidth="1"/>
    <col min="5377" max="5377" width="10.33203125" style="1588" customWidth="1"/>
    <col min="5378" max="5378" width="8.109375" style="1588" bestFit="1" customWidth="1"/>
    <col min="5379" max="5379" width="9.88671875" style="1588" bestFit="1" customWidth="1"/>
    <col min="5380" max="5380" width="9" style="1588" customWidth="1"/>
    <col min="5381" max="5381" width="11.6640625" style="1588" customWidth="1"/>
    <col min="5382" max="5382" width="12.44140625" style="1588" customWidth="1"/>
    <col min="5383" max="5383" width="2.88671875" style="1588" customWidth="1"/>
    <col min="5384" max="5384" width="29.88671875" style="1588" customWidth="1"/>
    <col min="5385" max="5385" width="9" style="1588" customWidth="1"/>
    <col min="5386" max="5386" width="10.88671875" style="1588" customWidth="1"/>
    <col min="5387" max="5387" width="8" style="1588" bestFit="1" customWidth="1"/>
    <col min="5388" max="5388" width="9" style="1588" bestFit="1" customWidth="1"/>
    <col min="5389" max="5389" width="11" style="1588" bestFit="1" customWidth="1"/>
    <col min="5390" max="5390" width="12.5546875" style="1588" bestFit="1" customWidth="1"/>
    <col min="5391" max="5391" width="12.109375" style="1588" customWidth="1"/>
    <col min="5392" max="5405" width="2.88671875" style="1588" customWidth="1"/>
    <col min="5406" max="5406" width="22.33203125" style="1588" customWidth="1"/>
    <col min="5407" max="5407" width="9.44140625" style="1588" customWidth="1"/>
    <col min="5408" max="5408" width="8.44140625" style="1588" customWidth="1"/>
    <col min="5409" max="5409" width="9.44140625" style="1588" customWidth="1"/>
    <col min="5410" max="5410" width="7.5546875" style="1588" customWidth="1"/>
    <col min="5411" max="5411" width="7.88671875" style="1588" bestFit="1" customWidth="1"/>
    <col min="5412" max="5412" width="10.33203125" style="1588" bestFit="1" customWidth="1"/>
    <col min="5413" max="5413" width="4.88671875" style="1588" customWidth="1"/>
    <col min="5414" max="5414" width="21.88671875" style="1588" bestFit="1" customWidth="1"/>
    <col min="5415" max="5415" width="8.88671875" style="1588" customWidth="1"/>
    <col min="5416" max="5416" width="7.5546875" style="1588" bestFit="1" customWidth="1"/>
    <col min="5417" max="5417" width="4.5546875" style="1588" customWidth="1"/>
    <col min="5418" max="5629" width="9.44140625" style="1588"/>
    <col min="5630" max="5630" width="2.44140625" style="1588" customWidth="1"/>
    <col min="5631" max="5631" width="29.6640625" style="1588" customWidth="1"/>
    <col min="5632" max="5632" width="9.33203125" style="1588" bestFit="1" customWidth="1"/>
    <col min="5633" max="5633" width="10.33203125" style="1588" customWidth="1"/>
    <col min="5634" max="5634" width="8.109375" style="1588" bestFit="1" customWidth="1"/>
    <col min="5635" max="5635" width="9.88671875" style="1588" bestFit="1" customWidth="1"/>
    <col min="5636" max="5636" width="9" style="1588" customWidth="1"/>
    <col min="5637" max="5637" width="11.6640625" style="1588" customWidth="1"/>
    <col min="5638" max="5638" width="12.44140625" style="1588" customWidth="1"/>
    <col min="5639" max="5639" width="2.88671875" style="1588" customWidth="1"/>
    <col min="5640" max="5640" width="29.88671875" style="1588" customWidth="1"/>
    <col min="5641" max="5641" width="9" style="1588" customWidth="1"/>
    <col min="5642" max="5642" width="10.88671875" style="1588" customWidth="1"/>
    <col min="5643" max="5643" width="8" style="1588" bestFit="1" customWidth="1"/>
    <col min="5644" max="5644" width="9" style="1588" bestFit="1" customWidth="1"/>
    <col min="5645" max="5645" width="11" style="1588" bestFit="1" customWidth="1"/>
    <col min="5646" max="5646" width="12.5546875" style="1588" bestFit="1" customWidth="1"/>
    <col min="5647" max="5647" width="12.109375" style="1588" customWidth="1"/>
    <col min="5648" max="5661" width="2.88671875" style="1588" customWidth="1"/>
    <col min="5662" max="5662" width="22.33203125" style="1588" customWidth="1"/>
    <col min="5663" max="5663" width="9.44140625" style="1588" customWidth="1"/>
    <col min="5664" max="5664" width="8.44140625" style="1588" customWidth="1"/>
    <col min="5665" max="5665" width="9.44140625" style="1588" customWidth="1"/>
    <col min="5666" max="5666" width="7.5546875" style="1588" customWidth="1"/>
    <col min="5667" max="5667" width="7.88671875" style="1588" bestFit="1" customWidth="1"/>
    <col min="5668" max="5668" width="10.33203125" style="1588" bestFit="1" customWidth="1"/>
    <col min="5669" max="5669" width="4.88671875" style="1588" customWidth="1"/>
    <col min="5670" max="5670" width="21.88671875" style="1588" bestFit="1" customWidth="1"/>
    <col min="5671" max="5671" width="8.88671875" style="1588" customWidth="1"/>
    <col min="5672" max="5672" width="7.5546875" style="1588" bestFit="1" customWidth="1"/>
    <col min="5673" max="5673" width="4.5546875" style="1588" customWidth="1"/>
    <col min="5674" max="5885" width="9.44140625" style="1588"/>
    <col min="5886" max="5886" width="2.44140625" style="1588" customWidth="1"/>
    <col min="5887" max="5887" width="29.6640625" style="1588" customWidth="1"/>
    <col min="5888" max="5888" width="9.33203125" style="1588" bestFit="1" customWidth="1"/>
    <col min="5889" max="5889" width="10.33203125" style="1588" customWidth="1"/>
    <col min="5890" max="5890" width="8.109375" style="1588" bestFit="1" customWidth="1"/>
    <col min="5891" max="5891" width="9.88671875" style="1588" bestFit="1" customWidth="1"/>
    <col min="5892" max="5892" width="9" style="1588" customWidth="1"/>
    <col min="5893" max="5893" width="11.6640625" style="1588" customWidth="1"/>
    <col min="5894" max="5894" width="12.44140625" style="1588" customWidth="1"/>
    <col min="5895" max="5895" width="2.88671875" style="1588" customWidth="1"/>
    <col min="5896" max="5896" width="29.88671875" style="1588" customWidth="1"/>
    <col min="5897" max="5897" width="9" style="1588" customWidth="1"/>
    <col min="5898" max="5898" width="10.88671875" style="1588" customWidth="1"/>
    <col min="5899" max="5899" width="8" style="1588" bestFit="1" customWidth="1"/>
    <col min="5900" max="5900" width="9" style="1588" bestFit="1" customWidth="1"/>
    <col min="5901" max="5901" width="11" style="1588" bestFit="1" customWidth="1"/>
    <col min="5902" max="5902" width="12.5546875" style="1588" bestFit="1" customWidth="1"/>
    <col min="5903" max="5903" width="12.109375" style="1588" customWidth="1"/>
    <col min="5904" max="5917" width="2.88671875" style="1588" customWidth="1"/>
    <col min="5918" max="5918" width="22.33203125" style="1588" customWidth="1"/>
    <col min="5919" max="5919" width="9.44140625" style="1588" customWidth="1"/>
    <col min="5920" max="5920" width="8.44140625" style="1588" customWidth="1"/>
    <col min="5921" max="5921" width="9.44140625" style="1588" customWidth="1"/>
    <col min="5922" max="5922" width="7.5546875" style="1588" customWidth="1"/>
    <col min="5923" max="5923" width="7.88671875" style="1588" bestFit="1" customWidth="1"/>
    <col min="5924" max="5924" width="10.33203125" style="1588" bestFit="1" customWidth="1"/>
    <col min="5925" max="5925" width="4.88671875" style="1588" customWidth="1"/>
    <col min="5926" max="5926" width="21.88671875" style="1588" bestFit="1" customWidth="1"/>
    <col min="5927" max="5927" width="8.88671875" style="1588" customWidth="1"/>
    <col min="5928" max="5928" width="7.5546875" style="1588" bestFit="1" customWidth="1"/>
    <col min="5929" max="5929" width="4.5546875" style="1588" customWidth="1"/>
    <col min="5930" max="6141" width="9.44140625" style="1588"/>
    <col min="6142" max="6142" width="2.44140625" style="1588" customWidth="1"/>
    <col min="6143" max="6143" width="29.6640625" style="1588" customWidth="1"/>
    <col min="6144" max="6144" width="9.33203125" style="1588" bestFit="1" customWidth="1"/>
    <col min="6145" max="6145" width="10.33203125" style="1588" customWidth="1"/>
    <col min="6146" max="6146" width="8.109375" style="1588" bestFit="1" customWidth="1"/>
    <col min="6147" max="6147" width="9.88671875" style="1588" bestFit="1" customWidth="1"/>
    <col min="6148" max="6148" width="9" style="1588" customWidth="1"/>
    <col min="6149" max="6149" width="11.6640625" style="1588" customWidth="1"/>
    <col min="6150" max="6150" width="12.44140625" style="1588" customWidth="1"/>
    <col min="6151" max="6151" width="2.88671875" style="1588" customWidth="1"/>
    <col min="6152" max="6152" width="29.88671875" style="1588" customWidth="1"/>
    <col min="6153" max="6153" width="9" style="1588" customWidth="1"/>
    <col min="6154" max="6154" width="10.88671875" style="1588" customWidth="1"/>
    <col min="6155" max="6155" width="8" style="1588" bestFit="1" customWidth="1"/>
    <col min="6156" max="6156" width="9" style="1588" bestFit="1" customWidth="1"/>
    <col min="6157" max="6157" width="11" style="1588" bestFit="1" customWidth="1"/>
    <col min="6158" max="6158" width="12.5546875" style="1588" bestFit="1" customWidth="1"/>
    <col min="6159" max="6159" width="12.109375" style="1588" customWidth="1"/>
    <col min="6160" max="6173" width="2.88671875" style="1588" customWidth="1"/>
    <col min="6174" max="6174" width="22.33203125" style="1588" customWidth="1"/>
    <col min="6175" max="6175" width="9.44140625" style="1588" customWidth="1"/>
    <col min="6176" max="6176" width="8.44140625" style="1588" customWidth="1"/>
    <col min="6177" max="6177" width="9.44140625" style="1588" customWidth="1"/>
    <col min="6178" max="6178" width="7.5546875" style="1588" customWidth="1"/>
    <col min="6179" max="6179" width="7.88671875" style="1588" bestFit="1" customWidth="1"/>
    <col min="6180" max="6180" width="10.33203125" style="1588" bestFit="1" customWidth="1"/>
    <col min="6181" max="6181" width="4.88671875" style="1588" customWidth="1"/>
    <col min="6182" max="6182" width="21.88671875" style="1588" bestFit="1" customWidth="1"/>
    <col min="6183" max="6183" width="8.88671875" style="1588" customWidth="1"/>
    <col min="6184" max="6184" width="7.5546875" style="1588" bestFit="1" customWidth="1"/>
    <col min="6185" max="6185" width="4.5546875" style="1588" customWidth="1"/>
    <col min="6186" max="6397" width="9.44140625" style="1588"/>
    <col min="6398" max="6398" width="2.44140625" style="1588" customWidth="1"/>
    <col min="6399" max="6399" width="29.6640625" style="1588" customWidth="1"/>
    <col min="6400" max="6400" width="9.33203125" style="1588" bestFit="1" customWidth="1"/>
    <col min="6401" max="6401" width="10.33203125" style="1588" customWidth="1"/>
    <col min="6402" max="6402" width="8.109375" style="1588" bestFit="1" customWidth="1"/>
    <col min="6403" max="6403" width="9.88671875" style="1588" bestFit="1" customWidth="1"/>
    <col min="6404" max="6404" width="9" style="1588" customWidth="1"/>
    <col min="6405" max="6405" width="11.6640625" style="1588" customWidth="1"/>
    <col min="6406" max="6406" width="12.44140625" style="1588" customWidth="1"/>
    <col min="6407" max="6407" width="2.88671875" style="1588" customWidth="1"/>
    <col min="6408" max="6408" width="29.88671875" style="1588" customWidth="1"/>
    <col min="6409" max="6409" width="9" style="1588" customWidth="1"/>
    <col min="6410" max="6410" width="10.88671875" style="1588" customWidth="1"/>
    <col min="6411" max="6411" width="8" style="1588" bestFit="1" customWidth="1"/>
    <col min="6412" max="6412" width="9" style="1588" bestFit="1" customWidth="1"/>
    <col min="6413" max="6413" width="11" style="1588" bestFit="1" customWidth="1"/>
    <col min="6414" max="6414" width="12.5546875" style="1588" bestFit="1" customWidth="1"/>
    <col min="6415" max="6415" width="12.109375" style="1588" customWidth="1"/>
    <col min="6416" max="6429" width="2.88671875" style="1588" customWidth="1"/>
    <col min="6430" max="6430" width="22.33203125" style="1588" customWidth="1"/>
    <col min="6431" max="6431" width="9.44140625" style="1588" customWidth="1"/>
    <col min="6432" max="6432" width="8.44140625" style="1588" customWidth="1"/>
    <col min="6433" max="6433" width="9.44140625" style="1588" customWidth="1"/>
    <col min="6434" max="6434" width="7.5546875" style="1588" customWidth="1"/>
    <col min="6435" max="6435" width="7.88671875" style="1588" bestFit="1" customWidth="1"/>
    <col min="6436" max="6436" width="10.33203125" style="1588" bestFit="1" customWidth="1"/>
    <col min="6437" max="6437" width="4.88671875" style="1588" customWidth="1"/>
    <col min="6438" max="6438" width="21.88671875" style="1588" bestFit="1" customWidth="1"/>
    <col min="6439" max="6439" width="8.88671875" style="1588" customWidth="1"/>
    <col min="6440" max="6440" width="7.5546875" style="1588" bestFit="1" customWidth="1"/>
    <col min="6441" max="6441" width="4.5546875" style="1588" customWidth="1"/>
    <col min="6442" max="6653" width="9.44140625" style="1588"/>
    <col min="6654" max="6654" width="2.44140625" style="1588" customWidth="1"/>
    <col min="6655" max="6655" width="29.6640625" style="1588" customWidth="1"/>
    <col min="6656" max="6656" width="9.33203125" style="1588" bestFit="1" customWidth="1"/>
    <col min="6657" max="6657" width="10.33203125" style="1588" customWidth="1"/>
    <col min="6658" max="6658" width="8.109375" style="1588" bestFit="1" customWidth="1"/>
    <col min="6659" max="6659" width="9.88671875" style="1588" bestFit="1" customWidth="1"/>
    <col min="6660" max="6660" width="9" style="1588" customWidth="1"/>
    <col min="6661" max="6661" width="11.6640625" style="1588" customWidth="1"/>
    <col min="6662" max="6662" width="12.44140625" style="1588" customWidth="1"/>
    <col min="6663" max="6663" width="2.88671875" style="1588" customWidth="1"/>
    <col min="6664" max="6664" width="29.88671875" style="1588" customWidth="1"/>
    <col min="6665" max="6665" width="9" style="1588" customWidth="1"/>
    <col min="6666" max="6666" width="10.88671875" style="1588" customWidth="1"/>
    <col min="6667" max="6667" width="8" style="1588" bestFit="1" customWidth="1"/>
    <col min="6668" max="6668" width="9" style="1588" bestFit="1" customWidth="1"/>
    <col min="6669" max="6669" width="11" style="1588" bestFit="1" customWidth="1"/>
    <col min="6670" max="6670" width="12.5546875" style="1588" bestFit="1" customWidth="1"/>
    <col min="6671" max="6671" width="12.109375" style="1588" customWidth="1"/>
    <col min="6672" max="6685" width="2.88671875" style="1588" customWidth="1"/>
    <col min="6686" max="6686" width="22.33203125" style="1588" customWidth="1"/>
    <col min="6687" max="6687" width="9.44140625" style="1588" customWidth="1"/>
    <col min="6688" max="6688" width="8.44140625" style="1588" customWidth="1"/>
    <col min="6689" max="6689" width="9.44140625" style="1588" customWidth="1"/>
    <col min="6690" max="6690" width="7.5546875" style="1588" customWidth="1"/>
    <col min="6691" max="6691" width="7.88671875" style="1588" bestFit="1" customWidth="1"/>
    <col min="6692" max="6692" width="10.33203125" style="1588" bestFit="1" customWidth="1"/>
    <col min="6693" max="6693" width="4.88671875" style="1588" customWidth="1"/>
    <col min="6694" max="6694" width="21.88671875" style="1588" bestFit="1" customWidth="1"/>
    <col min="6695" max="6695" width="8.88671875" style="1588" customWidth="1"/>
    <col min="6696" max="6696" width="7.5546875" style="1588" bestFit="1" customWidth="1"/>
    <col min="6697" max="6697" width="4.5546875" style="1588" customWidth="1"/>
    <col min="6698" max="6909" width="9.44140625" style="1588"/>
    <col min="6910" max="6910" width="2.44140625" style="1588" customWidth="1"/>
    <col min="6911" max="6911" width="29.6640625" style="1588" customWidth="1"/>
    <col min="6912" max="6912" width="9.33203125" style="1588" bestFit="1" customWidth="1"/>
    <col min="6913" max="6913" width="10.33203125" style="1588" customWidth="1"/>
    <col min="6914" max="6914" width="8.109375" style="1588" bestFit="1" customWidth="1"/>
    <col min="6915" max="6915" width="9.88671875" style="1588" bestFit="1" customWidth="1"/>
    <col min="6916" max="6916" width="9" style="1588" customWidth="1"/>
    <col min="6917" max="6917" width="11.6640625" style="1588" customWidth="1"/>
    <col min="6918" max="6918" width="12.44140625" style="1588" customWidth="1"/>
    <col min="6919" max="6919" width="2.88671875" style="1588" customWidth="1"/>
    <col min="6920" max="6920" width="29.88671875" style="1588" customWidth="1"/>
    <col min="6921" max="6921" width="9" style="1588" customWidth="1"/>
    <col min="6922" max="6922" width="10.88671875" style="1588" customWidth="1"/>
    <col min="6923" max="6923" width="8" style="1588" bestFit="1" customWidth="1"/>
    <col min="6924" max="6924" width="9" style="1588" bestFit="1" customWidth="1"/>
    <col min="6925" max="6925" width="11" style="1588" bestFit="1" customWidth="1"/>
    <col min="6926" max="6926" width="12.5546875" style="1588" bestFit="1" customWidth="1"/>
    <col min="6927" max="6927" width="12.109375" style="1588" customWidth="1"/>
    <col min="6928" max="6941" width="2.88671875" style="1588" customWidth="1"/>
    <col min="6942" max="6942" width="22.33203125" style="1588" customWidth="1"/>
    <col min="6943" max="6943" width="9.44140625" style="1588" customWidth="1"/>
    <col min="6944" max="6944" width="8.44140625" style="1588" customWidth="1"/>
    <col min="6945" max="6945" width="9.44140625" style="1588" customWidth="1"/>
    <col min="6946" max="6946" width="7.5546875" style="1588" customWidth="1"/>
    <col min="6947" max="6947" width="7.88671875" style="1588" bestFit="1" customWidth="1"/>
    <col min="6948" max="6948" width="10.33203125" style="1588" bestFit="1" customWidth="1"/>
    <col min="6949" max="6949" width="4.88671875" style="1588" customWidth="1"/>
    <col min="6950" max="6950" width="21.88671875" style="1588" bestFit="1" customWidth="1"/>
    <col min="6951" max="6951" width="8.88671875" style="1588" customWidth="1"/>
    <col min="6952" max="6952" width="7.5546875" style="1588" bestFit="1" customWidth="1"/>
    <col min="6953" max="6953" width="4.5546875" style="1588" customWidth="1"/>
    <col min="6954" max="7165" width="9.44140625" style="1588"/>
    <col min="7166" max="7166" width="2.44140625" style="1588" customWidth="1"/>
    <col min="7167" max="7167" width="29.6640625" style="1588" customWidth="1"/>
    <col min="7168" max="7168" width="9.33203125" style="1588" bestFit="1" customWidth="1"/>
    <col min="7169" max="7169" width="10.33203125" style="1588" customWidth="1"/>
    <col min="7170" max="7170" width="8.109375" style="1588" bestFit="1" customWidth="1"/>
    <col min="7171" max="7171" width="9.88671875" style="1588" bestFit="1" customWidth="1"/>
    <col min="7172" max="7172" width="9" style="1588" customWidth="1"/>
    <col min="7173" max="7173" width="11.6640625" style="1588" customWidth="1"/>
    <col min="7174" max="7174" width="12.44140625" style="1588" customWidth="1"/>
    <col min="7175" max="7175" width="2.88671875" style="1588" customWidth="1"/>
    <col min="7176" max="7176" width="29.88671875" style="1588" customWidth="1"/>
    <col min="7177" max="7177" width="9" style="1588" customWidth="1"/>
    <col min="7178" max="7178" width="10.88671875" style="1588" customWidth="1"/>
    <col min="7179" max="7179" width="8" style="1588" bestFit="1" customWidth="1"/>
    <col min="7180" max="7180" width="9" style="1588" bestFit="1" customWidth="1"/>
    <col min="7181" max="7181" width="11" style="1588" bestFit="1" customWidth="1"/>
    <col min="7182" max="7182" width="12.5546875" style="1588" bestFit="1" customWidth="1"/>
    <col min="7183" max="7183" width="12.109375" style="1588" customWidth="1"/>
    <col min="7184" max="7197" width="2.88671875" style="1588" customWidth="1"/>
    <col min="7198" max="7198" width="22.33203125" style="1588" customWidth="1"/>
    <col min="7199" max="7199" width="9.44140625" style="1588" customWidth="1"/>
    <col min="7200" max="7200" width="8.44140625" style="1588" customWidth="1"/>
    <col min="7201" max="7201" width="9.44140625" style="1588" customWidth="1"/>
    <col min="7202" max="7202" width="7.5546875" style="1588" customWidth="1"/>
    <col min="7203" max="7203" width="7.88671875" style="1588" bestFit="1" customWidth="1"/>
    <col min="7204" max="7204" width="10.33203125" style="1588" bestFit="1" customWidth="1"/>
    <col min="7205" max="7205" width="4.88671875" style="1588" customWidth="1"/>
    <col min="7206" max="7206" width="21.88671875" style="1588" bestFit="1" customWidth="1"/>
    <col min="7207" max="7207" width="8.88671875" style="1588" customWidth="1"/>
    <col min="7208" max="7208" width="7.5546875" style="1588" bestFit="1" customWidth="1"/>
    <col min="7209" max="7209" width="4.5546875" style="1588" customWidth="1"/>
    <col min="7210" max="7421" width="9.44140625" style="1588"/>
    <col min="7422" max="7422" width="2.44140625" style="1588" customWidth="1"/>
    <col min="7423" max="7423" width="29.6640625" style="1588" customWidth="1"/>
    <col min="7424" max="7424" width="9.33203125" style="1588" bestFit="1" customWidth="1"/>
    <col min="7425" max="7425" width="10.33203125" style="1588" customWidth="1"/>
    <col min="7426" max="7426" width="8.109375" style="1588" bestFit="1" customWidth="1"/>
    <col min="7427" max="7427" width="9.88671875" style="1588" bestFit="1" customWidth="1"/>
    <col min="7428" max="7428" width="9" style="1588" customWidth="1"/>
    <col min="7429" max="7429" width="11.6640625" style="1588" customWidth="1"/>
    <col min="7430" max="7430" width="12.44140625" style="1588" customWidth="1"/>
    <col min="7431" max="7431" width="2.88671875" style="1588" customWidth="1"/>
    <col min="7432" max="7432" width="29.88671875" style="1588" customWidth="1"/>
    <col min="7433" max="7433" width="9" style="1588" customWidth="1"/>
    <col min="7434" max="7434" width="10.88671875" style="1588" customWidth="1"/>
    <col min="7435" max="7435" width="8" style="1588" bestFit="1" customWidth="1"/>
    <col min="7436" max="7436" width="9" style="1588" bestFit="1" customWidth="1"/>
    <col min="7437" max="7437" width="11" style="1588" bestFit="1" customWidth="1"/>
    <col min="7438" max="7438" width="12.5546875" style="1588" bestFit="1" customWidth="1"/>
    <col min="7439" max="7439" width="12.109375" style="1588" customWidth="1"/>
    <col min="7440" max="7453" width="2.88671875" style="1588" customWidth="1"/>
    <col min="7454" max="7454" width="22.33203125" style="1588" customWidth="1"/>
    <col min="7455" max="7455" width="9.44140625" style="1588" customWidth="1"/>
    <col min="7456" max="7456" width="8.44140625" style="1588" customWidth="1"/>
    <col min="7457" max="7457" width="9.44140625" style="1588" customWidth="1"/>
    <col min="7458" max="7458" width="7.5546875" style="1588" customWidth="1"/>
    <col min="7459" max="7459" width="7.88671875" style="1588" bestFit="1" customWidth="1"/>
    <col min="7460" max="7460" width="10.33203125" style="1588" bestFit="1" customWidth="1"/>
    <col min="7461" max="7461" width="4.88671875" style="1588" customWidth="1"/>
    <col min="7462" max="7462" width="21.88671875" style="1588" bestFit="1" customWidth="1"/>
    <col min="7463" max="7463" width="8.88671875" style="1588" customWidth="1"/>
    <col min="7464" max="7464" width="7.5546875" style="1588" bestFit="1" customWidth="1"/>
    <col min="7465" max="7465" width="4.5546875" style="1588" customWidth="1"/>
    <col min="7466" max="7677" width="9.44140625" style="1588"/>
    <col min="7678" max="7678" width="2.44140625" style="1588" customWidth="1"/>
    <col min="7679" max="7679" width="29.6640625" style="1588" customWidth="1"/>
    <col min="7680" max="7680" width="9.33203125" style="1588" bestFit="1" customWidth="1"/>
    <col min="7681" max="7681" width="10.33203125" style="1588" customWidth="1"/>
    <col min="7682" max="7682" width="8.109375" style="1588" bestFit="1" customWidth="1"/>
    <col min="7683" max="7683" width="9.88671875" style="1588" bestFit="1" customWidth="1"/>
    <col min="7684" max="7684" width="9" style="1588" customWidth="1"/>
    <col min="7685" max="7685" width="11.6640625" style="1588" customWidth="1"/>
    <col min="7686" max="7686" width="12.44140625" style="1588" customWidth="1"/>
    <col min="7687" max="7687" width="2.88671875" style="1588" customWidth="1"/>
    <col min="7688" max="7688" width="29.88671875" style="1588" customWidth="1"/>
    <col min="7689" max="7689" width="9" style="1588" customWidth="1"/>
    <col min="7690" max="7690" width="10.88671875" style="1588" customWidth="1"/>
    <col min="7691" max="7691" width="8" style="1588" bestFit="1" customWidth="1"/>
    <col min="7692" max="7692" width="9" style="1588" bestFit="1" customWidth="1"/>
    <col min="7693" max="7693" width="11" style="1588" bestFit="1" customWidth="1"/>
    <col min="7694" max="7694" width="12.5546875" style="1588" bestFit="1" customWidth="1"/>
    <col min="7695" max="7695" width="12.109375" style="1588" customWidth="1"/>
    <col min="7696" max="7709" width="2.88671875" style="1588" customWidth="1"/>
    <col min="7710" max="7710" width="22.33203125" style="1588" customWidth="1"/>
    <col min="7711" max="7711" width="9.44140625" style="1588" customWidth="1"/>
    <col min="7712" max="7712" width="8.44140625" style="1588" customWidth="1"/>
    <col min="7713" max="7713" width="9.44140625" style="1588" customWidth="1"/>
    <col min="7714" max="7714" width="7.5546875" style="1588" customWidth="1"/>
    <col min="7715" max="7715" width="7.88671875" style="1588" bestFit="1" customWidth="1"/>
    <col min="7716" max="7716" width="10.33203125" style="1588" bestFit="1" customWidth="1"/>
    <col min="7717" max="7717" width="4.88671875" style="1588" customWidth="1"/>
    <col min="7718" max="7718" width="21.88671875" style="1588" bestFit="1" customWidth="1"/>
    <col min="7719" max="7719" width="8.88671875" style="1588" customWidth="1"/>
    <col min="7720" max="7720" width="7.5546875" style="1588" bestFit="1" customWidth="1"/>
    <col min="7721" max="7721" width="4.5546875" style="1588" customWidth="1"/>
    <col min="7722" max="7933" width="9.44140625" style="1588"/>
    <col min="7934" max="7934" width="2.44140625" style="1588" customWidth="1"/>
    <col min="7935" max="7935" width="29.6640625" style="1588" customWidth="1"/>
    <col min="7936" max="7936" width="9.33203125" style="1588" bestFit="1" customWidth="1"/>
    <col min="7937" max="7937" width="10.33203125" style="1588" customWidth="1"/>
    <col min="7938" max="7938" width="8.109375" style="1588" bestFit="1" customWidth="1"/>
    <col min="7939" max="7939" width="9.88671875" style="1588" bestFit="1" customWidth="1"/>
    <col min="7940" max="7940" width="9" style="1588" customWidth="1"/>
    <col min="7941" max="7941" width="11.6640625" style="1588" customWidth="1"/>
    <col min="7942" max="7942" width="12.44140625" style="1588" customWidth="1"/>
    <col min="7943" max="7943" width="2.88671875" style="1588" customWidth="1"/>
    <col min="7944" max="7944" width="29.88671875" style="1588" customWidth="1"/>
    <col min="7945" max="7945" width="9" style="1588" customWidth="1"/>
    <col min="7946" max="7946" width="10.88671875" style="1588" customWidth="1"/>
    <col min="7947" max="7947" width="8" style="1588" bestFit="1" customWidth="1"/>
    <col min="7948" max="7948" width="9" style="1588" bestFit="1" customWidth="1"/>
    <col min="7949" max="7949" width="11" style="1588" bestFit="1" customWidth="1"/>
    <col min="7950" max="7950" width="12.5546875" style="1588" bestFit="1" customWidth="1"/>
    <col min="7951" max="7951" width="12.109375" style="1588" customWidth="1"/>
    <col min="7952" max="7965" width="2.88671875" style="1588" customWidth="1"/>
    <col min="7966" max="7966" width="22.33203125" style="1588" customWidth="1"/>
    <col min="7967" max="7967" width="9.44140625" style="1588" customWidth="1"/>
    <col min="7968" max="7968" width="8.44140625" style="1588" customWidth="1"/>
    <col min="7969" max="7969" width="9.44140625" style="1588" customWidth="1"/>
    <col min="7970" max="7970" width="7.5546875" style="1588" customWidth="1"/>
    <col min="7971" max="7971" width="7.88671875" style="1588" bestFit="1" customWidth="1"/>
    <col min="7972" max="7972" width="10.33203125" style="1588" bestFit="1" customWidth="1"/>
    <col min="7973" max="7973" width="4.88671875" style="1588" customWidth="1"/>
    <col min="7974" max="7974" width="21.88671875" style="1588" bestFit="1" customWidth="1"/>
    <col min="7975" max="7975" width="8.88671875" style="1588" customWidth="1"/>
    <col min="7976" max="7976" width="7.5546875" style="1588" bestFit="1" customWidth="1"/>
    <col min="7977" max="7977" width="4.5546875" style="1588" customWidth="1"/>
    <col min="7978" max="8189" width="9.44140625" style="1588"/>
    <col min="8190" max="8190" width="2.44140625" style="1588" customWidth="1"/>
    <col min="8191" max="8191" width="29.6640625" style="1588" customWidth="1"/>
    <col min="8192" max="8192" width="9.33203125" style="1588" bestFit="1" customWidth="1"/>
    <col min="8193" max="8193" width="10.33203125" style="1588" customWidth="1"/>
    <col min="8194" max="8194" width="8.109375" style="1588" bestFit="1" customWidth="1"/>
    <col min="8195" max="8195" width="9.88671875" style="1588" bestFit="1" customWidth="1"/>
    <col min="8196" max="8196" width="9" style="1588" customWidth="1"/>
    <col min="8197" max="8197" width="11.6640625" style="1588" customWidth="1"/>
    <col min="8198" max="8198" width="12.44140625" style="1588" customWidth="1"/>
    <col min="8199" max="8199" width="2.88671875" style="1588" customWidth="1"/>
    <col min="8200" max="8200" width="29.88671875" style="1588" customWidth="1"/>
    <col min="8201" max="8201" width="9" style="1588" customWidth="1"/>
    <col min="8202" max="8202" width="10.88671875" style="1588" customWidth="1"/>
    <col min="8203" max="8203" width="8" style="1588" bestFit="1" customWidth="1"/>
    <col min="8204" max="8204" width="9" style="1588" bestFit="1" customWidth="1"/>
    <col min="8205" max="8205" width="11" style="1588" bestFit="1" customWidth="1"/>
    <col min="8206" max="8206" width="12.5546875" style="1588" bestFit="1" customWidth="1"/>
    <col min="8207" max="8207" width="12.109375" style="1588" customWidth="1"/>
    <col min="8208" max="8221" width="2.88671875" style="1588" customWidth="1"/>
    <col min="8222" max="8222" width="22.33203125" style="1588" customWidth="1"/>
    <col min="8223" max="8223" width="9.44140625" style="1588" customWidth="1"/>
    <col min="8224" max="8224" width="8.44140625" style="1588" customWidth="1"/>
    <col min="8225" max="8225" width="9.44140625" style="1588" customWidth="1"/>
    <col min="8226" max="8226" width="7.5546875" style="1588" customWidth="1"/>
    <col min="8227" max="8227" width="7.88671875" style="1588" bestFit="1" customWidth="1"/>
    <col min="8228" max="8228" width="10.33203125" style="1588" bestFit="1" customWidth="1"/>
    <col min="8229" max="8229" width="4.88671875" style="1588" customWidth="1"/>
    <col min="8230" max="8230" width="21.88671875" style="1588" bestFit="1" customWidth="1"/>
    <col min="8231" max="8231" width="8.88671875" style="1588" customWidth="1"/>
    <col min="8232" max="8232" width="7.5546875" style="1588" bestFit="1" customWidth="1"/>
    <col min="8233" max="8233" width="4.5546875" style="1588" customWidth="1"/>
    <col min="8234" max="8445" width="9.44140625" style="1588"/>
    <col min="8446" max="8446" width="2.44140625" style="1588" customWidth="1"/>
    <col min="8447" max="8447" width="29.6640625" style="1588" customWidth="1"/>
    <col min="8448" max="8448" width="9.33203125" style="1588" bestFit="1" customWidth="1"/>
    <col min="8449" max="8449" width="10.33203125" style="1588" customWidth="1"/>
    <col min="8450" max="8450" width="8.109375" style="1588" bestFit="1" customWidth="1"/>
    <col min="8451" max="8451" width="9.88671875" style="1588" bestFit="1" customWidth="1"/>
    <col min="8452" max="8452" width="9" style="1588" customWidth="1"/>
    <col min="8453" max="8453" width="11.6640625" style="1588" customWidth="1"/>
    <col min="8454" max="8454" width="12.44140625" style="1588" customWidth="1"/>
    <col min="8455" max="8455" width="2.88671875" style="1588" customWidth="1"/>
    <col min="8456" max="8456" width="29.88671875" style="1588" customWidth="1"/>
    <col min="8457" max="8457" width="9" style="1588" customWidth="1"/>
    <col min="8458" max="8458" width="10.88671875" style="1588" customWidth="1"/>
    <col min="8459" max="8459" width="8" style="1588" bestFit="1" customWidth="1"/>
    <col min="8460" max="8460" width="9" style="1588" bestFit="1" customWidth="1"/>
    <col min="8461" max="8461" width="11" style="1588" bestFit="1" customWidth="1"/>
    <col min="8462" max="8462" width="12.5546875" style="1588" bestFit="1" customWidth="1"/>
    <col min="8463" max="8463" width="12.109375" style="1588" customWidth="1"/>
    <col min="8464" max="8477" width="2.88671875" style="1588" customWidth="1"/>
    <col min="8478" max="8478" width="22.33203125" style="1588" customWidth="1"/>
    <col min="8479" max="8479" width="9.44140625" style="1588" customWidth="1"/>
    <col min="8480" max="8480" width="8.44140625" style="1588" customWidth="1"/>
    <col min="8481" max="8481" width="9.44140625" style="1588" customWidth="1"/>
    <col min="8482" max="8482" width="7.5546875" style="1588" customWidth="1"/>
    <col min="8483" max="8483" width="7.88671875" style="1588" bestFit="1" customWidth="1"/>
    <col min="8484" max="8484" width="10.33203125" style="1588" bestFit="1" customWidth="1"/>
    <col min="8485" max="8485" width="4.88671875" style="1588" customWidth="1"/>
    <col min="8486" max="8486" width="21.88671875" style="1588" bestFit="1" customWidth="1"/>
    <col min="8487" max="8487" width="8.88671875" style="1588" customWidth="1"/>
    <col min="8488" max="8488" width="7.5546875" style="1588" bestFit="1" customWidth="1"/>
    <col min="8489" max="8489" width="4.5546875" style="1588" customWidth="1"/>
    <col min="8490" max="8701" width="9.44140625" style="1588"/>
    <col min="8702" max="8702" width="2.44140625" style="1588" customWidth="1"/>
    <col min="8703" max="8703" width="29.6640625" style="1588" customWidth="1"/>
    <col min="8704" max="8704" width="9.33203125" style="1588" bestFit="1" customWidth="1"/>
    <col min="8705" max="8705" width="10.33203125" style="1588" customWidth="1"/>
    <col min="8706" max="8706" width="8.109375" style="1588" bestFit="1" customWidth="1"/>
    <col min="8707" max="8707" width="9.88671875" style="1588" bestFit="1" customWidth="1"/>
    <col min="8708" max="8708" width="9" style="1588" customWidth="1"/>
    <col min="8709" max="8709" width="11.6640625" style="1588" customWidth="1"/>
    <col min="8710" max="8710" width="12.44140625" style="1588" customWidth="1"/>
    <col min="8711" max="8711" width="2.88671875" style="1588" customWidth="1"/>
    <col min="8712" max="8712" width="29.88671875" style="1588" customWidth="1"/>
    <col min="8713" max="8713" width="9" style="1588" customWidth="1"/>
    <col min="8714" max="8714" width="10.88671875" style="1588" customWidth="1"/>
    <col min="8715" max="8715" width="8" style="1588" bestFit="1" customWidth="1"/>
    <col min="8716" max="8716" width="9" style="1588" bestFit="1" customWidth="1"/>
    <col min="8717" max="8717" width="11" style="1588" bestFit="1" customWidth="1"/>
    <col min="8718" max="8718" width="12.5546875" style="1588" bestFit="1" customWidth="1"/>
    <col min="8719" max="8719" width="12.109375" style="1588" customWidth="1"/>
    <col min="8720" max="8733" width="2.88671875" style="1588" customWidth="1"/>
    <col min="8734" max="8734" width="22.33203125" style="1588" customWidth="1"/>
    <col min="8735" max="8735" width="9.44140625" style="1588" customWidth="1"/>
    <col min="8736" max="8736" width="8.44140625" style="1588" customWidth="1"/>
    <col min="8737" max="8737" width="9.44140625" style="1588" customWidth="1"/>
    <col min="8738" max="8738" width="7.5546875" style="1588" customWidth="1"/>
    <col min="8739" max="8739" width="7.88671875" style="1588" bestFit="1" customWidth="1"/>
    <col min="8740" max="8740" width="10.33203125" style="1588" bestFit="1" customWidth="1"/>
    <col min="8741" max="8741" width="4.88671875" style="1588" customWidth="1"/>
    <col min="8742" max="8742" width="21.88671875" style="1588" bestFit="1" customWidth="1"/>
    <col min="8743" max="8743" width="8.88671875" style="1588" customWidth="1"/>
    <col min="8744" max="8744" width="7.5546875" style="1588" bestFit="1" customWidth="1"/>
    <col min="8745" max="8745" width="4.5546875" style="1588" customWidth="1"/>
    <col min="8746" max="8957" width="9.44140625" style="1588"/>
    <col min="8958" max="8958" width="2.44140625" style="1588" customWidth="1"/>
    <col min="8959" max="8959" width="29.6640625" style="1588" customWidth="1"/>
    <col min="8960" max="8960" width="9.33203125" style="1588" bestFit="1" customWidth="1"/>
    <col min="8961" max="8961" width="10.33203125" style="1588" customWidth="1"/>
    <col min="8962" max="8962" width="8.109375" style="1588" bestFit="1" customWidth="1"/>
    <col min="8963" max="8963" width="9.88671875" style="1588" bestFit="1" customWidth="1"/>
    <col min="8964" max="8964" width="9" style="1588" customWidth="1"/>
    <col min="8965" max="8965" width="11.6640625" style="1588" customWidth="1"/>
    <col min="8966" max="8966" width="12.44140625" style="1588" customWidth="1"/>
    <col min="8967" max="8967" width="2.88671875" style="1588" customWidth="1"/>
    <col min="8968" max="8968" width="29.88671875" style="1588" customWidth="1"/>
    <col min="8969" max="8969" width="9" style="1588" customWidth="1"/>
    <col min="8970" max="8970" width="10.88671875" style="1588" customWidth="1"/>
    <col min="8971" max="8971" width="8" style="1588" bestFit="1" customWidth="1"/>
    <col min="8972" max="8972" width="9" style="1588" bestFit="1" customWidth="1"/>
    <col min="8973" max="8973" width="11" style="1588" bestFit="1" customWidth="1"/>
    <col min="8974" max="8974" width="12.5546875" style="1588" bestFit="1" customWidth="1"/>
    <col min="8975" max="8975" width="12.109375" style="1588" customWidth="1"/>
    <col min="8976" max="8989" width="2.88671875" style="1588" customWidth="1"/>
    <col min="8990" max="8990" width="22.33203125" style="1588" customWidth="1"/>
    <col min="8991" max="8991" width="9.44140625" style="1588" customWidth="1"/>
    <col min="8992" max="8992" width="8.44140625" style="1588" customWidth="1"/>
    <col min="8993" max="8993" width="9.44140625" style="1588" customWidth="1"/>
    <col min="8994" max="8994" width="7.5546875" style="1588" customWidth="1"/>
    <col min="8995" max="8995" width="7.88671875" style="1588" bestFit="1" customWidth="1"/>
    <col min="8996" max="8996" width="10.33203125" style="1588" bestFit="1" customWidth="1"/>
    <col min="8997" max="8997" width="4.88671875" style="1588" customWidth="1"/>
    <col min="8998" max="8998" width="21.88671875" style="1588" bestFit="1" customWidth="1"/>
    <col min="8999" max="8999" width="8.88671875" style="1588" customWidth="1"/>
    <col min="9000" max="9000" width="7.5546875" style="1588" bestFit="1" customWidth="1"/>
    <col min="9001" max="9001" width="4.5546875" style="1588" customWidth="1"/>
    <col min="9002" max="9213" width="9.44140625" style="1588"/>
    <col min="9214" max="9214" width="2.44140625" style="1588" customWidth="1"/>
    <col min="9215" max="9215" width="29.6640625" style="1588" customWidth="1"/>
    <col min="9216" max="9216" width="9.33203125" style="1588" bestFit="1" customWidth="1"/>
    <col min="9217" max="9217" width="10.33203125" style="1588" customWidth="1"/>
    <col min="9218" max="9218" width="8.109375" style="1588" bestFit="1" customWidth="1"/>
    <col min="9219" max="9219" width="9.88671875" style="1588" bestFit="1" customWidth="1"/>
    <col min="9220" max="9220" width="9" style="1588" customWidth="1"/>
    <col min="9221" max="9221" width="11.6640625" style="1588" customWidth="1"/>
    <col min="9222" max="9222" width="12.44140625" style="1588" customWidth="1"/>
    <col min="9223" max="9223" width="2.88671875" style="1588" customWidth="1"/>
    <col min="9224" max="9224" width="29.88671875" style="1588" customWidth="1"/>
    <col min="9225" max="9225" width="9" style="1588" customWidth="1"/>
    <col min="9226" max="9226" width="10.88671875" style="1588" customWidth="1"/>
    <col min="9227" max="9227" width="8" style="1588" bestFit="1" customWidth="1"/>
    <col min="9228" max="9228" width="9" style="1588" bestFit="1" customWidth="1"/>
    <col min="9229" max="9229" width="11" style="1588" bestFit="1" customWidth="1"/>
    <col min="9230" max="9230" width="12.5546875" style="1588" bestFit="1" customWidth="1"/>
    <col min="9231" max="9231" width="12.109375" style="1588" customWidth="1"/>
    <col min="9232" max="9245" width="2.88671875" style="1588" customWidth="1"/>
    <col min="9246" max="9246" width="22.33203125" style="1588" customWidth="1"/>
    <col min="9247" max="9247" width="9.44140625" style="1588" customWidth="1"/>
    <col min="9248" max="9248" width="8.44140625" style="1588" customWidth="1"/>
    <col min="9249" max="9249" width="9.44140625" style="1588" customWidth="1"/>
    <col min="9250" max="9250" width="7.5546875" style="1588" customWidth="1"/>
    <col min="9251" max="9251" width="7.88671875" style="1588" bestFit="1" customWidth="1"/>
    <col min="9252" max="9252" width="10.33203125" style="1588" bestFit="1" customWidth="1"/>
    <col min="9253" max="9253" width="4.88671875" style="1588" customWidth="1"/>
    <col min="9254" max="9254" width="21.88671875" style="1588" bestFit="1" customWidth="1"/>
    <col min="9255" max="9255" width="8.88671875" style="1588" customWidth="1"/>
    <col min="9256" max="9256" width="7.5546875" style="1588" bestFit="1" customWidth="1"/>
    <col min="9257" max="9257" width="4.5546875" style="1588" customWidth="1"/>
    <col min="9258" max="9469" width="9.44140625" style="1588"/>
    <col min="9470" max="9470" width="2.44140625" style="1588" customWidth="1"/>
    <col min="9471" max="9471" width="29.6640625" style="1588" customWidth="1"/>
    <col min="9472" max="9472" width="9.33203125" style="1588" bestFit="1" customWidth="1"/>
    <col min="9473" max="9473" width="10.33203125" style="1588" customWidth="1"/>
    <col min="9474" max="9474" width="8.109375" style="1588" bestFit="1" customWidth="1"/>
    <col min="9475" max="9475" width="9.88671875" style="1588" bestFit="1" customWidth="1"/>
    <col min="9476" max="9476" width="9" style="1588" customWidth="1"/>
    <col min="9477" max="9477" width="11.6640625" style="1588" customWidth="1"/>
    <col min="9478" max="9478" width="12.44140625" style="1588" customWidth="1"/>
    <col min="9479" max="9479" width="2.88671875" style="1588" customWidth="1"/>
    <col min="9480" max="9480" width="29.88671875" style="1588" customWidth="1"/>
    <col min="9481" max="9481" width="9" style="1588" customWidth="1"/>
    <col min="9482" max="9482" width="10.88671875" style="1588" customWidth="1"/>
    <col min="9483" max="9483" width="8" style="1588" bestFit="1" customWidth="1"/>
    <col min="9484" max="9484" width="9" style="1588" bestFit="1" customWidth="1"/>
    <col min="9485" max="9485" width="11" style="1588" bestFit="1" customWidth="1"/>
    <col min="9486" max="9486" width="12.5546875" style="1588" bestFit="1" customWidth="1"/>
    <col min="9487" max="9487" width="12.109375" style="1588" customWidth="1"/>
    <col min="9488" max="9501" width="2.88671875" style="1588" customWidth="1"/>
    <col min="9502" max="9502" width="22.33203125" style="1588" customWidth="1"/>
    <col min="9503" max="9503" width="9.44140625" style="1588" customWidth="1"/>
    <col min="9504" max="9504" width="8.44140625" style="1588" customWidth="1"/>
    <col min="9505" max="9505" width="9.44140625" style="1588" customWidth="1"/>
    <col min="9506" max="9506" width="7.5546875" style="1588" customWidth="1"/>
    <col min="9507" max="9507" width="7.88671875" style="1588" bestFit="1" customWidth="1"/>
    <col min="9508" max="9508" width="10.33203125" style="1588" bestFit="1" customWidth="1"/>
    <col min="9509" max="9509" width="4.88671875" style="1588" customWidth="1"/>
    <col min="9510" max="9510" width="21.88671875" style="1588" bestFit="1" customWidth="1"/>
    <col min="9511" max="9511" width="8.88671875" style="1588" customWidth="1"/>
    <col min="9512" max="9512" width="7.5546875" style="1588" bestFit="1" customWidth="1"/>
    <col min="9513" max="9513" width="4.5546875" style="1588" customWidth="1"/>
    <col min="9514" max="9725" width="9.44140625" style="1588"/>
    <col min="9726" max="9726" width="2.44140625" style="1588" customWidth="1"/>
    <col min="9727" max="9727" width="29.6640625" style="1588" customWidth="1"/>
    <col min="9728" max="9728" width="9.33203125" style="1588" bestFit="1" customWidth="1"/>
    <col min="9729" max="9729" width="10.33203125" style="1588" customWidth="1"/>
    <col min="9730" max="9730" width="8.109375" style="1588" bestFit="1" customWidth="1"/>
    <col min="9731" max="9731" width="9.88671875" style="1588" bestFit="1" customWidth="1"/>
    <col min="9732" max="9732" width="9" style="1588" customWidth="1"/>
    <col min="9733" max="9733" width="11.6640625" style="1588" customWidth="1"/>
    <col min="9734" max="9734" width="12.44140625" style="1588" customWidth="1"/>
    <col min="9735" max="9735" width="2.88671875" style="1588" customWidth="1"/>
    <col min="9736" max="9736" width="29.88671875" style="1588" customWidth="1"/>
    <col min="9737" max="9737" width="9" style="1588" customWidth="1"/>
    <col min="9738" max="9738" width="10.88671875" style="1588" customWidth="1"/>
    <col min="9739" max="9739" width="8" style="1588" bestFit="1" customWidth="1"/>
    <col min="9740" max="9740" width="9" style="1588" bestFit="1" customWidth="1"/>
    <col min="9741" max="9741" width="11" style="1588" bestFit="1" customWidth="1"/>
    <col min="9742" max="9742" width="12.5546875" style="1588" bestFit="1" customWidth="1"/>
    <col min="9743" max="9743" width="12.109375" style="1588" customWidth="1"/>
    <col min="9744" max="9757" width="2.88671875" style="1588" customWidth="1"/>
    <col min="9758" max="9758" width="22.33203125" style="1588" customWidth="1"/>
    <col min="9759" max="9759" width="9.44140625" style="1588" customWidth="1"/>
    <col min="9760" max="9760" width="8.44140625" style="1588" customWidth="1"/>
    <col min="9761" max="9761" width="9.44140625" style="1588" customWidth="1"/>
    <col min="9762" max="9762" width="7.5546875" style="1588" customWidth="1"/>
    <col min="9763" max="9763" width="7.88671875" style="1588" bestFit="1" customWidth="1"/>
    <col min="9764" max="9764" width="10.33203125" style="1588" bestFit="1" customWidth="1"/>
    <col min="9765" max="9765" width="4.88671875" style="1588" customWidth="1"/>
    <col min="9766" max="9766" width="21.88671875" style="1588" bestFit="1" customWidth="1"/>
    <col min="9767" max="9767" width="8.88671875" style="1588" customWidth="1"/>
    <col min="9768" max="9768" width="7.5546875" style="1588" bestFit="1" customWidth="1"/>
    <col min="9769" max="9769" width="4.5546875" style="1588" customWidth="1"/>
    <col min="9770" max="9981" width="9.44140625" style="1588"/>
    <col min="9982" max="9982" width="2.44140625" style="1588" customWidth="1"/>
    <col min="9983" max="9983" width="29.6640625" style="1588" customWidth="1"/>
    <col min="9984" max="9984" width="9.33203125" style="1588" bestFit="1" customWidth="1"/>
    <col min="9985" max="9985" width="10.33203125" style="1588" customWidth="1"/>
    <col min="9986" max="9986" width="8.109375" style="1588" bestFit="1" customWidth="1"/>
    <col min="9987" max="9987" width="9.88671875" style="1588" bestFit="1" customWidth="1"/>
    <col min="9988" max="9988" width="9" style="1588" customWidth="1"/>
    <col min="9989" max="9989" width="11.6640625" style="1588" customWidth="1"/>
    <col min="9990" max="9990" width="12.44140625" style="1588" customWidth="1"/>
    <col min="9991" max="9991" width="2.88671875" style="1588" customWidth="1"/>
    <col min="9992" max="9992" width="29.88671875" style="1588" customWidth="1"/>
    <col min="9993" max="9993" width="9" style="1588" customWidth="1"/>
    <col min="9994" max="9994" width="10.88671875" style="1588" customWidth="1"/>
    <col min="9995" max="9995" width="8" style="1588" bestFit="1" customWidth="1"/>
    <col min="9996" max="9996" width="9" style="1588" bestFit="1" customWidth="1"/>
    <col min="9997" max="9997" width="11" style="1588" bestFit="1" customWidth="1"/>
    <col min="9998" max="9998" width="12.5546875" style="1588" bestFit="1" customWidth="1"/>
    <col min="9999" max="9999" width="12.109375" style="1588" customWidth="1"/>
    <col min="10000" max="10013" width="2.88671875" style="1588" customWidth="1"/>
    <col min="10014" max="10014" width="22.33203125" style="1588" customWidth="1"/>
    <col min="10015" max="10015" width="9.44140625" style="1588" customWidth="1"/>
    <col min="10016" max="10016" width="8.44140625" style="1588" customWidth="1"/>
    <col min="10017" max="10017" width="9.44140625" style="1588" customWidth="1"/>
    <col min="10018" max="10018" width="7.5546875" style="1588" customWidth="1"/>
    <col min="10019" max="10019" width="7.88671875" style="1588" bestFit="1" customWidth="1"/>
    <col min="10020" max="10020" width="10.33203125" style="1588" bestFit="1" customWidth="1"/>
    <col min="10021" max="10021" width="4.88671875" style="1588" customWidth="1"/>
    <col min="10022" max="10022" width="21.88671875" style="1588" bestFit="1" customWidth="1"/>
    <col min="10023" max="10023" width="8.88671875" style="1588" customWidth="1"/>
    <col min="10024" max="10024" width="7.5546875" style="1588" bestFit="1" customWidth="1"/>
    <col min="10025" max="10025" width="4.5546875" style="1588" customWidth="1"/>
    <col min="10026" max="10237" width="9.44140625" style="1588"/>
    <col min="10238" max="10238" width="2.44140625" style="1588" customWidth="1"/>
    <col min="10239" max="10239" width="29.6640625" style="1588" customWidth="1"/>
    <col min="10240" max="10240" width="9.33203125" style="1588" bestFit="1" customWidth="1"/>
    <col min="10241" max="10241" width="10.33203125" style="1588" customWidth="1"/>
    <col min="10242" max="10242" width="8.109375" style="1588" bestFit="1" customWidth="1"/>
    <col min="10243" max="10243" width="9.88671875" style="1588" bestFit="1" customWidth="1"/>
    <col min="10244" max="10244" width="9" style="1588" customWidth="1"/>
    <col min="10245" max="10245" width="11.6640625" style="1588" customWidth="1"/>
    <col min="10246" max="10246" width="12.44140625" style="1588" customWidth="1"/>
    <col min="10247" max="10247" width="2.88671875" style="1588" customWidth="1"/>
    <col min="10248" max="10248" width="29.88671875" style="1588" customWidth="1"/>
    <col min="10249" max="10249" width="9" style="1588" customWidth="1"/>
    <col min="10250" max="10250" width="10.88671875" style="1588" customWidth="1"/>
    <col min="10251" max="10251" width="8" style="1588" bestFit="1" customWidth="1"/>
    <col min="10252" max="10252" width="9" style="1588" bestFit="1" customWidth="1"/>
    <col min="10253" max="10253" width="11" style="1588" bestFit="1" customWidth="1"/>
    <col min="10254" max="10254" width="12.5546875" style="1588" bestFit="1" customWidth="1"/>
    <col min="10255" max="10255" width="12.109375" style="1588" customWidth="1"/>
    <col min="10256" max="10269" width="2.88671875" style="1588" customWidth="1"/>
    <col min="10270" max="10270" width="22.33203125" style="1588" customWidth="1"/>
    <col min="10271" max="10271" width="9.44140625" style="1588" customWidth="1"/>
    <col min="10272" max="10272" width="8.44140625" style="1588" customWidth="1"/>
    <col min="10273" max="10273" width="9.44140625" style="1588" customWidth="1"/>
    <col min="10274" max="10274" width="7.5546875" style="1588" customWidth="1"/>
    <col min="10275" max="10275" width="7.88671875" style="1588" bestFit="1" customWidth="1"/>
    <col min="10276" max="10276" width="10.33203125" style="1588" bestFit="1" customWidth="1"/>
    <col min="10277" max="10277" width="4.88671875" style="1588" customWidth="1"/>
    <col min="10278" max="10278" width="21.88671875" style="1588" bestFit="1" customWidth="1"/>
    <col min="10279" max="10279" width="8.88671875" style="1588" customWidth="1"/>
    <col min="10280" max="10280" width="7.5546875" style="1588" bestFit="1" customWidth="1"/>
    <col min="10281" max="10281" width="4.5546875" style="1588" customWidth="1"/>
    <col min="10282" max="10493" width="9.44140625" style="1588"/>
    <col min="10494" max="10494" width="2.44140625" style="1588" customWidth="1"/>
    <col min="10495" max="10495" width="29.6640625" style="1588" customWidth="1"/>
    <col min="10496" max="10496" width="9.33203125" style="1588" bestFit="1" customWidth="1"/>
    <col min="10497" max="10497" width="10.33203125" style="1588" customWidth="1"/>
    <col min="10498" max="10498" width="8.109375" style="1588" bestFit="1" customWidth="1"/>
    <col min="10499" max="10499" width="9.88671875" style="1588" bestFit="1" customWidth="1"/>
    <col min="10500" max="10500" width="9" style="1588" customWidth="1"/>
    <col min="10501" max="10501" width="11.6640625" style="1588" customWidth="1"/>
    <col min="10502" max="10502" width="12.44140625" style="1588" customWidth="1"/>
    <col min="10503" max="10503" width="2.88671875" style="1588" customWidth="1"/>
    <col min="10504" max="10504" width="29.88671875" style="1588" customWidth="1"/>
    <col min="10505" max="10505" width="9" style="1588" customWidth="1"/>
    <col min="10506" max="10506" width="10.88671875" style="1588" customWidth="1"/>
    <col min="10507" max="10507" width="8" style="1588" bestFit="1" customWidth="1"/>
    <col min="10508" max="10508" width="9" style="1588" bestFit="1" customWidth="1"/>
    <col min="10509" max="10509" width="11" style="1588" bestFit="1" customWidth="1"/>
    <col min="10510" max="10510" width="12.5546875" style="1588" bestFit="1" customWidth="1"/>
    <col min="10511" max="10511" width="12.109375" style="1588" customWidth="1"/>
    <col min="10512" max="10525" width="2.88671875" style="1588" customWidth="1"/>
    <col min="10526" max="10526" width="22.33203125" style="1588" customWidth="1"/>
    <col min="10527" max="10527" width="9.44140625" style="1588" customWidth="1"/>
    <col min="10528" max="10528" width="8.44140625" style="1588" customWidth="1"/>
    <col min="10529" max="10529" width="9.44140625" style="1588" customWidth="1"/>
    <col min="10530" max="10530" width="7.5546875" style="1588" customWidth="1"/>
    <col min="10531" max="10531" width="7.88671875" style="1588" bestFit="1" customWidth="1"/>
    <col min="10532" max="10532" width="10.33203125" style="1588" bestFit="1" customWidth="1"/>
    <col min="10533" max="10533" width="4.88671875" style="1588" customWidth="1"/>
    <col min="10534" max="10534" width="21.88671875" style="1588" bestFit="1" customWidth="1"/>
    <col min="10535" max="10535" width="8.88671875" style="1588" customWidth="1"/>
    <col min="10536" max="10536" width="7.5546875" style="1588" bestFit="1" customWidth="1"/>
    <col min="10537" max="10537" width="4.5546875" style="1588" customWidth="1"/>
    <col min="10538" max="10749" width="9.44140625" style="1588"/>
    <col min="10750" max="10750" width="2.44140625" style="1588" customWidth="1"/>
    <col min="10751" max="10751" width="29.6640625" style="1588" customWidth="1"/>
    <col min="10752" max="10752" width="9.33203125" style="1588" bestFit="1" customWidth="1"/>
    <col min="10753" max="10753" width="10.33203125" style="1588" customWidth="1"/>
    <col min="10754" max="10754" width="8.109375" style="1588" bestFit="1" customWidth="1"/>
    <col min="10755" max="10755" width="9.88671875" style="1588" bestFit="1" customWidth="1"/>
    <col min="10756" max="10756" width="9" style="1588" customWidth="1"/>
    <col min="10757" max="10757" width="11.6640625" style="1588" customWidth="1"/>
    <col min="10758" max="10758" width="12.44140625" style="1588" customWidth="1"/>
    <col min="10759" max="10759" width="2.88671875" style="1588" customWidth="1"/>
    <col min="10760" max="10760" width="29.88671875" style="1588" customWidth="1"/>
    <col min="10761" max="10761" width="9" style="1588" customWidth="1"/>
    <col min="10762" max="10762" width="10.88671875" style="1588" customWidth="1"/>
    <col min="10763" max="10763" width="8" style="1588" bestFit="1" customWidth="1"/>
    <col min="10764" max="10764" width="9" style="1588" bestFit="1" customWidth="1"/>
    <col min="10765" max="10765" width="11" style="1588" bestFit="1" customWidth="1"/>
    <col min="10766" max="10766" width="12.5546875" style="1588" bestFit="1" customWidth="1"/>
    <col min="10767" max="10767" width="12.109375" style="1588" customWidth="1"/>
    <col min="10768" max="10781" width="2.88671875" style="1588" customWidth="1"/>
    <col min="10782" max="10782" width="22.33203125" style="1588" customWidth="1"/>
    <col min="10783" max="10783" width="9.44140625" style="1588" customWidth="1"/>
    <col min="10784" max="10784" width="8.44140625" style="1588" customWidth="1"/>
    <col min="10785" max="10785" width="9.44140625" style="1588" customWidth="1"/>
    <col min="10786" max="10786" width="7.5546875" style="1588" customWidth="1"/>
    <col min="10787" max="10787" width="7.88671875" style="1588" bestFit="1" customWidth="1"/>
    <col min="10788" max="10788" width="10.33203125" style="1588" bestFit="1" customWidth="1"/>
    <col min="10789" max="10789" width="4.88671875" style="1588" customWidth="1"/>
    <col min="10790" max="10790" width="21.88671875" style="1588" bestFit="1" customWidth="1"/>
    <col min="10791" max="10791" width="8.88671875" style="1588" customWidth="1"/>
    <col min="10792" max="10792" width="7.5546875" style="1588" bestFit="1" customWidth="1"/>
    <col min="10793" max="10793" width="4.5546875" style="1588" customWidth="1"/>
    <col min="10794" max="11005" width="9.44140625" style="1588"/>
    <col min="11006" max="11006" width="2.44140625" style="1588" customWidth="1"/>
    <col min="11007" max="11007" width="29.6640625" style="1588" customWidth="1"/>
    <col min="11008" max="11008" width="9.33203125" style="1588" bestFit="1" customWidth="1"/>
    <col min="11009" max="11009" width="10.33203125" style="1588" customWidth="1"/>
    <col min="11010" max="11010" width="8.109375" style="1588" bestFit="1" customWidth="1"/>
    <col min="11011" max="11011" width="9.88671875" style="1588" bestFit="1" customWidth="1"/>
    <col min="11012" max="11012" width="9" style="1588" customWidth="1"/>
    <col min="11013" max="11013" width="11.6640625" style="1588" customWidth="1"/>
    <col min="11014" max="11014" width="12.44140625" style="1588" customWidth="1"/>
    <col min="11015" max="11015" width="2.88671875" style="1588" customWidth="1"/>
    <col min="11016" max="11016" width="29.88671875" style="1588" customWidth="1"/>
    <col min="11017" max="11017" width="9" style="1588" customWidth="1"/>
    <col min="11018" max="11018" width="10.88671875" style="1588" customWidth="1"/>
    <col min="11019" max="11019" width="8" style="1588" bestFit="1" customWidth="1"/>
    <col min="11020" max="11020" width="9" style="1588" bestFit="1" customWidth="1"/>
    <col min="11021" max="11021" width="11" style="1588" bestFit="1" customWidth="1"/>
    <col min="11022" max="11022" width="12.5546875" style="1588" bestFit="1" customWidth="1"/>
    <col min="11023" max="11023" width="12.109375" style="1588" customWidth="1"/>
    <col min="11024" max="11037" width="2.88671875" style="1588" customWidth="1"/>
    <col min="11038" max="11038" width="22.33203125" style="1588" customWidth="1"/>
    <col min="11039" max="11039" width="9.44140625" style="1588" customWidth="1"/>
    <col min="11040" max="11040" width="8.44140625" style="1588" customWidth="1"/>
    <col min="11041" max="11041" width="9.44140625" style="1588" customWidth="1"/>
    <col min="11042" max="11042" width="7.5546875" style="1588" customWidth="1"/>
    <col min="11043" max="11043" width="7.88671875" style="1588" bestFit="1" customWidth="1"/>
    <col min="11044" max="11044" width="10.33203125" style="1588" bestFit="1" customWidth="1"/>
    <col min="11045" max="11045" width="4.88671875" style="1588" customWidth="1"/>
    <col min="11046" max="11046" width="21.88671875" style="1588" bestFit="1" customWidth="1"/>
    <col min="11047" max="11047" width="8.88671875" style="1588" customWidth="1"/>
    <col min="11048" max="11048" width="7.5546875" style="1588" bestFit="1" customWidth="1"/>
    <col min="11049" max="11049" width="4.5546875" style="1588" customWidth="1"/>
    <col min="11050" max="11261" width="9.44140625" style="1588"/>
    <col min="11262" max="11262" width="2.44140625" style="1588" customWidth="1"/>
    <col min="11263" max="11263" width="29.6640625" style="1588" customWidth="1"/>
    <col min="11264" max="11264" width="9.33203125" style="1588" bestFit="1" customWidth="1"/>
    <col min="11265" max="11265" width="10.33203125" style="1588" customWidth="1"/>
    <col min="11266" max="11266" width="8.109375" style="1588" bestFit="1" customWidth="1"/>
    <col min="11267" max="11267" width="9.88671875" style="1588" bestFit="1" customWidth="1"/>
    <col min="11268" max="11268" width="9" style="1588" customWidth="1"/>
    <col min="11269" max="11269" width="11.6640625" style="1588" customWidth="1"/>
    <col min="11270" max="11270" width="12.44140625" style="1588" customWidth="1"/>
    <col min="11271" max="11271" width="2.88671875" style="1588" customWidth="1"/>
    <col min="11272" max="11272" width="29.88671875" style="1588" customWidth="1"/>
    <col min="11273" max="11273" width="9" style="1588" customWidth="1"/>
    <col min="11274" max="11274" width="10.88671875" style="1588" customWidth="1"/>
    <col min="11275" max="11275" width="8" style="1588" bestFit="1" customWidth="1"/>
    <col min="11276" max="11276" width="9" style="1588" bestFit="1" customWidth="1"/>
    <col min="11277" max="11277" width="11" style="1588" bestFit="1" customWidth="1"/>
    <col min="11278" max="11278" width="12.5546875" style="1588" bestFit="1" customWidth="1"/>
    <col min="11279" max="11279" width="12.109375" style="1588" customWidth="1"/>
    <col min="11280" max="11293" width="2.88671875" style="1588" customWidth="1"/>
    <col min="11294" max="11294" width="22.33203125" style="1588" customWidth="1"/>
    <col min="11295" max="11295" width="9.44140625" style="1588" customWidth="1"/>
    <col min="11296" max="11296" width="8.44140625" style="1588" customWidth="1"/>
    <col min="11297" max="11297" width="9.44140625" style="1588" customWidth="1"/>
    <col min="11298" max="11298" width="7.5546875" style="1588" customWidth="1"/>
    <col min="11299" max="11299" width="7.88671875" style="1588" bestFit="1" customWidth="1"/>
    <col min="11300" max="11300" width="10.33203125" style="1588" bestFit="1" customWidth="1"/>
    <col min="11301" max="11301" width="4.88671875" style="1588" customWidth="1"/>
    <col min="11302" max="11302" width="21.88671875" style="1588" bestFit="1" customWidth="1"/>
    <col min="11303" max="11303" width="8.88671875" style="1588" customWidth="1"/>
    <col min="11304" max="11304" width="7.5546875" style="1588" bestFit="1" customWidth="1"/>
    <col min="11305" max="11305" width="4.5546875" style="1588" customWidth="1"/>
    <col min="11306" max="11517" width="9.44140625" style="1588"/>
    <col min="11518" max="11518" width="2.44140625" style="1588" customWidth="1"/>
    <col min="11519" max="11519" width="29.6640625" style="1588" customWidth="1"/>
    <col min="11520" max="11520" width="9.33203125" style="1588" bestFit="1" customWidth="1"/>
    <col min="11521" max="11521" width="10.33203125" style="1588" customWidth="1"/>
    <col min="11522" max="11522" width="8.109375" style="1588" bestFit="1" customWidth="1"/>
    <col min="11523" max="11523" width="9.88671875" style="1588" bestFit="1" customWidth="1"/>
    <col min="11524" max="11524" width="9" style="1588" customWidth="1"/>
    <col min="11525" max="11525" width="11.6640625" style="1588" customWidth="1"/>
    <col min="11526" max="11526" width="12.44140625" style="1588" customWidth="1"/>
    <col min="11527" max="11527" width="2.88671875" style="1588" customWidth="1"/>
    <col min="11528" max="11528" width="29.88671875" style="1588" customWidth="1"/>
    <col min="11529" max="11529" width="9" style="1588" customWidth="1"/>
    <col min="11530" max="11530" width="10.88671875" style="1588" customWidth="1"/>
    <col min="11531" max="11531" width="8" style="1588" bestFit="1" customWidth="1"/>
    <col min="11532" max="11532" width="9" style="1588" bestFit="1" customWidth="1"/>
    <col min="11533" max="11533" width="11" style="1588" bestFit="1" customWidth="1"/>
    <col min="11534" max="11534" width="12.5546875" style="1588" bestFit="1" customWidth="1"/>
    <col min="11535" max="11535" width="12.109375" style="1588" customWidth="1"/>
    <col min="11536" max="11549" width="2.88671875" style="1588" customWidth="1"/>
    <col min="11550" max="11550" width="22.33203125" style="1588" customWidth="1"/>
    <col min="11551" max="11551" width="9.44140625" style="1588" customWidth="1"/>
    <col min="11552" max="11552" width="8.44140625" style="1588" customWidth="1"/>
    <col min="11553" max="11553" width="9.44140625" style="1588" customWidth="1"/>
    <col min="11554" max="11554" width="7.5546875" style="1588" customWidth="1"/>
    <col min="11555" max="11555" width="7.88671875" style="1588" bestFit="1" customWidth="1"/>
    <col min="11556" max="11556" width="10.33203125" style="1588" bestFit="1" customWidth="1"/>
    <col min="11557" max="11557" width="4.88671875" style="1588" customWidth="1"/>
    <col min="11558" max="11558" width="21.88671875" style="1588" bestFit="1" customWidth="1"/>
    <col min="11559" max="11559" width="8.88671875" style="1588" customWidth="1"/>
    <col min="11560" max="11560" width="7.5546875" style="1588" bestFit="1" customWidth="1"/>
    <col min="11561" max="11561" width="4.5546875" style="1588" customWidth="1"/>
    <col min="11562" max="11773" width="9.44140625" style="1588"/>
    <col min="11774" max="11774" width="2.44140625" style="1588" customWidth="1"/>
    <col min="11775" max="11775" width="29.6640625" style="1588" customWidth="1"/>
    <col min="11776" max="11776" width="9.33203125" style="1588" bestFit="1" customWidth="1"/>
    <col min="11777" max="11777" width="10.33203125" style="1588" customWidth="1"/>
    <col min="11778" max="11778" width="8.109375" style="1588" bestFit="1" customWidth="1"/>
    <col min="11779" max="11779" width="9.88671875" style="1588" bestFit="1" customWidth="1"/>
    <col min="11780" max="11780" width="9" style="1588" customWidth="1"/>
    <col min="11781" max="11781" width="11.6640625" style="1588" customWidth="1"/>
    <col min="11782" max="11782" width="12.44140625" style="1588" customWidth="1"/>
    <col min="11783" max="11783" width="2.88671875" style="1588" customWidth="1"/>
    <col min="11784" max="11784" width="29.88671875" style="1588" customWidth="1"/>
    <col min="11785" max="11785" width="9" style="1588" customWidth="1"/>
    <col min="11786" max="11786" width="10.88671875" style="1588" customWidth="1"/>
    <col min="11787" max="11787" width="8" style="1588" bestFit="1" customWidth="1"/>
    <col min="11788" max="11788" width="9" style="1588" bestFit="1" customWidth="1"/>
    <col min="11789" max="11789" width="11" style="1588" bestFit="1" customWidth="1"/>
    <col min="11790" max="11790" width="12.5546875" style="1588" bestFit="1" customWidth="1"/>
    <col min="11791" max="11791" width="12.109375" style="1588" customWidth="1"/>
    <col min="11792" max="11805" width="2.88671875" style="1588" customWidth="1"/>
    <col min="11806" max="11806" width="22.33203125" style="1588" customWidth="1"/>
    <col min="11807" max="11807" width="9.44140625" style="1588" customWidth="1"/>
    <col min="11808" max="11808" width="8.44140625" style="1588" customWidth="1"/>
    <col min="11809" max="11809" width="9.44140625" style="1588" customWidth="1"/>
    <col min="11810" max="11810" width="7.5546875" style="1588" customWidth="1"/>
    <col min="11811" max="11811" width="7.88671875" style="1588" bestFit="1" customWidth="1"/>
    <col min="11812" max="11812" width="10.33203125" style="1588" bestFit="1" customWidth="1"/>
    <col min="11813" max="11813" width="4.88671875" style="1588" customWidth="1"/>
    <col min="11814" max="11814" width="21.88671875" style="1588" bestFit="1" customWidth="1"/>
    <col min="11815" max="11815" width="8.88671875" style="1588" customWidth="1"/>
    <col min="11816" max="11816" width="7.5546875" style="1588" bestFit="1" customWidth="1"/>
    <col min="11817" max="11817" width="4.5546875" style="1588" customWidth="1"/>
    <col min="11818" max="12029" width="9.44140625" style="1588"/>
    <col min="12030" max="12030" width="2.44140625" style="1588" customWidth="1"/>
    <col min="12031" max="12031" width="29.6640625" style="1588" customWidth="1"/>
    <col min="12032" max="12032" width="9.33203125" style="1588" bestFit="1" customWidth="1"/>
    <col min="12033" max="12033" width="10.33203125" style="1588" customWidth="1"/>
    <col min="12034" max="12034" width="8.109375" style="1588" bestFit="1" customWidth="1"/>
    <col min="12035" max="12035" width="9.88671875" style="1588" bestFit="1" customWidth="1"/>
    <col min="12036" max="12036" width="9" style="1588" customWidth="1"/>
    <col min="12037" max="12037" width="11.6640625" style="1588" customWidth="1"/>
    <col min="12038" max="12038" width="12.44140625" style="1588" customWidth="1"/>
    <col min="12039" max="12039" width="2.88671875" style="1588" customWidth="1"/>
    <col min="12040" max="12040" width="29.88671875" style="1588" customWidth="1"/>
    <col min="12041" max="12041" width="9" style="1588" customWidth="1"/>
    <col min="12042" max="12042" width="10.88671875" style="1588" customWidth="1"/>
    <col min="12043" max="12043" width="8" style="1588" bestFit="1" customWidth="1"/>
    <col min="12044" max="12044" width="9" style="1588" bestFit="1" customWidth="1"/>
    <col min="12045" max="12045" width="11" style="1588" bestFit="1" customWidth="1"/>
    <col min="12046" max="12046" width="12.5546875" style="1588" bestFit="1" customWidth="1"/>
    <col min="12047" max="12047" width="12.109375" style="1588" customWidth="1"/>
    <col min="12048" max="12061" width="2.88671875" style="1588" customWidth="1"/>
    <col min="12062" max="12062" width="22.33203125" style="1588" customWidth="1"/>
    <col min="12063" max="12063" width="9.44140625" style="1588" customWidth="1"/>
    <col min="12064" max="12064" width="8.44140625" style="1588" customWidth="1"/>
    <col min="12065" max="12065" width="9.44140625" style="1588" customWidth="1"/>
    <col min="12066" max="12066" width="7.5546875" style="1588" customWidth="1"/>
    <col min="12067" max="12067" width="7.88671875" style="1588" bestFit="1" customWidth="1"/>
    <col min="12068" max="12068" width="10.33203125" style="1588" bestFit="1" customWidth="1"/>
    <col min="12069" max="12069" width="4.88671875" style="1588" customWidth="1"/>
    <col min="12070" max="12070" width="21.88671875" style="1588" bestFit="1" customWidth="1"/>
    <col min="12071" max="12071" width="8.88671875" style="1588" customWidth="1"/>
    <col min="12072" max="12072" width="7.5546875" style="1588" bestFit="1" customWidth="1"/>
    <col min="12073" max="12073" width="4.5546875" style="1588" customWidth="1"/>
    <col min="12074" max="12285" width="9.44140625" style="1588"/>
    <col min="12286" max="12286" width="2.44140625" style="1588" customWidth="1"/>
    <col min="12287" max="12287" width="29.6640625" style="1588" customWidth="1"/>
    <col min="12288" max="12288" width="9.33203125" style="1588" bestFit="1" customWidth="1"/>
    <col min="12289" max="12289" width="10.33203125" style="1588" customWidth="1"/>
    <col min="12290" max="12290" width="8.109375" style="1588" bestFit="1" customWidth="1"/>
    <col min="12291" max="12291" width="9.88671875" style="1588" bestFit="1" customWidth="1"/>
    <col min="12292" max="12292" width="9" style="1588" customWidth="1"/>
    <col min="12293" max="12293" width="11.6640625" style="1588" customWidth="1"/>
    <col min="12294" max="12294" width="12.44140625" style="1588" customWidth="1"/>
    <col min="12295" max="12295" width="2.88671875" style="1588" customWidth="1"/>
    <col min="12296" max="12296" width="29.88671875" style="1588" customWidth="1"/>
    <col min="12297" max="12297" width="9" style="1588" customWidth="1"/>
    <col min="12298" max="12298" width="10.88671875" style="1588" customWidth="1"/>
    <col min="12299" max="12299" width="8" style="1588" bestFit="1" customWidth="1"/>
    <col min="12300" max="12300" width="9" style="1588" bestFit="1" customWidth="1"/>
    <col min="12301" max="12301" width="11" style="1588" bestFit="1" customWidth="1"/>
    <col min="12302" max="12302" width="12.5546875" style="1588" bestFit="1" customWidth="1"/>
    <col min="12303" max="12303" width="12.109375" style="1588" customWidth="1"/>
    <col min="12304" max="12317" width="2.88671875" style="1588" customWidth="1"/>
    <col min="12318" max="12318" width="22.33203125" style="1588" customWidth="1"/>
    <col min="12319" max="12319" width="9.44140625" style="1588" customWidth="1"/>
    <col min="12320" max="12320" width="8.44140625" style="1588" customWidth="1"/>
    <col min="12321" max="12321" width="9.44140625" style="1588" customWidth="1"/>
    <col min="12322" max="12322" width="7.5546875" style="1588" customWidth="1"/>
    <col min="12323" max="12323" width="7.88671875" style="1588" bestFit="1" customWidth="1"/>
    <col min="12324" max="12324" width="10.33203125" style="1588" bestFit="1" customWidth="1"/>
    <col min="12325" max="12325" width="4.88671875" style="1588" customWidth="1"/>
    <col min="12326" max="12326" width="21.88671875" style="1588" bestFit="1" customWidth="1"/>
    <col min="12327" max="12327" width="8.88671875" style="1588" customWidth="1"/>
    <col min="12328" max="12328" width="7.5546875" style="1588" bestFit="1" customWidth="1"/>
    <col min="12329" max="12329" width="4.5546875" style="1588" customWidth="1"/>
    <col min="12330" max="12541" width="9.44140625" style="1588"/>
    <col min="12542" max="12542" width="2.44140625" style="1588" customWidth="1"/>
    <col min="12543" max="12543" width="29.6640625" style="1588" customWidth="1"/>
    <col min="12544" max="12544" width="9.33203125" style="1588" bestFit="1" customWidth="1"/>
    <col min="12545" max="12545" width="10.33203125" style="1588" customWidth="1"/>
    <col min="12546" max="12546" width="8.109375" style="1588" bestFit="1" customWidth="1"/>
    <col min="12547" max="12547" width="9.88671875" style="1588" bestFit="1" customWidth="1"/>
    <col min="12548" max="12548" width="9" style="1588" customWidth="1"/>
    <col min="12549" max="12549" width="11.6640625" style="1588" customWidth="1"/>
    <col min="12550" max="12550" width="12.44140625" style="1588" customWidth="1"/>
    <col min="12551" max="12551" width="2.88671875" style="1588" customWidth="1"/>
    <col min="12552" max="12552" width="29.88671875" style="1588" customWidth="1"/>
    <col min="12553" max="12553" width="9" style="1588" customWidth="1"/>
    <col min="12554" max="12554" width="10.88671875" style="1588" customWidth="1"/>
    <col min="12555" max="12555" width="8" style="1588" bestFit="1" customWidth="1"/>
    <col min="12556" max="12556" width="9" style="1588" bestFit="1" customWidth="1"/>
    <col min="12557" max="12557" width="11" style="1588" bestFit="1" customWidth="1"/>
    <col min="12558" max="12558" width="12.5546875" style="1588" bestFit="1" customWidth="1"/>
    <col min="12559" max="12559" width="12.109375" style="1588" customWidth="1"/>
    <col min="12560" max="12573" width="2.88671875" style="1588" customWidth="1"/>
    <col min="12574" max="12574" width="22.33203125" style="1588" customWidth="1"/>
    <col min="12575" max="12575" width="9.44140625" style="1588" customWidth="1"/>
    <col min="12576" max="12576" width="8.44140625" style="1588" customWidth="1"/>
    <col min="12577" max="12577" width="9.44140625" style="1588" customWidth="1"/>
    <col min="12578" max="12578" width="7.5546875" style="1588" customWidth="1"/>
    <col min="12579" max="12579" width="7.88671875" style="1588" bestFit="1" customWidth="1"/>
    <col min="12580" max="12580" width="10.33203125" style="1588" bestFit="1" customWidth="1"/>
    <col min="12581" max="12581" width="4.88671875" style="1588" customWidth="1"/>
    <col min="12582" max="12582" width="21.88671875" style="1588" bestFit="1" customWidth="1"/>
    <col min="12583" max="12583" width="8.88671875" style="1588" customWidth="1"/>
    <col min="12584" max="12584" width="7.5546875" style="1588" bestFit="1" customWidth="1"/>
    <col min="12585" max="12585" width="4.5546875" style="1588" customWidth="1"/>
    <col min="12586" max="12797" width="9.44140625" style="1588"/>
    <col min="12798" max="12798" width="2.44140625" style="1588" customWidth="1"/>
    <col min="12799" max="12799" width="29.6640625" style="1588" customWidth="1"/>
    <col min="12800" max="12800" width="9.33203125" style="1588" bestFit="1" customWidth="1"/>
    <col min="12801" max="12801" width="10.33203125" style="1588" customWidth="1"/>
    <col min="12802" max="12802" width="8.109375" style="1588" bestFit="1" customWidth="1"/>
    <col min="12803" max="12803" width="9.88671875" style="1588" bestFit="1" customWidth="1"/>
    <col min="12804" max="12804" width="9" style="1588" customWidth="1"/>
    <col min="12805" max="12805" width="11.6640625" style="1588" customWidth="1"/>
    <col min="12806" max="12806" width="12.44140625" style="1588" customWidth="1"/>
    <col min="12807" max="12807" width="2.88671875" style="1588" customWidth="1"/>
    <col min="12808" max="12808" width="29.88671875" style="1588" customWidth="1"/>
    <col min="12809" max="12809" width="9" style="1588" customWidth="1"/>
    <col min="12810" max="12810" width="10.88671875" style="1588" customWidth="1"/>
    <col min="12811" max="12811" width="8" style="1588" bestFit="1" customWidth="1"/>
    <col min="12812" max="12812" width="9" style="1588" bestFit="1" customWidth="1"/>
    <col min="12813" max="12813" width="11" style="1588" bestFit="1" customWidth="1"/>
    <col min="12814" max="12814" width="12.5546875" style="1588" bestFit="1" customWidth="1"/>
    <col min="12815" max="12815" width="12.109375" style="1588" customWidth="1"/>
    <col min="12816" max="12829" width="2.88671875" style="1588" customWidth="1"/>
    <col min="12830" max="12830" width="22.33203125" style="1588" customWidth="1"/>
    <col min="12831" max="12831" width="9.44140625" style="1588" customWidth="1"/>
    <col min="12832" max="12832" width="8.44140625" style="1588" customWidth="1"/>
    <col min="12833" max="12833" width="9.44140625" style="1588" customWidth="1"/>
    <col min="12834" max="12834" width="7.5546875" style="1588" customWidth="1"/>
    <col min="12835" max="12835" width="7.88671875" style="1588" bestFit="1" customWidth="1"/>
    <col min="12836" max="12836" width="10.33203125" style="1588" bestFit="1" customWidth="1"/>
    <col min="12837" max="12837" width="4.88671875" style="1588" customWidth="1"/>
    <col min="12838" max="12838" width="21.88671875" style="1588" bestFit="1" customWidth="1"/>
    <col min="12839" max="12839" width="8.88671875" style="1588" customWidth="1"/>
    <col min="12840" max="12840" width="7.5546875" style="1588" bestFit="1" customWidth="1"/>
    <col min="12841" max="12841" width="4.5546875" style="1588" customWidth="1"/>
    <col min="12842" max="13053" width="9.44140625" style="1588"/>
    <col min="13054" max="13054" width="2.44140625" style="1588" customWidth="1"/>
    <col min="13055" max="13055" width="29.6640625" style="1588" customWidth="1"/>
    <col min="13056" max="13056" width="9.33203125" style="1588" bestFit="1" customWidth="1"/>
    <col min="13057" max="13057" width="10.33203125" style="1588" customWidth="1"/>
    <col min="13058" max="13058" width="8.109375" style="1588" bestFit="1" customWidth="1"/>
    <col min="13059" max="13059" width="9.88671875" style="1588" bestFit="1" customWidth="1"/>
    <col min="13060" max="13060" width="9" style="1588" customWidth="1"/>
    <col min="13061" max="13061" width="11.6640625" style="1588" customWidth="1"/>
    <col min="13062" max="13062" width="12.44140625" style="1588" customWidth="1"/>
    <col min="13063" max="13063" width="2.88671875" style="1588" customWidth="1"/>
    <col min="13064" max="13064" width="29.88671875" style="1588" customWidth="1"/>
    <col min="13065" max="13065" width="9" style="1588" customWidth="1"/>
    <col min="13066" max="13066" width="10.88671875" style="1588" customWidth="1"/>
    <col min="13067" max="13067" width="8" style="1588" bestFit="1" customWidth="1"/>
    <col min="13068" max="13068" width="9" style="1588" bestFit="1" customWidth="1"/>
    <col min="13069" max="13069" width="11" style="1588" bestFit="1" customWidth="1"/>
    <col min="13070" max="13070" width="12.5546875" style="1588" bestFit="1" customWidth="1"/>
    <col min="13071" max="13071" width="12.109375" style="1588" customWidth="1"/>
    <col min="13072" max="13085" width="2.88671875" style="1588" customWidth="1"/>
    <col min="13086" max="13086" width="22.33203125" style="1588" customWidth="1"/>
    <col min="13087" max="13087" width="9.44140625" style="1588" customWidth="1"/>
    <col min="13088" max="13088" width="8.44140625" style="1588" customWidth="1"/>
    <col min="13089" max="13089" width="9.44140625" style="1588" customWidth="1"/>
    <col min="13090" max="13090" width="7.5546875" style="1588" customWidth="1"/>
    <col min="13091" max="13091" width="7.88671875" style="1588" bestFit="1" customWidth="1"/>
    <col min="13092" max="13092" width="10.33203125" style="1588" bestFit="1" customWidth="1"/>
    <col min="13093" max="13093" width="4.88671875" style="1588" customWidth="1"/>
    <col min="13094" max="13094" width="21.88671875" style="1588" bestFit="1" customWidth="1"/>
    <col min="13095" max="13095" width="8.88671875" style="1588" customWidth="1"/>
    <col min="13096" max="13096" width="7.5546875" style="1588" bestFit="1" customWidth="1"/>
    <col min="13097" max="13097" width="4.5546875" style="1588" customWidth="1"/>
    <col min="13098" max="13309" width="9.44140625" style="1588"/>
    <col min="13310" max="13310" width="2.44140625" style="1588" customWidth="1"/>
    <col min="13311" max="13311" width="29.6640625" style="1588" customWidth="1"/>
    <col min="13312" max="13312" width="9.33203125" style="1588" bestFit="1" customWidth="1"/>
    <col min="13313" max="13313" width="10.33203125" style="1588" customWidth="1"/>
    <col min="13314" max="13314" width="8.109375" style="1588" bestFit="1" customWidth="1"/>
    <col min="13315" max="13315" width="9.88671875" style="1588" bestFit="1" customWidth="1"/>
    <col min="13316" max="13316" width="9" style="1588" customWidth="1"/>
    <col min="13317" max="13317" width="11.6640625" style="1588" customWidth="1"/>
    <col min="13318" max="13318" width="12.44140625" style="1588" customWidth="1"/>
    <col min="13319" max="13319" width="2.88671875" style="1588" customWidth="1"/>
    <col min="13320" max="13320" width="29.88671875" style="1588" customWidth="1"/>
    <col min="13321" max="13321" width="9" style="1588" customWidth="1"/>
    <col min="13322" max="13322" width="10.88671875" style="1588" customWidth="1"/>
    <col min="13323" max="13323" width="8" style="1588" bestFit="1" customWidth="1"/>
    <col min="13324" max="13324" width="9" style="1588" bestFit="1" customWidth="1"/>
    <col min="13325" max="13325" width="11" style="1588" bestFit="1" customWidth="1"/>
    <col min="13326" max="13326" width="12.5546875" style="1588" bestFit="1" customWidth="1"/>
    <col min="13327" max="13327" width="12.109375" style="1588" customWidth="1"/>
    <col min="13328" max="13341" width="2.88671875" style="1588" customWidth="1"/>
    <col min="13342" max="13342" width="22.33203125" style="1588" customWidth="1"/>
    <col min="13343" max="13343" width="9.44140625" style="1588" customWidth="1"/>
    <col min="13344" max="13344" width="8.44140625" style="1588" customWidth="1"/>
    <col min="13345" max="13345" width="9.44140625" style="1588" customWidth="1"/>
    <col min="13346" max="13346" width="7.5546875" style="1588" customWidth="1"/>
    <col min="13347" max="13347" width="7.88671875" style="1588" bestFit="1" customWidth="1"/>
    <col min="13348" max="13348" width="10.33203125" style="1588" bestFit="1" customWidth="1"/>
    <col min="13349" max="13349" width="4.88671875" style="1588" customWidth="1"/>
    <col min="13350" max="13350" width="21.88671875" style="1588" bestFit="1" customWidth="1"/>
    <col min="13351" max="13351" width="8.88671875" style="1588" customWidth="1"/>
    <col min="13352" max="13352" width="7.5546875" style="1588" bestFit="1" customWidth="1"/>
    <col min="13353" max="13353" width="4.5546875" style="1588" customWidth="1"/>
    <col min="13354" max="13565" width="9.44140625" style="1588"/>
    <col min="13566" max="13566" width="2.44140625" style="1588" customWidth="1"/>
    <col min="13567" max="13567" width="29.6640625" style="1588" customWidth="1"/>
    <col min="13568" max="13568" width="9.33203125" style="1588" bestFit="1" customWidth="1"/>
    <col min="13569" max="13569" width="10.33203125" style="1588" customWidth="1"/>
    <col min="13570" max="13570" width="8.109375" style="1588" bestFit="1" customWidth="1"/>
    <col min="13571" max="13571" width="9.88671875" style="1588" bestFit="1" customWidth="1"/>
    <col min="13572" max="13572" width="9" style="1588" customWidth="1"/>
    <col min="13573" max="13573" width="11.6640625" style="1588" customWidth="1"/>
    <col min="13574" max="13574" width="12.44140625" style="1588" customWidth="1"/>
    <col min="13575" max="13575" width="2.88671875" style="1588" customWidth="1"/>
    <col min="13576" max="13576" width="29.88671875" style="1588" customWidth="1"/>
    <col min="13577" max="13577" width="9" style="1588" customWidth="1"/>
    <col min="13578" max="13578" width="10.88671875" style="1588" customWidth="1"/>
    <col min="13579" max="13579" width="8" style="1588" bestFit="1" customWidth="1"/>
    <col min="13580" max="13580" width="9" style="1588" bestFit="1" customWidth="1"/>
    <col min="13581" max="13581" width="11" style="1588" bestFit="1" customWidth="1"/>
    <col min="13582" max="13582" width="12.5546875" style="1588" bestFit="1" customWidth="1"/>
    <col min="13583" max="13583" width="12.109375" style="1588" customWidth="1"/>
    <col min="13584" max="13597" width="2.88671875" style="1588" customWidth="1"/>
    <col min="13598" max="13598" width="22.33203125" style="1588" customWidth="1"/>
    <col min="13599" max="13599" width="9.44140625" style="1588" customWidth="1"/>
    <col min="13600" max="13600" width="8.44140625" style="1588" customWidth="1"/>
    <col min="13601" max="13601" width="9.44140625" style="1588" customWidth="1"/>
    <col min="13602" max="13602" width="7.5546875" style="1588" customWidth="1"/>
    <col min="13603" max="13603" width="7.88671875" style="1588" bestFit="1" customWidth="1"/>
    <col min="13604" max="13604" width="10.33203125" style="1588" bestFit="1" customWidth="1"/>
    <col min="13605" max="13605" width="4.88671875" style="1588" customWidth="1"/>
    <col min="13606" max="13606" width="21.88671875" style="1588" bestFit="1" customWidth="1"/>
    <col min="13607" max="13607" width="8.88671875" style="1588" customWidth="1"/>
    <col min="13608" max="13608" width="7.5546875" style="1588" bestFit="1" customWidth="1"/>
    <col min="13609" max="13609" width="4.5546875" style="1588" customWidth="1"/>
    <col min="13610" max="13821" width="9.44140625" style="1588"/>
    <col min="13822" max="13822" width="2.44140625" style="1588" customWidth="1"/>
    <col min="13823" max="13823" width="29.6640625" style="1588" customWidth="1"/>
    <col min="13824" max="13824" width="9.33203125" style="1588" bestFit="1" customWidth="1"/>
    <col min="13825" max="13825" width="10.33203125" style="1588" customWidth="1"/>
    <col min="13826" max="13826" width="8.109375" style="1588" bestFit="1" customWidth="1"/>
    <col min="13827" max="13827" width="9.88671875" style="1588" bestFit="1" customWidth="1"/>
    <col min="13828" max="13828" width="9" style="1588" customWidth="1"/>
    <col min="13829" max="13829" width="11.6640625" style="1588" customWidth="1"/>
    <col min="13830" max="13830" width="12.44140625" style="1588" customWidth="1"/>
    <col min="13831" max="13831" width="2.88671875" style="1588" customWidth="1"/>
    <col min="13832" max="13832" width="29.88671875" style="1588" customWidth="1"/>
    <col min="13833" max="13833" width="9" style="1588" customWidth="1"/>
    <col min="13834" max="13834" width="10.88671875" style="1588" customWidth="1"/>
    <col min="13835" max="13835" width="8" style="1588" bestFit="1" customWidth="1"/>
    <col min="13836" max="13836" width="9" style="1588" bestFit="1" customWidth="1"/>
    <col min="13837" max="13837" width="11" style="1588" bestFit="1" customWidth="1"/>
    <col min="13838" max="13838" width="12.5546875" style="1588" bestFit="1" customWidth="1"/>
    <col min="13839" max="13839" width="12.109375" style="1588" customWidth="1"/>
    <col min="13840" max="13853" width="2.88671875" style="1588" customWidth="1"/>
    <col min="13854" max="13854" width="22.33203125" style="1588" customWidth="1"/>
    <col min="13855" max="13855" width="9.44140625" style="1588" customWidth="1"/>
    <col min="13856" max="13856" width="8.44140625" style="1588" customWidth="1"/>
    <col min="13857" max="13857" width="9.44140625" style="1588" customWidth="1"/>
    <col min="13858" max="13858" width="7.5546875" style="1588" customWidth="1"/>
    <col min="13859" max="13859" width="7.88671875" style="1588" bestFit="1" customWidth="1"/>
    <col min="13860" max="13860" width="10.33203125" style="1588" bestFit="1" customWidth="1"/>
    <col min="13861" max="13861" width="4.88671875" style="1588" customWidth="1"/>
    <col min="13862" max="13862" width="21.88671875" style="1588" bestFit="1" customWidth="1"/>
    <col min="13863" max="13863" width="8.88671875" style="1588" customWidth="1"/>
    <col min="13864" max="13864" width="7.5546875" style="1588" bestFit="1" customWidth="1"/>
    <col min="13865" max="13865" width="4.5546875" style="1588" customWidth="1"/>
    <col min="13866" max="14077" width="9.44140625" style="1588"/>
    <col min="14078" max="14078" width="2.44140625" style="1588" customWidth="1"/>
    <col min="14079" max="14079" width="29.6640625" style="1588" customWidth="1"/>
    <col min="14080" max="14080" width="9.33203125" style="1588" bestFit="1" customWidth="1"/>
    <col min="14081" max="14081" width="10.33203125" style="1588" customWidth="1"/>
    <col min="14082" max="14082" width="8.109375" style="1588" bestFit="1" customWidth="1"/>
    <col min="14083" max="14083" width="9.88671875" style="1588" bestFit="1" customWidth="1"/>
    <col min="14084" max="14084" width="9" style="1588" customWidth="1"/>
    <col min="14085" max="14085" width="11.6640625" style="1588" customWidth="1"/>
    <col min="14086" max="14086" width="12.44140625" style="1588" customWidth="1"/>
    <col min="14087" max="14087" width="2.88671875" style="1588" customWidth="1"/>
    <col min="14088" max="14088" width="29.88671875" style="1588" customWidth="1"/>
    <col min="14089" max="14089" width="9" style="1588" customWidth="1"/>
    <col min="14090" max="14090" width="10.88671875" style="1588" customWidth="1"/>
    <col min="14091" max="14091" width="8" style="1588" bestFit="1" customWidth="1"/>
    <col min="14092" max="14092" width="9" style="1588" bestFit="1" customWidth="1"/>
    <col min="14093" max="14093" width="11" style="1588" bestFit="1" customWidth="1"/>
    <col min="14094" max="14094" width="12.5546875" style="1588" bestFit="1" customWidth="1"/>
    <col min="14095" max="14095" width="12.109375" style="1588" customWidth="1"/>
    <col min="14096" max="14109" width="2.88671875" style="1588" customWidth="1"/>
    <col min="14110" max="14110" width="22.33203125" style="1588" customWidth="1"/>
    <col min="14111" max="14111" width="9.44140625" style="1588" customWidth="1"/>
    <col min="14112" max="14112" width="8.44140625" style="1588" customWidth="1"/>
    <col min="14113" max="14113" width="9.44140625" style="1588" customWidth="1"/>
    <col min="14114" max="14114" width="7.5546875" style="1588" customWidth="1"/>
    <col min="14115" max="14115" width="7.88671875" style="1588" bestFit="1" customWidth="1"/>
    <col min="14116" max="14116" width="10.33203125" style="1588" bestFit="1" customWidth="1"/>
    <col min="14117" max="14117" width="4.88671875" style="1588" customWidth="1"/>
    <col min="14118" max="14118" width="21.88671875" style="1588" bestFit="1" customWidth="1"/>
    <col min="14119" max="14119" width="8.88671875" style="1588" customWidth="1"/>
    <col min="14120" max="14120" width="7.5546875" style="1588" bestFit="1" customWidth="1"/>
    <col min="14121" max="14121" width="4.5546875" style="1588" customWidth="1"/>
    <col min="14122" max="14333" width="9.44140625" style="1588"/>
    <col min="14334" max="14334" width="2.44140625" style="1588" customWidth="1"/>
    <col min="14335" max="14335" width="29.6640625" style="1588" customWidth="1"/>
    <col min="14336" max="14336" width="9.33203125" style="1588" bestFit="1" customWidth="1"/>
    <col min="14337" max="14337" width="10.33203125" style="1588" customWidth="1"/>
    <col min="14338" max="14338" width="8.109375" style="1588" bestFit="1" customWidth="1"/>
    <col min="14339" max="14339" width="9.88671875" style="1588" bestFit="1" customWidth="1"/>
    <col min="14340" max="14340" width="9" style="1588" customWidth="1"/>
    <col min="14341" max="14341" width="11.6640625" style="1588" customWidth="1"/>
    <col min="14342" max="14342" width="12.44140625" style="1588" customWidth="1"/>
    <col min="14343" max="14343" width="2.88671875" style="1588" customWidth="1"/>
    <col min="14344" max="14344" width="29.88671875" style="1588" customWidth="1"/>
    <col min="14345" max="14345" width="9" style="1588" customWidth="1"/>
    <col min="14346" max="14346" width="10.88671875" style="1588" customWidth="1"/>
    <col min="14347" max="14347" width="8" style="1588" bestFit="1" customWidth="1"/>
    <col min="14348" max="14348" width="9" style="1588" bestFit="1" customWidth="1"/>
    <col min="14349" max="14349" width="11" style="1588" bestFit="1" customWidth="1"/>
    <col min="14350" max="14350" width="12.5546875" style="1588" bestFit="1" customWidth="1"/>
    <col min="14351" max="14351" width="12.109375" style="1588" customWidth="1"/>
    <col min="14352" max="14365" width="2.88671875" style="1588" customWidth="1"/>
    <col min="14366" max="14366" width="22.33203125" style="1588" customWidth="1"/>
    <col min="14367" max="14367" width="9.44140625" style="1588" customWidth="1"/>
    <col min="14368" max="14368" width="8.44140625" style="1588" customWidth="1"/>
    <col min="14369" max="14369" width="9.44140625" style="1588" customWidth="1"/>
    <col min="14370" max="14370" width="7.5546875" style="1588" customWidth="1"/>
    <col min="14371" max="14371" width="7.88671875" style="1588" bestFit="1" customWidth="1"/>
    <col min="14372" max="14372" width="10.33203125" style="1588" bestFit="1" customWidth="1"/>
    <col min="14373" max="14373" width="4.88671875" style="1588" customWidth="1"/>
    <col min="14374" max="14374" width="21.88671875" style="1588" bestFit="1" customWidth="1"/>
    <col min="14375" max="14375" width="8.88671875" style="1588" customWidth="1"/>
    <col min="14376" max="14376" width="7.5546875" style="1588" bestFit="1" customWidth="1"/>
    <col min="14377" max="14377" width="4.5546875" style="1588" customWidth="1"/>
    <col min="14378" max="14589" width="9.44140625" style="1588"/>
    <col min="14590" max="14590" width="2.44140625" style="1588" customWidth="1"/>
    <col min="14591" max="14591" width="29.6640625" style="1588" customWidth="1"/>
    <col min="14592" max="14592" width="9.33203125" style="1588" bestFit="1" customWidth="1"/>
    <col min="14593" max="14593" width="10.33203125" style="1588" customWidth="1"/>
    <col min="14594" max="14594" width="8.109375" style="1588" bestFit="1" customWidth="1"/>
    <col min="14595" max="14595" width="9.88671875" style="1588" bestFit="1" customWidth="1"/>
    <col min="14596" max="14596" width="9" style="1588" customWidth="1"/>
    <col min="14597" max="14597" width="11.6640625" style="1588" customWidth="1"/>
    <col min="14598" max="14598" width="12.44140625" style="1588" customWidth="1"/>
    <col min="14599" max="14599" width="2.88671875" style="1588" customWidth="1"/>
    <col min="14600" max="14600" width="29.88671875" style="1588" customWidth="1"/>
    <col min="14601" max="14601" width="9" style="1588" customWidth="1"/>
    <col min="14602" max="14602" width="10.88671875" style="1588" customWidth="1"/>
    <col min="14603" max="14603" width="8" style="1588" bestFit="1" customWidth="1"/>
    <col min="14604" max="14604" width="9" style="1588" bestFit="1" customWidth="1"/>
    <col min="14605" max="14605" width="11" style="1588" bestFit="1" customWidth="1"/>
    <col min="14606" max="14606" width="12.5546875" style="1588" bestFit="1" customWidth="1"/>
    <col min="14607" max="14607" width="12.109375" style="1588" customWidth="1"/>
    <col min="14608" max="14621" width="2.88671875" style="1588" customWidth="1"/>
    <col min="14622" max="14622" width="22.33203125" style="1588" customWidth="1"/>
    <col min="14623" max="14623" width="9.44140625" style="1588" customWidth="1"/>
    <col min="14624" max="14624" width="8.44140625" style="1588" customWidth="1"/>
    <col min="14625" max="14625" width="9.44140625" style="1588" customWidth="1"/>
    <col min="14626" max="14626" width="7.5546875" style="1588" customWidth="1"/>
    <col min="14627" max="14627" width="7.88671875" style="1588" bestFit="1" customWidth="1"/>
    <col min="14628" max="14628" width="10.33203125" style="1588" bestFit="1" customWidth="1"/>
    <col min="14629" max="14629" width="4.88671875" style="1588" customWidth="1"/>
    <col min="14630" max="14630" width="21.88671875" style="1588" bestFit="1" customWidth="1"/>
    <col min="14631" max="14631" width="8.88671875" style="1588" customWidth="1"/>
    <col min="14632" max="14632" width="7.5546875" style="1588" bestFit="1" customWidth="1"/>
    <col min="14633" max="14633" width="4.5546875" style="1588" customWidth="1"/>
    <col min="14634" max="14845" width="9.44140625" style="1588"/>
    <col min="14846" max="14846" width="2.44140625" style="1588" customWidth="1"/>
    <col min="14847" max="14847" width="29.6640625" style="1588" customWidth="1"/>
    <col min="14848" max="14848" width="9.33203125" style="1588" bestFit="1" customWidth="1"/>
    <col min="14849" max="14849" width="10.33203125" style="1588" customWidth="1"/>
    <col min="14850" max="14850" width="8.109375" style="1588" bestFit="1" customWidth="1"/>
    <col min="14851" max="14851" width="9.88671875" style="1588" bestFit="1" customWidth="1"/>
    <col min="14852" max="14852" width="9" style="1588" customWidth="1"/>
    <col min="14853" max="14853" width="11.6640625" style="1588" customWidth="1"/>
    <col min="14854" max="14854" width="12.44140625" style="1588" customWidth="1"/>
    <col min="14855" max="14855" width="2.88671875" style="1588" customWidth="1"/>
    <col min="14856" max="14856" width="29.88671875" style="1588" customWidth="1"/>
    <col min="14857" max="14857" width="9" style="1588" customWidth="1"/>
    <col min="14858" max="14858" width="10.88671875" style="1588" customWidth="1"/>
    <col min="14859" max="14859" width="8" style="1588" bestFit="1" customWidth="1"/>
    <col min="14860" max="14860" width="9" style="1588" bestFit="1" customWidth="1"/>
    <col min="14861" max="14861" width="11" style="1588" bestFit="1" customWidth="1"/>
    <col min="14862" max="14862" width="12.5546875" style="1588" bestFit="1" customWidth="1"/>
    <col min="14863" max="14863" width="12.109375" style="1588" customWidth="1"/>
    <col min="14864" max="14877" width="2.88671875" style="1588" customWidth="1"/>
    <col min="14878" max="14878" width="22.33203125" style="1588" customWidth="1"/>
    <col min="14879" max="14879" width="9.44140625" style="1588" customWidth="1"/>
    <col min="14880" max="14880" width="8.44140625" style="1588" customWidth="1"/>
    <col min="14881" max="14881" width="9.44140625" style="1588" customWidth="1"/>
    <col min="14882" max="14882" width="7.5546875" style="1588" customWidth="1"/>
    <col min="14883" max="14883" width="7.88671875" style="1588" bestFit="1" customWidth="1"/>
    <col min="14884" max="14884" width="10.33203125" style="1588" bestFit="1" customWidth="1"/>
    <col min="14885" max="14885" width="4.88671875" style="1588" customWidth="1"/>
    <col min="14886" max="14886" width="21.88671875" style="1588" bestFit="1" customWidth="1"/>
    <col min="14887" max="14887" width="8.88671875" style="1588" customWidth="1"/>
    <col min="14888" max="14888" width="7.5546875" style="1588" bestFit="1" customWidth="1"/>
    <col min="14889" max="14889" width="4.5546875" style="1588" customWidth="1"/>
    <col min="14890" max="15101" width="9.44140625" style="1588"/>
    <col min="15102" max="15102" width="2.44140625" style="1588" customWidth="1"/>
    <col min="15103" max="15103" width="29.6640625" style="1588" customWidth="1"/>
    <col min="15104" max="15104" width="9.33203125" style="1588" bestFit="1" customWidth="1"/>
    <col min="15105" max="15105" width="10.33203125" style="1588" customWidth="1"/>
    <col min="15106" max="15106" width="8.109375" style="1588" bestFit="1" customWidth="1"/>
    <col min="15107" max="15107" width="9.88671875" style="1588" bestFit="1" customWidth="1"/>
    <col min="15108" max="15108" width="9" style="1588" customWidth="1"/>
    <col min="15109" max="15109" width="11.6640625" style="1588" customWidth="1"/>
    <col min="15110" max="15110" width="12.44140625" style="1588" customWidth="1"/>
    <col min="15111" max="15111" width="2.88671875" style="1588" customWidth="1"/>
    <col min="15112" max="15112" width="29.88671875" style="1588" customWidth="1"/>
    <col min="15113" max="15113" width="9" style="1588" customWidth="1"/>
    <col min="15114" max="15114" width="10.88671875" style="1588" customWidth="1"/>
    <col min="15115" max="15115" width="8" style="1588" bestFit="1" customWidth="1"/>
    <col min="15116" max="15116" width="9" style="1588" bestFit="1" customWidth="1"/>
    <col min="15117" max="15117" width="11" style="1588" bestFit="1" customWidth="1"/>
    <col min="15118" max="15118" width="12.5546875" style="1588" bestFit="1" customWidth="1"/>
    <col min="15119" max="15119" width="12.109375" style="1588" customWidth="1"/>
    <col min="15120" max="15133" width="2.88671875" style="1588" customWidth="1"/>
    <col min="15134" max="15134" width="22.33203125" style="1588" customWidth="1"/>
    <col min="15135" max="15135" width="9.44140625" style="1588" customWidth="1"/>
    <col min="15136" max="15136" width="8.44140625" style="1588" customWidth="1"/>
    <col min="15137" max="15137" width="9.44140625" style="1588" customWidth="1"/>
    <col min="15138" max="15138" width="7.5546875" style="1588" customWidth="1"/>
    <col min="15139" max="15139" width="7.88671875" style="1588" bestFit="1" customWidth="1"/>
    <col min="15140" max="15140" width="10.33203125" style="1588" bestFit="1" customWidth="1"/>
    <col min="15141" max="15141" width="4.88671875" style="1588" customWidth="1"/>
    <col min="15142" max="15142" width="21.88671875" style="1588" bestFit="1" customWidth="1"/>
    <col min="15143" max="15143" width="8.88671875" style="1588" customWidth="1"/>
    <col min="15144" max="15144" width="7.5546875" style="1588" bestFit="1" customWidth="1"/>
    <col min="15145" max="15145" width="4.5546875" style="1588" customWidth="1"/>
    <col min="15146" max="15357" width="9.44140625" style="1588"/>
    <col min="15358" max="15358" width="2.44140625" style="1588" customWidth="1"/>
    <col min="15359" max="15359" width="29.6640625" style="1588" customWidth="1"/>
    <col min="15360" max="15360" width="9.33203125" style="1588" bestFit="1" customWidth="1"/>
    <col min="15361" max="15361" width="10.33203125" style="1588" customWidth="1"/>
    <col min="15362" max="15362" width="8.109375" style="1588" bestFit="1" customWidth="1"/>
    <col min="15363" max="15363" width="9.88671875" style="1588" bestFit="1" customWidth="1"/>
    <col min="15364" max="15364" width="9" style="1588" customWidth="1"/>
    <col min="15365" max="15365" width="11.6640625" style="1588" customWidth="1"/>
    <col min="15366" max="15366" width="12.44140625" style="1588" customWidth="1"/>
    <col min="15367" max="15367" width="2.88671875" style="1588" customWidth="1"/>
    <col min="15368" max="15368" width="29.88671875" style="1588" customWidth="1"/>
    <col min="15369" max="15369" width="9" style="1588" customWidth="1"/>
    <col min="15370" max="15370" width="10.88671875" style="1588" customWidth="1"/>
    <col min="15371" max="15371" width="8" style="1588" bestFit="1" customWidth="1"/>
    <col min="15372" max="15372" width="9" style="1588" bestFit="1" customWidth="1"/>
    <col min="15373" max="15373" width="11" style="1588" bestFit="1" customWidth="1"/>
    <col min="15374" max="15374" width="12.5546875" style="1588" bestFit="1" customWidth="1"/>
    <col min="15375" max="15375" width="12.109375" style="1588" customWidth="1"/>
    <col min="15376" max="15389" width="2.88671875" style="1588" customWidth="1"/>
    <col min="15390" max="15390" width="22.33203125" style="1588" customWidth="1"/>
    <col min="15391" max="15391" width="9.44140625" style="1588" customWidth="1"/>
    <col min="15392" max="15392" width="8.44140625" style="1588" customWidth="1"/>
    <col min="15393" max="15393" width="9.44140625" style="1588" customWidth="1"/>
    <col min="15394" max="15394" width="7.5546875" style="1588" customWidth="1"/>
    <col min="15395" max="15395" width="7.88671875" style="1588" bestFit="1" customWidth="1"/>
    <col min="15396" max="15396" width="10.33203125" style="1588" bestFit="1" customWidth="1"/>
    <col min="15397" max="15397" width="4.88671875" style="1588" customWidth="1"/>
    <col min="15398" max="15398" width="21.88671875" style="1588" bestFit="1" customWidth="1"/>
    <col min="15399" max="15399" width="8.88671875" style="1588" customWidth="1"/>
    <col min="15400" max="15400" width="7.5546875" style="1588" bestFit="1" customWidth="1"/>
    <col min="15401" max="15401" width="4.5546875" style="1588" customWidth="1"/>
    <col min="15402" max="15613" width="9.44140625" style="1588"/>
    <col min="15614" max="15614" width="2.44140625" style="1588" customWidth="1"/>
    <col min="15615" max="15615" width="29.6640625" style="1588" customWidth="1"/>
    <col min="15616" max="15616" width="9.33203125" style="1588" bestFit="1" customWidth="1"/>
    <col min="15617" max="15617" width="10.33203125" style="1588" customWidth="1"/>
    <col min="15618" max="15618" width="8.109375" style="1588" bestFit="1" customWidth="1"/>
    <col min="15619" max="15619" width="9.88671875" style="1588" bestFit="1" customWidth="1"/>
    <col min="15620" max="15620" width="9" style="1588" customWidth="1"/>
    <col min="15621" max="15621" width="11.6640625" style="1588" customWidth="1"/>
    <col min="15622" max="15622" width="12.44140625" style="1588" customWidth="1"/>
    <col min="15623" max="15623" width="2.88671875" style="1588" customWidth="1"/>
    <col min="15624" max="15624" width="29.88671875" style="1588" customWidth="1"/>
    <col min="15625" max="15625" width="9" style="1588" customWidth="1"/>
    <col min="15626" max="15626" width="10.88671875" style="1588" customWidth="1"/>
    <col min="15627" max="15627" width="8" style="1588" bestFit="1" customWidth="1"/>
    <col min="15628" max="15628" width="9" style="1588" bestFit="1" customWidth="1"/>
    <col min="15629" max="15629" width="11" style="1588" bestFit="1" customWidth="1"/>
    <col min="15630" max="15630" width="12.5546875" style="1588" bestFit="1" customWidth="1"/>
    <col min="15631" max="15631" width="12.109375" style="1588" customWidth="1"/>
    <col min="15632" max="15645" width="2.88671875" style="1588" customWidth="1"/>
    <col min="15646" max="15646" width="22.33203125" style="1588" customWidth="1"/>
    <col min="15647" max="15647" width="9.44140625" style="1588" customWidth="1"/>
    <col min="15648" max="15648" width="8.44140625" style="1588" customWidth="1"/>
    <col min="15649" max="15649" width="9.44140625" style="1588" customWidth="1"/>
    <col min="15650" max="15650" width="7.5546875" style="1588" customWidth="1"/>
    <col min="15651" max="15651" width="7.88671875" style="1588" bestFit="1" customWidth="1"/>
    <col min="15652" max="15652" width="10.33203125" style="1588" bestFit="1" customWidth="1"/>
    <col min="15653" max="15653" width="4.88671875" style="1588" customWidth="1"/>
    <col min="15654" max="15654" width="21.88671875" style="1588" bestFit="1" customWidth="1"/>
    <col min="15655" max="15655" width="8.88671875" style="1588" customWidth="1"/>
    <col min="15656" max="15656" width="7.5546875" style="1588" bestFit="1" customWidth="1"/>
    <col min="15657" max="15657" width="4.5546875" style="1588" customWidth="1"/>
    <col min="15658" max="15869" width="9.44140625" style="1588"/>
    <col min="15870" max="15870" width="2.44140625" style="1588" customWidth="1"/>
    <col min="15871" max="15871" width="29.6640625" style="1588" customWidth="1"/>
    <col min="15872" max="15872" width="9.33203125" style="1588" bestFit="1" customWidth="1"/>
    <col min="15873" max="15873" width="10.33203125" style="1588" customWidth="1"/>
    <col min="15874" max="15874" width="8.109375" style="1588" bestFit="1" customWidth="1"/>
    <col min="15875" max="15875" width="9.88671875" style="1588" bestFit="1" customWidth="1"/>
    <col min="15876" max="15876" width="9" style="1588" customWidth="1"/>
    <col min="15877" max="15877" width="11.6640625" style="1588" customWidth="1"/>
    <col min="15878" max="15878" width="12.44140625" style="1588" customWidth="1"/>
    <col min="15879" max="15879" width="2.88671875" style="1588" customWidth="1"/>
    <col min="15880" max="15880" width="29.88671875" style="1588" customWidth="1"/>
    <col min="15881" max="15881" width="9" style="1588" customWidth="1"/>
    <col min="15882" max="15882" width="10.88671875" style="1588" customWidth="1"/>
    <col min="15883" max="15883" width="8" style="1588" bestFit="1" customWidth="1"/>
    <col min="15884" max="15884" width="9" style="1588" bestFit="1" customWidth="1"/>
    <col min="15885" max="15885" width="11" style="1588" bestFit="1" customWidth="1"/>
    <col min="15886" max="15886" width="12.5546875" style="1588" bestFit="1" customWidth="1"/>
    <col min="15887" max="15887" width="12.109375" style="1588" customWidth="1"/>
    <col min="15888" max="15901" width="2.88671875" style="1588" customWidth="1"/>
    <col min="15902" max="15902" width="22.33203125" style="1588" customWidth="1"/>
    <col min="15903" max="15903" width="9.44140625" style="1588" customWidth="1"/>
    <col min="15904" max="15904" width="8.44140625" style="1588" customWidth="1"/>
    <col min="15905" max="15905" width="9.44140625" style="1588" customWidth="1"/>
    <col min="15906" max="15906" width="7.5546875" style="1588" customWidth="1"/>
    <col min="15907" max="15907" width="7.88671875" style="1588" bestFit="1" customWidth="1"/>
    <col min="15908" max="15908" width="10.33203125" style="1588" bestFit="1" customWidth="1"/>
    <col min="15909" max="15909" width="4.88671875" style="1588" customWidth="1"/>
    <col min="15910" max="15910" width="21.88671875" style="1588" bestFit="1" customWidth="1"/>
    <col min="15911" max="15911" width="8.88671875" style="1588" customWidth="1"/>
    <col min="15912" max="15912" width="7.5546875" style="1588" bestFit="1" customWidth="1"/>
    <col min="15913" max="15913" width="4.5546875" style="1588" customWidth="1"/>
    <col min="15914" max="16125" width="9.44140625" style="1588"/>
    <col min="16126" max="16126" width="2.44140625" style="1588" customWidth="1"/>
    <col min="16127" max="16127" width="29.6640625" style="1588" customWidth="1"/>
    <col min="16128" max="16128" width="9.33203125" style="1588" bestFit="1" customWidth="1"/>
    <col min="16129" max="16129" width="10.33203125" style="1588" customWidth="1"/>
    <col min="16130" max="16130" width="8.109375" style="1588" bestFit="1" customWidth="1"/>
    <col min="16131" max="16131" width="9.88671875" style="1588" bestFit="1" customWidth="1"/>
    <col min="16132" max="16132" width="9" style="1588" customWidth="1"/>
    <col min="16133" max="16133" width="11.6640625" style="1588" customWidth="1"/>
    <col min="16134" max="16134" width="12.44140625" style="1588" customWidth="1"/>
    <col min="16135" max="16135" width="2.88671875" style="1588" customWidth="1"/>
    <col min="16136" max="16136" width="29.88671875" style="1588" customWidth="1"/>
    <col min="16137" max="16137" width="9" style="1588" customWidth="1"/>
    <col min="16138" max="16138" width="10.88671875" style="1588" customWidth="1"/>
    <col min="16139" max="16139" width="8" style="1588" bestFit="1" customWidth="1"/>
    <col min="16140" max="16140" width="9" style="1588" bestFit="1" customWidth="1"/>
    <col min="16141" max="16141" width="11" style="1588" bestFit="1" customWidth="1"/>
    <col min="16142" max="16142" width="12.5546875" style="1588" bestFit="1" customWidth="1"/>
    <col min="16143" max="16143" width="12.109375" style="1588" customWidth="1"/>
    <col min="16144" max="16157" width="2.88671875" style="1588" customWidth="1"/>
    <col min="16158" max="16158" width="22.33203125" style="1588" customWidth="1"/>
    <col min="16159" max="16159" width="9.44140625" style="1588" customWidth="1"/>
    <col min="16160" max="16160" width="8.44140625" style="1588" customWidth="1"/>
    <col min="16161" max="16161" width="9.44140625" style="1588" customWidth="1"/>
    <col min="16162" max="16162" width="7.5546875" style="1588" customWidth="1"/>
    <col min="16163" max="16163" width="7.88671875" style="1588" bestFit="1" customWidth="1"/>
    <col min="16164" max="16164" width="10.33203125" style="1588" bestFit="1" customWidth="1"/>
    <col min="16165" max="16165" width="4.88671875" style="1588" customWidth="1"/>
    <col min="16166" max="16166" width="21.88671875" style="1588" bestFit="1" customWidth="1"/>
    <col min="16167" max="16167" width="8.88671875" style="1588" customWidth="1"/>
    <col min="16168" max="16168" width="7.5546875" style="1588" bestFit="1" customWidth="1"/>
    <col min="16169" max="16169" width="4.5546875" style="1588" customWidth="1"/>
    <col min="16170" max="16384" width="9.44140625" style="1588"/>
  </cols>
  <sheetData>
    <row r="1" spans="1:34" ht="14.4">
      <c r="B1" s="1589" t="s">
        <v>440</v>
      </c>
      <c r="C1" s="1590"/>
      <c r="D1" s="1590"/>
      <c r="E1" s="1590"/>
      <c r="F1" s="1590"/>
      <c r="G1" s="1590"/>
      <c r="H1" s="1590"/>
      <c r="I1" s="1590"/>
      <c r="J1" s="1590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D1" s="1592"/>
      <c r="AE1" s="1593"/>
      <c r="AF1" s="1592"/>
      <c r="AG1" s="1588"/>
    </row>
    <row r="2" spans="1:34" s="1597" customFormat="1" ht="15" thickBot="1">
      <c r="A2" s="1594"/>
      <c r="B2" s="1595"/>
      <c r="C2" s="1595"/>
      <c r="D2" s="1595"/>
      <c r="E2" s="1595"/>
      <c r="F2" s="1595"/>
      <c r="G2" s="1595"/>
      <c r="H2" s="1595"/>
      <c r="I2" s="1595"/>
      <c r="J2" s="1596"/>
      <c r="K2" s="1595"/>
      <c r="L2" s="1595"/>
      <c r="M2" s="1595"/>
      <c r="N2" s="1595"/>
      <c r="O2" s="1595"/>
      <c r="P2" s="1595"/>
      <c r="Q2" s="1595"/>
      <c r="R2" s="1595"/>
      <c r="S2" s="1595"/>
      <c r="T2" s="96"/>
      <c r="U2" s="96"/>
      <c r="V2" s="96"/>
      <c r="W2" s="96"/>
      <c r="X2" s="96"/>
      <c r="Y2" s="1595"/>
      <c r="Z2" s="1595"/>
    </row>
    <row r="3" spans="1:34" ht="15" customHeight="1" thickBot="1">
      <c r="B3" s="1598" t="s">
        <v>440</v>
      </c>
      <c r="C3" s="1599"/>
      <c r="D3" s="1599"/>
      <c r="E3" s="1599"/>
      <c r="F3" s="1599"/>
      <c r="G3" s="1599"/>
      <c r="H3" s="1600"/>
      <c r="I3" s="1601"/>
      <c r="J3" s="1590"/>
      <c r="K3" s="1598" t="s">
        <v>441</v>
      </c>
      <c r="L3" s="1599"/>
      <c r="M3" s="1599"/>
      <c r="N3" s="1599"/>
      <c r="O3" s="1599"/>
      <c r="P3" s="1599"/>
      <c r="Q3" s="1600"/>
      <c r="R3" s="1601"/>
      <c r="S3" s="1602"/>
      <c r="T3" s="1603" t="s">
        <v>442</v>
      </c>
      <c r="U3" s="1604" t="s">
        <v>290</v>
      </c>
      <c r="V3" s="1605" t="s">
        <v>202</v>
      </c>
      <c r="W3" s="1604" t="s">
        <v>290</v>
      </c>
      <c r="X3" s="1605" t="s">
        <v>202</v>
      </c>
      <c r="Y3" s="1590"/>
      <c r="Z3" s="1590"/>
      <c r="AA3" s="1588"/>
      <c r="AB3" s="1588"/>
      <c r="AC3" s="1588"/>
      <c r="AD3" s="1588"/>
      <c r="AE3" s="1588"/>
      <c r="AF3" s="1588"/>
      <c r="AG3" s="1588"/>
    </row>
    <row r="4" spans="1:34" s="1606" customFormat="1" ht="15" thickBot="1">
      <c r="B4" s="1607" t="s">
        <v>443</v>
      </c>
      <c r="D4" s="1608"/>
      <c r="E4" s="1608">
        <v>5</v>
      </c>
      <c r="F4" s="1609" t="s">
        <v>444</v>
      </c>
      <c r="G4" s="1610">
        <v>365</v>
      </c>
      <c r="H4" s="1611">
        <v>1775</v>
      </c>
      <c r="I4" s="1612"/>
      <c r="J4" s="1589"/>
      <c r="K4" s="1607" t="s">
        <v>443</v>
      </c>
      <c r="M4" s="1608"/>
      <c r="N4" s="1608">
        <v>5</v>
      </c>
      <c r="O4" s="1609" t="s">
        <v>444</v>
      </c>
      <c r="P4" s="1610">
        <v>365</v>
      </c>
      <c r="Q4" s="1611">
        <v>1775</v>
      </c>
      <c r="R4" s="1612"/>
      <c r="S4" s="1612"/>
      <c r="T4" s="1613"/>
      <c r="U4" s="1614" t="s">
        <v>445</v>
      </c>
      <c r="V4" s="1615"/>
      <c r="W4" s="1614" t="s">
        <v>446</v>
      </c>
      <c r="X4" s="1615"/>
      <c r="Y4" s="1589"/>
      <c r="Z4" s="1589"/>
    </row>
    <row r="5" spans="1:34" s="1616" customFormat="1" ht="43.2">
      <c r="B5" s="1617"/>
      <c r="C5" s="1618" t="s">
        <v>447</v>
      </c>
      <c r="D5" s="1618" t="s">
        <v>448</v>
      </c>
      <c r="E5" s="1618" t="s">
        <v>449</v>
      </c>
      <c r="F5" s="1619" t="s">
        <v>215</v>
      </c>
      <c r="G5" s="1620" t="s">
        <v>216</v>
      </c>
      <c r="H5" s="1621" t="s">
        <v>217</v>
      </c>
      <c r="I5" s="1619"/>
      <c r="J5" s="1622"/>
      <c r="K5" s="1617"/>
      <c r="L5" s="1618" t="s">
        <v>447</v>
      </c>
      <c r="M5" s="1618" t="s">
        <v>448</v>
      </c>
      <c r="N5" s="1618" t="s">
        <v>449</v>
      </c>
      <c r="O5" s="1619" t="s">
        <v>215</v>
      </c>
      <c r="P5" s="1620" t="s">
        <v>216</v>
      </c>
      <c r="Q5" s="1621" t="s">
        <v>217</v>
      </c>
      <c r="R5" s="1619"/>
      <c r="S5" s="1623"/>
      <c r="T5" s="1624" t="s">
        <v>298</v>
      </c>
      <c r="U5" s="1625">
        <v>15</v>
      </c>
      <c r="V5" s="1626">
        <f>U5*8</f>
        <v>120</v>
      </c>
      <c r="W5" s="1625">
        <v>15</v>
      </c>
      <c r="X5" s="1626">
        <f>W5*8</f>
        <v>120</v>
      </c>
      <c r="Y5" s="1622"/>
      <c r="Z5" s="1622"/>
    </row>
    <row r="6" spans="1:34" s="1592" customFormat="1" ht="14.4">
      <c r="B6" s="1627" t="s">
        <v>142</v>
      </c>
      <c r="C6" s="1628">
        <v>8</v>
      </c>
      <c r="D6" s="1629">
        <v>5</v>
      </c>
      <c r="E6" s="1630"/>
      <c r="F6" s="96">
        <f>U13</f>
        <v>69600</v>
      </c>
      <c r="G6" s="1631">
        <f>(E$4/C6)*(D6/5)</f>
        <v>0.625</v>
      </c>
      <c r="H6" s="1632">
        <f t="shared" ref="H6:H9" si="0">F6*G6</f>
        <v>43500</v>
      </c>
      <c r="I6" s="96"/>
      <c r="J6" s="1633"/>
      <c r="K6" s="1627" t="s">
        <v>142</v>
      </c>
      <c r="L6" s="1628">
        <v>8</v>
      </c>
      <c r="M6" s="1629">
        <v>5</v>
      </c>
      <c r="N6" s="1630"/>
      <c r="O6" s="96">
        <f>U13</f>
        <v>69600</v>
      </c>
      <c r="P6" s="1631">
        <f>(N$4/L6)*(M6/5)</f>
        <v>0.625</v>
      </c>
      <c r="Q6" s="1632">
        <f t="shared" ref="Q6:Q10" si="1">O6*P6</f>
        <v>43500</v>
      </c>
      <c r="R6" s="96"/>
      <c r="S6" s="96"/>
      <c r="T6" s="1624" t="s">
        <v>450</v>
      </c>
      <c r="U6" s="1625">
        <v>10</v>
      </c>
      <c r="V6" s="1626">
        <f>U6*8</f>
        <v>80</v>
      </c>
      <c r="W6" s="1625">
        <v>10</v>
      </c>
      <c r="X6" s="1626">
        <f>W6*8</f>
        <v>80</v>
      </c>
      <c r="Y6" s="1633"/>
      <c r="Z6" s="1633"/>
    </row>
    <row r="7" spans="1:34" s="1634" customFormat="1" ht="14.4">
      <c r="B7" s="1627" t="s">
        <v>75</v>
      </c>
      <c r="C7" s="1628">
        <v>2.5</v>
      </c>
      <c r="D7" s="1629">
        <v>7</v>
      </c>
      <c r="E7" s="1630"/>
      <c r="F7" s="96">
        <f>U16</f>
        <v>34927.359999999993</v>
      </c>
      <c r="G7" s="1631">
        <v>7</v>
      </c>
      <c r="H7" s="1632">
        <f t="shared" si="0"/>
        <v>244491.51999999996</v>
      </c>
      <c r="I7" s="96"/>
      <c r="J7" s="1635"/>
      <c r="K7" s="1627" t="s">
        <v>144</v>
      </c>
      <c r="L7" s="1628">
        <v>5</v>
      </c>
      <c r="M7" s="1629">
        <v>5</v>
      </c>
      <c r="N7" s="1630"/>
      <c r="O7" s="96">
        <f>U14</f>
        <v>75098.399999999994</v>
      </c>
      <c r="P7" s="1631">
        <f>(N$4/L7)*(M7/5)</f>
        <v>1</v>
      </c>
      <c r="Q7" s="1632">
        <f t="shared" si="1"/>
        <v>75098.399999999994</v>
      </c>
      <c r="R7" s="96"/>
      <c r="S7" s="96"/>
      <c r="T7" s="1624" t="s">
        <v>451</v>
      </c>
      <c r="U7" s="1625">
        <v>12</v>
      </c>
      <c r="V7" s="1626">
        <f>U7*8</f>
        <v>96</v>
      </c>
      <c r="W7" s="1625">
        <v>0</v>
      </c>
      <c r="X7" s="1626">
        <f>W7*8</f>
        <v>0</v>
      </c>
      <c r="Y7" s="1635"/>
      <c r="Z7" s="1635"/>
    </row>
    <row r="8" spans="1:34" s="1634" customFormat="1" ht="14.4">
      <c r="B8" s="1627"/>
      <c r="C8" s="1628"/>
      <c r="D8" s="1629"/>
      <c r="E8" s="1630"/>
      <c r="F8" s="1636"/>
      <c r="G8" s="1631"/>
      <c r="H8" s="1637"/>
      <c r="I8" s="96"/>
      <c r="J8" s="1635"/>
      <c r="K8" s="1627" t="s">
        <v>75</v>
      </c>
      <c r="L8" s="1628">
        <v>2.5</v>
      </c>
      <c r="M8" s="1629">
        <v>7</v>
      </c>
      <c r="N8" s="1630"/>
      <c r="O8" s="96">
        <f>U16</f>
        <v>34927.359999999993</v>
      </c>
      <c r="P8" s="1631">
        <v>7.3</v>
      </c>
      <c r="Q8" s="1632">
        <f t="shared" si="1"/>
        <v>254969.72799999994</v>
      </c>
      <c r="R8" s="96"/>
      <c r="S8" s="96"/>
      <c r="T8" s="1638"/>
      <c r="U8" s="1639"/>
      <c r="V8" s="1640"/>
      <c r="W8" s="1639"/>
      <c r="X8" s="1640"/>
      <c r="Y8" s="1635"/>
      <c r="Z8" s="1635"/>
    </row>
    <row r="9" spans="1:34" s="1634" customFormat="1" ht="17.25" customHeight="1">
      <c r="B9" s="1641" t="s">
        <v>146</v>
      </c>
      <c r="C9" s="1642">
        <v>25</v>
      </c>
      <c r="D9" s="1642">
        <v>5</v>
      </c>
      <c r="E9" s="1643"/>
      <c r="F9" s="96">
        <f>U15</f>
        <v>34927.359999999993</v>
      </c>
      <c r="G9" s="1631">
        <f>(E$4/C9)*(D9/5)</f>
        <v>0.2</v>
      </c>
      <c r="H9" s="1632">
        <f t="shared" si="0"/>
        <v>6985.4719999999988</v>
      </c>
      <c r="I9" s="96"/>
      <c r="J9" s="1589"/>
      <c r="K9" s="1627"/>
      <c r="L9" s="1602"/>
      <c r="M9" s="1602"/>
      <c r="N9" s="1644"/>
      <c r="O9" s="1636"/>
      <c r="P9" s="1631"/>
      <c r="Q9" s="1637"/>
      <c r="R9" s="96"/>
      <c r="S9" s="96"/>
      <c r="T9" s="1645"/>
      <c r="U9" s="1646" t="s">
        <v>452</v>
      </c>
      <c r="V9" s="1647">
        <f>SUM(V5:V8)</f>
        <v>296</v>
      </c>
      <c r="W9" s="1646" t="s">
        <v>452</v>
      </c>
      <c r="X9" s="1647">
        <f>SUM(X5:X8)</f>
        <v>200</v>
      </c>
      <c r="Y9" s="1635"/>
      <c r="Z9" s="1635"/>
    </row>
    <row r="10" spans="1:34" s="1634" customFormat="1" ht="15" thickBot="1">
      <c r="B10" s="1648" t="s">
        <v>266</v>
      </c>
      <c r="C10" s="1649"/>
      <c r="D10" s="1650"/>
      <c r="E10" s="1650"/>
      <c r="F10" s="1651"/>
      <c r="G10" s="1652">
        <f>SUM(G6:G9)</f>
        <v>7.8250000000000002</v>
      </c>
      <c r="H10" s="1653">
        <f>SUM(H6:H9)</f>
        <v>294976.99199999997</v>
      </c>
      <c r="I10" s="1654"/>
      <c r="J10" s="1589"/>
      <c r="K10" s="1641" t="s">
        <v>146</v>
      </c>
      <c r="L10" s="1642">
        <v>25</v>
      </c>
      <c r="M10" s="1642">
        <v>5</v>
      </c>
      <c r="N10" s="1643"/>
      <c r="O10" s="96">
        <f>U15</f>
        <v>34927.359999999993</v>
      </c>
      <c r="P10" s="1631">
        <f>(N$4/L10)*(M10/5)</f>
        <v>0.2</v>
      </c>
      <c r="Q10" s="1632">
        <f t="shared" si="1"/>
        <v>6985.4719999999988</v>
      </c>
      <c r="R10" s="96"/>
      <c r="S10" s="96"/>
      <c r="T10" s="1655"/>
      <c r="U10" s="1656" t="s">
        <v>453</v>
      </c>
      <c r="V10" s="1657">
        <f>V9/(52*40)</f>
        <v>0.1423076923076923</v>
      </c>
      <c r="W10" s="1656" t="s">
        <v>453</v>
      </c>
      <c r="X10" s="1657">
        <f>X9/(52*40)</f>
        <v>9.6153846153846159E-2</v>
      </c>
      <c r="Y10" s="1635"/>
      <c r="Z10" s="1635"/>
    </row>
    <row r="11" spans="1:34" s="1634" customFormat="1" ht="15" customHeight="1" thickBot="1">
      <c r="B11" s="1613"/>
      <c r="C11" s="1602"/>
      <c r="D11" s="1602"/>
      <c r="E11" s="1602"/>
      <c r="F11" s="1654"/>
      <c r="G11" s="1658"/>
      <c r="H11" s="1659"/>
      <c r="I11" s="1602"/>
      <c r="J11" s="1589"/>
      <c r="K11" s="1648" t="s">
        <v>266</v>
      </c>
      <c r="L11" s="1649"/>
      <c r="M11" s="1650"/>
      <c r="N11" s="1650"/>
      <c r="O11" s="1651"/>
      <c r="P11" s="1652">
        <f>SUM(P6:P10)</f>
        <v>9.125</v>
      </c>
      <c r="Q11" s="1653">
        <f>SUM(Q6:Q10)</f>
        <v>380553.59999999992</v>
      </c>
      <c r="R11" s="96"/>
      <c r="S11" s="96"/>
      <c r="T11" s="1660"/>
      <c r="U11" s="1661"/>
      <c r="V11" s="1662"/>
      <c r="W11" s="1635"/>
      <c r="X11" s="1635"/>
      <c r="Y11" s="1635"/>
      <c r="Z11" s="1635"/>
    </row>
    <row r="12" spans="1:34" s="1634" customFormat="1" ht="14.4">
      <c r="B12" s="1613" t="s">
        <v>224</v>
      </c>
      <c r="C12" s="1602"/>
      <c r="D12" s="1602"/>
      <c r="E12" s="1602"/>
      <c r="F12" s="1654"/>
      <c r="G12" s="1663" t="s">
        <v>454</v>
      </c>
      <c r="H12" s="1664"/>
      <c r="I12" s="1654"/>
      <c r="J12" s="1590"/>
      <c r="K12" s="1613"/>
      <c r="L12" s="1602"/>
      <c r="M12" s="1602"/>
      <c r="N12" s="1602"/>
      <c r="O12" s="1654"/>
      <c r="P12" s="1658"/>
      <c r="Q12" s="1664"/>
      <c r="R12" s="96"/>
      <c r="S12" s="96"/>
      <c r="T12" s="1665" t="s">
        <v>455</v>
      </c>
      <c r="U12" s="1666"/>
      <c r="V12" s="1667"/>
      <c r="W12" s="1668"/>
      <c r="X12" s="1668"/>
      <c r="Y12" s="1669"/>
      <c r="Z12" s="1670"/>
      <c r="AA12" s="1606"/>
      <c r="AB12" s="1606"/>
    </row>
    <row r="13" spans="1:34" s="1592" customFormat="1" ht="14.4">
      <c r="B13" s="1671" t="s">
        <v>183</v>
      </c>
      <c r="C13" s="1661"/>
      <c r="D13" s="1661"/>
      <c r="E13" s="1672">
        <f>U18</f>
        <v>0.224</v>
      </c>
      <c r="F13" s="1660"/>
      <c r="G13" s="1673"/>
      <c r="H13" s="1632">
        <f>E13*H10</f>
        <v>66074.846207999988</v>
      </c>
      <c r="I13" s="96"/>
      <c r="J13" s="1590"/>
      <c r="K13" s="1613" t="s">
        <v>224</v>
      </c>
      <c r="L13" s="1602"/>
      <c r="M13" s="1602"/>
      <c r="N13" s="1602"/>
      <c r="O13" s="1654"/>
      <c r="P13" s="1663" t="s">
        <v>454</v>
      </c>
      <c r="Q13" s="1664"/>
      <c r="R13" s="96"/>
      <c r="S13" s="96"/>
      <c r="T13" s="1674" t="s">
        <v>142</v>
      </c>
      <c r="U13" s="1675">
        <f>'Master Look Up'!N24</f>
        <v>69600</v>
      </c>
      <c r="V13" s="336" t="s">
        <v>220</v>
      </c>
      <c r="W13" s="96"/>
      <c r="X13" s="96"/>
      <c r="Y13" s="1659"/>
      <c r="Z13" s="1676"/>
      <c r="AA13" s="1606"/>
      <c r="AB13" s="1606"/>
      <c r="AC13" s="1606"/>
      <c r="AD13" s="1588"/>
      <c r="AE13" s="1588"/>
      <c r="AF13" s="1588"/>
      <c r="AG13" s="1588"/>
    </row>
    <row r="14" spans="1:34" s="1606" customFormat="1" ht="14.4">
      <c r="B14" s="1677" t="s">
        <v>225</v>
      </c>
      <c r="C14" s="1678"/>
      <c r="D14" s="1678"/>
      <c r="E14" s="1678"/>
      <c r="F14" s="1679"/>
      <c r="G14" s="1680">
        <f>H14/H4</f>
        <v>203.40948631436618</v>
      </c>
      <c r="H14" s="1653">
        <f>H10+H13</f>
        <v>361051.83820799994</v>
      </c>
      <c r="I14" s="1654"/>
      <c r="J14" s="1590"/>
      <c r="K14" s="1671" t="s">
        <v>183</v>
      </c>
      <c r="L14" s="1661"/>
      <c r="M14" s="1661"/>
      <c r="N14" s="1672">
        <f>U18</f>
        <v>0.224</v>
      </c>
      <c r="O14" s="1660"/>
      <c r="P14" s="1673"/>
      <c r="Q14" s="1632">
        <f>N14*Q11</f>
        <v>85244.006399999984</v>
      </c>
      <c r="R14" s="96"/>
      <c r="S14" s="96"/>
      <c r="T14" s="1674" t="s">
        <v>144</v>
      </c>
      <c r="U14" s="1675">
        <f>Chart!C39</f>
        <v>75098.399999999994</v>
      </c>
      <c r="V14" s="1624" t="s">
        <v>456</v>
      </c>
      <c r="W14" s="1602"/>
      <c r="X14" s="1602"/>
      <c r="Y14" s="1659"/>
      <c r="Z14" s="1676"/>
      <c r="AD14" s="1588"/>
      <c r="AE14" s="1588"/>
      <c r="AF14" s="1588"/>
      <c r="AG14" s="1588"/>
    </row>
    <row r="15" spans="1:34" s="1606" customFormat="1" ht="14.4">
      <c r="B15" s="1624"/>
      <c r="C15" s="1660"/>
      <c r="D15" s="1660"/>
      <c r="E15" s="1660"/>
      <c r="F15" s="96"/>
      <c r="G15" s="1673"/>
      <c r="H15" s="1632"/>
      <c r="I15" s="96"/>
      <c r="J15" s="1590"/>
      <c r="K15" s="1677" t="s">
        <v>225</v>
      </c>
      <c r="L15" s="1678"/>
      <c r="M15" s="1678"/>
      <c r="N15" s="1678"/>
      <c r="O15" s="1679"/>
      <c r="P15" s="1680">
        <f>Q15/Q4</f>
        <v>262.42118670422531</v>
      </c>
      <c r="Q15" s="1653">
        <f>Q11+Q14</f>
        <v>465797.60639999993</v>
      </c>
      <c r="R15" s="96"/>
      <c r="S15" s="96"/>
      <c r="T15" s="1674" t="s">
        <v>146</v>
      </c>
      <c r="U15" s="1681">
        <f>'Master Look Up'!N26</f>
        <v>34927.359999999993</v>
      </c>
      <c r="V15" s="1671" t="s">
        <v>170</v>
      </c>
      <c r="W15" s="1661"/>
      <c r="X15" s="1661"/>
      <c r="Y15" s="1682"/>
      <c r="Z15" s="1683"/>
      <c r="AA15" s="1588"/>
      <c r="AB15" s="1588"/>
      <c r="AC15" s="1588"/>
      <c r="AD15" s="1588"/>
      <c r="AE15" s="1588"/>
      <c r="AF15" s="1588"/>
      <c r="AG15" s="1588"/>
    </row>
    <row r="16" spans="1:34" s="1606" customFormat="1" ht="14.4">
      <c r="B16" s="1624" t="s">
        <v>223</v>
      </c>
      <c r="C16" s="1660"/>
      <c r="D16" s="1660"/>
      <c r="E16" s="1684">
        <f>'Master Look Up'!D4</f>
        <v>5155.4902174195804</v>
      </c>
      <c r="F16" s="96"/>
      <c r="G16" s="1631"/>
      <c r="H16" s="1632">
        <f>E16*G10</f>
        <v>40341.710951308218</v>
      </c>
      <c r="I16" s="96"/>
      <c r="J16" s="1590"/>
      <c r="K16" s="1624"/>
      <c r="L16" s="1660"/>
      <c r="M16" s="1660"/>
      <c r="N16" s="1660"/>
      <c r="O16" s="96"/>
      <c r="P16" s="1673"/>
      <c r="Q16" s="1632"/>
      <c r="R16" s="1654"/>
      <c r="S16" s="1654"/>
      <c r="T16" s="1685" t="s">
        <v>75</v>
      </c>
      <c r="U16" s="1675">
        <f>'Master Look Up'!N27</f>
        <v>34927.359999999993</v>
      </c>
      <c r="V16" s="1671" t="s">
        <v>170</v>
      </c>
      <c r="W16" s="1660"/>
      <c r="X16" s="1660"/>
      <c r="Y16" s="1686"/>
      <c r="Z16" s="1683"/>
      <c r="AA16" s="1687"/>
      <c r="AB16" s="1588"/>
      <c r="AC16" s="1588"/>
      <c r="AD16" s="1588"/>
      <c r="AE16" s="1588"/>
      <c r="AF16" s="1588"/>
      <c r="AG16" s="1588"/>
      <c r="AH16" s="1588"/>
    </row>
    <row r="17" spans="2:36" ht="14.4">
      <c r="B17" s="1624" t="s">
        <v>457</v>
      </c>
      <c r="C17" s="1660"/>
      <c r="D17" s="1660"/>
      <c r="E17" s="1684">
        <f>U20</f>
        <v>2996.7173855870574</v>
      </c>
      <c r="F17" s="96"/>
      <c r="G17" s="1687"/>
      <c r="H17" s="1688">
        <f>E17*G10</f>
        <v>23449.313542218726</v>
      </c>
      <c r="I17" s="96"/>
      <c r="J17" s="1590"/>
      <c r="K17" s="1624" t="s">
        <v>223</v>
      </c>
      <c r="L17" s="1660"/>
      <c r="M17" s="1660"/>
      <c r="N17" s="1684">
        <f>U19</f>
        <v>5963.9694954316819</v>
      </c>
      <c r="O17" s="96"/>
      <c r="P17" s="1588"/>
      <c r="Q17" s="1632">
        <f>N17*(P6+P8+P10)</f>
        <v>48457.252150382417</v>
      </c>
      <c r="R17" s="1654"/>
      <c r="S17" s="1654"/>
      <c r="T17" s="1689" t="s">
        <v>177</v>
      </c>
      <c r="U17" s="1690"/>
      <c r="V17" s="1691"/>
      <c r="W17" s="1692"/>
      <c r="X17" s="1692"/>
      <c r="Y17" s="1693"/>
      <c r="Z17" s="1683"/>
      <c r="AA17" s="1687"/>
      <c r="AB17" s="1588"/>
      <c r="AC17" s="1588"/>
      <c r="AD17" s="1588"/>
      <c r="AE17" s="1588"/>
      <c r="AF17" s="1588"/>
      <c r="AG17" s="1588"/>
    </row>
    <row r="18" spans="2:36" ht="14.4">
      <c r="B18" s="1624"/>
      <c r="C18" s="1660"/>
      <c r="D18" s="1660"/>
      <c r="E18" s="1660"/>
      <c r="F18" s="96"/>
      <c r="G18" s="1694"/>
      <c r="H18" s="1664">
        <f>SUM(H16:H17)</f>
        <v>63791.024493526944</v>
      </c>
      <c r="I18" s="1654"/>
      <c r="J18" s="1590"/>
      <c r="K18" s="1624" t="s">
        <v>457</v>
      </c>
      <c r="L18" s="1660"/>
      <c r="M18" s="1660"/>
      <c r="N18" s="1684">
        <f>U20</f>
        <v>2996.7173855870574</v>
      </c>
      <c r="O18" s="96"/>
      <c r="Q18" s="1688">
        <f>N18*(P6+P8+P10)</f>
        <v>24348.32875789484</v>
      </c>
      <c r="R18" s="1654"/>
      <c r="S18" s="1654"/>
      <c r="T18" s="1624" t="s">
        <v>183</v>
      </c>
      <c r="U18" s="1695">
        <f>'Master Look Up'!D25</f>
        <v>0.224</v>
      </c>
      <c r="V18" s="1696" t="s">
        <v>143</v>
      </c>
      <c r="W18" s="1660"/>
      <c r="X18" s="1660"/>
      <c r="Y18" s="1693"/>
      <c r="Z18" s="1660"/>
      <c r="AA18" s="1687"/>
      <c r="AB18" s="1588"/>
      <c r="AC18" s="1588"/>
      <c r="AD18" s="1588"/>
      <c r="AE18" s="1588"/>
      <c r="AF18" s="1588"/>
      <c r="AG18" s="1588"/>
    </row>
    <row r="19" spans="2:36" ht="14.4">
      <c r="B19" s="1697" t="s">
        <v>458</v>
      </c>
      <c r="C19" s="1698"/>
      <c r="D19" s="1698"/>
      <c r="E19" s="1698"/>
      <c r="F19" s="1651"/>
      <c r="G19" s="1652"/>
      <c r="H19" s="1653">
        <f>H14+H18</f>
        <v>424842.8627015269</v>
      </c>
      <c r="I19" s="1654"/>
      <c r="J19" s="1590"/>
      <c r="K19" s="1624"/>
      <c r="L19" s="1660"/>
      <c r="M19" s="1660"/>
      <c r="N19" s="1660"/>
      <c r="O19" s="96"/>
      <c r="P19" s="1694"/>
      <c r="Q19" s="1664">
        <f>SUM(Q17:Q18)</f>
        <v>72805.580908277261</v>
      </c>
      <c r="R19" s="96"/>
      <c r="S19" s="96"/>
      <c r="T19" s="1624" t="s">
        <v>223</v>
      </c>
      <c r="U19" s="1681">
        <f>'Master Look Up'!E4</f>
        <v>5963.9694954316819</v>
      </c>
      <c r="V19" s="1696" t="s">
        <v>180</v>
      </c>
      <c r="W19" s="1660"/>
      <c r="X19" s="1660"/>
      <c r="Y19" s="1693"/>
      <c r="Z19" s="1660"/>
      <c r="AA19" s="1687"/>
      <c r="AB19" s="1588"/>
      <c r="AC19" s="1588"/>
      <c r="AD19" s="1588"/>
      <c r="AE19" s="1606"/>
      <c r="AF19" s="1588"/>
      <c r="AG19" s="1588"/>
    </row>
    <row r="20" spans="2:36" ht="14.4">
      <c r="B20" s="1624" t="s">
        <v>227</v>
      </c>
      <c r="C20" s="1660"/>
      <c r="D20" s="1660"/>
      <c r="E20" s="1699">
        <f>U21</f>
        <v>0.12</v>
      </c>
      <c r="F20" s="1602"/>
      <c r="G20" s="1700"/>
      <c r="H20" s="1632">
        <f>E20*H19</f>
        <v>50981.14352418323</v>
      </c>
      <c r="I20" s="96"/>
      <c r="J20" s="1590"/>
      <c r="K20" s="1697" t="s">
        <v>458</v>
      </c>
      <c r="L20" s="1698"/>
      <c r="M20" s="1698"/>
      <c r="N20" s="1698"/>
      <c r="O20" s="1651"/>
      <c r="P20" s="1652"/>
      <c r="Q20" s="1653">
        <f>Q15+Q19</f>
        <v>538603.18730827724</v>
      </c>
      <c r="R20" s="1654"/>
      <c r="S20" s="96"/>
      <c r="T20" s="1624" t="s">
        <v>457</v>
      </c>
      <c r="U20" s="1681">
        <f>'Master Look Up'!E18</f>
        <v>2996.7173855870574</v>
      </c>
      <c r="V20" s="1696" t="s">
        <v>180</v>
      </c>
      <c r="W20" s="1660"/>
      <c r="X20" s="1608"/>
      <c r="Y20" s="1701"/>
      <c r="Z20" s="1660"/>
      <c r="AA20" s="1687"/>
      <c r="AB20" s="1588"/>
      <c r="AC20" s="1588"/>
      <c r="AD20" s="1588"/>
      <c r="AE20" s="1702"/>
      <c r="AF20" s="1606"/>
      <c r="AG20" s="1588"/>
    </row>
    <row r="21" spans="2:36" ht="14.4">
      <c r="B21" s="1624" t="str">
        <f>T22</f>
        <v>PFMLA</v>
      </c>
      <c r="C21" s="1660"/>
      <c r="D21" s="1660"/>
      <c r="E21" s="1699">
        <f>U22</f>
        <v>3.7000000000000002E-3</v>
      </c>
      <c r="F21" s="1660"/>
      <c r="G21" s="1700"/>
      <c r="H21" s="1703">
        <f>E21*H10</f>
        <v>1091.4148703999999</v>
      </c>
      <c r="I21" s="1704"/>
      <c r="J21" s="1590"/>
      <c r="K21" s="1624" t="str">
        <f>T22</f>
        <v>PFMLA</v>
      </c>
      <c r="L21" s="1660"/>
      <c r="M21" s="1660"/>
      <c r="N21" s="1672">
        <f>U22</f>
        <v>3.7000000000000002E-3</v>
      </c>
      <c r="O21" s="96"/>
      <c r="P21" s="1700"/>
      <c r="Q21" s="1632">
        <f>N21*Q11</f>
        <v>1408.0483199999996</v>
      </c>
      <c r="R21" s="96"/>
      <c r="S21" s="96"/>
      <c r="T21" s="1705" t="s">
        <v>62</v>
      </c>
      <c r="U21" s="1706">
        <f>'Master Look Up'!D30</f>
        <v>0.12</v>
      </c>
      <c r="V21" s="1696" t="s">
        <v>151</v>
      </c>
      <c r="W21" s="1608"/>
      <c r="X21" s="1608"/>
      <c r="Y21" s="1693"/>
      <c r="Z21" s="1602"/>
      <c r="AA21" s="1687"/>
      <c r="AB21" s="1588"/>
      <c r="AC21" s="1588"/>
      <c r="AD21" s="1588"/>
      <c r="AE21" s="1702"/>
      <c r="AF21" s="1606"/>
      <c r="AG21" s="1588"/>
    </row>
    <row r="22" spans="2:36" ht="15" thickBot="1">
      <c r="B22" s="1707" t="s">
        <v>188</v>
      </c>
      <c r="C22" s="1708"/>
      <c r="D22" s="1708"/>
      <c r="E22" s="1708"/>
      <c r="F22" s="1709"/>
      <c r="G22" s="1710"/>
      <c r="H22" s="1711">
        <f>SUM(H19:H21)</f>
        <v>476915.42109611013</v>
      </c>
      <c r="I22" s="1654"/>
      <c r="J22" s="1589"/>
      <c r="K22" s="1624" t="s">
        <v>227</v>
      </c>
      <c r="L22" s="1660"/>
      <c r="M22" s="1660"/>
      <c r="N22" s="1699">
        <f>U21</f>
        <v>0.12</v>
      </c>
      <c r="O22" s="1602"/>
      <c r="P22" s="1700"/>
      <c r="Q22" s="1632">
        <f>N22*Q20</f>
        <v>64632.382476993269</v>
      </c>
      <c r="R22" s="96"/>
      <c r="S22" s="1712"/>
      <c r="T22" s="1624" t="s">
        <v>61</v>
      </c>
      <c r="U22" s="1713">
        <v>3.7000000000000002E-3</v>
      </c>
      <c r="V22" s="1036" t="s">
        <v>186</v>
      </c>
      <c r="W22" s="99"/>
      <c r="X22" s="1714"/>
      <c r="Y22" s="1715"/>
      <c r="Z22" s="1716"/>
      <c r="AA22" s="1717"/>
      <c r="AB22" s="1606"/>
      <c r="AC22" s="1606"/>
      <c r="AD22" s="1606"/>
      <c r="AE22" s="1702"/>
      <c r="AF22" s="1702"/>
      <c r="AG22" s="1606"/>
      <c r="AH22" s="1606"/>
      <c r="AI22" s="1606"/>
    </row>
    <row r="23" spans="2:36" ht="15.6" thickTop="1" thickBot="1">
      <c r="B23" s="1613"/>
      <c r="C23" s="1602"/>
      <c r="D23" s="1602"/>
      <c r="E23" s="1602"/>
      <c r="F23" s="1654"/>
      <c r="G23" s="1658"/>
      <c r="H23" s="1664"/>
      <c r="I23" s="1654"/>
      <c r="J23" s="1589"/>
      <c r="K23" s="1707" t="s">
        <v>188</v>
      </c>
      <c r="L23" s="1708"/>
      <c r="M23" s="1708"/>
      <c r="N23" s="1708"/>
      <c r="O23" s="1709"/>
      <c r="P23" s="1710"/>
      <c r="Q23" s="1711">
        <f>SUM(Q20:Q22)</f>
        <v>604643.61810527043</v>
      </c>
      <c r="R23" s="96"/>
      <c r="S23" s="96"/>
      <c r="T23" s="1718" t="s">
        <v>459</v>
      </c>
      <c r="U23" s="1719">
        <f>'Master Look Up'!D33</f>
        <v>1.0633805350099574E-2</v>
      </c>
      <c r="V23" s="1720" t="s">
        <v>153</v>
      </c>
      <c r="W23" s="1721"/>
      <c r="X23" s="1722"/>
      <c r="Y23" s="1723"/>
      <c r="Z23" s="1660"/>
      <c r="AA23" s="1724"/>
      <c r="AB23" s="1702"/>
      <c r="AC23" s="1702"/>
      <c r="AD23" s="1702"/>
      <c r="AE23" s="1588"/>
      <c r="AF23" s="1588"/>
      <c r="AG23" s="1588"/>
      <c r="AH23" s="1606"/>
      <c r="AI23" s="1606"/>
    </row>
    <row r="24" spans="2:36" ht="15" thickTop="1">
      <c r="B24" s="1613"/>
      <c r="C24" s="1602"/>
      <c r="D24" s="1602"/>
      <c r="E24" s="1602"/>
      <c r="F24" s="1654"/>
      <c r="G24" s="1658"/>
      <c r="H24" s="1725"/>
      <c r="I24" s="1726"/>
      <c r="J24" s="1727"/>
      <c r="K24" s="1613"/>
      <c r="L24" s="1602"/>
      <c r="M24" s="1602"/>
      <c r="N24" s="1602"/>
      <c r="O24" s="1654"/>
      <c r="P24" s="1658"/>
      <c r="Q24" s="1664"/>
      <c r="R24" s="1654"/>
      <c r="S24" s="96"/>
      <c r="T24" s="1661"/>
      <c r="U24" s="1728"/>
      <c r="V24" s="1729"/>
      <c r="W24" s="1636"/>
      <c r="X24" s="1661"/>
      <c r="Y24" s="1608"/>
      <c r="Z24" s="1590"/>
      <c r="AA24" s="1687"/>
      <c r="AB24" s="1588"/>
      <c r="AC24" s="1588"/>
      <c r="AD24" s="1588"/>
      <c r="AE24" s="1588"/>
      <c r="AF24" s="1588"/>
      <c r="AG24" s="1588"/>
      <c r="AH24" s="1702"/>
      <c r="AI24" s="1702"/>
    </row>
    <row r="25" spans="2:36" ht="14.4">
      <c r="B25" s="1730" t="s">
        <v>237</v>
      </c>
      <c r="C25" s="1726"/>
      <c r="D25" s="1726"/>
      <c r="E25" s="1726"/>
      <c r="F25" s="1726"/>
      <c r="G25" s="1726"/>
      <c r="H25" s="1725">
        <f>H22/H4</f>
        <v>268.68474427949866</v>
      </c>
      <c r="I25" s="1726"/>
      <c r="J25" s="1727"/>
      <c r="K25" s="1730" t="s">
        <v>237</v>
      </c>
      <c r="L25" s="1726"/>
      <c r="M25" s="1726"/>
      <c r="N25" s="1726"/>
      <c r="O25" s="1726"/>
      <c r="P25" s="1726"/>
      <c r="Q25" s="1725">
        <f>Q23/Q4</f>
        <v>340.64429189029318</v>
      </c>
      <c r="R25" s="1654"/>
      <c r="S25" s="1654"/>
      <c r="T25" s="1590"/>
      <c r="U25" s="1590"/>
      <c r="V25" s="1590"/>
      <c r="W25" s="1589"/>
      <c r="X25" s="1589"/>
      <c r="Y25" s="1727"/>
      <c r="Z25" s="1590"/>
      <c r="AA25" s="1588"/>
      <c r="AB25" s="1588"/>
      <c r="AC25" s="1588"/>
      <c r="AD25" s="1588"/>
      <c r="AE25" s="1588"/>
      <c r="AF25" s="1588"/>
      <c r="AG25" s="1588"/>
      <c r="AH25" s="1702"/>
      <c r="AI25" s="1702"/>
      <c r="AJ25" s="1702"/>
    </row>
    <row r="26" spans="2:36" s="1606" customFormat="1" ht="15" customHeight="1" thickBot="1">
      <c r="B26" s="1730" t="s">
        <v>460</v>
      </c>
      <c r="C26" s="1726"/>
      <c r="D26" s="1726"/>
      <c r="E26" s="1672">
        <f>U23</f>
        <v>1.0633805350099574E-2</v>
      </c>
      <c r="F26" s="1660"/>
      <c r="G26" s="1726"/>
      <c r="H26" s="1725">
        <f>H25*(1+E26)</f>
        <v>271.54188555070812</v>
      </c>
      <c r="I26" s="1726"/>
      <c r="J26" s="1590"/>
      <c r="K26" s="1730" t="s">
        <v>460</v>
      </c>
      <c r="L26" s="1726"/>
      <c r="M26" s="1726"/>
      <c r="N26" s="1672">
        <f>U23</f>
        <v>1.0633805350099574E-2</v>
      </c>
      <c r="O26" s="1660"/>
      <c r="P26" s="1726"/>
      <c r="Q26" s="1725">
        <f>Q25*(1+N26)</f>
        <v>344.26663698387705</v>
      </c>
      <c r="R26" s="96"/>
      <c r="S26" s="1636"/>
      <c r="T26" s="1590"/>
      <c r="U26" s="1590"/>
      <c r="V26" s="1590"/>
      <c r="W26" s="1727"/>
      <c r="X26" s="1727"/>
      <c r="Y26" s="1727"/>
      <c r="Z26" s="1589"/>
      <c r="AA26" s="1588"/>
      <c r="AB26" s="1588"/>
      <c r="AC26" s="1588"/>
      <c r="AD26" s="1588"/>
      <c r="AE26" s="1588"/>
      <c r="AF26" s="1588"/>
      <c r="AG26" s="1588"/>
      <c r="AH26" s="1588"/>
      <c r="AI26" s="1588"/>
      <c r="AJ26" s="1588"/>
    </row>
    <row r="27" spans="2:36" s="1606" customFormat="1" ht="15" thickBot="1">
      <c r="B27" s="1731" t="s">
        <v>461</v>
      </c>
      <c r="C27" s="1732"/>
      <c r="D27" s="1732"/>
      <c r="E27" s="1733">
        <v>0.9</v>
      </c>
      <c r="F27" s="1721"/>
      <c r="G27" s="1732">
        <f>H$22/(Q$4*E27)</f>
        <v>298.53860475499852</v>
      </c>
      <c r="H27" s="1734">
        <f>H26/E27</f>
        <v>301.71320616745345</v>
      </c>
      <c r="I27" s="1735"/>
      <c r="J27" s="1590"/>
      <c r="K27" s="1731" t="s">
        <v>461</v>
      </c>
      <c r="L27" s="1732"/>
      <c r="M27" s="1732"/>
      <c r="N27" s="1733">
        <v>0.9</v>
      </c>
      <c r="O27" s="1721"/>
      <c r="P27" s="1732"/>
      <c r="Q27" s="1736">
        <f>Q26/N27</f>
        <v>382.51848553764114</v>
      </c>
      <c r="R27" s="1737"/>
      <c r="S27" s="1654"/>
      <c r="T27" s="1590"/>
      <c r="U27" s="1590"/>
      <c r="V27" s="1590"/>
      <c r="W27" s="1727"/>
      <c r="X27" s="1727"/>
      <c r="Y27" s="1590"/>
      <c r="Z27" s="1727"/>
    </row>
    <row r="28" spans="2:36" s="1702" customFormat="1" ht="15" hidden="1" thickBot="1">
      <c r="B28" s="1731" t="s">
        <v>461</v>
      </c>
      <c r="C28" s="1732"/>
      <c r="D28" s="1732"/>
      <c r="E28" s="1738">
        <v>0.95</v>
      </c>
      <c r="F28" s="1721"/>
      <c r="G28" s="1732">
        <f>H$22/(Q$4*E28)</f>
        <v>282.82604660999857</v>
      </c>
      <c r="H28" s="1739">
        <f>H26/E28</f>
        <v>285.8335637375875</v>
      </c>
      <c r="J28" s="1590"/>
      <c r="K28" s="1731" t="s">
        <v>461</v>
      </c>
      <c r="L28" s="1732"/>
      <c r="M28" s="1732"/>
      <c r="N28" s="1738">
        <v>0.95</v>
      </c>
      <c r="O28" s="1721"/>
      <c r="P28" s="1732"/>
      <c r="Q28" s="1739">
        <f>Q26/N28</f>
        <v>362.38593366723904</v>
      </c>
      <c r="S28" s="1654"/>
      <c r="T28" s="1590"/>
      <c r="U28" s="1590"/>
      <c r="V28" s="1590"/>
      <c r="W28" s="1590"/>
      <c r="X28" s="1590"/>
      <c r="Y28" s="1590"/>
      <c r="Z28" s="1727"/>
    </row>
    <row r="29" spans="2:36" s="1702" customFormat="1" ht="14.4">
      <c r="B29" s="1726"/>
      <c r="C29" s="1726"/>
      <c r="D29" s="1726"/>
      <c r="E29" s="1740"/>
      <c r="F29" s="96"/>
      <c r="G29" s="1726"/>
      <c r="H29" s="1726"/>
      <c r="I29" s="352"/>
      <c r="J29" s="1596"/>
      <c r="K29" s="1726"/>
      <c r="L29" s="1726"/>
      <c r="M29" s="1726"/>
      <c r="N29" s="1740"/>
      <c r="O29" s="96"/>
      <c r="P29" s="1726"/>
      <c r="Q29" s="1726"/>
      <c r="R29" s="352"/>
      <c r="S29" s="1716"/>
      <c r="T29" s="1590"/>
      <c r="U29" s="1590"/>
      <c r="V29" s="1590"/>
      <c r="W29" s="1590"/>
      <c r="X29" s="1590"/>
      <c r="Y29" s="1590"/>
      <c r="Z29" s="1590"/>
    </row>
    <row r="30" spans="2:36" s="1702" customFormat="1" ht="15" thickBot="1">
      <c r="B30" s="1726"/>
      <c r="C30" s="1726"/>
      <c r="D30" s="1726"/>
      <c r="E30" s="1740"/>
      <c r="F30" s="96"/>
      <c r="G30" s="1726"/>
      <c r="H30" s="1726"/>
      <c r="I30" s="1741"/>
      <c r="J30" s="1596"/>
      <c r="K30" s="1726"/>
      <c r="L30" s="1726"/>
      <c r="M30" s="1726"/>
      <c r="N30" s="1740"/>
      <c r="O30" s="96"/>
      <c r="P30" s="1726"/>
      <c r="Q30" s="1726"/>
      <c r="R30" s="1654"/>
      <c r="S30" s="1716"/>
      <c r="T30" s="1590"/>
      <c r="U30" s="1590"/>
      <c r="V30" s="1590"/>
      <c r="W30" s="1590"/>
      <c r="X30" s="1590"/>
      <c r="Y30" s="1590"/>
      <c r="Z30" s="1590"/>
    </row>
    <row r="31" spans="2:36" ht="14.4">
      <c r="B31" s="1598" t="s">
        <v>462</v>
      </c>
      <c r="C31" s="1599"/>
      <c r="D31" s="1599"/>
      <c r="E31" s="1599"/>
      <c r="F31" s="1599"/>
      <c r="G31" s="1599"/>
      <c r="H31" s="1600"/>
      <c r="I31" s="1601"/>
      <c r="J31" s="1596"/>
      <c r="K31" s="1598" t="s">
        <v>463</v>
      </c>
      <c r="L31" s="1599"/>
      <c r="M31" s="1599"/>
      <c r="N31" s="1599"/>
      <c r="O31" s="1599"/>
      <c r="P31" s="1599"/>
      <c r="Q31" s="1600"/>
      <c r="R31" s="1726"/>
      <c r="S31" s="1660"/>
      <c r="T31" s="1590"/>
      <c r="U31" s="1590"/>
      <c r="V31" s="1590"/>
      <c r="W31" s="1590"/>
      <c r="X31" s="1590"/>
      <c r="Y31" s="1590"/>
      <c r="Z31" s="1590"/>
      <c r="AA31" s="1588"/>
      <c r="AB31" s="1588"/>
      <c r="AC31" s="1588"/>
      <c r="AD31" s="1588"/>
      <c r="AE31" s="1588"/>
      <c r="AF31" s="1588"/>
      <c r="AG31" s="1588"/>
    </row>
    <row r="32" spans="2:36" ht="14.4">
      <c r="B32" s="1607" t="s">
        <v>443</v>
      </c>
      <c r="D32" s="1608"/>
      <c r="E32" s="1608">
        <v>5</v>
      </c>
      <c r="F32" s="1609" t="s">
        <v>444</v>
      </c>
      <c r="G32" s="1610">
        <v>104</v>
      </c>
      <c r="H32" s="1611">
        <f>G32*E32</f>
        <v>520</v>
      </c>
      <c r="I32" s="1742"/>
      <c r="J32" s="1596"/>
      <c r="K32" s="1607" t="s">
        <v>443</v>
      </c>
      <c r="L32" s="1588"/>
      <c r="M32" s="1608"/>
      <c r="N32" s="1608">
        <v>5</v>
      </c>
      <c r="O32" s="1609" t="s">
        <v>444</v>
      </c>
      <c r="P32" s="1610">
        <v>104</v>
      </c>
      <c r="Q32" s="1611">
        <f>P32*N32</f>
        <v>520</v>
      </c>
      <c r="R32" s="1726"/>
      <c r="S32" s="1596"/>
      <c r="Z32" s="1590"/>
      <c r="AA32" s="1588"/>
      <c r="AB32" s="1588"/>
      <c r="AC32" s="1588"/>
      <c r="AD32" s="1588"/>
      <c r="AE32" s="1588"/>
      <c r="AF32" s="1588"/>
      <c r="AG32" s="1588"/>
    </row>
    <row r="33" spans="2:33" ht="43.2">
      <c r="B33" s="1613"/>
      <c r="C33" s="1618" t="s">
        <v>447</v>
      </c>
      <c r="D33" s="1618" t="s">
        <v>448</v>
      </c>
      <c r="E33" s="1602" t="s">
        <v>449</v>
      </c>
      <c r="F33" s="1654" t="s">
        <v>215</v>
      </c>
      <c r="G33" s="1663" t="s">
        <v>216</v>
      </c>
      <c r="H33" s="1664" t="s">
        <v>217</v>
      </c>
      <c r="I33" s="1654"/>
      <c r="J33" s="1596"/>
      <c r="K33" s="1613"/>
      <c r="L33" s="1618" t="s">
        <v>447</v>
      </c>
      <c r="M33" s="1618" t="s">
        <v>448</v>
      </c>
      <c r="N33" s="1602" t="s">
        <v>449</v>
      </c>
      <c r="O33" s="1654" t="s">
        <v>215</v>
      </c>
      <c r="P33" s="1663" t="s">
        <v>216</v>
      </c>
      <c r="Q33" s="1664" t="s">
        <v>217</v>
      </c>
      <c r="S33" s="1596"/>
      <c r="Z33" s="1590"/>
      <c r="AA33" s="1588"/>
      <c r="AB33" s="1588"/>
      <c r="AC33" s="1588"/>
      <c r="AD33" s="1588"/>
      <c r="AE33" s="1588"/>
      <c r="AF33" s="1588"/>
      <c r="AG33" s="1588"/>
    </row>
    <row r="34" spans="2:33" ht="14.4">
      <c r="B34" s="1743" t="s">
        <v>142</v>
      </c>
      <c r="C34" s="1744">
        <v>8</v>
      </c>
      <c r="D34" s="1745">
        <v>2</v>
      </c>
      <c r="E34" s="1744"/>
      <c r="F34" s="96">
        <f>U13</f>
        <v>69600</v>
      </c>
      <c r="G34" s="1631">
        <f>(E32/C34)*(2/5)</f>
        <v>0.25</v>
      </c>
      <c r="H34" s="1632">
        <f t="shared" ref="H34:H37" si="2">F34*G34</f>
        <v>17400</v>
      </c>
      <c r="I34" s="96"/>
      <c r="J34" s="1596"/>
      <c r="K34" s="1627" t="s">
        <v>142</v>
      </c>
      <c r="L34" s="1630">
        <v>8</v>
      </c>
      <c r="M34" s="1629">
        <v>2</v>
      </c>
      <c r="N34" s="1630"/>
      <c r="O34" s="96">
        <f>U13</f>
        <v>69600</v>
      </c>
      <c r="P34" s="1631">
        <f>(N32/L34)*(2/5)</f>
        <v>0.25</v>
      </c>
      <c r="Q34" s="1632">
        <f t="shared" ref="Q34:Q37" si="3">O34*P34</f>
        <v>17400</v>
      </c>
      <c r="S34" s="1726"/>
      <c r="AA34" s="1588"/>
      <c r="AB34" s="1588"/>
      <c r="AC34" s="1588"/>
      <c r="AD34" s="1588"/>
      <c r="AE34" s="1588"/>
      <c r="AF34" s="1588"/>
      <c r="AG34" s="1588"/>
    </row>
    <row r="35" spans="2:33" ht="14.4">
      <c r="B35" s="1743" t="s">
        <v>144</v>
      </c>
      <c r="C35" s="1744">
        <v>10</v>
      </c>
      <c r="D35" s="1745">
        <v>2</v>
      </c>
      <c r="E35" s="1744"/>
      <c r="F35" s="96">
        <f>U14</f>
        <v>75098.399999999994</v>
      </c>
      <c r="G35" s="1631">
        <f>(E32/C35)*(2/5)</f>
        <v>0.2</v>
      </c>
      <c r="H35" s="1632">
        <f t="shared" si="2"/>
        <v>15019.68</v>
      </c>
      <c r="I35" s="96"/>
      <c r="J35" s="1596"/>
      <c r="K35" s="1627" t="s">
        <v>144</v>
      </c>
      <c r="L35" s="1630">
        <v>10</v>
      </c>
      <c r="M35" s="1629">
        <v>2</v>
      </c>
      <c r="N35" s="1630"/>
      <c r="O35" s="96">
        <f>U14</f>
        <v>75098.399999999994</v>
      </c>
      <c r="P35" s="1631">
        <f>(N32/L35)*(2/5)</f>
        <v>0.2</v>
      </c>
      <c r="Q35" s="1632">
        <f t="shared" si="3"/>
        <v>15019.68</v>
      </c>
      <c r="R35" s="1741"/>
      <c r="S35" s="1726"/>
      <c r="AA35" s="1588"/>
      <c r="AB35" s="1588"/>
      <c r="AC35" s="1588"/>
      <c r="AD35" s="1588"/>
      <c r="AE35" s="1588"/>
      <c r="AF35" s="1588"/>
      <c r="AG35" s="1588"/>
    </row>
    <row r="36" spans="2:33" ht="14.4">
      <c r="B36" s="1743" t="s">
        <v>75</v>
      </c>
      <c r="C36" s="1744">
        <v>2.5</v>
      </c>
      <c r="D36" s="1745">
        <v>2</v>
      </c>
      <c r="E36" s="1744"/>
      <c r="F36" s="96">
        <f>U16</f>
        <v>34927.359999999993</v>
      </c>
      <c r="G36" s="1631">
        <v>2.63</v>
      </c>
      <c r="H36" s="1632">
        <f t="shared" si="2"/>
        <v>91858.956799999985</v>
      </c>
      <c r="I36" s="96"/>
      <c r="J36" s="1596"/>
      <c r="K36" s="1627" t="s">
        <v>75</v>
      </c>
      <c r="L36" s="1630">
        <v>2</v>
      </c>
      <c r="M36" s="1629">
        <v>2</v>
      </c>
      <c r="N36" s="1630"/>
      <c r="O36" s="96">
        <f>U16</f>
        <v>34927.359999999993</v>
      </c>
      <c r="P36" s="1631">
        <v>3.69</v>
      </c>
      <c r="Q36" s="1632">
        <f t="shared" si="3"/>
        <v>128881.95839999997</v>
      </c>
      <c r="R36" s="1601"/>
      <c r="S36" s="1726"/>
      <c r="AA36" s="1588"/>
      <c r="AB36" s="1588"/>
      <c r="AC36" s="1588"/>
      <c r="AD36" s="1588"/>
      <c r="AE36" s="1588"/>
      <c r="AF36" s="1588"/>
      <c r="AG36" s="1588"/>
    </row>
    <row r="37" spans="2:33" ht="14.4">
      <c r="B37" s="1746" t="s">
        <v>146</v>
      </c>
      <c r="C37" s="1747">
        <v>25</v>
      </c>
      <c r="D37" s="1747">
        <v>2</v>
      </c>
      <c r="E37" s="1747"/>
      <c r="F37" s="1748">
        <f>U15</f>
        <v>34927.359999999993</v>
      </c>
      <c r="G37" s="1749">
        <f>(N32/C37)*(2/5)</f>
        <v>8.0000000000000016E-2</v>
      </c>
      <c r="H37" s="1688">
        <f t="shared" si="2"/>
        <v>2794.1887999999999</v>
      </c>
      <c r="I37" s="96"/>
      <c r="J37" s="1596"/>
      <c r="K37" s="1641" t="s">
        <v>146</v>
      </c>
      <c r="L37" s="1642">
        <v>25</v>
      </c>
      <c r="M37" s="1750">
        <v>2</v>
      </c>
      <c r="N37" s="1643"/>
      <c r="O37" s="1748">
        <f>U15</f>
        <v>34927.359999999993</v>
      </c>
      <c r="P37" s="1631">
        <f>(N32/L37)*(2/5)</f>
        <v>8.0000000000000016E-2</v>
      </c>
      <c r="Q37" s="1688">
        <f t="shared" si="3"/>
        <v>2794.1887999999999</v>
      </c>
      <c r="R37" s="96"/>
      <c r="S37" s="1726"/>
      <c r="AA37" s="1588"/>
      <c r="AB37" s="1588"/>
      <c r="AC37" s="1588"/>
      <c r="AD37" s="1588"/>
      <c r="AE37" s="1588"/>
      <c r="AF37" s="1588"/>
      <c r="AG37" s="1588"/>
    </row>
    <row r="38" spans="2:33" ht="14.4">
      <c r="B38" s="1648" t="s">
        <v>266</v>
      </c>
      <c r="C38" s="1649"/>
      <c r="D38" s="1751"/>
      <c r="E38" s="1650"/>
      <c r="F38" s="1651"/>
      <c r="G38" s="1752">
        <f>SUM(G34:G37)</f>
        <v>3.16</v>
      </c>
      <c r="H38" s="1753">
        <f>SUM(H34:H37)</f>
        <v>127072.82559999998</v>
      </c>
      <c r="I38" s="1654"/>
      <c r="J38" s="1596"/>
      <c r="K38" s="1648" t="s">
        <v>266</v>
      </c>
      <c r="L38" s="1649"/>
      <c r="M38" s="1751"/>
      <c r="N38" s="1650"/>
      <c r="O38" s="1651"/>
      <c r="P38" s="1652">
        <f>SUM(P34:P37)</f>
        <v>4.22</v>
      </c>
      <c r="Q38" s="1753">
        <f>SUM(Q34:Q37)</f>
        <v>164095.82719999997</v>
      </c>
      <c r="R38" s="96"/>
      <c r="S38" s="1726"/>
      <c r="AA38" s="1588"/>
      <c r="AB38" s="1588"/>
      <c r="AC38" s="1588"/>
      <c r="AD38" s="1588"/>
      <c r="AE38" s="1588"/>
      <c r="AF38" s="1588"/>
      <c r="AG38" s="1588"/>
    </row>
    <row r="39" spans="2:33" ht="14.4">
      <c r="B39" s="1613"/>
      <c r="C39" s="1618"/>
      <c r="D39" s="1618"/>
      <c r="E39" s="1602"/>
      <c r="F39" s="1654"/>
      <c r="G39" s="1663"/>
      <c r="H39" s="1664"/>
      <c r="I39" s="1654"/>
      <c r="J39" s="1596"/>
      <c r="K39" s="1613"/>
      <c r="L39" s="1602"/>
      <c r="M39" s="1602"/>
      <c r="N39" s="1602"/>
      <c r="O39" s="1654"/>
      <c r="P39" s="1658"/>
      <c r="Q39" s="1664"/>
      <c r="R39" s="96"/>
      <c r="S39" s="1726"/>
      <c r="AA39" s="1588"/>
      <c r="AB39" s="1588"/>
      <c r="AC39" s="1588"/>
      <c r="AD39" s="1588"/>
      <c r="AE39" s="1588"/>
      <c r="AF39" s="1588"/>
      <c r="AG39" s="1588"/>
    </row>
    <row r="40" spans="2:33" ht="14.4">
      <c r="B40" s="1613" t="s">
        <v>224</v>
      </c>
      <c r="C40" s="1602"/>
      <c r="D40" s="1602"/>
      <c r="E40" s="1602"/>
      <c r="F40" s="1654"/>
      <c r="G40" s="1663" t="s">
        <v>454</v>
      </c>
      <c r="H40" s="1664"/>
      <c r="I40" s="1654"/>
      <c r="J40" s="1596"/>
      <c r="K40" s="1613" t="s">
        <v>224</v>
      </c>
      <c r="L40" s="1602"/>
      <c r="M40" s="1602"/>
      <c r="N40" s="1602"/>
      <c r="O40" s="1654"/>
      <c r="P40" s="1663" t="s">
        <v>454</v>
      </c>
      <c r="Q40" s="1664"/>
      <c r="R40" s="96"/>
      <c r="S40" s="1726"/>
      <c r="AA40" s="1588"/>
      <c r="AB40" s="1588"/>
      <c r="AC40" s="1588"/>
      <c r="AD40" s="1588"/>
      <c r="AE40" s="1588"/>
      <c r="AF40" s="1588"/>
      <c r="AG40" s="1588"/>
    </row>
    <row r="41" spans="2:33" ht="14.4">
      <c r="B41" s="1671" t="s">
        <v>183</v>
      </c>
      <c r="C41" s="1661"/>
      <c r="D41" s="1661"/>
      <c r="E41" s="1672">
        <f>U18</f>
        <v>0.224</v>
      </c>
      <c r="F41" s="1660"/>
      <c r="G41" s="1673"/>
      <c r="H41" s="1632">
        <f>E41*H38</f>
        <v>28464.312934399997</v>
      </c>
      <c r="I41" s="96"/>
      <c r="J41" s="1596"/>
      <c r="K41" s="1671" t="s">
        <v>183</v>
      </c>
      <c r="L41" s="1661"/>
      <c r="M41" s="1661"/>
      <c r="N41" s="1672">
        <f>U18</f>
        <v>0.224</v>
      </c>
      <c r="O41" s="1660"/>
      <c r="P41" s="1673"/>
      <c r="Q41" s="1632">
        <f>N40:N41*Q38</f>
        <v>36757.465292799992</v>
      </c>
      <c r="R41" s="96"/>
      <c r="S41" s="1726"/>
      <c r="AA41" s="1588"/>
      <c r="AB41" s="1588"/>
      <c r="AC41" s="1588"/>
      <c r="AD41" s="1588"/>
      <c r="AE41" s="1588"/>
      <c r="AF41" s="1588"/>
      <c r="AG41" s="1588"/>
    </row>
    <row r="42" spans="2:33" ht="14.4">
      <c r="B42" s="1677" t="s">
        <v>225</v>
      </c>
      <c r="C42" s="1678"/>
      <c r="D42" s="1678"/>
      <c r="E42" s="1678"/>
      <c r="F42" s="1679"/>
      <c r="G42" s="1680">
        <f>H42/H32</f>
        <v>299.10988179692305</v>
      </c>
      <c r="H42" s="1653">
        <f>H38+H41</f>
        <v>155537.13853439997</v>
      </c>
      <c r="I42" s="1654"/>
      <c r="J42" s="1596"/>
      <c r="K42" s="1677" t="s">
        <v>225</v>
      </c>
      <c r="L42" s="1678"/>
      <c r="M42" s="1678"/>
      <c r="N42" s="1678"/>
      <c r="O42" s="1679"/>
      <c r="P42" s="1680">
        <f>Q42/Q32</f>
        <v>386.256331716923</v>
      </c>
      <c r="Q42" s="1653">
        <f>Q38+Q41</f>
        <v>200853.29249279996</v>
      </c>
      <c r="R42" s="96"/>
      <c r="S42" s="1726"/>
      <c r="AA42" s="1588"/>
      <c r="AB42" s="1588"/>
      <c r="AC42" s="1588"/>
      <c r="AD42" s="1588"/>
      <c r="AE42" s="1588"/>
      <c r="AF42" s="1588"/>
      <c r="AG42" s="1588"/>
    </row>
    <row r="43" spans="2:33" ht="14.4">
      <c r="B43" s="1624"/>
      <c r="C43" s="1660"/>
      <c r="D43" s="1660"/>
      <c r="E43" s="1660"/>
      <c r="F43" s="96"/>
      <c r="G43" s="1673"/>
      <c r="H43" s="1632"/>
      <c r="I43" s="96"/>
      <c r="J43" s="1596"/>
      <c r="K43" s="1624"/>
      <c r="L43" s="1660"/>
      <c r="M43" s="1660"/>
      <c r="N43" s="1660"/>
      <c r="O43" s="96"/>
      <c r="P43" s="1673"/>
      <c r="Q43" s="1632"/>
      <c r="R43" s="1654"/>
      <c r="S43" s="1726"/>
      <c r="AA43" s="1588"/>
      <c r="AB43" s="1588"/>
      <c r="AC43" s="1588"/>
      <c r="AD43" s="1588"/>
      <c r="AE43" s="1588"/>
      <c r="AF43" s="1588"/>
      <c r="AG43" s="1588"/>
    </row>
    <row r="44" spans="2:33" ht="14.4">
      <c r="B44" s="1624" t="s">
        <v>223</v>
      </c>
      <c r="C44" s="1660"/>
      <c r="D44" s="1660"/>
      <c r="E44" s="1684">
        <f>U19</f>
        <v>5963.9694954316819</v>
      </c>
      <c r="F44" s="96"/>
      <c r="H44" s="1632">
        <f>E44*G38</f>
        <v>18846.143605564117</v>
      </c>
      <c r="I44" s="96"/>
      <c r="J44" s="1596"/>
      <c r="K44" s="1624" t="s">
        <v>223</v>
      </c>
      <c r="L44" s="1660"/>
      <c r="M44" s="1660"/>
      <c r="N44" s="1684">
        <f>U19</f>
        <v>5963.9694954316819</v>
      </c>
      <c r="O44" s="96"/>
      <c r="Q44" s="1632">
        <f>N44*P38</f>
        <v>25167.951270721696</v>
      </c>
      <c r="R44" s="1654"/>
      <c r="S44" s="1726"/>
      <c r="AA44" s="1588"/>
      <c r="AB44" s="1588"/>
      <c r="AC44" s="1588"/>
      <c r="AD44" s="1588"/>
      <c r="AE44" s="1588"/>
      <c r="AF44" s="1588"/>
      <c r="AG44" s="1588"/>
    </row>
    <row r="45" spans="2:33" ht="14.4">
      <c r="B45" s="1624" t="s">
        <v>457</v>
      </c>
      <c r="C45" s="1660"/>
      <c r="D45" s="1660"/>
      <c r="E45" s="1684">
        <f>U20</f>
        <v>2996.7173855870574</v>
      </c>
      <c r="F45" s="96"/>
      <c r="G45" s="1687"/>
      <c r="H45" s="1688">
        <f>E45*G38</f>
        <v>9469.6269384551015</v>
      </c>
      <c r="I45" s="96"/>
      <c r="J45" s="1596"/>
      <c r="K45" s="1624" t="s">
        <v>457</v>
      </c>
      <c r="L45" s="1660"/>
      <c r="M45" s="1660"/>
      <c r="N45" s="1684">
        <f>U20</f>
        <v>2996.7173855870574</v>
      </c>
      <c r="O45" s="96"/>
      <c r="Q45" s="1688">
        <f>N45*P38</f>
        <v>12646.147367177382</v>
      </c>
      <c r="R45" s="1654"/>
      <c r="S45" s="1726"/>
      <c r="AA45" s="1588"/>
      <c r="AB45" s="1588"/>
      <c r="AC45" s="1588"/>
      <c r="AD45" s="1588"/>
      <c r="AE45" s="1588"/>
      <c r="AF45" s="1588"/>
      <c r="AG45" s="1588"/>
    </row>
    <row r="46" spans="2:33" ht="14.4">
      <c r="B46" s="1624"/>
      <c r="C46" s="1660"/>
      <c r="D46" s="1660"/>
      <c r="E46" s="1660"/>
      <c r="F46" s="96"/>
      <c r="G46" s="1694"/>
      <c r="H46" s="1664">
        <f>SUM(H44:H45)</f>
        <v>28315.770544019219</v>
      </c>
      <c r="I46" s="1654"/>
      <c r="J46" s="1596"/>
      <c r="K46" s="1624"/>
      <c r="L46" s="1660"/>
      <c r="M46" s="1660"/>
      <c r="N46" s="1660"/>
      <c r="O46" s="96"/>
      <c r="P46" s="1694"/>
      <c r="Q46" s="1664">
        <f>SUM(Q44:Q45)</f>
        <v>37814.098637899078</v>
      </c>
      <c r="R46" s="96"/>
      <c r="S46" s="1726"/>
      <c r="AA46" s="1588"/>
      <c r="AB46" s="1588"/>
      <c r="AC46" s="1588"/>
      <c r="AD46" s="1588"/>
      <c r="AE46" s="1588"/>
      <c r="AF46" s="1588"/>
      <c r="AG46" s="1588"/>
    </row>
    <row r="47" spans="2:33" ht="14.4">
      <c r="B47" s="1697" t="s">
        <v>458</v>
      </c>
      <c r="C47" s="1698"/>
      <c r="D47" s="1698"/>
      <c r="E47" s="1698"/>
      <c r="F47" s="1651"/>
      <c r="G47" s="1652"/>
      <c r="H47" s="1653">
        <f>H42+H46</f>
        <v>183852.90907841918</v>
      </c>
      <c r="I47" s="1654"/>
      <c r="J47" s="1596"/>
      <c r="K47" s="1697" t="s">
        <v>458</v>
      </c>
      <c r="L47" s="1698"/>
      <c r="M47" s="1698"/>
      <c r="N47" s="1698"/>
      <c r="O47" s="1651"/>
      <c r="P47" s="1652"/>
      <c r="Q47" s="1653">
        <f>Q42+Q46</f>
        <v>238667.39113069902</v>
      </c>
      <c r="R47" s="1654"/>
      <c r="S47" s="1726"/>
      <c r="AA47" s="1588"/>
      <c r="AB47" s="1588"/>
      <c r="AC47" s="1588"/>
      <c r="AD47" s="1588"/>
      <c r="AE47" s="1588"/>
      <c r="AF47" s="1588"/>
      <c r="AG47" s="1588"/>
    </row>
    <row r="48" spans="2:33" ht="14.4">
      <c r="B48" s="1624" t="s">
        <v>227</v>
      </c>
      <c r="C48" s="1660"/>
      <c r="D48" s="1660"/>
      <c r="E48" s="1699">
        <f>U21</f>
        <v>0.12</v>
      </c>
      <c r="F48" s="1602"/>
      <c r="G48" s="1700"/>
      <c r="H48" s="1632">
        <f>E48*H47</f>
        <v>22062.349089410302</v>
      </c>
      <c r="I48" s="96"/>
      <c r="J48" s="1596"/>
      <c r="K48" s="1624" t="s">
        <v>227</v>
      </c>
      <c r="L48" s="1660"/>
      <c r="M48" s="1660"/>
      <c r="N48" s="1699">
        <f>U21</f>
        <v>0.12</v>
      </c>
      <c r="O48" s="1602"/>
      <c r="P48" s="1700"/>
      <c r="Q48" s="1632">
        <f>N48*Q47</f>
        <v>28640.086935683881</v>
      </c>
      <c r="R48" s="96"/>
      <c r="S48" s="1726"/>
      <c r="AA48" s="1588"/>
      <c r="AB48" s="1588"/>
      <c r="AC48" s="1588"/>
      <c r="AD48" s="1588"/>
      <c r="AE48" s="1588"/>
      <c r="AF48" s="1588"/>
      <c r="AG48" s="1588"/>
    </row>
    <row r="49" spans="2:33" ht="14.4">
      <c r="B49" s="1624" t="str">
        <f>T22</f>
        <v>PFMLA</v>
      </c>
      <c r="C49" s="1660"/>
      <c r="D49" s="1660"/>
      <c r="E49" s="1699">
        <f>U22</f>
        <v>3.7000000000000002E-3</v>
      </c>
      <c r="F49" s="1660"/>
      <c r="G49" s="1700"/>
      <c r="H49" s="1632">
        <f>E49*H38</f>
        <v>470.16945471999998</v>
      </c>
      <c r="I49" s="96"/>
      <c r="J49" s="1596"/>
      <c r="K49" s="1624" t="str">
        <f>T22</f>
        <v>PFMLA</v>
      </c>
      <c r="L49" s="1660"/>
      <c r="M49" s="1660"/>
      <c r="N49" s="1699">
        <f>U22</f>
        <v>3.7000000000000002E-3</v>
      </c>
      <c r="O49" s="1660"/>
      <c r="P49" s="1700"/>
      <c r="Q49" s="1632">
        <f>N49*Q38</f>
        <v>607.15456063999989</v>
      </c>
      <c r="R49" s="96"/>
      <c r="S49" s="1726"/>
      <c r="AA49" s="1588"/>
      <c r="AB49" s="1588"/>
      <c r="AC49" s="1588"/>
      <c r="AD49" s="1588"/>
      <c r="AE49" s="1588"/>
      <c r="AF49" s="1588"/>
      <c r="AG49" s="1588"/>
    </row>
    <row r="50" spans="2:33" ht="15" thickBot="1">
      <c r="B50" s="1707" t="s">
        <v>188</v>
      </c>
      <c r="C50" s="1708"/>
      <c r="D50" s="1708"/>
      <c r="E50" s="1708"/>
      <c r="F50" s="1709"/>
      <c r="G50" s="1710"/>
      <c r="H50" s="1711">
        <f>H47+H48+H49</f>
        <v>206385.42762254947</v>
      </c>
      <c r="I50" s="1654"/>
      <c r="J50" s="1596"/>
      <c r="K50" s="1707" t="s">
        <v>188</v>
      </c>
      <c r="L50" s="1708"/>
      <c r="M50" s="1708"/>
      <c r="N50" s="1708"/>
      <c r="O50" s="1709"/>
      <c r="P50" s="1710"/>
      <c r="Q50" s="1711">
        <f>Q47+Q48</f>
        <v>267307.47806638293</v>
      </c>
      <c r="R50" s="96"/>
      <c r="S50" s="1726"/>
      <c r="AA50" s="1588"/>
      <c r="AB50" s="1588"/>
      <c r="AC50" s="1588"/>
      <c r="AD50" s="1588"/>
      <c r="AE50" s="1588"/>
      <c r="AF50" s="1588"/>
      <c r="AG50" s="1588"/>
    </row>
    <row r="51" spans="2:33" ht="15" thickTop="1">
      <c r="B51" s="1613"/>
      <c r="C51" s="1602"/>
      <c r="D51" s="1602"/>
      <c r="E51" s="1602"/>
      <c r="F51" s="1654"/>
      <c r="G51" s="1658"/>
      <c r="H51" s="1664"/>
      <c r="I51" s="1654"/>
      <c r="J51" s="1596"/>
      <c r="K51" s="1613"/>
      <c r="L51" s="1602"/>
      <c r="M51" s="1602"/>
      <c r="N51" s="1602"/>
      <c r="O51" s="1654"/>
      <c r="P51" s="1658"/>
      <c r="Q51" s="1664"/>
      <c r="R51" s="1654"/>
      <c r="S51" s="1726"/>
      <c r="AA51" s="1588"/>
      <c r="AB51" s="1588"/>
      <c r="AC51" s="1588"/>
      <c r="AD51" s="1588"/>
      <c r="AE51" s="1588"/>
      <c r="AF51" s="1588"/>
      <c r="AG51" s="1588"/>
    </row>
    <row r="52" spans="2:33" ht="14.4">
      <c r="B52" s="1730" t="s">
        <v>237</v>
      </c>
      <c r="C52" s="1726"/>
      <c r="D52" s="1726"/>
      <c r="E52" s="1726"/>
      <c r="F52" s="1726"/>
      <c r="G52" s="1726"/>
      <c r="H52" s="1725">
        <f>H50/H32</f>
        <v>396.89505312028746</v>
      </c>
      <c r="I52" s="1726"/>
      <c r="J52" s="1596"/>
      <c r="K52" s="1730" t="s">
        <v>237</v>
      </c>
      <c r="L52" s="1726"/>
      <c r="M52" s="1726"/>
      <c r="N52" s="1726"/>
      <c r="O52" s="1726"/>
      <c r="P52" s="1726"/>
      <c r="Q52" s="1725">
        <f>Q50/Q32</f>
        <v>514.05284243535175</v>
      </c>
      <c r="R52" s="1654"/>
      <c r="S52" s="1726"/>
      <c r="AA52" s="1588"/>
      <c r="AB52" s="1588"/>
      <c r="AC52" s="1588"/>
      <c r="AD52" s="1588"/>
      <c r="AE52" s="1588"/>
      <c r="AF52" s="1588"/>
      <c r="AG52" s="1588"/>
    </row>
    <row r="53" spans="2:33" ht="15" thickBot="1">
      <c r="B53" s="1730" t="s">
        <v>189</v>
      </c>
      <c r="C53" s="1726"/>
      <c r="D53" s="1726"/>
      <c r="E53" s="1672">
        <f>U23</f>
        <v>1.0633805350099574E-2</v>
      </c>
      <c r="F53" s="1660"/>
      <c r="G53" s="1726"/>
      <c r="H53" s="1725">
        <f>H52*(1+E53)</f>
        <v>401.11555785958603</v>
      </c>
      <c r="I53" s="1726"/>
      <c r="J53" s="1596"/>
      <c r="K53" s="1730" t="s">
        <v>189</v>
      </c>
      <c r="L53" s="1726"/>
      <c r="M53" s="1726"/>
      <c r="N53" s="1672">
        <f>U23</f>
        <v>1.0633805350099574E-2</v>
      </c>
      <c r="O53" s="1660"/>
      <c r="P53" s="1726"/>
      <c r="Q53" s="1725">
        <f>Q52*(1+N53)</f>
        <v>519.51918030147476</v>
      </c>
      <c r="R53" s="1588"/>
      <c r="S53" s="1726"/>
      <c r="AA53" s="1588"/>
      <c r="AB53" s="1588"/>
      <c r="AC53" s="1588"/>
      <c r="AD53" s="1588"/>
      <c r="AE53" s="1588"/>
      <c r="AF53" s="1588"/>
      <c r="AG53" s="1588"/>
    </row>
    <row r="54" spans="2:33" ht="15" thickBot="1">
      <c r="B54" s="1731" t="s">
        <v>461</v>
      </c>
      <c r="C54" s="1732"/>
      <c r="D54" s="1732"/>
      <c r="E54" s="1733">
        <v>0.9</v>
      </c>
      <c r="F54" s="1721"/>
      <c r="G54" s="1732"/>
      <c r="H54" s="1736">
        <f>H53/E54</f>
        <v>445.68395317731779</v>
      </c>
      <c r="I54" s="1737"/>
      <c r="J54" s="1596"/>
      <c r="K54" s="1731" t="s">
        <v>461</v>
      </c>
      <c r="L54" s="1732"/>
      <c r="M54" s="1732"/>
      <c r="N54" s="1733">
        <v>0.9</v>
      </c>
      <c r="O54" s="1721"/>
      <c r="P54" s="1732"/>
      <c r="Q54" s="1736">
        <f>Q53/N54</f>
        <v>577.2435336683053</v>
      </c>
      <c r="R54" s="1737"/>
      <c r="S54" s="1726"/>
      <c r="AA54" s="1588"/>
      <c r="AB54" s="1588"/>
      <c r="AC54" s="1588"/>
      <c r="AD54" s="1588"/>
      <c r="AE54" s="1588"/>
      <c r="AF54" s="1588"/>
      <c r="AG54" s="1588"/>
    </row>
    <row r="55" spans="2:33" ht="14.4" hidden="1">
      <c r="B55" s="1754" t="s">
        <v>461</v>
      </c>
      <c r="C55" s="1755"/>
      <c r="D55" s="1755"/>
      <c r="E55" s="1756">
        <v>0.95</v>
      </c>
      <c r="F55" s="1757"/>
      <c r="G55" s="1755"/>
      <c r="H55" s="1758">
        <f>H53/E55</f>
        <v>422.22690301009061</v>
      </c>
      <c r="J55" s="1596"/>
      <c r="K55" s="1754" t="s">
        <v>461</v>
      </c>
      <c r="L55" s="1755"/>
      <c r="M55" s="1755"/>
      <c r="N55" s="1756">
        <v>0.95</v>
      </c>
      <c r="O55" s="1757"/>
      <c r="P55" s="1755"/>
      <c r="Q55" s="1758">
        <f>Q53/N55</f>
        <v>546.86229505418396</v>
      </c>
      <c r="S55" s="1726"/>
      <c r="AA55" s="1588"/>
      <c r="AB55" s="1588"/>
      <c r="AC55" s="1588"/>
      <c r="AD55" s="1588"/>
      <c r="AE55" s="1588"/>
      <c r="AF55" s="1588"/>
      <c r="AG55" s="1588"/>
    </row>
    <row r="56" spans="2:33" ht="15" thickBot="1">
      <c r="B56" s="1730" t="s">
        <v>365</v>
      </c>
      <c r="C56" s="1726"/>
      <c r="D56" s="1726"/>
      <c r="E56" s="1740"/>
      <c r="F56" s="96"/>
      <c r="G56" s="1726"/>
      <c r="H56" s="1725">
        <f>H54/8+0.01</f>
        <v>55.720494147164722</v>
      </c>
      <c r="I56" s="352"/>
      <c r="J56" s="1596"/>
      <c r="K56" s="1730" t="s">
        <v>365</v>
      </c>
      <c r="L56" s="1726"/>
      <c r="M56" s="1726"/>
      <c r="N56" s="1740"/>
      <c r="O56" s="96"/>
      <c r="P56" s="1726"/>
      <c r="Q56" s="1725">
        <f>Q54/8+0.01</f>
        <v>72.165441708538168</v>
      </c>
      <c r="R56" s="352"/>
      <c r="S56" s="1726"/>
      <c r="T56" s="1590"/>
      <c r="U56" s="1590"/>
      <c r="V56" s="1590"/>
      <c r="W56" s="1590"/>
      <c r="X56" s="1590"/>
      <c r="Y56" s="1590"/>
      <c r="AA56" s="1588"/>
      <c r="AB56" s="1588"/>
      <c r="AC56" s="1588"/>
      <c r="AD56" s="1588"/>
      <c r="AE56" s="1588"/>
      <c r="AF56" s="1588"/>
      <c r="AG56" s="1588"/>
    </row>
    <row r="57" spans="2:33" ht="15" thickBot="1">
      <c r="B57" s="1731" t="s">
        <v>464</v>
      </c>
      <c r="C57" s="1732"/>
      <c r="D57" s="1732"/>
      <c r="E57" s="1738"/>
      <c r="F57" s="1721"/>
      <c r="G57" s="1732"/>
      <c r="H57" s="1736">
        <f>H56/2</f>
        <v>27.860247073582361</v>
      </c>
      <c r="I57" s="1737"/>
      <c r="J57" s="1596"/>
      <c r="K57" s="1731" t="s">
        <v>464</v>
      </c>
      <c r="L57" s="1732"/>
      <c r="M57" s="1732"/>
      <c r="N57" s="1738"/>
      <c r="O57" s="1721"/>
      <c r="P57" s="1732"/>
      <c r="Q57" s="1736">
        <f>Q56*0.5</f>
        <v>36.082720854269084</v>
      </c>
      <c r="R57" s="1737"/>
      <c r="S57" s="1726"/>
      <c r="T57" s="1590"/>
      <c r="U57" s="1590"/>
      <c r="V57" s="1590"/>
      <c r="W57" s="1590"/>
      <c r="X57" s="1590"/>
      <c r="Y57" s="1590"/>
      <c r="AA57" s="1588"/>
      <c r="AB57" s="1588"/>
      <c r="AC57" s="1588"/>
      <c r="AD57" s="1588"/>
      <c r="AE57" s="1588"/>
      <c r="AF57" s="1588"/>
      <c r="AG57" s="1588"/>
    </row>
    <row r="58" spans="2:33" ht="14.4">
      <c r="B58" s="1726"/>
      <c r="C58" s="1726"/>
      <c r="D58" s="1726"/>
      <c r="E58" s="1740"/>
      <c r="F58" s="96"/>
      <c r="G58" s="1726"/>
      <c r="H58" s="1726"/>
      <c r="I58" s="352"/>
      <c r="J58" s="1596"/>
      <c r="K58" s="1726"/>
      <c r="L58" s="1726"/>
      <c r="M58" s="1726"/>
      <c r="N58" s="1740"/>
      <c r="O58" s="96"/>
      <c r="P58" s="96"/>
      <c r="Q58" s="1726"/>
      <c r="R58" s="351"/>
      <c r="S58" s="1726"/>
      <c r="T58" s="1590"/>
      <c r="U58" s="1590"/>
      <c r="V58" s="1590"/>
      <c r="W58" s="1590"/>
      <c r="X58" s="1590"/>
      <c r="Y58" s="1590"/>
      <c r="Z58" s="1590"/>
      <c r="AA58" s="1588"/>
      <c r="AB58" s="1588"/>
      <c r="AC58" s="1588"/>
      <c r="AD58" s="1588"/>
      <c r="AE58" s="1588"/>
      <c r="AF58" s="1588"/>
      <c r="AG58" s="1588"/>
    </row>
    <row r="59" spans="2:33" ht="14.4">
      <c r="B59" s="1726"/>
      <c r="C59" s="1726"/>
      <c r="D59" s="1726"/>
      <c r="E59" s="1740"/>
      <c r="F59" s="96"/>
      <c r="G59" s="1726"/>
      <c r="H59" s="1726"/>
      <c r="I59" s="1726"/>
      <c r="J59" s="1596"/>
      <c r="K59" s="1726"/>
      <c r="L59" s="1726"/>
      <c r="M59" s="1726"/>
      <c r="N59" s="1740"/>
      <c r="O59" s="96"/>
      <c r="P59" s="96"/>
      <c r="Q59" s="1726"/>
      <c r="R59" s="1588"/>
      <c r="S59" s="1726"/>
      <c r="T59" s="96"/>
      <c r="U59" s="1633"/>
      <c r="V59" s="1759"/>
      <c r="W59" s="1633"/>
      <c r="X59" s="1590"/>
      <c r="Y59" s="1590"/>
      <c r="Z59" s="1590"/>
      <c r="AA59" s="1588"/>
      <c r="AB59" s="1588"/>
      <c r="AC59" s="1588"/>
      <c r="AD59" s="1588"/>
      <c r="AE59" s="1588"/>
      <c r="AF59" s="1588"/>
      <c r="AG59" s="1588"/>
    </row>
    <row r="60" spans="2:33" ht="14.4">
      <c r="B60" s="1726"/>
      <c r="C60" s="1726"/>
      <c r="D60" s="1726"/>
      <c r="E60" s="1740"/>
      <c r="F60" s="96"/>
      <c r="G60" s="1726"/>
      <c r="H60" s="1726"/>
      <c r="I60" s="1726"/>
      <c r="J60" s="1596"/>
      <c r="K60" s="1726"/>
      <c r="L60" s="1726"/>
      <c r="M60" s="1726"/>
      <c r="N60" s="1726"/>
      <c r="O60" s="1726"/>
      <c r="P60" s="1726"/>
      <c r="Q60" s="1726"/>
      <c r="R60" s="1588"/>
      <c r="S60" s="1726"/>
      <c r="T60" s="96"/>
      <c r="U60" s="1633"/>
      <c r="V60" s="1759"/>
      <c r="W60" s="1633"/>
      <c r="X60" s="1590"/>
      <c r="Y60" s="1590"/>
      <c r="Z60" s="1590"/>
      <c r="AA60" s="1588"/>
      <c r="AB60" s="1588"/>
      <c r="AC60" s="1588"/>
      <c r="AD60" s="1588"/>
      <c r="AE60" s="1588"/>
      <c r="AF60" s="1588"/>
      <c r="AG60" s="1588"/>
    </row>
    <row r="61" spans="2:33" ht="14.4">
      <c r="B61" s="1590"/>
      <c r="C61" s="1590"/>
      <c r="D61" s="1590"/>
      <c r="E61" s="1590"/>
      <c r="F61" s="1590"/>
      <c r="G61" s="1590"/>
      <c r="H61" s="1590"/>
      <c r="I61" s="1590"/>
      <c r="J61" s="1596"/>
      <c r="K61" s="1726"/>
      <c r="L61" s="1726"/>
      <c r="M61" s="1726"/>
      <c r="N61" s="1726"/>
      <c r="O61" s="1726"/>
      <c r="P61" s="1726"/>
      <c r="Q61" s="1726"/>
      <c r="R61" s="1588"/>
      <c r="S61" s="1726"/>
      <c r="T61" s="96"/>
      <c r="U61" s="1633"/>
      <c r="V61" s="1759"/>
      <c r="W61" s="1633"/>
      <c r="X61" s="1590"/>
      <c r="Y61" s="1590"/>
      <c r="Z61" s="1590"/>
      <c r="AA61" s="1588"/>
      <c r="AB61" s="1588"/>
      <c r="AC61" s="1588"/>
      <c r="AD61" s="1588"/>
      <c r="AE61" s="1588"/>
      <c r="AF61" s="1588"/>
      <c r="AG61" s="1588"/>
    </row>
    <row r="62" spans="2:33" ht="14.4">
      <c r="R62" s="1588"/>
      <c r="S62" s="1726"/>
      <c r="Z62" s="1590"/>
      <c r="AA62" s="1588"/>
      <c r="AB62" s="1588"/>
      <c r="AC62" s="1588"/>
      <c r="AD62" s="1588"/>
      <c r="AE62" s="1588"/>
      <c r="AF62" s="1588"/>
      <c r="AG62" s="1588"/>
    </row>
    <row r="63" spans="2:33" ht="14.4">
      <c r="R63" s="1588"/>
      <c r="S63" s="1726"/>
      <c r="Z63" s="1590"/>
      <c r="AA63" s="1588"/>
      <c r="AB63" s="1588"/>
      <c r="AC63" s="1588"/>
      <c r="AD63" s="1588"/>
      <c r="AE63" s="1588"/>
      <c r="AF63" s="1588"/>
      <c r="AG63" s="1588"/>
    </row>
    <row r="64" spans="2:33" ht="14.4">
      <c r="R64" s="1726"/>
      <c r="S64" s="1726"/>
      <c r="AA64" s="1588"/>
      <c r="AB64" s="1588"/>
      <c r="AC64" s="1588"/>
      <c r="AD64" s="1588"/>
      <c r="AE64" s="1606"/>
      <c r="AF64" s="1606"/>
      <c r="AG64" s="1606"/>
    </row>
    <row r="65" spans="1:43" s="1591" customFormat="1" ht="14.4">
      <c r="A65" s="1588"/>
      <c r="B65" s="1588"/>
      <c r="C65" s="1588"/>
      <c r="D65" s="1588"/>
      <c r="E65" s="1588"/>
      <c r="F65" s="1588"/>
      <c r="G65" s="1588"/>
      <c r="H65" s="1588"/>
      <c r="I65" s="1588"/>
      <c r="J65" s="1588"/>
      <c r="R65" s="1726"/>
      <c r="AE65" s="1592"/>
      <c r="AF65" s="1593"/>
      <c r="AG65" s="1592"/>
      <c r="AH65" s="1588"/>
      <c r="AI65" s="1588"/>
      <c r="AJ65" s="1588"/>
      <c r="AK65" s="1588"/>
      <c r="AL65" s="1588"/>
      <c r="AM65" s="1588"/>
      <c r="AN65" s="1588"/>
      <c r="AO65" s="1588"/>
      <c r="AP65" s="1588"/>
      <c r="AQ65" s="1588"/>
    </row>
    <row r="66" spans="1:43" s="1591" customFormat="1" ht="14.4">
      <c r="A66" s="1588"/>
      <c r="B66" s="1588"/>
      <c r="C66" s="1588"/>
      <c r="D66" s="1588"/>
      <c r="E66" s="1588"/>
      <c r="F66" s="1588"/>
      <c r="G66" s="1588"/>
      <c r="H66" s="1588"/>
      <c r="I66" s="1588"/>
      <c r="J66" s="1588"/>
      <c r="R66" s="1726"/>
      <c r="AE66" s="1592"/>
      <c r="AF66" s="1593"/>
      <c r="AG66" s="1592"/>
      <c r="AH66" s="1588"/>
      <c r="AI66" s="1588"/>
      <c r="AJ66" s="1588"/>
      <c r="AK66" s="1588"/>
      <c r="AL66" s="1588"/>
      <c r="AM66" s="1588"/>
      <c r="AN66" s="1588"/>
      <c r="AO66" s="1588"/>
      <c r="AP66" s="1588"/>
      <c r="AQ66" s="1588"/>
    </row>
    <row r="67" spans="1:43" s="1591" customFormat="1">
      <c r="A67" s="1588"/>
      <c r="B67" s="1588"/>
      <c r="C67" s="1588"/>
      <c r="D67" s="1588"/>
      <c r="E67" s="1588"/>
      <c r="F67" s="1588"/>
      <c r="G67" s="1588"/>
      <c r="H67" s="1588"/>
      <c r="I67" s="1588"/>
      <c r="J67" s="1588"/>
      <c r="AE67" s="1592"/>
      <c r="AF67" s="1593"/>
      <c r="AG67" s="1592"/>
      <c r="AH67" s="1588"/>
      <c r="AI67" s="1588"/>
      <c r="AJ67" s="1588"/>
      <c r="AK67" s="1588"/>
      <c r="AL67" s="1588"/>
      <c r="AM67" s="1588"/>
      <c r="AN67" s="1588"/>
      <c r="AO67" s="1588"/>
      <c r="AP67" s="1588"/>
      <c r="AQ67" s="1588"/>
    </row>
    <row r="68" spans="1:43" s="1591" customFormat="1">
      <c r="A68" s="1588"/>
      <c r="B68" s="1588"/>
      <c r="C68" s="1588"/>
      <c r="D68" s="1588"/>
      <c r="E68" s="1588"/>
      <c r="F68" s="1588"/>
      <c r="G68" s="1588"/>
      <c r="H68" s="1588"/>
      <c r="I68" s="1588"/>
      <c r="J68" s="1588"/>
      <c r="AE68" s="1592"/>
      <c r="AF68" s="1593"/>
      <c r="AG68" s="1592"/>
      <c r="AH68" s="1588"/>
      <c r="AI68" s="1588"/>
      <c r="AJ68" s="1588"/>
      <c r="AK68" s="1588"/>
      <c r="AL68" s="1588"/>
      <c r="AM68" s="1588"/>
      <c r="AN68" s="1588"/>
      <c r="AO68" s="1588"/>
      <c r="AP68" s="1588"/>
      <c r="AQ68" s="1588"/>
    </row>
    <row r="188" spans="20:26" ht="14.4" thickBot="1"/>
    <row r="189" spans="20:26" ht="14.4">
      <c r="T189" s="1760" t="s">
        <v>465</v>
      </c>
      <c r="U189" s="1761"/>
      <c r="V189" s="1761"/>
      <c r="W189" s="1761"/>
      <c r="X189" s="1761"/>
      <c r="Y189" s="1761"/>
    </row>
    <row r="190" spans="20:26" ht="15" thickBot="1">
      <c r="T190" s="1762" t="s">
        <v>443</v>
      </c>
      <c r="U190" s="1763">
        <v>5</v>
      </c>
      <c r="V190" s="1763"/>
      <c r="W190" s="1763"/>
      <c r="X190" s="1764" t="s">
        <v>444</v>
      </c>
      <c r="Y190" s="1765">
        <v>104</v>
      </c>
    </row>
    <row r="191" spans="20:26" ht="43.2">
      <c r="T191" s="1766"/>
      <c r="U191" s="1767" t="s">
        <v>447</v>
      </c>
      <c r="V191" s="1767" t="s">
        <v>448</v>
      </c>
      <c r="W191" s="1763" t="s">
        <v>449</v>
      </c>
      <c r="X191" s="1768" t="s">
        <v>215</v>
      </c>
      <c r="Y191" s="1765" t="s">
        <v>216</v>
      </c>
      <c r="Z191" s="1769"/>
    </row>
    <row r="192" spans="20:26" ht="14.4">
      <c r="T192" s="1770" t="s">
        <v>142</v>
      </c>
      <c r="U192" s="1771">
        <v>8</v>
      </c>
      <c r="V192" s="1772">
        <v>2</v>
      </c>
      <c r="W192" s="1771"/>
      <c r="X192" s="1773">
        <v>46052.497065501666</v>
      </c>
      <c r="Y192" s="1774">
        <f>(U190/U192)*(2/5)</f>
        <v>0.25</v>
      </c>
      <c r="Z192" s="1775">
        <f>Y190*U190</f>
        <v>520</v>
      </c>
    </row>
    <row r="193" spans="20:26" ht="14.4">
      <c r="T193" s="1770" t="s">
        <v>466</v>
      </c>
      <c r="U193" s="1771">
        <v>2.5</v>
      </c>
      <c r="V193" s="1772">
        <v>2</v>
      </c>
      <c r="W193" s="1771"/>
      <c r="X193" s="1773">
        <v>26813.53787707692</v>
      </c>
      <c r="Y193" s="1774">
        <f>ROUNDUP((U$190/U193),0)*(V193/5)</f>
        <v>0.8</v>
      </c>
      <c r="Z193" s="1776" t="s">
        <v>217</v>
      </c>
    </row>
    <row r="194" spans="20:26" ht="14.4">
      <c r="T194" s="1770" t="s">
        <v>467</v>
      </c>
      <c r="U194" s="1771">
        <v>2.5</v>
      </c>
      <c r="V194" s="1772">
        <v>2</v>
      </c>
      <c r="W194" s="1771"/>
      <c r="X194" s="1773">
        <v>26813.53787707692</v>
      </c>
      <c r="Y194" s="1774">
        <f>ROUNDUP((U$190/U194),0)*(V194/5)</f>
        <v>0.8</v>
      </c>
      <c r="Z194" s="1777">
        <f t="shared" ref="Z194:Z199" si="4">X192*Y192</f>
        <v>11513.124266375416</v>
      </c>
    </row>
    <row r="195" spans="20:26" ht="14.4">
      <c r="T195" s="1770" t="s">
        <v>468</v>
      </c>
      <c r="U195" s="1771">
        <v>2.5</v>
      </c>
      <c r="V195" s="1772">
        <v>2</v>
      </c>
      <c r="W195" s="1771"/>
      <c r="X195" s="1773">
        <v>26813.53787707692</v>
      </c>
      <c r="Y195" s="1774">
        <f>ROUNDUP((U$190/U195),0)*(V195/5)</f>
        <v>0.8</v>
      </c>
      <c r="Z195" s="1777">
        <f t="shared" si="4"/>
        <v>21450.830301661539</v>
      </c>
    </row>
    <row r="196" spans="20:26" ht="14.4">
      <c r="T196" s="1770" t="s">
        <v>469</v>
      </c>
      <c r="U196" s="1763"/>
      <c r="V196" s="1763"/>
      <c r="W196" s="1778">
        <f>$X$10</f>
        <v>9.6153846153846159E-2</v>
      </c>
      <c r="X196" s="1773">
        <v>26813.53787707692</v>
      </c>
      <c r="Y196" s="1774">
        <f>SUM(Y193:Y195)*W196</f>
        <v>0.23076923076923081</v>
      </c>
      <c r="Z196" s="1777">
        <f t="shared" si="4"/>
        <v>21450.830301661539</v>
      </c>
    </row>
    <row r="197" spans="20:26" ht="14.4">
      <c r="T197" s="1779" t="s">
        <v>146</v>
      </c>
      <c r="U197" s="1780">
        <v>25</v>
      </c>
      <c r="V197" s="1781">
        <v>2</v>
      </c>
      <c r="W197" s="1782"/>
      <c r="X197" s="1773">
        <v>32423.441303659107</v>
      </c>
      <c r="Y197" s="1774">
        <f>(U190/U197)*(2/5)</f>
        <v>8.0000000000000016E-2</v>
      </c>
      <c r="Z197" s="1777">
        <f t="shared" si="4"/>
        <v>21450.830301661539</v>
      </c>
    </row>
    <row r="198" spans="20:26" ht="14.4">
      <c r="T198" s="1783" t="s">
        <v>266</v>
      </c>
      <c r="U198" s="1784"/>
      <c r="V198" s="1785"/>
      <c r="W198" s="1786"/>
      <c r="X198" s="1787"/>
      <c r="Y198" s="1788">
        <f>SUM(Y192:Y197)</f>
        <v>2.9607692307692313</v>
      </c>
      <c r="Z198" s="1777">
        <f t="shared" si="4"/>
        <v>6187.7395100946751</v>
      </c>
    </row>
    <row r="199" spans="20:26" ht="14.4">
      <c r="T199" s="1766"/>
      <c r="U199" s="1763"/>
      <c r="V199" s="1763"/>
      <c r="W199" s="1763"/>
      <c r="X199" s="1768"/>
      <c r="Y199" s="1789"/>
      <c r="Z199" s="1777">
        <f t="shared" si="4"/>
        <v>2593.8753042927292</v>
      </c>
    </row>
    <row r="200" spans="20:26" ht="14.4">
      <c r="T200" s="1766" t="s">
        <v>224</v>
      </c>
      <c r="U200" s="1763"/>
      <c r="V200" s="1763"/>
      <c r="W200" s="1763"/>
      <c r="X200" s="1768"/>
      <c r="Y200" s="1765" t="s">
        <v>454</v>
      </c>
      <c r="Z200" s="1790">
        <f>SUM(Z194:Z199)</f>
        <v>84647.229985747428</v>
      </c>
    </row>
    <row r="201" spans="20:26" ht="14.4">
      <c r="T201" s="1791" t="s">
        <v>183</v>
      </c>
      <c r="U201" s="1792"/>
      <c r="V201" s="1792"/>
      <c r="W201" s="1793">
        <v>0.22</v>
      </c>
      <c r="X201" s="1792"/>
      <c r="Y201" s="1794"/>
      <c r="Z201" s="1776"/>
    </row>
    <row r="202" spans="20:26" ht="14.4">
      <c r="T202" s="1795" t="s">
        <v>225</v>
      </c>
      <c r="U202" s="1796"/>
      <c r="V202" s="1796"/>
      <c r="W202" s="1796"/>
      <c r="X202" s="1797"/>
      <c r="Y202" s="1798">
        <f>Z204/Z192</f>
        <v>198.59542419733052</v>
      </c>
      <c r="Z202" s="1776"/>
    </row>
    <row r="203" spans="20:26" ht="14.4">
      <c r="T203" s="1791"/>
      <c r="U203" s="1792"/>
      <c r="V203" s="1792"/>
      <c r="W203" s="1792"/>
      <c r="X203" s="1773"/>
      <c r="Y203" s="1794"/>
      <c r="Z203" s="1777">
        <f>W201*Z200</f>
        <v>18622.390596864436</v>
      </c>
    </row>
    <row r="204" spans="20:26" ht="14.4">
      <c r="T204" s="1791" t="s">
        <v>223</v>
      </c>
      <c r="U204" s="1792"/>
      <c r="V204" s="1792"/>
      <c r="W204" s="1792"/>
      <c r="X204" s="1773"/>
      <c r="Y204" s="1774">
        <v>50.470562508471446</v>
      </c>
      <c r="Z204" s="1790">
        <f>Z200+Z203</f>
        <v>103269.62058261187</v>
      </c>
    </row>
    <row r="205" spans="20:26" ht="14.4">
      <c r="T205" s="1791" t="s">
        <v>457</v>
      </c>
      <c r="U205" s="1792"/>
      <c r="V205" s="1792"/>
      <c r="W205" s="1792"/>
      <c r="X205" s="1773"/>
      <c r="Y205" s="1774">
        <v>11.59</v>
      </c>
      <c r="Z205" s="1777"/>
    </row>
    <row r="206" spans="20:26" ht="14.4">
      <c r="T206" s="1791"/>
      <c r="U206" s="1792"/>
      <c r="V206" s="1792"/>
      <c r="W206" s="1792"/>
      <c r="X206" s="1773"/>
      <c r="Y206" s="1788">
        <f>SUM(Y204:Y205)</f>
        <v>62.060562508471449</v>
      </c>
      <c r="Z206" s="1777">
        <f>Y204*Z192</f>
        <v>26244.692504405153</v>
      </c>
    </row>
    <row r="207" spans="20:26" ht="14.4">
      <c r="T207" s="1799" t="s">
        <v>458</v>
      </c>
      <c r="U207" s="1800"/>
      <c r="V207" s="1800"/>
      <c r="W207" s="1800"/>
      <c r="X207" s="1787"/>
      <c r="Y207" s="1788"/>
      <c r="Z207" s="1801">
        <f>Y205*Z192</f>
        <v>6026.8</v>
      </c>
    </row>
    <row r="208" spans="20:26" ht="14.4">
      <c r="T208" s="1791" t="s">
        <v>227</v>
      </c>
      <c r="U208" s="1792"/>
      <c r="V208" s="1792"/>
      <c r="W208" s="1793">
        <v>0.11</v>
      </c>
      <c r="X208" s="1763"/>
      <c r="Y208" s="1774"/>
      <c r="Z208" s="1776">
        <f>SUM(Z206:Z207)</f>
        <v>32271.492504405152</v>
      </c>
    </row>
    <row r="209" spans="20:26" ht="15" thickBot="1">
      <c r="T209" s="1802" t="s">
        <v>188</v>
      </c>
      <c r="U209" s="1803"/>
      <c r="V209" s="1803"/>
      <c r="W209" s="1803"/>
      <c r="X209" s="1804"/>
      <c r="Y209" s="1805"/>
      <c r="Z209" s="1790">
        <f>Z204+Z208</f>
        <v>135541.11308701703</v>
      </c>
    </row>
    <row r="210" spans="20:26" ht="15" thickTop="1">
      <c r="T210" s="1766"/>
      <c r="U210" s="1763"/>
      <c r="V210" s="1763"/>
      <c r="W210" s="1763"/>
      <c r="X210" s="1768"/>
      <c r="Y210" s="1789"/>
      <c r="Z210" s="1777">
        <f>W208*Z209</f>
        <v>14909.522439571874</v>
      </c>
    </row>
    <row r="211" spans="20:26" ht="15" thickBot="1">
      <c r="T211" s="1766"/>
      <c r="U211" s="1763"/>
      <c r="V211" s="1763"/>
      <c r="W211" s="1763"/>
      <c r="X211" s="1768"/>
      <c r="Y211" s="1789"/>
      <c r="Z211" s="1806">
        <f>Z209+Z210</f>
        <v>150450.63552658891</v>
      </c>
    </row>
    <row r="212" spans="20:26" ht="15" thickTop="1">
      <c r="T212" s="1807" t="s">
        <v>237</v>
      </c>
      <c r="U212" s="1808"/>
      <c r="V212" s="1808"/>
      <c r="W212" s="1808"/>
      <c r="X212" s="1808"/>
      <c r="Y212" s="1808"/>
      <c r="Z212" s="1776"/>
    </row>
    <row r="213" spans="20:26" ht="15" thickBot="1">
      <c r="T213" s="1807" t="s">
        <v>189</v>
      </c>
      <c r="U213" s="1808"/>
      <c r="V213" s="1808"/>
      <c r="W213" s="1793">
        <f>U24</f>
        <v>0</v>
      </c>
      <c r="X213" s="1792"/>
      <c r="Y213" s="1808"/>
      <c r="Z213" s="1776"/>
    </row>
    <row r="214" spans="20:26" ht="15" thickBot="1">
      <c r="T214" s="1809" t="s">
        <v>461</v>
      </c>
      <c r="U214" s="1810"/>
      <c r="V214" s="1810"/>
      <c r="W214" s="1811">
        <v>0.85</v>
      </c>
      <c r="X214" s="1812"/>
      <c r="Y214" s="1810"/>
      <c r="Z214" s="1813">
        <f>Z211/Z192</f>
        <v>289.32814524344025</v>
      </c>
    </row>
    <row r="215" spans="20:26" ht="15" thickBot="1">
      <c r="T215" s="1809" t="s">
        <v>461</v>
      </c>
      <c r="U215" s="1810"/>
      <c r="V215" s="1810"/>
      <c r="W215" s="1814">
        <v>0.95</v>
      </c>
      <c r="X215" s="1812"/>
      <c r="Y215" s="1810"/>
      <c r="Z215" s="1813">
        <f>Z214*(1+W213)</f>
        <v>289.32814524344025</v>
      </c>
    </row>
    <row r="216" spans="20:26" ht="15" thickBot="1">
      <c r="Z216" s="1815">
        <f>Z215/W214</f>
        <v>340.38605322757678</v>
      </c>
    </row>
    <row r="217" spans="20:26" ht="15" thickBot="1">
      <c r="Z217" s="1816">
        <f>Z215/W215</f>
        <v>304.55594236151609</v>
      </c>
    </row>
  </sheetData>
  <mergeCells count="9">
    <mergeCell ref="B31:H31"/>
    <mergeCell ref="K31:Q31"/>
    <mergeCell ref="B3:H3"/>
    <mergeCell ref="K3:Q3"/>
    <mergeCell ref="U4:V4"/>
    <mergeCell ref="W4:X4"/>
    <mergeCell ref="T12:U12"/>
    <mergeCell ref="T17:U17"/>
    <mergeCell ref="V17:X17"/>
  </mergeCells>
  <pageMargins left="0.17" right="0.17" top="0.4" bottom="0.49" header="0.34" footer="0.5"/>
  <pageSetup scale="41" orientation="landscape" r:id="rId1"/>
  <headerFooter alignWithMargins="0">
    <oddHeader>&amp;F</oddHeader>
    <oddFooter>&amp;LDRAFT&amp;RPage 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0"/>
  <sheetViews>
    <sheetView topLeftCell="A10" workbookViewId="0">
      <selection activeCell="W17" sqref="W17"/>
    </sheetView>
  </sheetViews>
  <sheetFormatPr defaultRowHeight="13.2"/>
  <cols>
    <col min="1" max="1" width="8.88671875" style="829"/>
    <col min="2" max="2" width="21" style="829" customWidth="1"/>
    <col min="3" max="3" width="13.44140625" style="829" bestFit="1" customWidth="1"/>
    <col min="4" max="4" width="11.44140625" style="829" bestFit="1" customWidth="1"/>
    <col min="5" max="6" width="8.88671875" style="829"/>
    <col min="7" max="7" width="14.6640625" style="829" customWidth="1"/>
    <col min="8" max="8" width="8.88671875" style="829"/>
    <col min="9" max="9" width="18.109375" style="829" bestFit="1" customWidth="1"/>
    <col min="10" max="11" width="8.88671875" style="829"/>
    <col min="12" max="12" width="10" style="829" bestFit="1" customWidth="1"/>
    <col min="13" max="13" width="8.88671875" style="829"/>
    <col min="14" max="14" width="9.33203125" style="829" customWidth="1"/>
    <col min="15" max="16" width="8.88671875" style="829"/>
    <col min="17" max="17" width="0" style="829" hidden="1" customWidth="1"/>
    <col min="18" max="18" width="22.109375" style="829" hidden="1" customWidth="1"/>
    <col min="19" max="19" width="12" style="829" hidden="1" customWidth="1"/>
    <col min="20" max="20" width="12.6640625" style="829" hidden="1" customWidth="1"/>
    <col min="21" max="24" width="0" style="829" hidden="1" customWidth="1"/>
    <col min="25" max="25" width="10" style="829" hidden="1" customWidth="1"/>
    <col min="26" max="26" width="0" style="829" hidden="1" customWidth="1"/>
    <col min="27" max="27" width="22.109375" style="829" hidden="1" customWidth="1"/>
    <col min="28" max="28" width="4.6640625" style="829" hidden="1" customWidth="1"/>
    <col min="29" max="34" width="0" style="829" hidden="1" customWidth="1"/>
    <col min="35" max="273" width="8.88671875" style="829"/>
    <col min="274" max="274" width="22.109375" style="829" bestFit="1" customWidth="1"/>
    <col min="275" max="275" width="6.6640625" style="829" bestFit="1" customWidth="1"/>
    <col min="276" max="276" width="12.6640625" style="829" bestFit="1" customWidth="1"/>
    <col min="277" max="282" width="8.88671875" style="829"/>
    <col min="283" max="283" width="22.109375" style="829" bestFit="1" customWidth="1"/>
    <col min="284" max="284" width="4.6640625" style="829" bestFit="1" customWidth="1"/>
    <col min="285" max="529" width="8.88671875" style="829"/>
    <col min="530" max="530" width="22.109375" style="829" bestFit="1" customWidth="1"/>
    <col min="531" max="531" width="6.6640625" style="829" bestFit="1" customWidth="1"/>
    <col min="532" max="532" width="12.6640625" style="829" bestFit="1" customWidth="1"/>
    <col min="533" max="538" width="8.88671875" style="829"/>
    <col min="539" max="539" width="22.109375" style="829" bestFit="1" customWidth="1"/>
    <col min="540" max="540" width="4.6640625" style="829" bestFit="1" customWidth="1"/>
    <col min="541" max="785" width="8.88671875" style="829"/>
    <col min="786" max="786" width="22.109375" style="829" bestFit="1" customWidth="1"/>
    <col min="787" max="787" width="6.6640625" style="829" bestFit="1" customWidth="1"/>
    <col min="788" max="788" width="12.6640625" style="829" bestFit="1" customWidth="1"/>
    <col min="789" max="794" width="8.88671875" style="829"/>
    <col min="795" max="795" width="22.109375" style="829" bestFit="1" customWidth="1"/>
    <col min="796" max="796" width="4.6640625" style="829" bestFit="1" customWidth="1"/>
    <col min="797" max="1041" width="8.88671875" style="829"/>
    <col min="1042" max="1042" width="22.109375" style="829" bestFit="1" customWidth="1"/>
    <col min="1043" max="1043" width="6.6640625" style="829" bestFit="1" customWidth="1"/>
    <col min="1044" max="1044" width="12.6640625" style="829" bestFit="1" customWidth="1"/>
    <col min="1045" max="1050" width="8.88671875" style="829"/>
    <col min="1051" max="1051" width="22.109375" style="829" bestFit="1" customWidth="1"/>
    <col min="1052" max="1052" width="4.6640625" style="829" bestFit="1" customWidth="1"/>
    <col min="1053" max="1297" width="8.88671875" style="829"/>
    <col min="1298" max="1298" width="22.109375" style="829" bestFit="1" customWidth="1"/>
    <col min="1299" max="1299" width="6.6640625" style="829" bestFit="1" customWidth="1"/>
    <col min="1300" max="1300" width="12.6640625" style="829" bestFit="1" customWidth="1"/>
    <col min="1301" max="1306" width="8.88671875" style="829"/>
    <col min="1307" max="1307" width="22.109375" style="829" bestFit="1" customWidth="1"/>
    <col min="1308" max="1308" width="4.6640625" style="829" bestFit="1" customWidth="1"/>
    <col min="1309" max="1553" width="8.88671875" style="829"/>
    <col min="1554" max="1554" width="22.109375" style="829" bestFit="1" customWidth="1"/>
    <col min="1555" max="1555" width="6.6640625" style="829" bestFit="1" customWidth="1"/>
    <col min="1556" max="1556" width="12.6640625" style="829" bestFit="1" customWidth="1"/>
    <col min="1557" max="1562" width="8.88671875" style="829"/>
    <col min="1563" max="1563" width="22.109375" style="829" bestFit="1" customWidth="1"/>
    <col min="1564" max="1564" width="4.6640625" style="829" bestFit="1" customWidth="1"/>
    <col min="1565" max="1809" width="8.88671875" style="829"/>
    <col min="1810" max="1810" width="22.109375" style="829" bestFit="1" customWidth="1"/>
    <col min="1811" max="1811" width="6.6640625" style="829" bestFit="1" customWidth="1"/>
    <col min="1812" max="1812" width="12.6640625" style="829" bestFit="1" customWidth="1"/>
    <col min="1813" max="1818" width="8.88671875" style="829"/>
    <col min="1819" max="1819" width="22.109375" style="829" bestFit="1" customWidth="1"/>
    <col min="1820" max="1820" width="4.6640625" style="829" bestFit="1" customWidth="1"/>
    <col min="1821" max="2065" width="8.88671875" style="829"/>
    <col min="2066" max="2066" width="22.109375" style="829" bestFit="1" customWidth="1"/>
    <col min="2067" max="2067" width="6.6640625" style="829" bestFit="1" customWidth="1"/>
    <col min="2068" max="2068" width="12.6640625" style="829" bestFit="1" customWidth="1"/>
    <col min="2069" max="2074" width="8.88671875" style="829"/>
    <col min="2075" max="2075" width="22.109375" style="829" bestFit="1" customWidth="1"/>
    <col min="2076" max="2076" width="4.6640625" style="829" bestFit="1" customWidth="1"/>
    <col min="2077" max="2321" width="8.88671875" style="829"/>
    <col min="2322" max="2322" width="22.109375" style="829" bestFit="1" customWidth="1"/>
    <col min="2323" max="2323" width="6.6640625" style="829" bestFit="1" customWidth="1"/>
    <col min="2324" max="2324" width="12.6640625" style="829" bestFit="1" customWidth="1"/>
    <col min="2325" max="2330" width="8.88671875" style="829"/>
    <col min="2331" max="2331" width="22.109375" style="829" bestFit="1" customWidth="1"/>
    <col min="2332" max="2332" width="4.6640625" style="829" bestFit="1" customWidth="1"/>
    <col min="2333" max="2577" width="8.88671875" style="829"/>
    <col min="2578" max="2578" width="22.109375" style="829" bestFit="1" customWidth="1"/>
    <col min="2579" max="2579" width="6.6640625" style="829" bestFit="1" customWidth="1"/>
    <col min="2580" max="2580" width="12.6640625" style="829" bestFit="1" customWidth="1"/>
    <col min="2581" max="2586" width="8.88671875" style="829"/>
    <col min="2587" max="2587" width="22.109375" style="829" bestFit="1" customWidth="1"/>
    <col min="2588" max="2588" width="4.6640625" style="829" bestFit="1" customWidth="1"/>
    <col min="2589" max="2833" width="8.88671875" style="829"/>
    <col min="2834" max="2834" width="22.109375" style="829" bestFit="1" customWidth="1"/>
    <col min="2835" max="2835" width="6.6640625" style="829" bestFit="1" customWidth="1"/>
    <col min="2836" max="2836" width="12.6640625" style="829" bestFit="1" customWidth="1"/>
    <col min="2837" max="2842" width="8.88671875" style="829"/>
    <col min="2843" max="2843" width="22.109375" style="829" bestFit="1" customWidth="1"/>
    <col min="2844" max="2844" width="4.6640625" style="829" bestFit="1" customWidth="1"/>
    <col min="2845" max="3089" width="8.88671875" style="829"/>
    <col min="3090" max="3090" width="22.109375" style="829" bestFit="1" customWidth="1"/>
    <col min="3091" max="3091" width="6.6640625" style="829" bestFit="1" customWidth="1"/>
    <col min="3092" max="3092" width="12.6640625" style="829" bestFit="1" customWidth="1"/>
    <col min="3093" max="3098" width="8.88671875" style="829"/>
    <col min="3099" max="3099" width="22.109375" style="829" bestFit="1" customWidth="1"/>
    <col min="3100" max="3100" width="4.6640625" style="829" bestFit="1" customWidth="1"/>
    <col min="3101" max="3345" width="8.88671875" style="829"/>
    <col min="3346" max="3346" width="22.109375" style="829" bestFit="1" customWidth="1"/>
    <col min="3347" max="3347" width="6.6640625" style="829" bestFit="1" customWidth="1"/>
    <col min="3348" max="3348" width="12.6640625" style="829" bestFit="1" customWidth="1"/>
    <col min="3349" max="3354" width="8.88671875" style="829"/>
    <col min="3355" max="3355" width="22.109375" style="829" bestFit="1" customWidth="1"/>
    <col min="3356" max="3356" width="4.6640625" style="829" bestFit="1" customWidth="1"/>
    <col min="3357" max="3601" width="8.88671875" style="829"/>
    <col min="3602" max="3602" width="22.109375" style="829" bestFit="1" customWidth="1"/>
    <col min="3603" max="3603" width="6.6640625" style="829" bestFit="1" customWidth="1"/>
    <col min="3604" max="3604" width="12.6640625" style="829" bestFit="1" customWidth="1"/>
    <col min="3605" max="3610" width="8.88671875" style="829"/>
    <col min="3611" max="3611" width="22.109375" style="829" bestFit="1" customWidth="1"/>
    <col min="3612" max="3612" width="4.6640625" style="829" bestFit="1" customWidth="1"/>
    <col min="3613" max="3857" width="8.88671875" style="829"/>
    <col min="3858" max="3858" width="22.109375" style="829" bestFit="1" customWidth="1"/>
    <col min="3859" max="3859" width="6.6640625" style="829" bestFit="1" customWidth="1"/>
    <col min="3860" max="3860" width="12.6640625" style="829" bestFit="1" customWidth="1"/>
    <col min="3861" max="3866" width="8.88671875" style="829"/>
    <col min="3867" max="3867" width="22.109375" style="829" bestFit="1" customWidth="1"/>
    <col min="3868" max="3868" width="4.6640625" style="829" bestFit="1" customWidth="1"/>
    <col min="3869" max="4113" width="8.88671875" style="829"/>
    <col min="4114" max="4114" width="22.109375" style="829" bestFit="1" customWidth="1"/>
    <col min="4115" max="4115" width="6.6640625" style="829" bestFit="1" customWidth="1"/>
    <col min="4116" max="4116" width="12.6640625" style="829" bestFit="1" customWidth="1"/>
    <col min="4117" max="4122" width="8.88671875" style="829"/>
    <col min="4123" max="4123" width="22.109375" style="829" bestFit="1" customWidth="1"/>
    <col min="4124" max="4124" width="4.6640625" style="829" bestFit="1" customWidth="1"/>
    <col min="4125" max="4369" width="8.88671875" style="829"/>
    <col min="4370" max="4370" width="22.109375" style="829" bestFit="1" customWidth="1"/>
    <col min="4371" max="4371" width="6.6640625" style="829" bestFit="1" customWidth="1"/>
    <col min="4372" max="4372" width="12.6640625" style="829" bestFit="1" customWidth="1"/>
    <col min="4373" max="4378" width="8.88671875" style="829"/>
    <col min="4379" max="4379" width="22.109375" style="829" bestFit="1" customWidth="1"/>
    <col min="4380" max="4380" width="4.6640625" style="829" bestFit="1" customWidth="1"/>
    <col min="4381" max="4625" width="8.88671875" style="829"/>
    <col min="4626" max="4626" width="22.109375" style="829" bestFit="1" customWidth="1"/>
    <col min="4627" max="4627" width="6.6640625" style="829" bestFit="1" customWidth="1"/>
    <col min="4628" max="4628" width="12.6640625" style="829" bestFit="1" customWidth="1"/>
    <col min="4629" max="4634" width="8.88671875" style="829"/>
    <col min="4635" max="4635" width="22.109375" style="829" bestFit="1" customWidth="1"/>
    <col min="4636" max="4636" width="4.6640625" style="829" bestFit="1" customWidth="1"/>
    <col min="4637" max="4881" width="8.88671875" style="829"/>
    <col min="4882" max="4882" width="22.109375" style="829" bestFit="1" customWidth="1"/>
    <col min="4883" max="4883" width="6.6640625" style="829" bestFit="1" customWidth="1"/>
    <col min="4884" max="4884" width="12.6640625" style="829" bestFit="1" customWidth="1"/>
    <col min="4885" max="4890" width="8.88671875" style="829"/>
    <col min="4891" max="4891" width="22.109375" style="829" bestFit="1" customWidth="1"/>
    <col min="4892" max="4892" width="4.6640625" style="829" bestFit="1" customWidth="1"/>
    <col min="4893" max="5137" width="8.88671875" style="829"/>
    <col min="5138" max="5138" width="22.109375" style="829" bestFit="1" customWidth="1"/>
    <col min="5139" max="5139" width="6.6640625" style="829" bestFit="1" customWidth="1"/>
    <col min="5140" max="5140" width="12.6640625" style="829" bestFit="1" customWidth="1"/>
    <col min="5141" max="5146" width="8.88671875" style="829"/>
    <col min="5147" max="5147" width="22.109375" style="829" bestFit="1" customWidth="1"/>
    <col min="5148" max="5148" width="4.6640625" style="829" bestFit="1" customWidth="1"/>
    <col min="5149" max="5393" width="8.88671875" style="829"/>
    <col min="5394" max="5394" width="22.109375" style="829" bestFit="1" customWidth="1"/>
    <col min="5395" max="5395" width="6.6640625" style="829" bestFit="1" customWidth="1"/>
    <col min="5396" max="5396" width="12.6640625" style="829" bestFit="1" customWidth="1"/>
    <col min="5397" max="5402" width="8.88671875" style="829"/>
    <col min="5403" max="5403" width="22.109375" style="829" bestFit="1" customWidth="1"/>
    <col min="5404" max="5404" width="4.6640625" style="829" bestFit="1" customWidth="1"/>
    <col min="5405" max="5649" width="8.88671875" style="829"/>
    <col min="5650" max="5650" width="22.109375" style="829" bestFit="1" customWidth="1"/>
    <col min="5651" max="5651" width="6.6640625" style="829" bestFit="1" customWidth="1"/>
    <col min="5652" max="5652" width="12.6640625" style="829" bestFit="1" customWidth="1"/>
    <col min="5653" max="5658" width="8.88671875" style="829"/>
    <col min="5659" max="5659" width="22.109375" style="829" bestFit="1" customWidth="1"/>
    <col min="5660" max="5660" width="4.6640625" style="829" bestFit="1" customWidth="1"/>
    <col min="5661" max="5905" width="8.88671875" style="829"/>
    <col min="5906" max="5906" width="22.109375" style="829" bestFit="1" customWidth="1"/>
    <col min="5907" max="5907" width="6.6640625" style="829" bestFit="1" customWidth="1"/>
    <col min="5908" max="5908" width="12.6640625" style="829" bestFit="1" customWidth="1"/>
    <col min="5909" max="5914" width="8.88671875" style="829"/>
    <col min="5915" max="5915" width="22.109375" style="829" bestFit="1" customWidth="1"/>
    <col min="5916" max="5916" width="4.6640625" style="829" bestFit="1" customWidth="1"/>
    <col min="5917" max="6161" width="8.88671875" style="829"/>
    <col min="6162" max="6162" width="22.109375" style="829" bestFit="1" customWidth="1"/>
    <col min="6163" max="6163" width="6.6640625" style="829" bestFit="1" customWidth="1"/>
    <col min="6164" max="6164" width="12.6640625" style="829" bestFit="1" customWidth="1"/>
    <col min="6165" max="6170" width="8.88671875" style="829"/>
    <col min="6171" max="6171" width="22.109375" style="829" bestFit="1" customWidth="1"/>
    <col min="6172" max="6172" width="4.6640625" style="829" bestFit="1" customWidth="1"/>
    <col min="6173" max="6417" width="8.88671875" style="829"/>
    <col min="6418" max="6418" width="22.109375" style="829" bestFit="1" customWidth="1"/>
    <col min="6419" max="6419" width="6.6640625" style="829" bestFit="1" customWidth="1"/>
    <col min="6420" max="6420" width="12.6640625" style="829" bestFit="1" customWidth="1"/>
    <col min="6421" max="6426" width="8.88671875" style="829"/>
    <col min="6427" max="6427" width="22.109375" style="829" bestFit="1" customWidth="1"/>
    <col min="6428" max="6428" width="4.6640625" style="829" bestFit="1" customWidth="1"/>
    <col min="6429" max="6673" width="8.88671875" style="829"/>
    <col min="6674" max="6674" width="22.109375" style="829" bestFit="1" customWidth="1"/>
    <col min="6675" max="6675" width="6.6640625" style="829" bestFit="1" customWidth="1"/>
    <col min="6676" max="6676" width="12.6640625" style="829" bestFit="1" customWidth="1"/>
    <col min="6677" max="6682" width="8.88671875" style="829"/>
    <col min="6683" max="6683" width="22.109375" style="829" bestFit="1" customWidth="1"/>
    <col min="6684" max="6684" width="4.6640625" style="829" bestFit="1" customWidth="1"/>
    <col min="6685" max="6929" width="8.88671875" style="829"/>
    <col min="6930" max="6930" width="22.109375" style="829" bestFit="1" customWidth="1"/>
    <col min="6931" max="6931" width="6.6640625" style="829" bestFit="1" customWidth="1"/>
    <col min="6932" max="6932" width="12.6640625" style="829" bestFit="1" customWidth="1"/>
    <col min="6933" max="6938" width="8.88671875" style="829"/>
    <col min="6939" max="6939" width="22.109375" style="829" bestFit="1" customWidth="1"/>
    <col min="6940" max="6940" width="4.6640625" style="829" bestFit="1" customWidth="1"/>
    <col min="6941" max="7185" width="8.88671875" style="829"/>
    <col min="7186" max="7186" width="22.109375" style="829" bestFit="1" customWidth="1"/>
    <col min="7187" max="7187" width="6.6640625" style="829" bestFit="1" customWidth="1"/>
    <col min="7188" max="7188" width="12.6640625" style="829" bestFit="1" customWidth="1"/>
    <col min="7189" max="7194" width="8.88671875" style="829"/>
    <col min="7195" max="7195" width="22.109375" style="829" bestFit="1" customWidth="1"/>
    <col min="7196" max="7196" width="4.6640625" style="829" bestFit="1" customWidth="1"/>
    <col min="7197" max="7441" width="8.88671875" style="829"/>
    <col min="7442" max="7442" width="22.109375" style="829" bestFit="1" customWidth="1"/>
    <col min="7443" max="7443" width="6.6640625" style="829" bestFit="1" customWidth="1"/>
    <col min="7444" max="7444" width="12.6640625" style="829" bestFit="1" customWidth="1"/>
    <col min="7445" max="7450" width="8.88671875" style="829"/>
    <col min="7451" max="7451" width="22.109375" style="829" bestFit="1" customWidth="1"/>
    <col min="7452" max="7452" width="4.6640625" style="829" bestFit="1" customWidth="1"/>
    <col min="7453" max="7697" width="8.88671875" style="829"/>
    <col min="7698" max="7698" width="22.109375" style="829" bestFit="1" customWidth="1"/>
    <col min="7699" max="7699" width="6.6640625" style="829" bestFit="1" customWidth="1"/>
    <col min="7700" max="7700" width="12.6640625" style="829" bestFit="1" customWidth="1"/>
    <col min="7701" max="7706" width="8.88671875" style="829"/>
    <col min="7707" max="7707" width="22.109375" style="829" bestFit="1" customWidth="1"/>
    <col min="7708" max="7708" width="4.6640625" style="829" bestFit="1" customWidth="1"/>
    <col min="7709" max="7953" width="8.88671875" style="829"/>
    <col min="7954" max="7954" width="22.109375" style="829" bestFit="1" customWidth="1"/>
    <col min="7955" max="7955" width="6.6640625" style="829" bestFit="1" customWidth="1"/>
    <col min="7956" max="7956" width="12.6640625" style="829" bestFit="1" customWidth="1"/>
    <col min="7957" max="7962" width="8.88671875" style="829"/>
    <col min="7963" max="7963" width="22.109375" style="829" bestFit="1" customWidth="1"/>
    <col min="7964" max="7964" width="4.6640625" style="829" bestFit="1" customWidth="1"/>
    <col min="7965" max="8209" width="8.88671875" style="829"/>
    <col min="8210" max="8210" width="22.109375" style="829" bestFit="1" customWidth="1"/>
    <col min="8211" max="8211" width="6.6640625" style="829" bestFit="1" customWidth="1"/>
    <col min="8212" max="8212" width="12.6640625" style="829" bestFit="1" customWidth="1"/>
    <col min="8213" max="8218" width="8.88671875" style="829"/>
    <col min="8219" max="8219" width="22.109375" style="829" bestFit="1" customWidth="1"/>
    <col min="8220" max="8220" width="4.6640625" style="829" bestFit="1" customWidth="1"/>
    <col min="8221" max="8465" width="8.88671875" style="829"/>
    <col min="8466" max="8466" width="22.109375" style="829" bestFit="1" customWidth="1"/>
    <col min="8467" max="8467" width="6.6640625" style="829" bestFit="1" customWidth="1"/>
    <col min="8468" max="8468" width="12.6640625" style="829" bestFit="1" customWidth="1"/>
    <col min="8469" max="8474" width="8.88671875" style="829"/>
    <col min="8475" max="8475" width="22.109375" style="829" bestFit="1" customWidth="1"/>
    <col min="8476" max="8476" width="4.6640625" style="829" bestFit="1" customWidth="1"/>
    <col min="8477" max="8721" width="8.88671875" style="829"/>
    <col min="8722" max="8722" width="22.109375" style="829" bestFit="1" customWidth="1"/>
    <col min="8723" max="8723" width="6.6640625" style="829" bestFit="1" customWidth="1"/>
    <col min="8724" max="8724" width="12.6640625" style="829" bestFit="1" customWidth="1"/>
    <col min="8725" max="8730" width="8.88671875" style="829"/>
    <col min="8731" max="8731" width="22.109375" style="829" bestFit="1" customWidth="1"/>
    <col min="8732" max="8732" width="4.6640625" style="829" bestFit="1" customWidth="1"/>
    <col min="8733" max="8977" width="8.88671875" style="829"/>
    <col min="8978" max="8978" width="22.109375" style="829" bestFit="1" customWidth="1"/>
    <col min="8979" max="8979" width="6.6640625" style="829" bestFit="1" customWidth="1"/>
    <col min="8980" max="8980" width="12.6640625" style="829" bestFit="1" customWidth="1"/>
    <col min="8981" max="8986" width="8.88671875" style="829"/>
    <col min="8987" max="8987" width="22.109375" style="829" bestFit="1" customWidth="1"/>
    <col min="8988" max="8988" width="4.6640625" style="829" bestFit="1" customWidth="1"/>
    <col min="8989" max="9233" width="8.88671875" style="829"/>
    <col min="9234" max="9234" width="22.109375" style="829" bestFit="1" customWidth="1"/>
    <col min="9235" max="9235" width="6.6640625" style="829" bestFit="1" customWidth="1"/>
    <col min="9236" max="9236" width="12.6640625" style="829" bestFit="1" customWidth="1"/>
    <col min="9237" max="9242" width="8.88671875" style="829"/>
    <col min="9243" max="9243" width="22.109375" style="829" bestFit="1" customWidth="1"/>
    <col min="9244" max="9244" width="4.6640625" style="829" bestFit="1" customWidth="1"/>
    <col min="9245" max="9489" width="8.88671875" style="829"/>
    <col min="9490" max="9490" width="22.109375" style="829" bestFit="1" customWidth="1"/>
    <col min="9491" max="9491" width="6.6640625" style="829" bestFit="1" customWidth="1"/>
    <col min="9492" max="9492" width="12.6640625" style="829" bestFit="1" customWidth="1"/>
    <col min="9493" max="9498" width="8.88671875" style="829"/>
    <col min="9499" max="9499" width="22.109375" style="829" bestFit="1" customWidth="1"/>
    <col min="9500" max="9500" width="4.6640625" style="829" bestFit="1" customWidth="1"/>
    <col min="9501" max="9745" width="8.88671875" style="829"/>
    <col min="9746" max="9746" width="22.109375" style="829" bestFit="1" customWidth="1"/>
    <col min="9747" max="9747" width="6.6640625" style="829" bestFit="1" customWidth="1"/>
    <col min="9748" max="9748" width="12.6640625" style="829" bestFit="1" customWidth="1"/>
    <col min="9749" max="9754" width="8.88671875" style="829"/>
    <col min="9755" max="9755" width="22.109375" style="829" bestFit="1" customWidth="1"/>
    <col min="9756" max="9756" width="4.6640625" style="829" bestFit="1" customWidth="1"/>
    <col min="9757" max="10001" width="8.88671875" style="829"/>
    <col min="10002" max="10002" width="22.109375" style="829" bestFit="1" customWidth="1"/>
    <col min="10003" max="10003" width="6.6640625" style="829" bestFit="1" customWidth="1"/>
    <col min="10004" max="10004" width="12.6640625" style="829" bestFit="1" customWidth="1"/>
    <col min="10005" max="10010" width="8.88671875" style="829"/>
    <col min="10011" max="10011" width="22.109375" style="829" bestFit="1" customWidth="1"/>
    <col min="10012" max="10012" width="4.6640625" style="829" bestFit="1" customWidth="1"/>
    <col min="10013" max="10257" width="8.88671875" style="829"/>
    <col min="10258" max="10258" width="22.109375" style="829" bestFit="1" customWidth="1"/>
    <col min="10259" max="10259" width="6.6640625" style="829" bestFit="1" customWidth="1"/>
    <col min="10260" max="10260" width="12.6640625" style="829" bestFit="1" customWidth="1"/>
    <col min="10261" max="10266" width="8.88671875" style="829"/>
    <col min="10267" max="10267" width="22.109375" style="829" bestFit="1" customWidth="1"/>
    <col min="10268" max="10268" width="4.6640625" style="829" bestFit="1" customWidth="1"/>
    <col min="10269" max="10513" width="8.88671875" style="829"/>
    <col min="10514" max="10514" width="22.109375" style="829" bestFit="1" customWidth="1"/>
    <col min="10515" max="10515" width="6.6640625" style="829" bestFit="1" customWidth="1"/>
    <col min="10516" max="10516" width="12.6640625" style="829" bestFit="1" customWidth="1"/>
    <col min="10517" max="10522" width="8.88671875" style="829"/>
    <col min="10523" max="10523" width="22.109375" style="829" bestFit="1" customWidth="1"/>
    <col min="10524" max="10524" width="4.6640625" style="829" bestFit="1" customWidth="1"/>
    <col min="10525" max="10769" width="8.88671875" style="829"/>
    <col min="10770" max="10770" width="22.109375" style="829" bestFit="1" customWidth="1"/>
    <col min="10771" max="10771" width="6.6640625" style="829" bestFit="1" customWidth="1"/>
    <col min="10772" max="10772" width="12.6640625" style="829" bestFit="1" customWidth="1"/>
    <col min="10773" max="10778" width="8.88671875" style="829"/>
    <col min="10779" max="10779" width="22.109375" style="829" bestFit="1" customWidth="1"/>
    <col min="10780" max="10780" width="4.6640625" style="829" bestFit="1" customWidth="1"/>
    <col min="10781" max="11025" width="8.88671875" style="829"/>
    <col min="11026" max="11026" width="22.109375" style="829" bestFit="1" customWidth="1"/>
    <col min="11027" max="11027" width="6.6640625" style="829" bestFit="1" customWidth="1"/>
    <col min="11028" max="11028" width="12.6640625" style="829" bestFit="1" customWidth="1"/>
    <col min="11029" max="11034" width="8.88671875" style="829"/>
    <col min="11035" max="11035" width="22.109375" style="829" bestFit="1" customWidth="1"/>
    <col min="11036" max="11036" width="4.6640625" style="829" bestFit="1" customWidth="1"/>
    <col min="11037" max="11281" width="8.88671875" style="829"/>
    <col min="11282" max="11282" width="22.109375" style="829" bestFit="1" customWidth="1"/>
    <col min="11283" max="11283" width="6.6640625" style="829" bestFit="1" customWidth="1"/>
    <col min="11284" max="11284" width="12.6640625" style="829" bestFit="1" customWidth="1"/>
    <col min="11285" max="11290" width="8.88671875" style="829"/>
    <col min="11291" max="11291" width="22.109375" style="829" bestFit="1" customWidth="1"/>
    <col min="11292" max="11292" width="4.6640625" style="829" bestFit="1" customWidth="1"/>
    <col min="11293" max="11537" width="8.88671875" style="829"/>
    <col min="11538" max="11538" width="22.109375" style="829" bestFit="1" customWidth="1"/>
    <col min="11539" max="11539" width="6.6640625" style="829" bestFit="1" customWidth="1"/>
    <col min="11540" max="11540" width="12.6640625" style="829" bestFit="1" customWidth="1"/>
    <col min="11541" max="11546" width="8.88671875" style="829"/>
    <col min="11547" max="11547" width="22.109375" style="829" bestFit="1" customWidth="1"/>
    <col min="11548" max="11548" width="4.6640625" style="829" bestFit="1" customWidth="1"/>
    <col min="11549" max="11793" width="8.88671875" style="829"/>
    <col min="11794" max="11794" width="22.109375" style="829" bestFit="1" customWidth="1"/>
    <col min="11795" max="11795" width="6.6640625" style="829" bestFit="1" customWidth="1"/>
    <col min="11796" max="11796" width="12.6640625" style="829" bestFit="1" customWidth="1"/>
    <col min="11797" max="11802" width="8.88671875" style="829"/>
    <col min="11803" max="11803" width="22.109375" style="829" bestFit="1" customWidth="1"/>
    <col min="11804" max="11804" width="4.6640625" style="829" bestFit="1" customWidth="1"/>
    <col min="11805" max="12049" width="8.88671875" style="829"/>
    <col min="12050" max="12050" width="22.109375" style="829" bestFit="1" customWidth="1"/>
    <col min="12051" max="12051" width="6.6640625" style="829" bestFit="1" customWidth="1"/>
    <col min="12052" max="12052" width="12.6640625" style="829" bestFit="1" customWidth="1"/>
    <col min="12053" max="12058" width="8.88671875" style="829"/>
    <col min="12059" max="12059" width="22.109375" style="829" bestFit="1" customWidth="1"/>
    <col min="12060" max="12060" width="4.6640625" style="829" bestFit="1" customWidth="1"/>
    <col min="12061" max="12305" width="8.88671875" style="829"/>
    <col min="12306" max="12306" width="22.109375" style="829" bestFit="1" customWidth="1"/>
    <col min="12307" max="12307" width="6.6640625" style="829" bestFit="1" customWidth="1"/>
    <col min="12308" max="12308" width="12.6640625" style="829" bestFit="1" customWidth="1"/>
    <col min="12309" max="12314" width="8.88671875" style="829"/>
    <col min="12315" max="12315" width="22.109375" style="829" bestFit="1" customWidth="1"/>
    <col min="12316" max="12316" width="4.6640625" style="829" bestFit="1" customWidth="1"/>
    <col min="12317" max="12561" width="8.88671875" style="829"/>
    <col min="12562" max="12562" width="22.109375" style="829" bestFit="1" customWidth="1"/>
    <col min="12563" max="12563" width="6.6640625" style="829" bestFit="1" customWidth="1"/>
    <col min="12564" max="12564" width="12.6640625" style="829" bestFit="1" customWidth="1"/>
    <col min="12565" max="12570" width="8.88671875" style="829"/>
    <col min="12571" max="12571" width="22.109375" style="829" bestFit="1" customWidth="1"/>
    <col min="12572" max="12572" width="4.6640625" style="829" bestFit="1" customWidth="1"/>
    <col min="12573" max="12817" width="8.88671875" style="829"/>
    <col min="12818" max="12818" width="22.109375" style="829" bestFit="1" customWidth="1"/>
    <col min="12819" max="12819" width="6.6640625" style="829" bestFit="1" customWidth="1"/>
    <col min="12820" max="12820" width="12.6640625" style="829" bestFit="1" customWidth="1"/>
    <col min="12821" max="12826" width="8.88671875" style="829"/>
    <col min="12827" max="12827" width="22.109375" style="829" bestFit="1" customWidth="1"/>
    <col min="12828" max="12828" width="4.6640625" style="829" bestFit="1" customWidth="1"/>
    <col min="12829" max="13073" width="8.88671875" style="829"/>
    <col min="13074" max="13074" width="22.109375" style="829" bestFit="1" customWidth="1"/>
    <col min="13075" max="13075" width="6.6640625" style="829" bestFit="1" customWidth="1"/>
    <col min="13076" max="13076" width="12.6640625" style="829" bestFit="1" customWidth="1"/>
    <col min="13077" max="13082" width="8.88671875" style="829"/>
    <col min="13083" max="13083" width="22.109375" style="829" bestFit="1" customWidth="1"/>
    <col min="13084" max="13084" width="4.6640625" style="829" bestFit="1" customWidth="1"/>
    <col min="13085" max="13329" width="8.88671875" style="829"/>
    <col min="13330" max="13330" width="22.109375" style="829" bestFit="1" customWidth="1"/>
    <col min="13331" max="13331" width="6.6640625" style="829" bestFit="1" customWidth="1"/>
    <col min="13332" max="13332" width="12.6640625" style="829" bestFit="1" customWidth="1"/>
    <col min="13333" max="13338" width="8.88671875" style="829"/>
    <col min="13339" max="13339" width="22.109375" style="829" bestFit="1" customWidth="1"/>
    <col min="13340" max="13340" width="4.6640625" style="829" bestFit="1" customWidth="1"/>
    <col min="13341" max="13585" width="8.88671875" style="829"/>
    <col min="13586" max="13586" width="22.109375" style="829" bestFit="1" customWidth="1"/>
    <col min="13587" max="13587" width="6.6640625" style="829" bestFit="1" customWidth="1"/>
    <col min="13588" max="13588" width="12.6640625" style="829" bestFit="1" customWidth="1"/>
    <col min="13589" max="13594" width="8.88671875" style="829"/>
    <col min="13595" max="13595" width="22.109375" style="829" bestFit="1" customWidth="1"/>
    <col min="13596" max="13596" width="4.6640625" style="829" bestFit="1" customWidth="1"/>
    <col min="13597" max="13841" width="8.88671875" style="829"/>
    <col min="13842" max="13842" width="22.109375" style="829" bestFit="1" customWidth="1"/>
    <col min="13843" max="13843" width="6.6640625" style="829" bestFit="1" customWidth="1"/>
    <col min="13844" max="13844" width="12.6640625" style="829" bestFit="1" customWidth="1"/>
    <col min="13845" max="13850" width="8.88671875" style="829"/>
    <col min="13851" max="13851" width="22.109375" style="829" bestFit="1" customWidth="1"/>
    <col min="13852" max="13852" width="4.6640625" style="829" bestFit="1" customWidth="1"/>
    <col min="13853" max="14097" width="8.88671875" style="829"/>
    <col min="14098" max="14098" width="22.109375" style="829" bestFit="1" customWidth="1"/>
    <col min="14099" max="14099" width="6.6640625" style="829" bestFit="1" customWidth="1"/>
    <col min="14100" max="14100" width="12.6640625" style="829" bestFit="1" customWidth="1"/>
    <col min="14101" max="14106" width="8.88671875" style="829"/>
    <col min="14107" max="14107" width="22.109375" style="829" bestFit="1" customWidth="1"/>
    <col min="14108" max="14108" width="4.6640625" style="829" bestFit="1" customWidth="1"/>
    <col min="14109" max="14353" width="8.88671875" style="829"/>
    <col min="14354" max="14354" width="22.109375" style="829" bestFit="1" customWidth="1"/>
    <col min="14355" max="14355" width="6.6640625" style="829" bestFit="1" customWidth="1"/>
    <col min="14356" max="14356" width="12.6640625" style="829" bestFit="1" customWidth="1"/>
    <col min="14357" max="14362" width="8.88671875" style="829"/>
    <col min="14363" max="14363" width="22.109375" style="829" bestFit="1" customWidth="1"/>
    <col min="14364" max="14364" width="4.6640625" style="829" bestFit="1" customWidth="1"/>
    <col min="14365" max="14609" width="8.88671875" style="829"/>
    <col min="14610" max="14610" width="22.109375" style="829" bestFit="1" customWidth="1"/>
    <col min="14611" max="14611" width="6.6640625" style="829" bestFit="1" customWidth="1"/>
    <col min="14612" max="14612" width="12.6640625" style="829" bestFit="1" customWidth="1"/>
    <col min="14613" max="14618" width="8.88671875" style="829"/>
    <col min="14619" max="14619" width="22.109375" style="829" bestFit="1" customWidth="1"/>
    <col min="14620" max="14620" width="4.6640625" style="829" bestFit="1" customWidth="1"/>
    <col min="14621" max="14865" width="8.88671875" style="829"/>
    <col min="14866" max="14866" width="22.109375" style="829" bestFit="1" customWidth="1"/>
    <col min="14867" max="14867" width="6.6640625" style="829" bestFit="1" customWidth="1"/>
    <col min="14868" max="14868" width="12.6640625" style="829" bestFit="1" customWidth="1"/>
    <col min="14869" max="14874" width="8.88671875" style="829"/>
    <col min="14875" max="14875" width="22.109375" style="829" bestFit="1" customWidth="1"/>
    <col min="14876" max="14876" width="4.6640625" style="829" bestFit="1" customWidth="1"/>
    <col min="14877" max="15121" width="8.88671875" style="829"/>
    <col min="15122" max="15122" width="22.109375" style="829" bestFit="1" customWidth="1"/>
    <col min="15123" max="15123" width="6.6640625" style="829" bestFit="1" customWidth="1"/>
    <col min="15124" max="15124" width="12.6640625" style="829" bestFit="1" customWidth="1"/>
    <col min="15125" max="15130" width="8.88671875" style="829"/>
    <col min="15131" max="15131" width="22.109375" style="829" bestFit="1" customWidth="1"/>
    <col min="15132" max="15132" width="4.6640625" style="829" bestFit="1" customWidth="1"/>
    <col min="15133" max="15377" width="8.88671875" style="829"/>
    <col min="15378" max="15378" width="22.109375" style="829" bestFit="1" customWidth="1"/>
    <col min="15379" max="15379" width="6.6640625" style="829" bestFit="1" customWidth="1"/>
    <col min="15380" max="15380" width="12.6640625" style="829" bestFit="1" customWidth="1"/>
    <col min="15381" max="15386" width="8.88671875" style="829"/>
    <col min="15387" max="15387" width="22.109375" style="829" bestFit="1" customWidth="1"/>
    <col min="15388" max="15388" width="4.6640625" style="829" bestFit="1" customWidth="1"/>
    <col min="15389" max="15633" width="8.88671875" style="829"/>
    <col min="15634" max="15634" width="22.109375" style="829" bestFit="1" customWidth="1"/>
    <col min="15635" max="15635" width="6.6640625" style="829" bestFit="1" customWidth="1"/>
    <col min="15636" max="15636" width="12.6640625" style="829" bestFit="1" customWidth="1"/>
    <col min="15637" max="15642" width="8.88671875" style="829"/>
    <col min="15643" max="15643" width="22.109375" style="829" bestFit="1" customWidth="1"/>
    <col min="15644" max="15644" width="4.6640625" style="829" bestFit="1" customWidth="1"/>
    <col min="15645" max="15889" width="8.88671875" style="829"/>
    <col min="15890" max="15890" width="22.109375" style="829" bestFit="1" customWidth="1"/>
    <col min="15891" max="15891" width="6.6640625" style="829" bestFit="1" customWidth="1"/>
    <col min="15892" max="15892" width="12.6640625" style="829" bestFit="1" customWidth="1"/>
    <col min="15893" max="15898" width="8.88671875" style="829"/>
    <col min="15899" max="15899" width="22.109375" style="829" bestFit="1" customWidth="1"/>
    <col min="15900" max="15900" width="4.6640625" style="829" bestFit="1" customWidth="1"/>
    <col min="15901" max="16145" width="8.88671875" style="829"/>
    <col min="16146" max="16146" width="22.109375" style="829" bestFit="1" customWidth="1"/>
    <col min="16147" max="16147" width="6.6640625" style="829" bestFit="1" customWidth="1"/>
    <col min="16148" max="16148" width="12.6640625" style="829" bestFit="1" customWidth="1"/>
    <col min="16149" max="16154" width="8.88671875" style="829"/>
    <col min="16155" max="16155" width="22.109375" style="829" bestFit="1" customWidth="1"/>
    <col min="16156" max="16156" width="4.6640625" style="829" bestFit="1" customWidth="1"/>
    <col min="16157" max="16384" width="8.88671875" style="829"/>
  </cols>
  <sheetData>
    <row r="1" spans="2:25" ht="17.399999999999999">
      <c r="R1" s="1817" t="s">
        <v>470</v>
      </c>
    </row>
    <row r="2" spans="2:25" ht="18" thickBot="1">
      <c r="D2" s="1817" t="s">
        <v>470</v>
      </c>
      <c r="R2" s="828" t="s">
        <v>156</v>
      </c>
    </row>
    <row r="3" spans="2:25" ht="18" customHeight="1">
      <c r="D3" s="1818">
        <v>44562</v>
      </c>
      <c r="R3" s="1819" t="s">
        <v>471</v>
      </c>
      <c r="S3" s="1820"/>
      <c r="T3" s="1820"/>
      <c r="U3" s="1820"/>
      <c r="V3" s="1820"/>
      <c r="W3" s="1821"/>
      <c r="X3" s="1822" t="s">
        <v>472</v>
      </c>
      <c r="Y3" s="1823"/>
    </row>
    <row r="4" spans="2:25" ht="17.25" customHeight="1" thickBot="1">
      <c r="B4" s="1044"/>
      <c r="C4" s="1044"/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4"/>
      <c r="R4" s="1824"/>
      <c r="S4" s="1825" t="s">
        <v>473</v>
      </c>
      <c r="T4" s="1826" t="s">
        <v>474</v>
      </c>
      <c r="U4" s="1827" t="s">
        <v>215</v>
      </c>
      <c r="V4" s="1828" t="s">
        <v>216</v>
      </c>
      <c r="W4" s="1829" t="s">
        <v>217</v>
      </c>
      <c r="X4" s="1830"/>
      <c r="Y4" s="1831"/>
    </row>
    <row r="5" spans="2:25" ht="15" thickBot="1">
      <c r="B5" s="1832" t="s">
        <v>475</v>
      </c>
      <c r="C5" s="1833"/>
      <c r="D5" s="1833"/>
      <c r="E5" s="1833"/>
      <c r="F5" s="1833"/>
      <c r="G5" s="1834"/>
      <c r="H5" s="1044"/>
      <c r="I5" s="1835" t="s">
        <v>471</v>
      </c>
      <c r="J5" s="1334"/>
      <c r="K5" s="1334"/>
      <c r="L5" s="1334"/>
      <c r="M5" s="1334"/>
      <c r="N5" s="1836"/>
      <c r="O5" s="1044"/>
      <c r="R5" s="1837" t="s">
        <v>85</v>
      </c>
      <c r="S5" s="1838"/>
      <c r="T5" s="1839"/>
      <c r="U5" s="1840">
        <f>'[4]FY 09 UFR Salary Data'!$H$3</f>
        <v>56242.93</v>
      </c>
      <c r="V5" s="1841">
        <v>0.25</v>
      </c>
      <c r="W5" s="1842">
        <f>U5*V5</f>
        <v>14060.7325</v>
      </c>
      <c r="X5" s="1843">
        <f>U5*(1+$S$22)</f>
        <v>58084.42855302072</v>
      </c>
      <c r="Y5" s="1844">
        <f>V5*X5</f>
        <v>14521.10713825518</v>
      </c>
    </row>
    <row r="6" spans="2:25" ht="24.75" customHeight="1" thickBot="1">
      <c r="B6" s="1364" t="s">
        <v>476</v>
      </c>
      <c r="C6" s="1366"/>
      <c r="D6" s="1364" t="s">
        <v>477</v>
      </c>
      <c r="E6" s="1365"/>
      <c r="F6" s="1365"/>
      <c r="G6" s="1366"/>
      <c r="H6" s="1044"/>
      <c r="I6" s="1845"/>
      <c r="J6" s="1846" t="s">
        <v>473</v>
      </c>
      <c r="K6" s="1847" t="s">
        <v>474</v>
      </c>
      <c r="L6" s="1848" t="s">
        <v>215</v>
      </c>
      <c r="M6" s="1849" t="s">
        <v>216</v>
      </c>
      <c r="N6" s="1850" t="s">
        <v>217</v>
      </c>
      <c r="O6" s="1044"/>
      <c r="R6" s="1837" t="s">
        <v>478</v>
      </c>
      <c r="S6" s="1838"/>
      <c r="T6" s="1851">
        <v>60</v>
      </c>
      <c r="U6" s="1840">
        <f>'[4]FY 09 UFR Salary Data'!H24</f>
        <v>43813.11</v>
      </c>
      <c r="V6" s="1841">
        <f>W20/T6</f>
        <v>0.5</v>
      </c>
      <c r="W6" s="1842">
        <f>U6*V6</f>
        <v>21906.555</v>
      </c>
      <c r="X6" s="1837">
        <f t="shared" ref="X6:X7" si="0">U6*(1+$S$22)</f>
        <v>45247.633035487976</v>
      </c>
      <c r="Y6" s="1852">
        <f>V6*X6</f>
        <v>22623.816517743988</v>
      </c>
    </row>
    <row r="7" spans="2:25" ht="14.4">
      <c r="B7" s="1360" t="s">
        <v>85</v>
      </c>
      <c r="C7" s="1283">
        <f>'Master Look Up'!N28</f>
        <v>69600</v>
      </c>
      <c r="D7" s="314" t="s">
        <v>220</v>
      </c>
      <c r="E7" s="1853"/>
      <c r="F7" s="1853"/>
      <c r="G7" s="1368"/>
      <c r="H7" s="1044"/>
      <c r="I7" s="1854" t="s">
        <v>85</v>
      </c>
      <c r="J7" s="1855"/>
      <c r="K7" s="1856"/>
      <c r="L7" s="1857">
        <f>C7</f>
        <v>69600</v>
      </c>
      <c r="M7" s="1858">
        <v>0.25</v>
      </c>
      <c r="N7" s="1859">
        <f>L7*M7</f>
        <v>17400</v>
      </c>
      <c r="O7" s="1044"/>
      <c r="R7" s="1860" t="s">
        <v>245</v>
      </c>
      <c r="S7" s="1838"/>
      <c r="T7" s="1839">
        <v>15</v>
      </c>
      <c r="U7" s="1840">
        <f>'[4]FY 09 UFR Salary Data'!$F$42</f>
        <v>31320.912288456329</v>
      </c>
      <c r="V7" s="1841">
        <f>W20/T7</f>
        <v>2</v>
      </c>
      <c r="W7" s="1842">
        <f>U7*V7</f>
        <v>62641.824576912659</v>
      </c>
      <c r="X7" s="1861">
        <f t="shared" si="0"/>
        <v>32346.417443655057</v>
      </c>
      <c r="Y7" s="1862">
        <f>V7*X7</f>
        <v>64692.834887310113</v>
      </c>
    </row>
    <row r="8" spans="2:25" ht="13.8">
      <c r="B8" s="1360" t="s">
        <v>117</v>
      </c>
      <c r="C8" s="1283">
        <f>'Master Look Up'!N29</f>
        <v>45375.199999999997</v>
      </c>
      <c r="D8" s="1360" t="s">
        <v>279</v>
      </c>
      <c r="E8" s="1398"/>
      <c r="F8" s="1398"/>
      <c r="G8" s="1373"/>
      <c r="H8" s="1044"/>
      <c r="I8" s="1863" t="s">
        <v>117</v>
      </c>
      <c r="J8" s="1855"/>
      <c r="K8" s="1856">
        <v>15</v>
      </c>
      <c r="L8" s="1857">
        <f>C8</f>
        <v>45375.199999999997</v>
      </c>
      <c r="M8" s="1858">
        <f>N22/K8</f>
        <v>2</v>
      </c>
      <c r="N8" s="1859">
        <f>L8*M8</f>
        <v>90750.399999999994</v>
      </c>
      <c r="O8" s="1044"/>
      <c r="R8" s="1864" t="s">
        <v>266</v>
      </c>
      <c r="S8" s="1865"/>
      <c r="T8" s="1866"/>
      <c r="U8" s="1866"/>
      <c r="V8" s="1867">
        <f>SUM(V5:V7)</f>
        <v>2.75</v>
      </c>
      <c r="W8" s="1866">
        <f>SUM(W5:W7)</f>
        <v>98609.112076912657</v>
      </c>
      <c r="X8" s="1868"/>
      <c r="Y8" s="1869">
        <f>SUM(Y5:Y7)</f>
        <v>101837.75854330929</v>
      </c>
    </row>
    <row r="9" spans="2:25" ht="15.6">
      <c r="B9" s="1360"/>
      <c r="C9" s="1398"/>
      <c r="D9" s="1360"/>
      <c r="E9" s="1398"/>
      <c r="F9" s="1398"/>
      <c r="G9" s="1373"/>
      <c r="H9" s="1044"/>
      <c r="I9" s="1369" t="s">
        <v>266</v>
      </c>
      <c r="J9" s="1870"/>
      <c r="K9" s="1871"/>
      <c r="L9" s="1871"/>
      <c r="M9" s="1872">
        <f>SUM(M7:M8)</f>
        <v>2.25</v>
      </c>
      <c r="N9" s="1873">
        <f>SUM(N7:N8)</f>
        <v>108150.39999999999</v>
      </c>
      <c r="O9" s="1044"/>
      <c r="R9" s="1874"/>
      <c r="S9" s="1147"/>
      <c r="T9" s="1875"/>
      <c r="U9" s="1875"/>
      <c r="V9" s="1876"/>
      <c r="W9" s="1875"/>
      <c r="X9" s="1877"/>
      <c r="Y9" s="1878"/>
    </row>
    <row r="10" spans="2:25" ht="13.8">
      <c r="B10" s="1360"/>
      <c r="C10" s="1398"/>
      <c r="D10" s="1360"/>
      <c r="E10" s="1398"/>
      <c r="F10" s="1398"/>
      <c r="G10" s="1373"/>
      <c r="H10" s="1044"/>
      <c r="I10" s="1845"/>
      <c r="J10" s="1848"/>
      <c r="K10" s="1879"/>
      <c r="L10" s="1879"/>
      <c r="M10" s="1880"/>
      <c r="N10" s="1850"/>
      <c r="O10" s="1044"/>
      <c r="R10" s="1824" t="s">
        <v>224</v>
      </c>
      <c r="S10" s="1147"/>
      <c r="T10" s="1875"/>
      <c r="U10" s="1875"/>
      <c r="V10" s="1828"/>
      <c r="W10" s="1875"/>
      <c r="X10" s="1877"/>
      <c r="Y10" s="1878"/>
    </row>
    <row r="11" spans="2:25" ht="13.8">
      <c r="B11" s="1881" t="s">
        <v>224</v>
      </c>
      <c r="C11" s="1882"/>
      <c r="D11" s="1360"/>
      <c r="E11" s="1398"/>
      <c r="F11" s="1398"/>
      <c r="G11" s="1373"/>
      <c r="H11" s="1044"/>
      <c r="I11" s="1845" t="s">
        <v>224</v>
      </c>
      <c r="J11" s="1848"/>
      <c r="K11" s="1879"/>
      <c r="L11" s="1879"/>
      <c r="M11" s="1849"/>
      <c r="N11" s="1850"/>
      <c r="O11" s="1044"/>
      <c r="R11" s="1202" t="s">
        <v>183</v>
      </c>
      <c r="S11" s="1883">
        <v>0.22</v>
      </c>
      <c r="T11" s="1884" t="s">
        <v>479</v>
      </c>
      <c r="U11" s="1885"/>
      <c r="V11" s="1886"/>
      <c r="W11" s="1842">
        <f>W8*S11</f>
        <v>21694.004656920784</v>
      </c>
      <c r="X11" s="1837"/>
      <c r="Y11" s="1852">
        <f>S11*Y8</f>
        <v>22404.306879528045</v>
      </c>
    </row>
    <row r="12" spans="2:25" ht="13.8">
      <c r="B12" s="1360" t="s">
        <v>183</v>
      </c>
      <c r="C12" s="721">
        <f>'Master Look Up'!D25</f>
        <v>0.224</v>
      </c>
      <c r="D12" s="1360" t="s">
        <v>143</v>
      </c>
      <c r="E12" s="1398"/>
      <c r="F12" s="1398"/>
      <c r="G12" s="1373"/>
      <c r="H12" s="1044"/>
      <c r="I12" s="1887" t="s">
        <v>183</v>
      </c>
      <c r="J12" s="1398"/>
      <c r="K12" s="1888"/>
      <c r="L12" s="1889">
        <f>C12</f>
        <v>0.224</v>
      </c>
      <c r="M12" s="1890"/>
      <c r="N12" s="1859">
        <f>N9*L12</f>
        <v>24225.689599999998</v>
      </c>
      <c r="O12" s="1044"/>
      <c r="R12" s="1891" t="s">
        <v>225</v>
      </c>
      <c r="S12" s="1892">
        <v>0.75</v>
      </c>
      <c r="T12" s="1893"/>
      <c r="U12" s="1893"/>
      <c r="V12" s="980"/>
      <c r="W12" s="1866">
        <f>W8+W11</f>
        <v>120303.11673383345</v>
      </c>
      <c r="X12" s="1894"/>
      <c r="Y12" s="1895">
        <f>Y8+Y11</f>
        <v>124242.06542283733</v>
      </c>
    </row>
    <row r="13" spans="2:25" ht="14.4">
      <c r="B13" s="1360" t="s">
        <v>480</v>
      </c>
      <c r="C13" s="1283">
        <v>43123</v>
      </c>
      <c r="D13" s="1360" t="s">
        <v>481</v>
      </c>
      <c r="E13" s="1398"/>
      <c r="F13" s="1398"/>
      <c r="G13" s="1373"/>
      <c r="H13" s="1044"/>
      <c r="I13" s="1393" t="s">
        <v>225</v>
      </c>
      <c r="J13" s="1896"/>
      <c r="K13" s="1897"/>
      <c r="L13" s="1897"/>
      <c r="M13" s="1898"/>
      <c r="N13" s="1873">
        <f>N9+N12</f>
        <v>132376.08960000001</v>
      </c>
      <c r="O13" s="1044"/>
      <c r="R13" s="1391"/>
      <c r="S13" s="1899"/>
      <c r="T13" s="1842"/>
      <c r="U13" s="1842"/>
      <c r="V13" s="990"/>
      <c r="W13" s="1875"/>
      <c r="X13" s="1877"/>
      <c r="Y13" s="1878"/>
    </row>
    <row r="14" spans="2:25" ht="13.8">
      <c r="B14" s="1360" t="s">
        <v>482</v>
      </c>
      <c r="C14" s="1283">
        <v>21500</v>
      </c>
      <c r="D14" s="1360" t="s">
        <v>483</v>
      </c>
      <c r="E14" s="1398"/>
      <c r="F14" s="1398"/>
      <c r="G14" s="1373"/>
      <c r="H14" s="1044"/>
      <c r="I14" s="1360"/>
      <c r="J14" s="1900"/>
      <c r="K14" s="1901"/>
      <c r="L14" s="1901"/>
      <c r="M14" s="1252"/>
      <c r="N14" s="1850"/>
      <c r="O14" s="1044"/>
      <c r="R14" s="1391" t="s">
        <v>480</v>
      </c>
      <c r="S14" s="1902">
        <v>0.25</v>
      </c>
      <c r="T14" s="1842"/>
      <c r="U14" s="1842"/>
      <c r="V14" s="990"/>
      <c r="W14" s="1842">
        <f>W15-W12</f>
        <v>40101.038911277807</v>
      </c>
      <c r="X14" s="1837"/>
      <c r="Y14" s="1852">
        <f>Y15-Y12</f>
        <v>41414.021807612444</v>
      </c>
    </row>
    <row r="15" spans="2:25" ht="13.8">
      <c r="B15" s="1360" t="s">
        <v>404</v>
      </c>
      <c r="C15" s="1283">
        <v>1000</v>
      </c>
      <c r="D15" s="1360" t="s">
        <v>483</v>
      </c>
      <c r="E15" s="1398"/>
      <c r="F15" s="1398"/>
      <c r="G15" s="1373"/>
      <c r="H15" s="1044"/>
      <c r="I15" s="1360" t="s">
        <v>480</v>
      </c>
      <c r="J15" s="1903"/>
      <c r="K15" s="1901"/>
      <c r="L15" s="1901"/>
      <c r="M15" s="1252"/>
      <c r="N15" s="1859">
        <f>C13</f>
        <v>43123</v>
      </c>
      <c r="O15" s="1044"/>
      <c r="R15" s="1891" t="s">
        <v>346</v>
      </c>
      <c r="S15" s="1892"/>
      <c r="T15" s="1893"/>
      <c r="U15" s="1893"/>
      <c r="V15" s="980"/>
      <c r="W15" s="1866">
        <f>W12/S12</f>
        <v>160404.15564511126</v>
      </c>
      <c r="X15" s="1894"/>
      <c r="Y15" s="1895">
        <f>Y12/S12</f>
        <v>165656.08723044978</v>
      </c>
    </row>
    <row r="16" spans="2:25" ht="13.8">
      <c r="B16" s="1360" t="s">
        <v>347</v>
      </c>
      <c r="C16" s="721">
        <f>'Master Look Up'!D30</f>
        <v>0.12</v>
      </c>
      <c r="D16" s="1360" t="s">
        <v>151</v>
      </c>
      <c r="E16" s="1398"/>
      <c r="F16" s="1398"/>
      <c r="G16" s="1373"/>
      <c r="H16" s="1044"/>
      <c r="I16" s="1393" t="s">
        <v>346</v>
      </c>
      <c r="J16" s="1896"/>
      <c r="K16" s="1897"/>
      <c r="L16" s="1897"/>
      <c r="M16" s="1898"/>
      <c r="N16" s="1873">
        <f>N15+N13</f>
        <v>175499.08960000001</v>
      </c>
      <c r="O16" s="1044"/>
      <c r="R16" s="1391" t="s">
        <v>347</v>
      </c>
      <c r="S16" s="1904">
        <v>0.11</v>
      </c>
      <c r="T16" s="1842"/>
      <c r="U16" s="1842"/>
      <c r="V16" s="990"/>
      <c r="W16" s="1842">
        <f>W15*S16</f>
        <v>17644.457120962237</v>
      </c>
      <c r="X16" s="1837"/>
      <c r="Y16" s="1852">
        <f>Y15*S16</f>
        <v>18222.169595349475</v>
      </c>
    </row>
    <row r="17" spans="2:25" ht="13.8">
      <c r="B17" s="1360" t="s">
        <v>61</v>
      </c>
      <c r="C17" s="721">
        <v>3.7000000000000002E-3</v>
      </c>
      <c r="D17" s="1360" t="s">
        <v>186</v>
      </c>
      <c r="E17" s="1398"/>
      <c r="F17" s="1398"/>
      <c r="G17" s="1373"/>
      <c r="H17" s="1044"/>
      <c r="I17" s="1360" t="s">
        <v>347</v>
      </c>
      <c r="J17" s="1398"/>
      <c r="K17" s="1901"/>
      <c r="L17" s="1905">
        <f>C16</f>
        <v>0.12</v>
      </c>
      <c r="M17" s="1252"/>
      <c r="N17" s="1859">
        <f>N16*L17</f>
        <v>21059.890751999999</v>
      </c>
      <c r="O17" s="1044"/>
      <c r="R17" s="1906"/>
      <c r="S17" s="1907"/>
      <c r="T17" s="1908"/>
      <c r="U17" s="1908"/>
      <c r="V17" s="1909"/>
      <c r="W17" s="1910"/>
      <c r="X17" s="1861"/>
      <c r="Y17" s="1862"/>
    </row>
    <row r="18" spans="2:25" ht="14.4" thickBot="1">
      <c r="B18" s="1360"/>
      <c r="C18" s="1398"/>
      <c r="D18" s="1360"/>
      <c r="E18" s="1398"/>
      <c r="F18" s="1398"/>
      <c r="G18" s="1373"/>
      <c r="H18" s="1044"/>
      <c r="I18" s="1360" t="str">
        <f>B14</f>
        <v>Specialty Consulations</v>
      </c>
      <c r="J18" s="1398"/>
      <c r="K18" s="1901"/>
      <c r="L18" s="1855"/>
      <c r="M18" s="1252"/>
      <c r="N18" s="1859">
        <f>C14</f>
        <v>21500</v>
      </c>
      <c r="O18" s="1044"/>
      <c r="R18" s="1911" t="s">
        <v>188</v>
      </c>
      <c r="S18" s="1912"/>
      <c r="T18" s="1913"/>
      <c r="U18" s="1913"/>
      <c r="V18" s="1914"/>
      <c r="W18" s="1913">
        <f>W15+W16</f>
        <v>178048.61276607349</v>
      </c>
      <c r="X18" s="1915"/>
      <c r="Y18" s="1916">
        <f>Y15+Y16</f>
        <v>183878.25682579924</v>
      </c>
    </row>
    <row r="19" spans="2:25" ht="15" thickTop="1" thickBot="1">
      <c r="B19" s="1340" t="s">
        <v>484</v>
      </c>
      <c r="C19" s="1917">
        <f>'Master Look Up'!D33</f>
        <v>1.0633805350099574E-2</v>
      </c>
      <c r="D19" s="1340" t="s">
        <v>153</v>
      </c>
      <c r="E19" s="1342"/>
      <c r="F19" s="1342"/>
      <c r="G19" s="1343"/>
      <c r="H19" s="1044"/>
      <c r="I19" s="1360" t="s">
        <v>404</v>
      </c>
      <c r="J19" s="1398"/>
      <c r="K19" s="1901"/>
      <c r="L19" s="1283">
        <v>1000</v>
      </c>
      <c r="M19" s="1252"/>
      <c r="N19" s="1859">
        <f>L19*M8</f>
        <v>2000</v>
      </c>
      <c r="O19" s="1044"/>
      <c r="R19" s="1824"/>
      <c r="S19" s="1918"/>
      <c r="T19" s="1875"/>
      <c r="U19" s="1875"/>
      <c r="V19" s="1876"/>
      <c r="W19" s="1875"/>
      <c r="X19" s="1877"/>
      <c r="Y19" s="1878"/>
    </row>
    <row r="20" spans="2:25" ht="13.8">
      <c r="B20" s="1049"/>
      <c r="C20" s="638"/>
      <c r="D20" s="1049"/>
      <c r="E20" s="1049"/>
      <c r="F20" s="1049"/>
      <c r="G20" s="1049"/>
      <c r="H20" s="1044"/>
      <c r="I20" s="1919" t="str">
        <f>B17</f>
        <v>PFMLA</v>
      </c>
      <c r="J20" s="1920"/>
      <c r="K20" s="1921"/>
      <c r="L20" s="1922">
        <f>C17</f>
        <v>3.7000000000000002E-3</v>
      </c>
      <c r="M20" s="1923"/>
      <c r="N20" s="1924">
        <f>L20*N9</f>
        <v>400.15647999999999</v>
      </c>
      <c r="O20" s="1044"/>
      <c r="R20" s="1202" t="s">
        <v>485</v>
      </c>
      <c r="S20" s="1385"/>
      <c r="T20" s="1385"/>
      <c r="U20" s="1385"/>
      <c r="V20" s="1385"/>
      <c r="W20" s="1385">
        <v>30</v>
      </c>
      <c r="X20" s="1391"/>
      <c r="Y20" s="1925">
        <f>W20</f>
        <v>30</v>
      </c>
    </row>
    <row r="21" spans="2:25" ht="14.4" thickBot="1">
      <c r="B21" s="1049"/>
      <c r="C21" s="638"/>
      <c r="D21" s="1049"/>
      <c r="E21" s="1049"/>
      <c r="F21" s="1049"/>
      <c r="G21" s="1049"/>
      <c r="H21" s="1044"/>
      <c r="I21" s="1926" t="s">
        <v>188</v>
      </c>
      <c r="J21" s="1927"/>
      <c r="K21" s="1928"/>
      <c r="L21" s="1928"/>
      <c r="M21" s="1929"/>
      <c r="N21" s="1930">
        <f>SUM(N16:N20)</f>
        <v>220459.13683200002</v>
      </c>
      <c r="O21" s="1044"/>
      <c r="R21" s="1202" t="s">
        <v>486</v>
      </c>
      <c r="S21" s="1147"/>
      <c r="T21" s="1875"/>
      <c r="U21" s="1875"/>
      <c r="V21" s="1876"/>
      <c r="W21" s="1931">
        <f>(W18/W20)/365</f>
        <v>16.260147284572923</v>
      </c>
      <c r="X21" s="1932"/>
      <c r="Y21" s="1933"/>
    </row>
    <row r="22" spans="2:25" ht="15" thickTop="1" thickBot="1">
      <c r="B22" s="1044"/>
      <c r="C22" s="1934"/>
      <c r="D22" s="1044"/>
      <c r="E22" s="1044"/>
      <c r="F22" s="1044"/>
      <c r="G22" s="1044"/>
      <c r="H22" s="1044"/>
      <c r="I22" s="1887" t="s">
        <v>485</v>
      </c>
      <c r="J22" s="1398"/>
      <c r="K22" s="1398"/>
      <c r="L22" s="1398"/>
      <c r="M22" s="1398"/>
      <c r="N22" s="1373">
        <v>30</v>
      </c>
      <c r="O22" s="1044"/>
      <c r="R22" s="1935" t="s">
        <v>189</v>
      </c>
      <c r="S22" s="1936">
        <f>[4]CAF!$AA$24</f>
        <v>3.2741867342628073E-2</v>
      </c>
      <c r="T22" s="1937"/>
      <c r="U22" s="1937"/>
      <c r="V22" s="1938"/>
      <c r="W22" s="1939">
        <f>W21*(1+S22)</f>
        <v>16.792534869936006</v>
      </c>
      <c r="X22" s="1940"/>
      <c r="Y22" s="1941">
        <f>Y18/Y20/365</f>
        <v>16.792534869936002</v>
      </c>
    </row>
    <row r="23" spans="2:25" ht="14.4" thickBot="1">
      <c r="B23" s="1044"/>
      <c r="C23" s="1044"/>
      <c r="D23" s="1044"/>
      <c r="E23" s="1044"/>
      <c r="F23" s="1044"/>
      <c r="G23" s="1044"/>
      <c r="H23" s="1044"/>
      <c r="I23" s="1887" t="s">
        <v>486</v>
      </c>
      <c r="J23" s="1848"/>
      <c r="K23" s="1879"/>
      <c r="L23" s="1879"/>
      <c r="M23" s="1880"/>
      <c r="N23" s="1942">
        <f>(N21/N22)/365</f>
        <v>20.133254505205482</v>
      </c>
      <c r="O23" s="1044"/>
      <c r="V23" s="1943"/>
      <c r="X23" s="1943">
        <v>4.19E-2</v>
      </c>
      <c r="Y23" s="1941">
        <f>Y22*(1+X23)-0.01</f>
        <v>17.486142080986319</v>
      </c>
    </row>
    <row r="24" spans="2:25" ht="14.4" thickBot="1">
      <c r="B24" s="1044"/>
      <c r="C24" s="1044"/>
      <c r="D24" s="1044"/>
      <c r="E24" s="1044"/>
      <c r="F24" s="1044"/>
      <c r="G24" s="1044"/>
      <c r="H24" s="1044"/>
      <c r="I24" s="1944" t="s">
        <v>189</v>
      </c>
      <c r="J24" s="1342"/>
      <c r="K24" s="1945"/>
      <c r="L24" s="1946">
        <f>C19</f>
        <v>1.0633805350099574E-2</v>
      </c>
      <c r="M24" s="1947"/>
      <c r="N24" s="1948">
        <f>N23*(1+L24)</f>
        <v>20.347347614677854</v>
      </c>
      <c r="O24" s="1044"/>
      <c r="R24" s="829" t="s">
        <v>487</v>
      </c>
      <c r="X24" s="1943">
        <f>'[5]CAF Spring17'!BK27</f>
        <v>2.7235921972764018E-2</v>
      </c>
      <c r="Y24" s="1949">
        <f>Y23*(1+X24)</f>
        <v>17.962393282308728</v>
      </c>
    </row>
    <row r="25" spans="2:25" ht="13.8">
      <c r="B25" s="1044"/>
      <c r="C25" s="1044"/>
      <c r="D25" s="1044"/>
      <c r="E25" s="1044"/>
      <c r="F25" s="1044"/>
      <c r="G25" s="1044"/>
      <c r="H25" s="1044"/>
      <c r="I25" s="1044"/>
      <c r="J25" s="1044"/>
      <c r="K25" s="1044"/>
      <c r="L25" s="1044"/>
      <c r="M25" s="1044"/>
      <c r="N25" s="1950"/>
      <c r="R25" s="829" t="s">
        <v>488</v>
      </c>
    </row>
    <row r="26" spans="2:25" ht="13.8">
      <c r="B26" s="1044"/>
      <c r="C26" s="1044"/>
      <c r="D26" s="1044"/>
      <c r="E26" s="1044"/>
      <c r="F26" s="1044"/>
      <c r="G26" s="1044"/>
      <c r="H26" s="1044"/>
      <c r="I26" s="1044"/>
      <c r="J26" s="1044"/>
      <c r="K26" s="1044"/>
      <c r="L26" s="1044"/>
      <c r="M26" s="1044"/>
      <c r="N26" s="1044"/>
      <c r="O26" s="1412"/>
      <c r="R26" s="829" t="s">
        <v>489</v>
      </c>
    </row>
    <row r="27" spans="2:25" ht="13.8">
      <c r="B27" s="1044"/>
      <c r="C27" s="1044"/>
      <c r="D27" s="1044"/>
      <c r="E27" s="1044"/>
      <c r="F27" s="1044"/>
      <c r="G27" s="1044"/>
      <c r="I27" s="1044"/>
      <c r="J27" s="1044"/>
      <c r="K27" s="1044"/>
      <c r="L27" s="1044"/>
      <c r="M27" s="1044"/>
      <c r="N27" s="1044"/>
      <c r="O27" s="1044"/>
      <c r="R27" s="829" t="s">
        <v>490</v>
      </c>
    </row>
    <row r="28" spans="2:25" ht="13.8">
      <c r="O28" s="1044"/>
      <c r="R28" s="829" t="s">
        <v>491</v>
      </c>
    </row>
    <row r="29" spans="2:25">
      <c r="R29" s="835" t="s">
        <v>492</v>
      </c>
    </row>
    <row r="30" spans="2:25">
      <c r="R30" s="835" t="s">
        <v>493</v>
      </c>
    </row>
  </sheetData>
  <mergeCells count="5">
    <mergeCell ref="X3:Y4"/>
    <mergeCell ref="B5:G5"/>
    <mergeCell ref="B6:C6"/>
    <mergeCell ref="D6:G6"/>
    <mergeCell ref="B11:C11"/>
  </mergeCells>
  <pageMargins left="0.75" right="0.75" top="1" bottom="1" header="0.5" footer="0.5"/>
  <pageSetup scale="77" orientation="landscape" r:id="rId1"/>
  <headerFooter alignWithMargins="0">
    <oddHeader>&amp;F</oddHeader>
    <oddFooter>&amp;L&amp;"Arial,Bold"DRAFT&amp;RPage 11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7"/>
  <sheetViews>
    <sheetView topLeftCell="BJ1" workbookViewId="0">
      <selection activeCell="W17" sqref="W17"/>
    </sheetView>
  </sheetViews>
  <sheetFormatPr defaultRowHeight="13.2"/>
  <cols>
    <col min="1" max="1" width="38.44140625" style="1953" customWidth="1"/>
    <col min="2" max="2" width="12.88671875" style="1958" customWidth="1"/>
    <col min="3" max="82" width="7.6640625" style="1953" customWidth="1"/>
    <col min="83" max="256" width="8.88671875" style="1953"/>
    <col min="257" max="257" width="38.44140625" style="1953" customWidth="1"/>
    <col min="258" max="258" width="12.88671875" style="1953" customWidth="1"/>
    <col min="259" max="338" width="7.6640625" style="1953" customWidth="1"/>
    <col min="339" max="512" width="8.88671875" style="1953"/>
    <col min="513" max="513" width="38.44140625" style="1953" customWidth="1"/>
    <col min="514" max="514" width="12.88671875" style="1953" customWidth="1"/>
    <col min="515" max="594" width="7.6640625" style="1953" customWidth="1"/>
    <col min="595" max="768" width="8.88671875" style="1953"/>
    <col min="769" max="769" width="38.44140625" style="1953" customWidth="1"/>
    <col min="770" max="770" width="12.88671875" style="1953" customWidth="1"/>
    <col min="771" max="850" width="7.6640625" style="1953" customWidth="1"/>
    <col min="851" max="1024" width="8.88671875" style="1953"/>
    <col min="1025" max="1025" width="38.44140625" style="1953" customWidth="1"/>
    <col min="1026" max="1026" width="12.88671875" style="1953" customWidth="1"/>
    <col min="1027" max="1106" width="7.6640625" style="1953" customWidth="1"/>
    <col min="1107" max="1280" width="8.88671875" style="1953"/>
    <col min="1281" max="1281" width="38.44140625" style="1953" customWidth="1"/>
    <col min="1282" max="1282" width="12.88671875" style="1953" customWidth="1"/>
    <col min="1283" max="1362" width="7.6640625" style="1953" customWidth="1"/>
    <col min="1363" max="1536" width="8.88671875" style="1953"/>
    <col min="1537" max="1537" width="38.44140625" style="1953" customWidth="1"/>
    <col min="1538" max="1538" width="12.88671875" style="1953" customWidth="1"/>
    <col min="1539" max="1618" width="7.6640625" style="1953" customWidth="1"/>
    <col min="1619" max="1792" width="8.88671875" style="1953"/>
    <col min="1793" max="1793" width="38.44140625" style="1953" customWidth="1"/>
    <col min="1794" max="1794" width="12.88671875" style="1953" customWidth="1"/>
    <col min="1795" max="1874" width="7.6640625" style="1953" customWidth="1"/>
    <col min="1875" max="2048" width="8.88671875" style="1953"/>
    <col min="2049" max="2049" width="38.44140625" style="1953" customWidth="1"/>
    <col min="2050" max="2050" width="12.88671875" style="1953" customWidth="1"/>
    <col min="2051" max="2130" width="7.6640625" style="1953" customWidth="1"/>
    <col min="2131" max="2304" width="8.88671875" style="1953"/>
    <col min="2305" max="2305" width="38.44140625" style="1953" customWidth="1"/>
    <col min="2306" max="2306" width="12.88671875" style="1953" customWidth="1"/>
    <col min="2307" max="2386" width="7.6640625" style="1953" customWidth="1"/>
    <col min="2387" max="2560" width="8.88671875" style="1953"/>
    <col min="2561" max="2561" width="38.44140625" style="1953" customWidth="1"/>
    <col min="2562" max="2562" width="12.88671875" style="1953" customWidth="1"/>
    <col min="2563" max="2642" width="7.6640625" style="1953" customWidth="1"/>
    <col min="2643" max="2816" width="8.88671875" style="1953"/>
    <col min="2817" max="2817" width="38.44140625" style="1953" customWidth="1"/>
    <col min="2818" max="2818" width="12.88671875" style="1953" customWidth="1"/>
    <col min="2819" max="2898" width="7.6640625" style="1953" customWidth="1"/>
    <col min="2899" max="3072" width="8.88671875" style="1953"/>
    <col min="3073" max="3073" width="38.44140625" style="1953" customWidth="1"/>
    <col min="3074" max="3074" width="12.88671875" style="1953" customWidth="1"/>
    <col min="3075" max="3154" width="7.6640625" style="1953" customWidth="1"/>
    <col min="3155" max="3328" width="8.88671875" style="1953"/>
    <col min="3329" max="3329" width="38.44140625" style="1953" customWidth="1"/>
    <col min="3330" max="3330" width="12.88671875" style="1953" customWidth="1"/>
    <col min="3331" max="3410" width="7.6640625" style="1953" customWidth="1"/>
    <col min="3411" max="3584" width="8.88671875" style="1953"/>
    <col min="3585" max="3585" width="38.44140625" style="1953" customWidth="1"/>
    <col min="3586" max="3586" width="12.88671875" style="1953" customWidth="1"/>
    <col min="3587" max="3666" width="7.6640625" style="1953" customWidth="1"/>
    <col min="3667" max="3840" width="8.88671875" style="1953"/>
    <col min="3841" max="3841" width="38.44140625" style="1953" customWidth="1"/>
    <col min="3842" max="3842" width="12.88671875" style="1953" customWidth="1"/>
    <col min="3843" max="3922" width="7.6640625" style="1953" customWidth="1"/>
    <col min="3923" max="4096" width="8.88671875" style="1953"/>
    <col min="4097" max="4097" width="38.44140625" style="1953" customWidth="1"/>
    <col min="4098" max="4098" width="12.88671875" style="1953" customWidth="1"/>
    <col min="4099" max="4178" width="7.6640625" style="1953" customWidth="1"/>
    <col min="4179" max="4352" width="8.88671875" style="1953"/>
    <col min="4353" max="4353" width="38.44140625" style="1953" customWidth="1"/>
    <col min="4354" max="4354" width="12.88671875" style="1953" customWidth="1"/>
    <col min="4355" max="4434" width="7.6640625" style="1953" customWidth="1"/>
    <col min="4435" max="4608" width="8.88671875" style="1953"/>
    <col min="4609" max="4609" width="38.44140625" style="1953" customWidth="1"/>
    <col min="4610" max="4610" width="12.88671875" style="1953" customWidth="1"/>
    <col min="4611" max="4690" width="7.6640625" style="1953" customWidth="1"/>
    <col min="4691" max="4864" width="8.88671875" style="1953"/>
    <col min="4865" max="4865" width="38.44140625" style="1953" customWidth="1"/>
    <col min="4866" max="4866" width="12.88671875" style="1953" customWidth="1"/>
    <col min="4867" max="4946" width="7.6640625" style="1953" customWidth="1"/>
    <col min="4947" max="5120" width="8.88671875" style="1953"/>
    <col min="5121" max="5121" width="38.44140625" style="1953" customWidth="1"/>
    <col min="5122" max="5122" width="12.88671875" style="1953" customWidth="1"/>
    <col min="5123" max="5202" width="7.6640625" style="1953" customWidth="1"/>
    <col min="5203" max="5376" width="8.88671875" style="1953"/>
    <col min="5377" max="5377" width="38.44140625" style="1953" customWidth="1"/>
    <col min="5378" max="5378" width="12.88671875" style="1953" customWidth="1"/>
    <col min="5379" max="5458" width="7.6640625" style="1953" customWidth="1"/>
    <col min="5459" max="5632" width="8.88671875" style="1953"/>
    <col min="5633" max="5633" width="38.44140625" style="1953" customWidth="1"/>
    <col min="5634" max="5634" width="12.88671875" style="1953" customWidth="1"/>
    <col min="5635" max="5714" width="7.6640625" style="1953" customWidth="1"/>
    <col min="5715" max="5888" width="8.88671875" style="1953"/>
    <col min="5889" max="5889" width="38.44140625" style="1953" customWidth="1"/>
    <col min="5890" max="5890" width="12.88671875" style="1953" customWidth="1"/>
    <col min="5891" max="5970" width="7.6640625" style="1953" customWidth="1"/>
    <col min="5971" max="6144" width="8.88671875" style="1953"/>
    <col min="6145" max="6145" width="38.44140625" style="1953" customWidth="1"/>
    <col min="6146" max="6146" width="12.88671875" style="1953" customWidth="1"/>
    <col min="6147" max="6226" width="7.6640625" style="1953" customWidth="1"/>
    <col min="6227" max="6400" width="8.88671875" style="1953"/>
    <col min="6401" max="6401" width="38.44140625" style="1953" customWidth="1"/>
    <col min="6402" max="6402" width="12.88671875" style="1953" customWidth="1"/>
    <col min="6403" max="6482" width="7.6640625" style="1953" customWidth="1"/>
    <col min="6483" max="6656" width="8.88671875" style="1953"/>
    <col min="6657" max="6657" width="38.44140625" style="1953" customWidth="1"/>
    <col min="6658" max="6658" width="12.88671875" style="1953" customWidth="1"/>
    <col min="6659" max="6738" width="7.6640625" style="1953" customWidth="1"/>
    <col min="6739" max="6912" width="8.88671875" style="1953"/>
    <col min="6913" max="6913" width="38.44140625" style="1953" customWidth="1"/>
    <col min="6914" max="6914" width="12.88671875" style="1953" customWidth="1"/>
    <col min="6915" max="6994" width="7.6640625" style="1953" customWidth="1"/>
    <col min="6995" max="7168" width="8.88671875" style="1953"/>
    <col min="7169" max="7169" width="38.44140625" style="1953" customWidth="1"/>
    <col min="7170" max="7170" width="12.88671875" style="1953" customWidth="1"/>
    <col min="7171" max="7250" width="7.6640625" style="1953" customWidth="1"/>
    <col min="7251" max="7424" width="8.88671875" style="1953"/>
    <col min="7425" max="7425" width="38.44140625" style="1953" customWidth="1"/>
    <col min="7426" max="7426" width="12.88671875" style="1953" customWidth="1"/>
    <col min="7427" max="7506" width="7.6640625" style="1953" customWidth="1"/>
    <col min="7507" max="7680" width="8.88671875" style="1953"/>
    <col min="7681" max="7681" width="38.44140625" style="1953" customWidth="1"/>
    <col min="7682" max="7682" width="12.88671875" style="1953" customWidth="1"/>
    <col min="7683" max="7762" width="7.6640625" style="1953" customWidth="1"/>
    <col min="7763" max="7936" width="8.88671875" style="1953"/>
    <col min="7937" max="7937" width="38.44140625" style="1953" customWidth="1"/>
    <col min="7938" max="7938" width="12.88671875" style="1953" customWidth="1"/>
    <col min="7939" max="8018" width="7.6640625" style="1953" customWidth="1"/>
    <col min="8019" max="8192" width="8.88671875" style="1953"/>
    <col min="8193" max="8193" width="38.44140625" style="1953" customWidth="1"/>
    <col min="8194" max="8194" width="12.88671875" style="1953" customWidth="1"/>
    <col min="8195" max="8274" width="7.6640625" style="1953" customWidth="1"/>
    <col min="8275" max="8448" width="8.88671875" style="1953"/>
    <col min="8449" max="8449" width="38.44140625" style="1953" customWidth="1"/>
    <col min="8450" max="8450" width="12.88671875" style="1953" customWidth="1"/>
    <col min="8451" max="8530" width="7.6640625" style="1953" customWidth="1"/>
    <col min="8531" max="8704" width="8.88671875" style="1953"/>
    <col min="8705" max="8705" width="38.44140625" style="1953" customWidth="1"/>
    <col min="8706" max="8706" width="12.88671875" style="1953" customWidth="1"/>
    <col min="8707" max="8786" width="7.6640625" style="1953" customWidth="1"/>
    <col min="8787" max="8960" width="8.88671875" style="1953"/>
    <col min="8961" max="8961" width="38.44140625" style="1953" customWidth="1"/>
    <col min="8962" max="8962" width="12.88671875" style="1953" customWidth="1"/>
    <col min="8963" max="9042" width="7.6640625" style="1953" customWidth="1"/>
    <col min="9043" max="9216" width="8.88671875" style="1953"/>
    <col min="9217" max="9217" width="38.44140625" style="1953" customWidth="1"/>
    <col min="9218" max="9218" width="12.88671875" style="1953" customWidth="1"/>
    <col min="9219" max="9298" width="7.6640625" style="1953" customWidth="1"/>
    <col min="9299" max="9472" width="8.88671875" style="1953"/>
    <col min="9473" max="9473" width="38.44140625" style="1953" customWidth="1"/>
    <col min="9474" max="9474" width="12.88671875" style="1953" customWidth="1"/>
    <col min="9475" max="9554" width="7.6640625" style="1953" customWidth="1"/>
    <col min="9555" max="9728" width="8.88671875" style="1953"/>
    <col min="9729" max="9729" width="38.44140625" style="1953" customWidth="1"/>
    <col min="9730" max="9730" width="12.88671875" style="1953" customWidth="1"/>
    <col min="9731" max="9810" width="7.6640625" style="1953" customWidth="1"/>
    <col min="9811" max="9984" width="8.88671875" style="1953"/>
    <col min="9985" max="9985" width="38.44140625" style="1953" customWidth="1"/>
    <col min="9986" max="9986" width="12.88671875" style="1953" customWidth="1"/>
    <col min="9987" max="10066" width="7.6640625" style="1953" customWidth="1"/>
    <col min="10067" max="10240" width="8.88671875" style="1953"/>
    <col min="10241" max="10241" width="38.44140625" style="1953" customWidth="1"/>
    <col min="10242" max="10242" width="12.88671875" style="1953" customWidth="1"/>
    <col min="10243" max="10322" width="7.6640625" style="1953" customWidth="1"/>
    <col min="10323" max="10496" width="8.88671875" style="1953"/>
    <col min="10497" max="10497" width="38.44140625" style="1953" customWidth="1"/>
    <col min="10498" max="10498" width="12.88671875" style="1953" customWidth="1"/>
    <col min="10499" max="10578" width="7.6640625" style="1953" customWidth="1"/>
    <col min="10579" max="10752" width="8.88671875" style="1953"/>
    <col min="10753" max="10753" width="38.44140625" style="1953" customWidth="1"/>
    <col min="10754" max="10754" width="12.88671875" style="1953" customWidth="1"/>
    <col min="10755" max="10834" width="7.6640625" style="1953" customWidth="1"/>
    <col min="10835" max="11008" width="8.88671875" style="1953"/>
    <col min="11009" max="11009" width="38.44140625" style="1953" customWidth="1"/>
    <col min="11010" max="11010" width="12.88671875" style="1953" customWidth="1"/>
    <col min="11011" max="11090" width="7.6640625" style="1953" customWidth="1"/>
    <col min="11091" max="11264" width="8.88671875" style="1953"/>
    <col min="11265" max="11265" width="38.44140625" style="1953" customWidth="1"/>
    <col min="11266" max="11266" width="12.88671875" style="1953" customWidth="1"/>
    <col min="11267" max="11346" width="7.6640625" style="1953" customWidth="1"/>
    <col min="11347" max="11520" width="8.88671875" style="1953"/>
    <col min="11521" max="11521" width="38.44140625" style="1953" customWidth="1"/>
    <col min="11522" max="11522" width="12.88671875" style="1953" customWidth="1"/>
    <col min="11523" max="11602" width="7.6640625" style="1953" customWidth="1"/>
    <col min="11603" max="11776" width="8.88671875" style="1953"/>
    <col min="11777" max="11777" width="38.44140625" style="1953" customWidth="1"/>
    <col min="11778" max="11778" width="12.88671875" style="1953" customWidth="1"/>
    <col min="11779" max="11858" width="7.6640625" style="1953" customWidth="1"/>
    <col min="11859" max="12032" width="8.88671875" style="1953"/>
    <col min="12033" max="12033" width="38.44140625" style="1953" customWidth="1"/>
    <col min="12034" max="12034" width="12.88671875" style="1953" customWidth="1"/>
    <col min="12035" max="12114" width="7.6640625" style="1953" customWidth="1"/>
    <col min="12115" max="12288" width="8.88671875" style="1953"/>
    <col min="12289" max="12289" width="38.44140625" style="1953" customWidth="1"/>
    <col min="12290" max="12290" width="12.88671875" style="1953" customWidth="1"/>
    <col min="12291" max="12370" width="7.6640625" style="1953" customWidth="1"/>
    <col min="12371" max="12544" width="8.88671875" style="1953"/>
    <col min="12545" max="12545" width="38.44140625" style="1953" customWidth="1"/>
    <col min="12546" max="12546" width="12.88671875" style="1953" customWidth="1"/>
    <col min="12547" max="12626" width="7.6640625" style="1953" customWidth="1"/>
    <col min="12627" max="12800" width="8.88671875" style="1953"/>
    <col min="12801" max="12801" width="38.44140625" style="1953" customWidth="1"/>
    <col min="12802" max="12802" width="12.88671875" style="1953" customWidth="1"/>
    <col min="12803" max="12882" width="7.6640625" style="1953" customWidth="1"/>
    <col min="12883" max="13056" width="8.88671875" style="1953"/>
    <col min="13057" max="13057" width="38.44140625" style="1953" customWidth="1"/>
    <col min="13058" max="13058" width="12.88671875" style="1953" customWidth="1"/>
    <col min="13059" max="13138" width="7.6640625" style="1953" customWidth="1"/>
    <col min="13139" max="13312" width="8.88671875" style="1953"/>
    <col min="13313" max="13313" width="38.44140625" style="1953" customWidth="1"/>
    <col min="13314" max="13314" width="12.88671875" style="1953" customWidth="1"/>
    <col min="13315" max="13394" width="7.6640625" style="1953" customWidth="1"/>
    <col min="13395" max="13568" width="8.88671875" style="1953"/>
    <col min="13569" max="13569" width="38.44140625" style="1953" customWidth="1"/>
    <col min="13570" max="13570" width="12.88671875" style="1953" customWidth="1"/>
    <col min="13571" max="13650" width="7.6640625" style="1953" customWidth="1"/>
    <col min="13651" max="13824" width="8.88671875" style="1953"/>
    <col min="13825" max="13825" width="38.44140625" style="1953" customWidth="1"/>
    <col min="13826" max="13826" width="12.88671875" style="1953" customWidth="1"/>
    <col min="13827" max="13906" width="7.6640625" style="1953" customWidth="1"/>
    <col min="13907" max="14080" width="8.88671875" style="1953"/>
    <col min="14081" max="14081" width="38.44140625" style="1953" customWidth="1"/>
    <col min="14082" max="14082" width="12.88671875" style="1953" customWidth="1"/>
    <col min="14083" max="14162" width="7.6640625" style="1953" customWidth="1"/>
    <col min="14163" max="14336" width="8.88671875" style="1953"/>
    <col min="14337" max="14337" width="38.44140625" style="1953" customWidth="1"/>
    <col min="14338" max="14338" width="12.88671875" style="1953" customWidth="1"/>
    <col min="14339" max="14418" width="7.6640625" style="1953" customWidth="1"/>
    <col min="14419" max="14592" width="8.88671875" style="1953"/>
    <col min="14593" max="14593" width="38.44140625" style="1953" customWidth="1"/>
    <col min="14594" max="14594" width="12.88671875" style="1953" customWidth="1"/>
    <col min="14595" max="14674" width="7.6640625" style="1953" customWidth="1"/>
    <col min="14675" max="14848" width="8.88671875" style="1953"/>
    <col min="14849" max="14849" width="38.44140625" style="1953" customWidth="1"/>
    <col min="14850" max="14850" width="12.88671875" style="1953" customWidth="1"/>
    <col min="14851" max="14930" width="7.6640625" style="1953" customWidth="1"/>
    <col min="14931" max="15104" width="8.88671875" style="1953"/>
    <col min="15105" max="15105" width="38.44140625" style="1953" customWidth="1"/>
    <col min="15106" max="15106" width="12.88671875" style="1953" customWidth="1"/>
    <col min="15107" max="15186" width="7.6640625" style="1953" customWidth="1"/>
    <col min="15187" max="15360" width="8.88671875" style="1953"/>
    <col min="15361" max="15361" width="38.44140625" style="1953" customWidth="1"/>
    <col min="15362" max="15362" width="12.88671875" style="1953" customWidth="1"/>
    <col min="15363" max="15442" width="7.6640625" style="1953" customWidth="1"/>
    <col min="15443" max="15616" width="8.88671875" style="1953"/>
    <col min="15617" max="15617" width="38.44140625" style="1953" customWidth="1"/>
    <col min="15618" max="15618" width="12.88671875" style="1953" customWidth="1"/>
    <col min="15619" max="15698" width="7.6640625" style="1953" customWidth="1"/>
    <col min="15699" max="15872" width="8.88671875" style="1953"/>
    <col min="15873" max="15873" width="38.44140625" style="1953" customWidth="1"/>
    <col min="15874" max="15874" width="12.88671875" style="1953" customWidth="1"/>
    <col min="15875" max="15954" width="7.6640625" style="1953" customWidth="1"/>
    <col min="15955" max="16128" width="8.88671875" style="1953"/>
    <col min="16129" max="16129" width="38.44140625" style="1953" customWidth="1"/>
    <col min="16130" max="16130" width="12.88671875" style="1953" customWidth="1"/>
    <col min="16131" max="16210" width="7.6640625" style="1953" customWidth="1"/>
    <col min="16211" max="16384" width="8.88671875" style="1953"/>
  </cols>
  <sheetData>
    <row r="1" spans="1:90" ht="17.399999999999999">
      <c r="A1" s="1951" t="s">
        <v>494</v>
      </c>
      <c r="B1" s="1952"/>
    </row>
    <row r="2" spans="1:90" ht="15.6">
      <c r="A2" s="1954" t="s">
        <v>495</v>
      </c>
      <c r="B2" s="1955"/>
    </row>
    <row r="3" spans="1:90" ht="14.4" thickBot="1">
      <c r="A3" s="1956" t="s">
        <v>496</v>
      </c>
      <c r="B3" s="1957"/>
    </row>
    <row r="6" spans="1:90">
      <c r="BT6" s="1959"/>
      <c r="BU6" s="1960" t="s">
        <v>497</v>
      </c>
      <c r="BV6" s="1960" t="s">
        <v>498</v>
      </c>
      <c r="BW6" s="1960" t="s">
        <v>499</v>
      </c>
      <c r="BX6" s="1960" t="s">
        <v>500</v>
      </c>
      <c r="BY6" s="1961" t="s">
        <v>501</v>
      </c>
      <c r="BZ6" s="1961" t="s">
        <v>502</v>
      </c>
      <c r="CA6" s="1961" t="s">
        <v>503</v>
      </c>
      <c r="CB6" s="1961" t="s">
        <v>504</v>
      </c>
    </row>
    <row r="7" spans="1:90" s="1958" customFormat="1">
      <c r="B7" s="1958" t="s">
        <v>505</v>
      </c>
      <c r="C7" s="1962" t="s">
        <v>506</v>
      </c>
      <c r="D7" s="1962" t="s">
        <v>507</v>
      </c>
      <c r="E7" s="1962" t="s">
        <v>508</v>
      </c>
      <c r="F7" s="1962" t="s">
        <v>509</v>
      </c>
      <c r="G7" s="1962" t="s">
        <v>510</v>
      </c>
      <c r="H7" s="1962" t="s">
        <v>511</v>
      </c>
      <c r="I7" s="1962" t="s">
        <v>512</v>
      </c>
      <c r="J7" s="1962" t="s">
        <v>513</v>
      </c>
      <c r="K7" s="1962" t="s">
        <v>514</v>
      </c>
      <c r="L7" s="1962" t="s">
        <v>515</v>
      </c>
      <c r="M7" s="1962" t="s">
        <v>516</v>
      </c>
      <c r="N7" s="1962" t="s">
        <v>517</v>
      </c>
      <c r="O7" s="1962" t="s">
        <v>518</v>
      </c>
      <c r="P7" s="1962" t="s">
        <v>519</v>
      </c>
      <c r="Q7" s="1962" t="s">
        <v>520</v>
      </c>
      <c r="R7" s="1962" t="s">
        <v>521</v>
      </c>
      <c r="S7" s="1962" t="s">
        <v>522</v>
      </c>
      <c r="T7" s="1962" t="s">
        <v>523</v>
      </c>
      <c r="U7" s="1962" t="s">
        <v>524</v>
      </c>
      <c r="V7" s="1962" t="s">
        <v>525</v>
      </c>
      <c r="W7" s="1962" t="s">
        <v>526</v>
      </c>
      <c r="X7" s="1962" t="s">
        <v>527</v>
      </c>
      <c r="Y7" s="1962" t="s">
        <v>528</v>
      </c>
      <c r="Z7" s="1962" t="s">
        <v>529</v>
      </c>
      <c r="AA7" s="1962" t="s">
        <v>530</v>
      </c>
      <c r="AB7" s="1962" t="s">
        <v>531</v>
      </c>
      <c r="AC7" s="1962" t="s">
        <v>532</v>
      </c>
      <c r="AD7" s="1962" t="s">
        <v>533</v>
      </c>
      <c r="AE7" s="1962" t="s">
        <v>534</v>
      </c>
      <c r="AF7" s="1962" t="s">
        <v>535</v>
      </c>
      <c r="AG7" s="1962" t="s">
        <v>536</v>
      </c>
      <c r="AH7" s="1962" t="s">
        <v>537</v>
      </c>
      <c r="AI7" s="1962" t="s">
        <v>538</v>
      </c>
      <c r="AJ7" s="1962" t="s">
        <v>539</v>
      </c>
      <c r="AK7" s="1962" t="s">
        <v>540</v>
      </c>
      <c r="AL7" s="1962" t="s">
        <v>541</v>
      </c>
      <c r="AM7" s="1962" t="s">
        <v>542</v>
      </c>
      <c r="AN7" s="1962" t="s">
        <v>543</v>
      </c>
      <c r="AO7" s="1962" t="s">
        <v>544</v>
      </c>
      <c r="AP7" s="1962" t="s">
        <v>545</v>
      </c>
      <c r="AQ7" s="1962" t="s">
        <v>546</v>
      </c>
      <c r="AR7" s="1962" t="s">
        <v>547</v>
      </c>
      <c r="AS7" s="1962" t="s">
        <v>548</v>
      </c>
      <c r="AT7" s="1962" t="s">
        <v>549</v>
      </c>
      <c r="AU7" s="1958" t="s">
        <v>550</v>
      </c>
      <c r="AV7" s="1958" t="s">
        <v>551</v>
      </c>
      <c r="AW7" s="1958" t="s">
        <v>552</v>
      </c>
      <c r="AX7" s="1958" t="s">
        <v>553</v>
      </c>
      <c r="AY7" s="1958" t="s">
        <v>554</v>
      </c>
      <c r="AZ7" s="1958" t="s">
        <v>555</v>
      </c>
      <c r="BA7" s="1958" t="s">
        <v>556</v>
      </c>
      <c r="BB7" s="1958" t="s">
        <v>557</v>
      </c>
      <c r="BC7" s="1958" t="s">
        <v>558</v>
      </c>
      <c r="BD7" s="1958" t="s">
        <v>559</v>
      </c>
      <c r="BE7" s="1958" t="s">
        <v>560</v>
      </c>
      <c r="BF7" s="1958" t="s">
        <v>561</v>
      </c>
      <c r="BG7" s="1958" t="s">
        <v>562</v>
      </c>
      <c r="BH7" s="1958" t="s">
        <v>563</v>
      </c>
      <c r="BI7" s="1958" t="s">
        <v>564</v>
      </c>
      <c r="BJ7" s="1958" t="s">
        <v>565</v>
      </c>
      <c r="BK7" s="1958" t="s">
        <v>566</v>
      </c>
      <c r="BL7" s="1958" t="s">
        <v>567</v>
      </c>
      <c r="BM7" s="1958" t="s">
        <v>568</v>
      </c>
      <c r="BN7" s="1958" t="s">
        <v>569</v>
      </c>
      <c r="BO7" s="1958" t="s">
        <v>570</v>
      </c>
      <c r="BP7" s="1958" t="s">
        <v>571</v>
      </c>
      <c r="BQ7" s="1958" t="s">
        <v>572</v>
      </c>
      <c r="BR7" s="1958" t="s">
        <v>573</v>
      </c>
      <c r="BS7" s="1958" t="s">
        <v>574</v>
      </c>
      <c r="BT7" s="1958" t="s">
        <v>575</v>
      </c>
      <c r="BU7" s="1958" t="s">
        <v>576</v>
      </c>
      <c r="BV7" s="1958" t="s">
        <v>577</v>
      </c>
      <c r="BW7" s="1958" t="s">
        <v>578</v>
      </c>
      <c r="BX7" s="1958" t="s">
        <v>579</v>
      </c>
      <c r="BY7" s="1958" t="s">
        <v>580</v>
      </c>
      <c r="BZ7" s="1958" t="s">
        <v>581</v>
      </c>
      <c r="CA7" s="1958" t="s">
        <v>582</v>
      </c>
      <c r="CB7" s="1958" t="s">
        <v>583</v>
      </c>
      <c r="CC7" s="1958" t="s">
        <v>584</v>
      </c>
      <c r="CD7" s="1958" t="s">
        <v>585</v>
      </c>
      <c r="CE7" s="1958" t="s">
        <v>586</v>
      </c>
      <c r="CF7" s="1958" t="s">
        <v>587</v>
      </c>
      <c r="CG7" s="1958" t="s">
        <v>588</v>
      </c>
      <c r="CH7" s="1958" t="s">
        <v>589</v>
      </c>
      <c r="CI7" s="1958" t="s">
        <v>590</v>
      </c>
      <c r="CJ7" s="1958" t="s">
        <v>591</v>
      </c>
      <c r="CK7" s="1958" t="s">
        <v>592</v>
      </c>
      <c r="CL7" s="1958" t="s">
        <v>593</v>
      </c>
    </row>
    <row r="8" spans="1:90">
      <c r="A8" s="1958" t="s">
        <v>594</v>
      </c>
      <c r="B8" s="1958" t="s">
        <v>595</v>
      </c>
      <c r="C8" s="1963">
        <v>2.0346113976543099</v>
      </c>
      <c r="D8" s="1963">
        <v>2.0596500771746999</v>
      </c>
      <c r="E8" s="1963">
        <v>2.0647060372238499</v>
      </c>
      <c r="F8" s="1963">
        <v>2.08676028581668</v>
      </c>
      <c r="G8" s="1963">
        <v>2.10441481814272</v>
      </c>
      <c r="H8" s="1963">
        <v>2.1147152065649601</v>
      </c>
      <c r="I8" s="1963">
        <v>2.1510993425276599</v>
      </c>
      <c r="J8" s="1963">
        <v>2.1700303556901499</v>
      </c>
      <c r="K8" s="1963">
        <v>2.1872092233455001</v>
      </c>
      <c r="L8" s="1963">
        <v>2.2125396282877201</v>
      </c>
      <c r="M8" s="1963">
        <v>2.2351374505046602</v>
      </c>
      <c r="N8" s="1963">
        <v>2.2204817980336999</v>
      </c>
      <c r="O8" s="1963">
        <v>2.2320116226990798</v>
      </c>
      <c r="P8" s="1963">
        <v>2.2583096838239101</v>
      </c>
      <c r="Q8" s="1963">
        <v>2.27564540872048</v>
      </c>
      <c r="R8" s="1963">
        <v>2.30212674606845</v>
      </c>
      <c r="S8" s="1963">
        <v>2.31936770794078</v>
      </c>
      <c r="T8" s="1963">
        <v>2.3630887075886</v>
      </c>
      <c r="U8" s="1963">
        <v>2.40401775208483</v>
      </c>
      <c r="V8" s="1963">
        <v>2.3508872068266702</v>
      </c>
      <c r="W8" s="1963">
        <v>2.3397884211161499</v>
      </c>
      <c r="X8" s="1963">
        <v>2.3463315593326199</v>
      </c>
      <c r="Y8" s="1963">
        <v>2.3660251530796899</v>
      </c>
      <c r="Z8" s="1963">
        <v>2.38072574928248</v>
      </c>
      <c r="AA8" s="1963">
        <v>2.3786733941980902</v>
      </c>
      <c r="AB8" s="1963">
        <v>2.3833613783132601</v>
      </c>
      <c r="AC8" s="1963">
        <v>2.3978430594132099</v>
      </c>
      <c r="AD8" s="1963">
        <v>2.42168970868748</v>
      </c>
      <c r="AE8" s="1963">
        <v>2.4317072324959299</v>
      </c>
      <c r="AF8" s="1963">
        <v>2.47695645025907</v>
      </c>
      <c r="AG8" s="1963">
        <v>2.4885116546577</v>
      </c>
      <c r="AH8" s="1963">
        <v>2.4969754819522398</v>
      </c>
      <c r="AI8" s="1963">
        <v>2.5130795409255899</v>
      </c>
      <c r="AJ8" s="1963">
        <v>2.5194466142060299</v>
      </c>
      <c r="AK8" s="1963">
        <v>2.52963857685537</v>
      </c>
      <c r="AL8" s="1963">
        <v>2.5501989464999602</v>
      </c>
      <c r="AM8" s="1963">
        <v>2.55712003670995</v>
      </c>
      <c r="AN8" s="1963">
        <v>2.5546952042684001</v>
      </c>
      <c r="AO8" s="1963">
        <v>2.57375608575328</v>
      </c>
      <c r="AP8" s="1963">
        <v>2.5883411608511002</v>
      </c>
      <c r="AQ8" s="1963">
        <v>2.5966793575059901</v>
      </c>
      <c r="AR8" s="1963">
        <v>2.6079522450453201</v>
      </c>
      <c r="AS8" s="1963">
        <v>2.6142540104276799</v>
      </c>
      <c r="AT8" s="1963">
        <v>2.6167589769378798</v>
      </c>
      <c r="AU8" s="1963">
        <v>2.6115923571662201</v>
      </c>
      <c r="AV8" s="1963">
        <v>2.62275484000673</v>
      </c>
      <c r="AW8" s="1963">
        <v>2.6191293013400601</v>
      </c>
      <c r="AX8" s="1963">
        <v>2.62627714923654</v>
      </c>
      <c r="AY8" s="1963">
        <v>2.6194265314110301</v>
      </c>
      <c r="AZ8" s="1963">
        <v>2.6415043138832401</v>
      </c>
      <c r="BA8" s="1963">
        <v>2.662062301288</v>
      </c>
      <c r="BB8" s="1963">
        <v>2.67729020882655</v>
      </c>
      <c r="BC8" s="1963">
        <v>2.6907954146946098</v>
      </c>
      <c r="BD8" s="1963">
        <v>2.6947387967675498</v>
      </c>
      <c r="BE8" s="1963">
        <v>2.7066859028113202</v>
      </c>
      <c r="BF8" s="1963">
        <v>2.72054827789868</v>
      </c>
      <c r="BG8" s="1963">
        <v>2.7569640168604699</v>
      </c>
      <c r="BH8" s="1963">
        <v>2.7703563734588399</v>
      </c>
      <c r="BI8" s="1963">
        <v>2.7758420471732599</v>
      </c>
      <c r="BJ8" s="1963">
        <v>2.78863899429814</v>
      </c>
      <c r="BK8" s="1963">
        <v>2.80152864366993</v>
      </c>
      <c r="BL8" s="1963">
        <v>2.8145299240305102</v>
      </c>
      <c r="BM8" s="1963">
        <v>2.8281189721556101</v>
      </c>
      <c r="BN8" s="1963">
        <v>2.8436922082042799</v>
      </c>
      <c r="BO8" s="1963">
        <v>2.8613737788287201</v>
      </c>
      <c r="BP8" s="1963">
        <v>2.8656515498241899</v>
      </c>
      <c r="BQ8" s="1963">
        <v>2.9040288860327399</v>
      </c>
      <c r="BR8" s="1963">
        <v>2.91977882121695</v>
      </c>
      <c r="BS8" s="1963">
        <v>2.9464370701018501</v>
      </c>
      <c r="BT8" s="1963">
        <v>2.9589294578946199</v>
      </c>
      <c r="BU8" s="1963">
        <v>2.97189873674176</v>
      </c>
      <c r="BV8" s="1963">
        <v>2.9829478069661901</v>
      </c>
      <c r="BW8" s="1963">
        <v>2.9928349173184801</v>
      </c>
      <c r="BX8" s="1963">
        <v>3.0011510520439701</v>
      </c>
      <c r="BY8" s="1963">
        <v>3.0123165476192302</v>
      </c>
      <c r="BZ8" s="1963">
        <v>3.0264172103607101</v>
      </c>
      <c r="CA8" s="1963">
        <v>3.04102720494719</v>
      </c>
      <c r="CB8" s="1963">
        <v>3.0557517454736498</v>
      </c>
      <c r="CC8" s="1963">
        <v>3.0703423561476799</v>
      </c>
      <c r="CD8" s="1963">
        <v>3.0863416069355298</v>
      </c>
      <c r="CE8" s="1963">
        <v>3.1037466512716798</v>
      </c>
      <c r="CF8" s="1963">
        <v>3.1213737203310101</v>
      </c>
      <c r="CG8" s="1963">
        <v>3.1392007261444701</v>
      </c>
      <c r="CH8" s="1963">
        <v>3.1576332495661199</v>
      </c>
      <c r="CI8" s="1963">
        <v>3.1766693953545801</v>
      </c>
      <c r="CJ8" s="1963">
        <v>3.19571076133162</v>
      </c>
      <c r="CK8" s="1963">
        <v>3.2156927648001301</v>
      </c>
      <c r="CL8" s="1963">
        <v>3.2357367391781899</v>
      </c>
    </row>
    <row r="9" spans="1:90">
      <c r="A9" s="1958" t="s">
        <v>596</v>
      </c>
      <c r="B9" s="1958" t="s">
        <v>597</v>
      </c>
      <c r="C9" s="1963">
        <v>2.0346113976543099</v>
      </c>
      <c r="D9" s="1963">
        <v>2.0596500771746999</v>
      </c>
      <c r="E9" s="1963">
        <v>2.0647060372238499</v>
      </c>
      <c r="F9" s="1963">
        <v>2.08676028581668</v>
      </c>
      <c r="G9" s="1963">
        <v>2.10441481814272</v>
      </c>
      <c r="H9" s="1963">
        <v>2.1147152065649601</v>
      </c>
      <c r="I9" s="1963">
        <v>2.1510993425276599</v>
      </c>
      <c r="J9" s="1963">
        <v>2.1700303556901499</v>
      </c>
      <c r="K9" s="1963">
        <v>2.1872092233455001</v>
      </c>
      <c r="L9" s="1963">
        <v>2.2125396282877201</v>
      </c>
      <c r="M9" s="1963">
        <v>2.2351374505046602</v>
      </c>
      <c r="N9" s="1963">
        <v>2.2204817980336999</v>
      </c>
      <c r="O9" s="1963">
        <v>2.2320116226990798</v>
      </c>
      <c r="P9" s="1963">
        <v>2.2583096838239101</v>
      </c>
      <c r="Q9" s="1963">
        <v>2.27564540872048</v>
      </c>
      <c r="R9" s="1963">
        <v>2.30212674606845</v>
      </c>
      <c r="S9" s="1963">
        <v>2.31936770794078</v>
      </c>
      <c r="T9" s="1963">
        <v>2.3630887075886</v>
      </c>
      <c r="U9" s="1963">
        <v>2.40401775208483</v>
      </c>
      <c r="V9" s="1963">
        <v>2.3508872068266702</v>
      </c>
      <c r="W9" s="1963">
        <v>2.3397884211161499</v>
      </c>
      <c r="X9" s="1963">
        <v>2.3463315593326199</v>
      </c>
      <c r="Y9" s="1963">
        <v>2.3660251530796899</v>
      </c>
      <c r="Z9" s="1963">
        <v>2.38072574928248</v>
      </c>
      <c r="AA9" s="1963">
        <v>2.3786733941980902</v>
      </c>
      <c r="AB9" s="1963">
        <v>2.3833613783132601</v>
      </c>
      <c r="AC9" s="1963">
        <v>2.3978430594132099</v>
      </c>
      <c r="AD9" s="1963">
        <v>2.42168970868748</v>
      </c>
      <c r="AE9" s="1963">
        <v>2.4317072324959299</v>
      </c>
      <c r="AF9" s="1963">
        <v>2.47695645025907</v>
      </c>
      <c r="AG9" s="1963">
        <v>2.4885116546577</v>
      </c>
      <c r="AH9" s="1963">
        <v>2.4969754819522398</v>
      </c>
      <c r="AI9" s="1963">
        <v>2.5130795409255899</v>
      </c>
      <c r="AJ9" s="1963">
        <v>2.5194466142060299</v>
      </c>
      <c r="AK9" s="1963">
        <v>2.52963857685537</v>
      </c>
      <c r="AL9" s="1963">
        <v>2.5501989464999602</v>
      </c>
      <c r="AM9" s="1963">
        <v>2.55712003670995</v>
      </c>
      <c r="AN9" s="1963">
        <v>2.5546952042684001</v>
      </c>
      <c r="AO9" s="1963">
        <v>2.57375608575328</v>
      </c>
      <c r="AP9" s="1963">
        <v>2.5883411608511002</v>
      </c>
      <c r="AQ9" s="1963">
        <v>2.5966793575059901</v>
      </c>
      <c r="AR9" s="1963">
        <v>2.6079522450453201</v>
      </c>
      <c r="AS9" s="1963">
        <v>2.6142540104276799</v>
      </c>
      <c r="AT9" s="1963">
        <v>2.6167589769378798</v>
      </c>
      <c r="AU9" s="1963">
        <v>2.6115923571662201</v>
      </c>
      <c r="AV9" s="1963">
        <v>2.62275484000673</v>
      </c>
      <c r="AW9" s="1963">
        <v>2.6191293013400601</v>
      </c>
      <c r="AX9" s="1963">
        <v>2.62627714923654</v>
      </c>
      <c r="AY9" s="1963">
        <v>2.6194265314110301</v>
      </c>
      <c r="AZ9" s="1963">
        <v>2.6415043138832401</v>
      </c>
      <c r="BA9" s="1963">
        <v>2.662062301288</v>
      </c>
      <c r="BB9" s="1963">
        <v>2.67729020882655</v>
      </c>
      <c r="BC9" s="1963">
        <v>2.6907954146946098</v>
      </c>
      <c r="BD9" s="1963">
        <v>2.6947387967675498</v>
      </c>
      <c r="BE9" s="1963">
        <v>2.7066859028113202</v>
      </c>
      <c r="BF9" s="1963">
        <v>2.72054827789868</v>
      </c>
      <c r="BG9" s="1963">
        <v>2.7569640168604699</v>
      </c>
      <c r="BH9" s="1963">
        <v>2.7703563734588399</v>
      </c>
      <c r="BI9" s="1963">
        <v>2.7758420471732599</v>
      </c>
      <c r="BJ9" s="1963">
        <v>2.78863899429814</v>
      </c>
      <c r="BK9" s="1963">
        <v>2.80152864366993</v>
      </c>
      <c r="BL9" s="1963">
        <v>2.8145299240305102</v>
      </c>
      <c r="BM9" s="1963">
        <v>2.8281189721556101</v>
      </c>
      <c r="BN9" s="1963">
        <v>2.8436922082042799</v>
      </c>
      <c r="BO9" s="1963">
        <v>2.8613737788287201</v>
      </c>
      <c r="BP9" s="1963">
        <v>2.8656515498241899</v>
      </c>
      <c r="BQ9" s="1963">
        <v>2.9040288860327399</v>
      </c>
      <c r="BR9" s="1963">
        <v>2.91977882121695</v>
      </c>
      <c r="BS9" s="1963">
        <v>2.9464370701018501</v>
      </c>
      <c r="BT9" s="1963">
        <v>2.95511533454368</v>
      </c>
      <c r="BU9" s="1963">
        <v>2.9638765060418102</v>
      </c>
      <c r="BV9" s="1963">
        <v>2.9698163013374201</v>
      </c>
      <c r="BW9" s="1963">
        <v>2.9753604593545</v>
      </c>
      <c r="BX9" s="1963">
        <v>2.9793716061765601</v>
      </c>
      <c r="BY9" s="1963">
        <v>2.9854598446299301</v>
      </c>
      <c r="BZ9" s="1963">
        <v>2.9937116931399901</v>
      </c>
      <c r="CA9" s="1963">
        <v>3.0031799942022999</v>
      </c>
      <c r="CB9" s="1963">
        <v>3.0136579769843599</v>
      </c>
      <c r="CC9" s="1963">
        <v>3.0239642811323</v>
      </c>
      <c r="CD9" s="1963">
        <v>3.0364681428712199</v>
      </c>
      <c r="CE9" s="1963">
        <v>3.0499959763401501</v>
      </c>
      <c r="CF9" s="1963">
        <v>3.0639337550737702</v>
      </c>
      <c r="CG9" s="1963">
        <v>3.07817158353035</v>
      </c>
      <c r="CH9" s="1963">
        <v>3.0927586969804399</v>
      </c>
      <c r="CI9" s="1963">
        <v>3.10814439123192</v>
      </c>
      <c r="CJ9" s="1963">
        <v>3.1236609001015601</v>
      </c>
      <c r="CK9" s="1963">
        <v>3.1401708688163001</v>
      </c>
      <c r="CL9" s="1963">
        <v>3.15683073631816</v>
      </c>
    </row>
    <row r="10" spans="1:90">
      <c r="A10" s="1958" t="s">
        <v>598</v>
      </c>
      <c r="B10" s="1958" t="s">
        <v>599</v>
      </c>
      <c r="C10" s="1963">
        <v>2.0346113976543099</v>
      </c>
      <c r="D10" s="1963">
        <v>2.0596500771746999</v>
      </c>
      <c r="E10" s="1963">
        <v>2.0647060372238499</v>
      </c>
      <c r="F10" s="1963">
        <v>2.08676028581668</v>
      </c>
      <c r="G10" s="1963">
        <v>2.10441481814272</v>
      </c>
      <c r="H10" s="1963">
        <v>2.1147152065649601</v>
      </c>
      <c r="I10" s="1963">
        <v>2.1510993425276599</v>
      </c>
      <c r="J10" s="1963">
        <v>2.1700303556901499</v>
      </c>
      <c r="K10" s="1963">
        <v>2.1872092233455001</v>
      </c>
      <c r="L10" s="1963">
        <v>2.2125396282877201</v>
      </c>
      <c r="M10" s="1963">
        <v>2.2351374505046602</v>
      </c>
      <c r="N10" s="1963">
        <v>2.2204817980336999</v>
      </c>
      <c r="O10" s="1963">
        <v>2.2320116226990798</v>
      </c>
      <c r="P10" s="1963">
        <v>2.2583096838239101</v>
      </c>
      <c r="Q10" s="1963">
        <v>2.27564540872048</v>
      </c>
      <c r="R10" s="1963">
        <v>2.30212674606845</v>
      </c>
      <c r="S10" s="1963">
        <v>2.31936770794078</v>
      </c>
      <c r="T10" s="1963">
        <v>2.3630887075886</v>
      </c>
      <c r="U10" s="1963">
        <v>2.40401775208483</v>
      </c>
      <c r="V10" s="1963">
        <v>2.3508872068266702</v>
      </c>
      <c r="W10" s="1963">
        <v>2.3397884211161499</v>
      </c>
      <c r="X10" s="1963">
        <v>2.3463315593326199</v>
      </c>
      <c r="Y10" s="1963">
        <v>2.3660251530796899</v>
      </c>
      <c r="Z10" s="1963">
        <v>2.38072574928248</v>
      </c>
      <c r="AA10" s="1963">
        <v>2.3786733941980902</v>
      </c>
      <c r="AB10" s="1963">
        <v>2.3833613783132601</v>
      </c>
      <c r="AC10" s="1963">
        <v>2.3978430594132099</v>
      </c>
      <c r="AD10" s="1963">
        <v>2.42168970868748</v>
      </c>
      <c r="AE10" s="1963">
        <v>2.4317072324959299</v>
      </c>
      <c r="AF10" s="1963">
        <v>2.47695645025907</v>
      </c>
      <c r="AG10" s="1963">
        <v>2.4885116546577</v>
      </c>
      <c r="AH10" s="1963">
        <v>2.4969754819522398</v>
      </c>
      <c r="AI10" s="1963">
        <v>2.5130795409255899</v>
      </c>
      <c r="AJ10" s="1963">
        <v>2.5194466142060299</v>
      </c>
      <c r="AK10" s="1963">
        <v>2.52963857685537</v>
      </c>
      <c r="AL10" s="1963">
        <v>2.5501989464999602</v>
      </c>
      <c r="AM10" s="1963">
        <v>2.55712003670995</v>
      </c>
      <c r="AN10" s="1963">
        <v>2.5546952042684001</v>
      </c>
      <c r="AO10" s="1963">
        <v>2.57375608575328</v>
      </c>
      <c r="AP10" s="1963">
        <v>2.5883411608511002</v>
      </c>
      <c r="AQ10" s="1963">
        <v>2.5966793575059901</v>
      </c>
      <c r="AR10" s="1963">
        <v>2.6079522450453201</v>
      </c>
      <c r="AS10" s="1963">
        <v>2.6142540104276799</v>
      </c>
      <c r="AT10" s="1963">
        <v>2.6167589769378798</v>
      </c>
      <c r="AU10" s="1963">
        <v>2.6115923571662201</v>
      </c>
      <c r="AV10" s="1963">
        <v>2.62275484000673</v>
      </c>
      <c r="AW10" s="1963">
        <v>2.6191293013400601</v>
      </c>
      <c r="AX10" s="1963">
        <v>2.62627714923654</v>
      </c>
      <c r="AY10" s="1963">
        <v>2.6194265314110301</v>
      </c>
      <c r="AZ10" s="1963">
        <v>2.6415043138832401</v>
      </c>
      <c r="BA10" s="1963">
        <v>2.662062301288</v>
      </c>
      <c r="BB10" s="1963">
        <v>2.67729020882655</v>
      </c>
      <c r="BC10" s="1963">
        <v>2.6907954146946098</v>
      </c>
      <c r="BD10" s="1963">
        <v>2.6947387967675498</v>
      </c>
      <c r="BE10" s="1963">
        <v>2.7066859028113202</v>
      </c>
      <c r="BF10" s="1963">
        <v>2.72054827789868</v>
      </c>
      <c r="BG10" s="1963">
        <v>2.7569640168604699</v>
      </c>
      <c r="BH10" s="1963">
        <v>2.7703563734588399</v>
      </c>
      <c r="BI10" s="1963">
        <v>2.7758420471732599</v>
      </c>
      <c r="BJ10" s="1963">
        <v>2.78863899429814</v>
      </c>
      <c r="BK10" s="1963">
        <v>2.80152864366993</v>
      </c>
      <c r="BL10" s="1963">
        <v>2.8145299240305102</v>
      </c>
      <c r="BM10" s="1963">
        <v>2.8281189721556101</v>
      </c>
      <c r="BN10" s="1963">
        <v>2.8436922082042799</v>
      </c>
      <c r="BO10" s="1963">
        <v>2.8613737788287201</v>
      </c>
      <c r="BP10" s="1963">
        <v>2.8656515498241899</v>
      </c>
      <c r="BQ10" s="1963">
        <v>2.9040288860327399</v>
      </c>
      <c r="BR10" s="1963">
        <v>2.91977882121695</v>
      </c>
      <c r="BS10" s="1963">
        <v>2.9464370701018501</v>
      </c>
      <c r="BT10" s="1963">
        <v>2.96269458407148</v>
      </c>
      <c r="BU10" s="1963">
        <v>2.9807541213125002</v>
      </c>
      <c r="BV10" s="1963">
        <v>2.99658795646052</v>
      </c>
      <c r="BW10" s="1963">
        <v>3.0110305165974398</v>
      </c>
      <c r="BX10" s="1963">
        <v>3.0251789215529699</v>
      </c>
      <c r="BY10" s="1963">
        <v>3.0424244120073598</v>
      </c>
      <c r="BZ10" s="1963">
        <v>3.06286045858206</v>
      </c>
      <c r="CA10" s="1963">
        <v>3.0839246923475101</v>
      </c>
      <c r="CB10" s="1963">
        <v>3.1053048533962899</v>
      </c>
      <c r="CC10" s="1963">
        <v>3.12661677328683</v>
      </c>
      <c r="CD10" s="1963">
        <v>3.1494007912967001</v>
      </c>
      <c r="CE10" s="1963">
        <v>3.1736605325829501</v>
      </c>
      <c r="CF10" s="1963">
        <v>3.1983282778621001</v>
      </c>
      <c r="CG10" s="1963">
        <v>3.2234712778750301</v>
      </c>
      <c r="CH10" s="1963">
        <v>3.2494717459189402</v>
      </c>
      <c r="CI10" s="1963">
        <v>3.2764372271331501</v>
      </c>
      <c r="CJ10" s="1963">
        <v>3.3038111516300899</v>
      </c>
      <c r="CK10" s="1963">
        <v>3.3325559225318302</v>
      </c>
      <c r="CL10" s="1963">
        <v>3.3617850989081299</v>
      </c>
    </row>
    <row r="12" spans="1:90">
      <c r="C12" s="1964"/>
      <c r="D12" s="1964"/>
      <c r="E12" s="1964"/>
      <c r="F12" s="1964"/>
      <c r="G12" s="1964"/>
      <c r="H12" s="1964"/>
      <c r="I12" s="1964"/>
      <c r="J12" s="1964"/>
      <c r="K12" s="1964"/>
      <c r="L12" s="1964"/>
      <c r="M12" s="1964"/>
      <c r="N12" s="1964"/>
      <c r="O12" s="1964"/>
      <c r="P12" s="1964"/>
      <c r="Q12" s="1964"/>
      <c r="R12" s="1964"/>
      <c r="S12" s="1964"/>
      <c r="T12" s="1964"/>
      <c r="U12" s="1964"/>
      <c r="V12" s="1964"/>
      <c r="W12" s="1964"/>
      <c r="X12" s="1964"/>
      <c r="Y12" s="1964"/>
      <c r="Z12" s="1964"/>
      <c r="AA12" s="1964"/>
      <c r="AB12" s="1964"/>
      <c r="AC12" s="1964"/>
      <c r="AD12" s="1964"/>
      <c r="AE12" s="1964"/>
      <c r="AF12" s="1964"/>
      <c r="AG12" s="1964"/>
      <c r="AH12" s="1964"/>
      <c r="AI12" s="1964"/>
      <c r="AJ12" s="1964"/>
      <c r="AK12" s="1964"/>
      <c r="AL12" s="1964"/>
      <c r="AM12" s="1964"/>
      <c r="AN12" s="1964"/>
      <c r="AO12" s="1964"/>
      <c r="AP12" s="1964"/>
      <c r="AQ12" s="1964"/>
      <c r="AR12" s="1964"/>
      <c r="AS12" s="1964"/>
      <c r="AT12" s="1964"/>
    </row>
    <row r="13" spans="1:90">
      <c r="C13" s="1964"/>
      <c r="D13" s="1964"/>
      <c r="E13" s="1964"/>
      <c r="F13" s="1964"/>
      <c r="G13" s="1964"/>
      <c r="H13" s="1964"/>
      <c r="I13" s="1964"/>
      <c r="J13" s="1964"/>
      <c r="K13" s="1964"/>
      <c r="L13" s="1964"/>
      <c r="M13" s="1964"/>
      <c r="N13" s="1964"/>
      <c r="O13" s="1964"/>
      <c r="P13" s="1964"/>
      <c r="Q13" s="1964"/>
      <c r="R13" s="1964"/>
      <c r="S13" s="1964"/>
      <c r="T13" s="1964"/>
      <c r="U13" s="1964"/>
      <c r="V13" s="1964"/>
      <c r="W13" s="1964"/>
      <c r="X13" s="1964"/>
      <c r="Y13" s="1964"/>
      <c r="Z13" s="1964"/>
      <c r="AA13" s="1964"/>
      <c r="AB13" s="1964"/>
      <c r="AC13" s="1964"/>
      <c r="AD13" s="1964"/>
      <c r="AE13" s="1964"/>
      <c r="AF13" s="1964"/>
      <c r="AG13" s="1964"/>
      <c r="AH13" s="1964"/>
      <c r="AI13" s="1964"/>
      <c r="AJ13" s="1964"/>
      <c r="AK13" s="1964"/>
      <c r="AL13" s="1964"/>
      <c r="AM13" s="1964"/>
      <c r="AN13" s="1964"/>
      <c r="AO13" s="1964"/>
      <c r="AP13" s="1964"/>
      <c r="AQ13" s="1964"/>
      <c r="AR13" s="1964"/>
      <c r="AS13" s="1964"/>
      <c r="AT13" s="1964"/>
    </row>
    <row r="14" spans="1:90">
      <c r="C14" s="1963"/>
      <c r="D14" s="1963"/>
      <c r="E14" s="1963"/>
      <c r="F14" s="1963"/>
      <c r="G14" s="1963"/>
      <c r="H14" s="1963"/>
      <c r="I14" s="1963"/>
      <c r="J14" s="1963"/>
      <c r="K14" s="1963"/>
      <c r="L14" s="1963"/>
      <c r="M14" s="1963"/>
      <c r="N14" s="1963"/>
      <c r="O14" s="1963"/>
      <c r="P14" s="1963"/>
      <c r="Q14" s="1963"/>
      <c r="R14" s="1963"/>
      <c r="S14" s="1963"/>
      <c r="T14" s="1963"/>
      <c r="U14" s="1963"/>
      <c r="V14" s="1963"/>
      <c r="W14" s="1963"/>
      <c r="X14" s="1963"/>
      <c r="Y14" s="1963"/>
      <c r="Z14" s="1963"/>
      <c r="AA14" s="1963"/>
      <c r="AB14" s="1963"/>
      <c r="AC14" s="1963"/>
      <c r="AD14" s="1963"/>
      <c r="AE14" s="1963"/>
      <c r="AF14" s="1963"/>
      <c r="AG14" s="1963"/>
      <c r="AH14" s="1963"/>
      <c r="AI14" s="1963"/>
      <c r="AJ14" s="1963"/>
      <c r="AK14" s="1963"/>
      <c r="AL14" s="1963"/>
      <c r="AM14" s="1963"/>
      <c r="AN14" s="1963"/>
      <c r="AO14" s="1963"/>
      <c r="AP14" s="1963"/>
      <c r="AQ14" s="1963"/>
      <c r="AR14" s="1963"/>
      <c r="AS14" s="1963"/>
      <c r="AT14" s="1963"/>
    </row>
    <row r="15" spans="1:90">
      <c r="C15" s="1963"/>
      <c r="D15" s="1963"/>
      <c r="E15" s="1963"/>
      <c r="F15" s="1963"/>
      <c r="G15" s="1963"/>
      <c r="H15" s="1963"/>
      <c r="I15" s="1963"/>
      <c r="J15" s="1963"/>
      <c r="K15" s="1963"/>
      <c r="L15" s="1963"/>
      <c r="M15" s="1963"/>
      <c r="N15" s="1963"/>
      <c r="O15" s="1963"/>
      <c r="P15" s="1963"/>
      <c r="Q15" s="1963"/>
      <c r="R15" s="1963"/>
      <c r="S15" s="1963"/>
      <c r="T15" s="1963"/>
      <c r="U15" s="1963"/>
      <c r="V15" s="1963"/>
      <c r="W15" s="1963"/>
      <c r="X15" s="1963"/>
      <c r="Y15" s="1963"/>
      <c r="Z15" s="1963"/>
      <c r="AA15" s="1963"/>
      <c r="AB15" s="1963"/>
      <c r="AC15" s="1963"/>
      <c r="AD15" s="1963"/>
      <c r="AE15" s="1963"/>
      <c r="AF15" s="1963"/>
      <c r="AG15" s="1963"/>
      <c r="AH15" s="1963"/>
      <c r="AI15" s="1963"/>
      <c r="AJ15" s="1963"/>
      <c r="AK15" s="1963"/>
      <c r="AL15" s="1963"/>
      <c r="AM15" s="1963"/>
      <c r="AN15" s="1963"/>
      <c r="AO15" s="1963"/>
      <c r="AP15" s="1963"/>
      <c r="AQ15" s="1963"/>
      <c r="AR15" s="1963"/>
      <c r="AS15" s="1963"/>
      <c r="AT15" s="1963"/>
    </row>
    <row r="16" spans="1:90">
      <c r="C16" s="1963"/>
      <c r="D16" s="1963"/>
      <c r="E16" s="1963"/>
      <c r="F16" s="1963"/>
      <c r="G16" s="1963"/>
      <c r="H16" s="1963"/>
      <c r="I16" s="1963"/>
      <c r="J16" s="1963"/>
      <c r="K16" s="1963"/>
      <c r="L16" s="1963"/>
      <c r="M16" s="1963"/>
      <c r="N16" s="1963"/>
      <c r="O16" s="1963"/>
      <c r="P16" s="1963"/>
      <c r="Q16" s="1963"/>
      <c r="R16" s="1963"/>
      <c r="S16" s="1963"/>
      <c r="T16" s="1963"/>
      <c r="U16" s="1963"/>
      <c r="V16" s="1963"/>
      <c r="W16" s="1963"/>
      <c r="X16" s="1963"/>
      <c r="Y16" s="1963"/>
      <c r="Z16" s="1963"/>
      <c r="AA16" s="1963"/>
      <c r="AB16" s="1963"/>
      <c r="AC16" s="1963"/>
      <c r="AD16" s="1963"/>
      <c r="AE16" s="1963"/>
      <c r="AF16" s="1963"/>
      <c r="AG16" s="1963"/>
      <c r="AH16" s="1963"/>
      <c r="AI16" s="1963"/>
      <c r="AJ16" s="1963"/>
      <c r="AK16" s="1963"/>
      <c r="AL16" s="1963"/>
      <c r="AM16" s="1963"/>
      <c r="AN16" s="1963"/>
      <c r="AO16" s="1963"/>
      <c r="AP16" s="1963"/>
      <c r="AQ16" s="1963"/>
      <c r="AR16" s="1963"/>
      <c r="AS16" s="1963"/>
      <c r="AT16" s="1963"/>
      <c r="BS16" s="1965" t="s">
        <v>600</v>
      </c>
      <c r="BT16" s="1966"/>
      <c r="BU16" s="1966"/>
      <c r="BV16" s="1967" t="s">
        <v>601</v>
      </c>
      <c r="BW16" s="1968"/>
      <c r="BX16" s="1968"/>
      <c r="BY16" s="1968"/>
      <c r="BZ16" s="1968"/>
      <c r="CA16" s="1968"/>
      <c r="CB16" s="1966"/>
      <c r="CC16" s="1966"/>
      <c r="CD16" s="1966"/>
    </row>
    <row r="17" spans="3:82">
      <c r="C17" s="1969"/>
      <c r="D17" s="1969"/>
      <c r="E17" s="1969"/>
      <c r="F17" s="1969"/>
      <c r="G17" s="1969"/>
      <c r="H17" s="1969"/>
      <c r="I17" s="1969"/>
      <c r="J17" s="1969"/>
      <c r="K17" s="1969"/>
      <c r="L17" s="1969"/>
      <c r="M17" s="1969"/>
      <c r="N17" s="1969"/>
      <c r="O17" s="1969"/>
      <c r="P17" s="1969"/>
      <c r="Q17" s="1969"/>
      <c r="R17" s="1969"/>
      <c r="S17" s="1969"/>
      <c r="T17" s="1969"/>
      <c r="U17" s="1969"/>
      <c r="V17" s="1969"/>
      <c r="W17" s="1969"/>
      <c r="X17" s="1969"/>
      <c r="Y17" s="1969"/>
      <c r="Z17" s="1969"/>
      <c r="AA17" s="1969"/>
      <c r="AB17" s="1969"/>
      <c r="AC17" s="1969"/>
      <c r="AD17" s="1969"/>
      <c r="AE17" s="1969"/>
      <c r="AF17" s="1969"/>
      <c r="AG17" s="1969"/>
      <c r="AH17" s="1969"/>
      <c r="AI17" s="1969"/>
      <c r="AJ17" s="1969"/>
      <c r="AK17" s="1969"/>
      <c r="AL17" s="1969"/>
      <c r="AM17" s="1969"/>
      <c r="AN17" s="1969"/>
      <c r="AO17" s="1969"/>
      <c r="AP17" s="1969"/>
      <c r="BS17" s="1970"/>
      <c r="BT17" s="1971"/>
      <c r="BU17" s="1971"/>
      <c r="BV17" s="1971"/>
      <c r="BW17" s="1971"/>
      <c r="BX17" s="1971"/>
      <c r="BY17" s="1971"/>
      <c r="BZ17" s="1971"/>
      <c r="CA17" s="1971"/>
      <c r="CB17" s="1971"/>
      <c r="CC17" s="1971"/>
      <c r="CD17" s="1972"/>
    </row>
    <row r="18" spans="3:82">
      <c r="BS18" s="1973"/>
      <c r="BT18" s="1974" t="s">
        <v>602</v>
      </c>
      <c r="BU18" s="1975" t="str">
        <f>BV6</f>
        <v>FY22Q2</v>
      </c>
      <c r="BV18" s="1975"/>
      <c r="BW18" s="1975"/>
      <c r="BX18" s="1975"/>
      <c r="BY18" s="1975"/>
      <c r="BZ18" s="1975"/>
      <c r="CA18" s="1975"/>
      <c r="CB18" s="1975"/>
      <c r="CC18" s="1975"/>
      <c r="CD18" s="1976"/>
    </row>
    <row r="19" spans="3:82">
      <c r="BS19" s="1973"/>
      <c r="BT19" s="1975"/>
      <c r="BU19" s="1977" t="str">
        <f>BV7</f>
        <v>2021Q4</v>
      </c>
      <c r="BV19" s="1975"/>
      <c r="BW19" s="1975"/>
      <c r="BX19" s="1975"/>
      <c r="BY19" s="1975"/>
      <c r="BZ19" s="1975"/>
      <c r="CA19" s="1975"/>
      <c r="CB19" s="1975"/>
      <c r="CC19" s="1975"/>
      <c r="CD19" s="1978" t="s">
        <v>603</v>
      </c>
    </row>
    <row r="20" spans="3:82">
      <c r="BS20" s="1973"/>
      <c r="BT20" s="1975"/>
      <c r="BU20" s="1979">
        <f>BV9</f>
        <v>2.9698163013374201</v>
      </c>
      <c r="BV20" s="1975"/>
      <c r="BW20" s="1975"/>
      <c r="BX20" s="1975"/>
      <c r="BY20" s="1975"/>
      <c r="BZ20" s="1975"/>
      <c r="CA20" s="1975"/>
      <c r="CB20" s="1975"/>
      <c r="CC20" s="1975"/>
      <c r="CD20" s="1980">
        <f>BU20</f>
        <v>2.9698163013374201</v>
      </c>
    </row>
    <row r="21" spans="3:82">
      <c r="BS21" s="1973"/>
      <c r="BT21" s="1975"/>
      <c r="BU21" s="1975"/>
      <c r="BV21" s="1975"/>
      <c r="BW21" s="1975"/>
      <c r="BX21" s="1975"/>
      <c r="BY21" s="1975"/>
      <c r="BZ21" s="1975"/>
      <c r="CA21" s="1975"/>
      <c r="CB21" s="1975"/>
      <c r="CC21" s="1975"/>
      <c r="CD21" s="1981"/>
    </row>
    <row r="22" spans="3:82" ht="14.4" customHeight="1">
      <c r="BS22" s="1982" t="s">
        <v>604</v>
      </c>
      <c r="BT22" s="1983"/>
      <c r="BU22" s="1983"/>
      <c r="BV22" s="1983"/>
      <c r="BW22" s="1983"/>
      <c r="BX22" s="1975"/>
      <c r="BY22" s="1975"/>
      <c r="BZ22" s="1975"/>
      <c r="CA22" s="1975"/>
      <c r="CB22" s="1975"/>
      <c r="CC22" s="1975"/>
      <c r="CD22" s="1981"/>
    </row>
    <row r="23" spans="3:82">
      <c r="BS23" s="1973"/>
      <c r="BT23" s="1975"/>
      <c r="BU23" s="1984" t="str">
        <f>BW7</f>
        <v>2022Q1</v>
      </c>
      <c r="BV23" s="1984" t="str">
        <f t="shared" ref="BV23:CB23" si="0">BX7</f>
        <v>2022Q2</v>
      </c>
      <c r="BW23" s="1984" t="str">
        <f t="shared" si="0"/>
        <v>2022Q3</v>
      </c>
      <c r="BX23" s="1984" t="str">
        <f t="shared" si="0"/>
        <v>2022Q4</v>
      </c>
      <c r="BY23" s="1984" t="str">
        <f t="shared" si="0"/>
        <v>2023Q1</v>
      </c>
      <c r="BZ23" s="1984" t="str">
        <f t="shared" si="0"/>
        <v>2023Q2</v>
      </c>
      <c r="CA23" s="1984" t="str">
        <f t="shared" si="0"/>
        <v>2023Q3</v>
      </c>
      <c r="CB23" s="1984" t="str">
        <f t="shared" si="0"/>
        <v>2023Q4</v>
      </c>
      <c r="CC23" s="1975"/>
      <c r="CD23" s="1981"/>
    </row>
    <row r="24" spans="3:82">
      <c r="BS24" s="1973"/>
      <c r="BT24" s="1975"/>
      <c r="BU24" s="1985">
        <f>BW9</f>
        <v>2.9753604593545</v>
      </c>
      <c r="BV24" s="1985">
        <f t="shared" ref="BV24:CB24" si="1">BX9</f>
        <v>2.9793716061765601</v>
      </c>
      <c r="BW24" s="1985">
        <f t="shared" si="1"/>
        <v>2.9854598446299301</v>
      </c>
      <c r="BX24" s="1985">
        <f t="shared" si="1"/>
        <v>2.9937116931399901</v>
      </c>
      <c r="BY24" s="1985">
        <f t="shared" si="1"/>
        <v>3.0031799942022999</v>
      </c>
      <c r="BZ24" s="1985">
        <f t="shared" si="1"/>
        <v>3.0136579769843599</v>
      </c>
      <c r="CA24" s="1985">
        <f t="shared" si="1"/>
        <v>3.0239642811323</v>
      </c>
      <c r="CB24" s="1985">
        <f t="shared" si="1"/>
        <v>3.0364681428712199</v>
      </c>
      <c r="CC24" s="1975"/>
      <c r="CD24" s="1980">
        <f>AVERAGE(BU24:CB24)</f>
        <v>3.0013967498113949</v>
      </c>
    </row>
    <row r="25" spans="3:82">
      <c r="BS25" s="1973"/>
      <c r="BT25" s="1975"/>
      <c r="BU25" s="1975"/>
      <c r="BV25" s="1975"/>
      <c r="BW25" s="1975"/>
      <c r="BX25" s="1975"/>
      <c r="BY25" s="1975"/>
      <c r="BZ25" s="1975"/>
      <c r="CA25" s="1975"/>
      <c r="CB25" s="1975"/>
      <c r="CC25" s="1975"/>
      <c r="CD25" s="1981"/>
    </row>
    <row r="26" spans="3:82">
      <c r="BS26" s="1973"/>
      <c r="BT26" s="1975"/>
      <c r="BU26" s="1975"/>
      <c r="BV26" s="1975"/>
      <c r="BW26" s="1975"/>
      <c r="BX26" s="1975"/>
      <c r="BY26" s="1975"/>
      <c r="BZ26" s="1975"/>
      <c r="CA26" s="1975"/>
      <c r="CB26" s="1975"/>
      <c r="CC26" s="1986" t="s">
        <v>320</v>
      </c>
      <c r="CD26" s="1987">
        <f>(CD24-CD20)/CD20</f>
        <v>1.0633805350099574E-2</v>
      </c>
    </row>
    <row r="27" spans="3:82">
      <c r="BS27" s="1988"/>
      <c r="BT27" s="1989"/>
      <c r="BU27" s="1989"/>
      <c r="BV27" s="1989"/>
      <c r="BW27" s="1989"/>
      <c r="BX27" s="1989"/>
      <c r="BY27" s="1989"/>
      <c r="BZ27" s="1989"/>
      <c r="CA27" s="1989"/>
      <c r="CB27" s="1989"/>
      <c r="CC27" s="1989"/>
      <c r="CD27" s="1990"/>
    </row>
  </sheetData>
  <mergeCells count="1">
    <mergeCell ref="BS22:BW22"/>
  </mergeCells>
  <pageMargins left="0.25" right="0.2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2:T323"/>
  <sheetViews>
    <sheetView topLeftCell="A76" zoomScale="80" zoomScaleNormal="80" workbookViewId="0">
      <selection activeCell="O97" sqref="A97:O98"/>
    </sheetView>
  </sheetViews>
  <sheetFormatPr defaultRowHeight="14.4"/>
  <cols>
    <col min="1" max="1" width="30.5546875" style="269" customWidth="1"/>
    <col min="2" max="2" width="10.5546875" style="269" customWidth="1"/>
    <col min="3" max="3" width="10.21875" style="269" bestFit="1" customWidth="1"/>
    <col min="4" max="5" width="8.88671875" style="269"/>
    <col min="6" max="6" width="33.109375" style="269" customWidth="1"/>
    <col min="7" max="7" width="11.109375" style="269" customWidth="1"/>
    <col min="8" max="8" width="10.21875" style="269" bestFit="1" customWidth="1"/>
    <col min="9" max="9" width="11" style="269" customWidth="1"/>
    <col min="10" max="10" width="9.88671875" style="269" customWidth="1"/>
    <col min="11" max="11" width="32.44140625" style="269" customWidth="1"/>
    <col min="12" max="12" width="12.33203125" style="269" bestFit="1" customWidth="1"/>
    <col min="13" max="13" width="8.88671875" style="269"/>
    <col min="14" max="14" width="11" style="269" customWidth="1"/>
    <col min="15" max="16" width="10" style="269" customWidth="1"/>
    <col min="17" max="17" width="10.109375" style="269" customWidth="1"/>
    <col min="18" max="18" width="8.88671875" style="269"/>
    <col min="19" max="19" width="9.44140625" style="269" bestFit="1" customWidth="1"/>
    <col min="20" max="20" width="8.88671875" style="269"/>
    <col min="21" max="21" width="28" style="269" bestFit="1" customWidth="1"/>
    <col min="22" max="22" width="11.5546875" style="269" customWidth="1"/>
    <col min="23" max="241" width="8.88671875" style="269"/>
    <col min="242" max="242" width="22.109375" style="269" bestFit="1" customWidth="1"/>
    <col min="243" max="243" width="6.88671875" style="269" customWidth="1"/>
    <col min="244" max="244" width="7.109375" style="269" customWidth="1"/>
    <col min="245" max="245" width="10.44140625" style="269" customWidth="1"/>
    <col min="246" max="250" width="8.88671875" style="269"/>
    <col min="251" max="251" width="22.109375" style="269" bestFit="1" customWidth="1"/>
    <col min="252" max="252" width="5.109375" style="269" bestFit="1" customWidth="1"/>
    <col min="253" max="253" width="7.109375" style="269" customWidth="1"/>
    <col min="254" max="254" width="11.44140625" style="269" customWidth="1"/>
    <col min="255" max="257" width="8.88671875" style="269"/>
    <col min="258" max="258" width="9.88671875" style="269" customWidth="1"/>
    <col min="259" max="259" width="8.88671875" style="269"/>
    <col min="260" max="260" width="22.33203125" style="269" customWidth="1"/>
    <col min="261" max="261" width="5.109375" style="269" bestFit="1" customWidth="1"/>
    <col min="262" max="262" width="6.88671875" style="269" customWidth="1"/>
    <col min="263" max="263" width="8.109375" style="269" bestFit="1" customWidth="1"/>
    <col min="264" max="264" width="8.88671875" style="269"/>
    <col min="265" max="265" width="9.44140625" style="269" bestFit="1" customWidth="1"/>
    <col min="266" max="266" width="8.88671875" style="269"/>
    <col min="267" max="267" width="10.5546875" style="269" customWidth="1"/>
    <col min="268" max="268" width="8.88671875" style="269"/>
    <col min="269" max="269" width="22.109375" style="269" bestFit="1" customWidth="1"/>
    <col min="270" max="275" width="8.88671875" style="269"/>
    <col min="276" max="276" width="38.6640625" style="269" customWidth="1"/>
    <col min="277" max="277" width="28" style="269" bestFit="1" customWidth="1"/>
    <col min="278" max="278" width="11.5546875" style="269" customWidth="1"/>
    <col min="279" max="497" width="8.88671875" style="269"/>
    <col min="498" max="498" width="22.109375" style="269" bestFit="1" customWidth="1"/>
    <col min="499" max="499" width="6.88671875" style="269" customWidth="1"/>
    <col min="500" max="500" width="7.109375" style="269" customWidth="1"/>
    <col min="501" max="501" width="10.44140625" style="269" customWidth="1"/>
    <col min="502" max="506" width="8.88671875" style="269"/>
    <col min="507" max="507" width="22.109375" style="269" bestFit="1" customWidth="1"/>
    <col min="508" max="508" width="5.109375" style="269" bestFit="1" customWidth="1"/>
    <col min="509" max="509" width="7.109375" style="269" customWidth="1"/>
    <col min="510" max="510" width="11.44140625" style="269" customWidth="1"/>
    <col min="511" max="513" width="8.88671875" style="269"/>
    <col min="514" max="514" width="9.88671875" style="269" customWidth="1"/>
    <col min="515" max="515" width="8.88671875" style="269"/>
    <col min="516" max="516" width="22.33203125" style="269" customWidth="1"/>
    <col min="517" max="517" width="5.109375" style="269" bestFit="1" customWidth="1"/>
    <col min="518" max="518" width="6.88671875" style="269" customWidth="1"/>
    <col min="519" max="519" width="8.109375" style="269" bestFit="1" customWidth="1"/>
    <col min="520" max="520" width="8.88671875" style="269"/>
    <col min="521" max="521" width="9.44140625" style="269" bestFit="1" customWidth="1"/>
    <col min="522" max="522" width="8.88671875" style="269"/>
    <col min="523" max="523" width="10.5546875" style="269" customWidth="1"/>
    <col min="524" max="524" width="8.88671875" style="269"/>
    <col min="525" max="525" width="22.109375" style="269" bestFit="1" customWidth="1"/>
    <col min="526" max="531" width="8.88671875" style="269"/>
    <col min="532" max="532" width="38.6640625" style="269" customWidth="1"/>
    <col min="533" max="533" width="28" style="269" bestFit="1" customWidth="1"/>
    <col min="534" max="534" width="11.5546875" style="269" customWidth="1"/>
    <col min="535" max="753" width="8.88671875" style="269"/>
    <col min="754" max="754" width="22.109375" style="269" bestFit="1" customWidth="1"/>
    <col min="755" max="755" width="6.88671875" style="269" customWidth="1"/>
    <col min="756" max="756" width="7.109375" style="269" customWidth="1"/>
    <col min="757" max="757" width="10.44140625" style="269" customWidth="1"/>
    <col min="758" max="762" width="8.88671875" style="269"/>
    <col min="763" max="763" width="22.109375" style="269" bestFit="1" customWidth="1"/>
    <col min="764" max="764" width="5.109375" style="269" bestFit="1" customWidth="1"/>
    <col min="765" max="765" width="7.109375" style="269" customWidth="1"/>
    <col min="766" max="766" width="11.44140625" style="269" customWidth="1"/>
    <col min="767" max="769" width="8.88671875" style="269"/>
    <col min="770" max="770" width="9.88671875" style="269" customWidth="1"/>
    <col min="771" max="771" width="8.88671875" style="269"/>
    <col min="772" max="772" width="22.33203125" style="269" customWidth="1"/>
    <col min="773" max="773" width="5.109375" style="269" bestFit="1" customWidth="1"/>
    <col min="774" max="774" width="6.88671875" style="269" customWidth="1"/>
    <col min="775" max="775" width="8.109375" style="269" bestFit="1" customWidth="1"/>
    <col min="776" max="776" width="8.88671875" style="269"/>
    <col min="777" max="777" width="9.44140625" style="269" bestFit="1" customWidth="1"/>
    <col min="778" max="778" width="8.88671875" style="269"/>
    <col min="779" max="779" width="10.5546875" style="269" customWidth="1"/>
    <col min="780" max="780" width="8.88671875" style="269"/>
    <col min="781" max="781" width="22.109375" style="269" bestFit="1" customWidth="1"/>
    <col min="782" max="787" width="8.88671875" style="269"/>
    <col min="788" max="788" width="38.6640625" style="269" customWidth="1"/>
    <col min="789" max="789" width="28" style="269" bestFit="1" customWidth="1"/>
    <col min="790" max="790" width="11.5546875" style="269" customWidth="1"/>
    <col min="791" max="1009" width="8.88671875" style="269"/>
    <col min="1010" max="1010" width="22.109375" style="269" bestFit="1" customWidth="1"/>
    <col min="1011" max="1011" width="6.88671875" style="269" customWidth="1"/>
    <col min="1012" max="1012" width="7.109375" style="269" customWidth="1"/>
    <col min="1013" max="1013" width="10.44140625" style="269" customWidth="1"/>
    <col min="1014" max="1018" width="8.88671875" style="269"/>
    <col min="1019" max="1019" width="22.109375" style="269" bestFit="1" customWidth="1"/>
    <col min="1020" max="1020" width="5.109375" style="269" bestFit="1" customWidth="1"/>
    <col min="1021" max="1021" width="7.109375" style="269" customWidth="1"/>
    <col min="1022" max="1022" width="11.44140625" style="269" customWidth="1"/>
    <col min="1023" max="1025" width="8.88671875" style="269"/>
    <col min="1026" max="1026" width="9.88671875" style="269" customWidth="1"/>
    <col min="1027" max="1027" width="8.88671875" style="269"/>
    <col min="1028" max="1028" width="22.33203125" style="269" customWidth="1"/>
    <col min="1029" max="1029" width="5.109375" style="269" bestFit="1" customWidth="1"/>
    <col min="1030" max="1030" width="6.88671875" style="269" customWidth="1"/>
    <col min="1031" max="1031" width="8.109375" style="269" bestFit="1" customWidth="1"/>
    <col min="1032" max="1032" width="8.88671875" style="269"/>
    <col min="1033" max="1033" width="9.44140625" style="269" bestFit="1" customWidth="1"/>
    <col min="1034" max="1034" width="8.88671875" style="269"/>
    <col min="1035" max="1035" width="10.5546875" style="269" customWidth="1"/>
    <col min="1036" max="1036" width="8.88671875" style="269"/>
    <col min="1037" max="1037" width="22.109375" style="269" bestFit="1" customWidth="1"/>
    <col min="1038" max="1043" width="8.88671875" style="269"/>
    <col min="1044" max="1044" width="38.6640625" style="269" customWidth="1"/>
    <col min="1045" max="1045" width="28" style="269" bestFit="1" customWidth="1"/>
    <col min="1046" max="1046" width="11.5546875" style="269" customWidth="1"/>
    <col min="1047" max="1265" width="8.88671875" style="269"/>
    <col min="1266" max="1266" width="22.109375" style="269" bestFit="1" customWidth="1"/>
    <col min="1267" max="1267" width="6.88671875" style="269" customWidth="1"/>
    <col min="1268" max="1268" width="7.109375" style="269" customWidth="1"/>
    <col min="1269" max="1269" width="10.44140625" style="269" customWidth="1"/>
    <col min="1270" max="1274" width="8.88671875" style="269"/>
    <col min="1275" max="1275" width="22.109375" style="269" bestFit="1" customWidth="1"/>
    <col min="1276" max="1276" width="5.109375" style="269" bestFit="1" customWidth="1"/>
    <col min="1277" max="1277" width="7.109375" style="269" customWidth="1"/>
    <col min="1278" max="1278" width="11.44140625" style="269" customWidth="1"/>
    <col min="1279" max="1281" width="8.88671875" style="269"/>
    <col min="1282" max="1282" width="9.88671875" style="269" customWidth="1"/>
    <col min="1283" max="1283" width="8.88671875" style="269"/>
    <col min="1284" max="1284" width="22.33203125" style="269" customWidth="1"/>
    <col min="1285" max="1285" width="5.109375" style="269" bestFit="1" customWidth="1"/>
    <col min="1286" max="1286" width="6.88671875" style="269" customWidth="1"/>
    <col min="1287" max="1287" width="8.109375" style="269" bestFit="1" customWidth="1"/>
    <col min="1288" max="1288" width="8.88671875" style="269"/>
    <col min="1289" max="1289" width="9.44140625" style="269" bestFit="1" customWidth="1"/>
    <col min="1290" max="1290" width="8.88671875" style="269"/>
    <col min="1291" max="1291" width="10.5546875" style="269" customWidth="1"/>
    <col min="1292" max="1292" width="8.88671875" style="269"/>
    <col min="1293" max="1293" width="22.109375" style="269" bestFit="1" customWidth="1"/>
    <col min="1294" max="1299" width="8.88671875" style="269"/>
    <col min="1300" max="1300" width="38.6640625" style="269" customWidth="1"/>
    <col min="1301" max="1301" width="28" style="269" bestFit="1" customWidth="1"/>
    <col min="1302" max="1302" width="11.5546875" style="269" customWidth="1"/>
    <col min="1303" max="1521" width="8.88671875" style="269"/>
    <col min="1522" max="1522" width="22.109375" style="269" bestFit="1" customWidth="1"/>
    <col min="1523" max="1523" width="6.88671875" style="269" customWidth="1"/>
    <col min="1524" max="1524" width="7.109375" style="269" customWidth="1"/>
    <col min="1525" max="1525" width="10.44140625" style="269" customWidth="1"/>
    <col min="1526" max="1530" width="8.88671875" style="269"/>
    <col min="1531" max="1531" width="22.109375" style="269" bestFit="1" customWidth="1"/>
    <col min="1532" max="1532" width="5.109375" style="269" bestFit="1" customWidth="1"/>
    <col min="1533" max="1533" width="7.109375" style="269" customWidth="1"/>
    <col min="1534" max="1534" width="11.44140625" style="269" customWidth="1"/>
    <col min="1535" max="1537" width="8.88671875" style="269"/>
    <col min="1538" max="1538" width="9.88671875" style="269" customWidth="1"/>
    <col min="1539" max="1539" width="8.88671875" style="269"/>
    <col min="1540" max="1540" width="22.33203125" style="269" customWidth="1"/>
    <col min="1541" max="1541" width="5.109375" style="269" bestFit="1" customWidth="1"/>
    <col min="1542" max="1542" width="6.88671875" style="269" customWidth="1"/>
    <col min="1543" max="1543" width="8.109375" style="269" bestFit="1" customWidth="1"/>
    <col min="1544" max="1544" width="8.88671875" style="269"/>
    <col min="1545" max="1545" width="9.44140625" style="269" bestFit="1" customWidth="1"/>
    <col min="1546" max="1546" width="8.88671875" style="269"/>
    <col min="1547" max="1547" width="10.5546875" style="269" customWidth="1"/>
    <col min="1548" max="1548" width="8.88671875" style="269"/>
    <col min="1549" max="1549" width="22.109375" style="269" bestFit="1" customWidth="1"/>
    <col min="1550" max="1555" width="8.88671875" style="269"/>
    <col min="1556" max="1556" width="38.6640625" style="269" customWidth="1"/>
    <col min="1557" max="1557" width="28" style="269" bestFit="1" customWidth="1"/>
    <col min="1558" max="1558" width="11.5546875" style="269" customWidth="1"/>
    <col min="1559" max="1777" width="8.88671875" style="269"/>
    <col min="1778" max="1778" width="22.109375" style="269" bestFit="1" customWidth="1"/>
    <col min="1779" max="1779" width="6.88671875" style="269" customWidth="1"/>
    <col min="1780" max="1780" width="7.109375" style="269" customWidth="1"/>
    <col min="1781" max="1781" width="10.44140625" style="269" customWidth="1"/>
    <col min="1782" max="1786" width="8.88671875" style="269"/>
    <col min="1787" max="1787" width="22.109375" style="269" bestFit="1" customWidth="1"/>
    <col min="1788" max="1788" width="5.109375" style="269" bestFit="1" customWidth="1"/>
    <col min="1789" max="1789" width="7.109375" style="269" customWidth="1"/>
    <col min="1790" max="1790" width="11.44140625" style="269" customWidth="1"/>
    <col min="1791" max="1793" width="8.88671875" style="269"/>
    <col min="1794" max="1794" width="9.88671875" style="269" customWidth="1"/>
    <col min="1795" max="1795" width="8.88671875" style="269"/>
    <col min="1796" max="1796" width="22.33203125" style="269" customWidth="1"/>
    <col min="1797" max="1797" width="5.109375" style="269" bestFit="1" customWidth="1"/>
    <col min="1798" max="1798" width="6.88671875" style="269" customWidth="1"/>
    <col min="1799" max="1799" width="8.109375" style="269" bestFit="1" customWidth="1"/>
    <col min="1800" max="1800" width="8.88671875" style="269"/>
    <col min="1801" max="1801" width="9.44140625" style="269" bestFit="1" customWidth="1"/>
    <col min="1802" max="1802" width="8.88671875" style="269"/>
    <col min="1803" max="1803" width="10.5546875" style="269" customWidth="1"/>
    <col min="1804" max="1804" width="8.88671875" style="269"/>
    <col min="1805" max="1805" width="22.109375" style="269" bestFit="1" customWidth="1"/>
    <col min="1806" max="1811" width="8.88671875" style="269"/>
    <col min="1812" max="1812" width="38.6640625" style="269" customWidth="1"/>
    <col min="1813" max="1813" width="28" style="269" bestFit="1" customWidth="1"/>
    <col min="1814" max="1814" width="11.5546875" style="269" customWidth="1"/>
    <col min="1815" max="2033" width="8.88671875" style="269"/>
    <col min="2034" max="2034" width="22.109375" style="269" bestFit="1" customWidth="1"/>
    <col min="2035" max="2035" width="6.88671875" style="269" customWidth="1"/>
    <col min="2036" max="2036" width="7.109375" style="269" customWidth="1"/>
    <col min="2037" max="2037" width="10.44140625" style="269" customWidth="1"/>
    <col min="2038" max="2042" width="8.88671875" style="269"/>
    <col min="2043" max="2043" width="22.109375" style="269" bestFit="1" customWidth="1"/>
    <col min="2044" max="2044" width="5.109375" style="269" bestFit="1" customWidth="1"/>
    <col min="2045" max="2045" width="7.109375" style="269" customWidth="1"/>
    <col min="2046" max="2046" width="11.44140625" style="269" customWidth="1"/>
    <col min="2047" max="2049" width="8.88671875" style="269"/>
    <col min="2050" max="2050" width="9.88671875" style="269" customWidth="1"/>
    <col min="2051" max="2051" width="8.88671875" style="269"/>
    <col min="2052" max="2052" width="22.33203125" style="269" customWidth="1"/>
    <col min="2053" max="2053" width="5.109375" style="269" bestFit="1" customWidth="1"/>
    <col min="2054" max="2054" width="6.88671875" style="269" customWidth="1"/>
    <col min="2055" max="2055" width="8.109375" style="269" bestFit="1" customWidth="1"/>
    <col min="2056" max="2056" width="8.88671875" style="269"/>
    <col min="2057" max="2057" width="9.44140625" style="269" bestFit="1" customWidth="1"/>
    <col min="2058" max="2058" width="8.88671875" style="269"/>
    <col min="2059" max="2059" width="10.5546875" style="269" customWidth="1"/>
    <col min="2060" max="2060" width="8.88671875" style="269"/>
    <col min="2061" max="2061" width="22.109375" style="269" bestFit="1" customWidth="1"/>
    <col min="2062" max="2067" width="8.88671875" style="269"/>
    <col min="2068" max="2068" width="38.6640625" style="269" customWidth="1"/>
    <col min="2069" max="2069" width="28" style="269" bestFit="1" customWidth="1"/>
    <col min="2070" max="2070" width="11.5546875" style="269" customWidth="1"/>
    <col min="2071" max="2289" width="8.88671875" style="269"/>
    <col min="2290" max="2290" width="22.109375" style="269" bestFit="1" customWidth="1"/>
    <col min="2291" max="2291" width="6.88671875" style="269" customWidth="1"/>
    <col min="2292" max="2292" width="7.109375" style="269" customWidth="1"/>
    <col min="2293" max="2293" width="10.44140625" style="269" customWidth="1"/>
    <col min="2294" max="2298" width="8.88671875" style="269"/>
    <col min="2299" max="2299" width="22.109375" style="269" bestFit="1" customWidth="1"/>
    <col min="2300" max="2300" width="5.109375" style="269" bestFit="1" customWidth="1"/>
    <col min="2301" max="2301" width="7.109375" style="269" customWidth="1"/>
    <col min="2302" max="2302" width="11.44140625" style="269" customWidth="1"/>
    <col min="2303" max="2305" width="8.88671875" style="269"/>
    <col min="2306" max="2306" width="9.88671875" style="269" customWidth="1"/>
    <col min="2307" max="2307" width="8.88671875" style="269"/>
    <col min="2308" max="2308" width="22.33203125" style="269" customWidth="1"/>
    <col min="2309" max="2309" width="5.109375" style="269" bestFit="1" customWidth="1"/>
    <col min="2310" max="2310" width="6.88671875" style="269" customWidth="1"/>
    <col min="2311" max="2311" width="8.109375" style="269" bestFit="1" customWidth="1"/>
    <col min="2312" max="2312" width="8.88671875" style="269"/>
    <col min="2313" max="2313" width="9.44140625" style="269" bestFit="1" customWidth="1"/>
    <col min="2314" max="2314" width="8.88671875" style="269"/>
    <col min="2315" max="2315" width="10.5546875" style="269" customWidth="1"/>
    <col min="2316" max="2316" width="8.88671875" style="269"/>
    <col min="2317" max="2317" width="22.109375" style="269" bestFit="1" customWidth="1"/>
    <col min="2318" max="2323" width="8.88671875" style="269"/>
    <col min="2324" max="2324" width="38.6640625" style="269" customWidth="1"/>
    <col min="2325" max="2325" width="28" style="269" bestFit="1" customWidth="1"/>
    <col min="2326" max="2326" width="11.5546875" style="269" customWidth="1"/>
    <col min="2327" max="2545" width="8.88671875" style="269"/>
    <col min="2546" max="2546" width="22.109375" style="269" bestFit="1" customWidth="1"/>
    <col min="2547" max="2547" width="6.88671875" style="269" customWidth="1"/>
    <col min="2548" max="2548" width="7.109375" style="269" customWidth="1"/>
    <col min="2549" max="2549" width="10.44140625" style="269" customWidth="1"/>
    <col min="2550" max="2554" width="8.88671875" style="269"/>
    <col min="2555" max="2555" width="22.109375" style="269" bestFit="1" customWidth="1"/>
    <col min="2556" max="2556" width="5.109375" style="269" bestFit="1" customWidth="1"/>
    <col min="2557" max="2557" width="7.109375" style="269" customWidth="1"/>
    <col min="2558" max="2558" width="11.44140625" style="269" customWidth="1"/>
    <col min="2559" max="2561" width="8.88671875" style="269"/>
    <col min="2562" max="2562" width="9.88671875" style="269" customWidth="1"/>
    <col min="2563" max="2563" width="8.88671875" style="269"/>
    <col min="2564" max="2564" width="22.33203125" style="269" customWidth="1"/>
    <col min="2565" max="2565" width="5.109375" style="269" bestFit="1" customWidth="1"/>
    <col min="2566" max="2566" width="6.88671875" style="269" customWidth="1"/>
    <col min="2567" max="2567" width="8.109375" style="269" bestFit="1" customWidth="1"/>
    <col min="2568" max="2568" width="8.88671875" style="269"/>
    <col min="2569" max="2569" width="9.44140625" style="269" bestFit="1" customWidth="1"/>
    <col min="2570" max="2570" width="8.88671875" style="269"/>
    <col min="2571" max="2571" width="10.5546875" style="269" customWidth="1"/>
    <col min="2572" max="2572" width="8.88671875" style="269"/>
    <col min="2573" max="2573" width="22.109375" style="269" bestFit="1" customWidth="1"/>
    <col min="2574" max="2579" width="8.88671875" style="269"/>
    <col min="2580" max="2580" width="38.6640625" style="269" customWidth="1"/>
    <col min="2581" max="2581" width="28" style="269" bestFit="1" customWidth="1"/>
    <col min="2582" max="2582" width="11.5546875" style="269" customWidth="1"/>
    <col min="2583" max="2801" width="8.88671875" style="269"/>
    <col min="2802" max="2802" width="22.109375" style="269" bestFit="1" customWidth="1"/>
    <col min="2803" max="2803" width="6.88671875" style="269" customWidth="1"/>
    <col min="2804" max="2804" width="7.109375" style="269" customWidth="1"/>
    <col min="2805" max="2805" width="10.44140625" style="269" customWidth="1"/>
    <col min="2806" max="2810" width="8.88671875" style="269"/>
    <col min="2811" max="2811" width="22.109375" style="269" bestFit="1" customWidth="1"/>
    <col min="2812" max="2812" width="5.109375" style="269" bestFit="1" customWidth="1"/>
    <col min="2813" max="2813" width="7.109375" style="269" customWidth="1"/>
    <col min="2814" max="2814" width="11.44140625" style="269" customWidth="1"/>
    <col min="2815" max="2817" width="8.88671875" style="269"/>
    <col min="2818" max="2818" width="9.88671875" style="269" customWidth="1"/>
    <col min="2819" max="2819" width="8.88671875" style="269"/>
    <col min="2820" max="2820" width="22.33203125" style="269" customWidth="1"/>
    <col min="2821" max="2821" width="5.109375" style="269" bestFit="1" customWidth="1"/>
    <col min="2822" max="2822" width="6.88671875" style="269" customWidth="1"/>
    <col min="2823" max="2823" width="8.109375" style="269" bestFit="1" customWidth="1"/>
    <col min="2824" max="2824" width="8.88671875" style="269"/>
    <col min="2825" max="2825" width="9.44140625" style="269" bestFit="1" customWidth="1"/>
    <col min="2826" max="2826" width="8.88671875" style="269"/>
    <col min="2827" max="2827" width="10.5546875" style="269" customWidth="1"/>
    <col min="2828" max="2828" width="8.88671875" style="269"/>
    <col min="2829" max="2829" width="22.109375" style="269" bestFit="1" customWidth="1"/>
    <col min="2830" max="2835" width="8.88671875" style="269"/>
    <col min="2836" max="2836" width="38.6640625" style="269" customWidth="1"/>
    <col min="2837" max="2837" width="28" style="269" bestFit="1" customWidth="1"/>
    <col min="2838" max="2838" width="11.5546875" style="269" customWidth="1"/>
    <col min="2839" max="3057" width="8.88671875" style="269"/>
    <col min="3058" max="3058" width="22.109375" style="269" bestFit="1" customWidth="1"/>
    <col min="3059" max="3059" width="6.88671875" style="269" customWidth="1"/>
    <col min="3060" max="3060" width="7.109375" style="269" customWidth="1"/>
    <col min="3061" max="3061" width="10.44140625" style="269" customWidth="1"/>
    <col min="3062" max="3066" width="8.88671875" style="269"/>
    <col min="3067" max="3067" width="22.109375" style="269" bestFit="1" customWidth="1"/>
    <col min="3068" max="3068" width="5.109375" style="269" bestFit="1" customWidth="1"/>
    <col min="3069" max="3069" width="7.109375" style="269" customWidth="1"/>
    <col min="3070" max="3070" width="11.44140625" style="269" customWidth="1"/>
    <col min="3071" max="3073" width="8.88671875" style="269"/>
    <col min="3074" max="3074" width="9.88671875" style="269" customWidth="1"/>
    <col min="3075" max="3075" width="8.88671875" style="269"/>
    <col min="3076" max="3076" width="22.33203125" style="269" customWidth="1"/>
    <col min="3077" max="3077" width="5.109375" style="269" bestFit="1" customWidth="1"/>
    <col min="3078" max="3078" width="6.88671875" style="269" customWidth="1"/>
    <col min="3079" max="3079" width="8.109375" style="269" bestFit="1" customWidth="1"/>
    <col min="3080" max="3080" width="8.88671875" style="269"/>
    <col min="3081" max="3081" width="9.44140625" style="269" bestFit="1" customWidth="1"/>
    <col min="3082" max="3082" width="8.88671875" style="269"/>
    <col min="3083" max="3083" width="10.5546875" style="269" customWidth="1"/>
    <col min="3084" max="3084" width="8.88671875" style="269"/>
    <col min="3085" max="3085" width="22.109375" style="269" bestFit="1" customWidth="1"/>
    <col min="3086" max="3091" width="8.88671875" style="269"/>
    <col min="3092" max="3092" width="38.6640625" style="269" customWidth="1"/>
    <col min="3093" max="3093" width="28" style="269" bestFit="1" customWidth="1"/>
    <col min="3094" max="3094" width="11.5546875" style="269" customWidth="1"/>
    <col min="3095" max="3313" width="8.88671875" style="269"/>
    <col min="3314" max="3314" width="22.109375" style="269" bestFit="1" customWidth="1"/>
    <col min="3315" max="3315" width="6.88671875" style="269" customWidth="1"/>
    <col min="3316" max="3316" width="7.109375" style="269" customWidth="1"/>
    <col min="3317" max="3317" width="10.44140625" style="269" customWidth="1"/>
    <col min="3318" max="3322" width="8.88671875" style="269"/>
    <col min="3323" max="3323" width="22.109375" style="269" bestFit="1" customWidth="1"/>
    <col min="3324" max="3324" width="5.109375" style="269" bestFit="1" customWidth="1"/>
    <col min="3325" max="3325" width="7.109375" style="269" customWidth="1"/>
    <col min="3326" max="3326" width="11.44140625" style="269" customWidth="1"/>
    <col min="3327" max="3329" width="8.88671875" style="269"/>
    <col min="3330" max="3330" width="9.88671875" style="269" customWidth="1"/>
    <col min="3331" max="3331" width="8.88671875" style="269"/>
    <col min="3332" max="3332" width="22.33203125" style="269" customWidth="1"/>
    <col min="3333" max="3333" width="5.109375" style="269" bestFit="1" customWidth="1"/>
    <col min="3334" max="3334" width="6.88671875" style="269" customWidth="1"/>
    <col min="3335" max="3335" width="8.109375" style="269" bestFit="1" customWidth="1"/>
    <col min="3336" max="3336" width="8.88671875" style="269"/>
    <col min="3337" max="3337" width="9.44140625" style="269" bestFit="1" customWidth="1"/>
    <col min="3338" max="3338" width="8.88671875" style="269"/>
    <col min="3339" max="3339" width="10.5546875" style="269" customWidth="1"/>
    <col min="3340" max="3340" width="8.88671875" style="269"/>
    <col min="3341" max="3341" width="22.109375" style="269" bestFit="1" customWidth="1"/>
    <col min="3342" max="3347" width="8.88671875" style="269"/>
    <col min="3348" max="3348" width="38.6640625" style="269" customWidth="1"/>
    <col min="3349" max="3349" width="28" style="269" bestFit="1" customWidth="1"/>
    <col min="3350" max="3350" width="11.5546875" style="269" customWidth="1"/>
    <col min="3351" max="3569" width="8.88671875" style="269"/>
    <col min="3570" max="3570" width="22.109375" style="269" bestFit="1" customWidth="1"/>
    <col min="3571" max="3571" width="6.88671875" style="269" customWidth="1"/>
    <col min="3572" max="3572" width="7.109375" style="269" customWidth="1"/>
    <col min="3573" max="3573" width="10.44140625" style="269" customWidth="1"/>
    <col min="3574" max="3578" width="8.88671875" style="269"/>
    <col min="3579" max="3579" width="22.109375" style="269" bestFit="1" customWidth="1"/>
    <col min="3580" max="3580" width="5.109375" style="269" bestFit="1" customWidth="1"/>
    <col min="3581" max="3581" width="7.109375" style="269" customWidth="1"/>
    <col min="3582" max="3582" width="11.44140625" style="269" customWidth="1"/>
    <col min="3583" max="3585" width="8.88671875" style="269"/>
    <col min="3586" max="3586" width="9.88671875" style="269" customWidth="1"/>
    <col min="3587" max="3587" width="8.88671875" style="269"/>
    <col min="3588" max="3588" width="22.33203125" style="269" customWidth="1"/>
    <col min="3589" max="3589" width="5.109375" style="269" bestFit="1" customWidth="1"/>
    <col min="3590" max="3590" width="6.88671875" style="269" customWidth="1"/>
    <col min="3591" max="3591" width="8.109375" style="269" bestFit="1" customWidth="1"/>
    <col min="3592" max="3592" width="8.88671875" style="269"/>
    <col min="3593" max="3593" width="9.44140625" style="269" bestFit="1" customWidth="1"/>
    <col min="3594" max="3594" width="8.88671875" style="269"/>
    <col min="3595" max="3595" width="10.5546875" style="269" customWidth="1"/>
    <col min="3596" max="3596" width="8.88671875" style="269"/>
    <col min="3597" max="3597" width="22.109375" style="269" bestFit="1" customWidth="1"/>
    <col min="3598" max="3603" width="8.88671875" style="269"/>
    <col min="3604" max="3604" width="38.6640625" style="269" customWidth="1"/>
    <col min="3605" max="3605" width="28" style="269" bestFit="1" customWidth="1"/>
    <col min="3606" max="3606" width="11.5546875" style="269" customWidth="1"/>
    <col min="3607" max="3825" width="8.88671875" style="269"/>
    <col min="3826" max="3826" width="22.109375" style="269" bestFit="1" customWidth="1"/>
    <col min="3827" max="3827" width="6.88671875" style="269" customWidth="1"/>
    <col min="3828" max="3828" width="7.109375" style="269" customWidth="1"/>
    <col min="3829" max="3829" width="10.44140625" style="269" customWidth="1"/>
    <col min="3830" max="3834" width="8.88671875" style="269"/>
    <col min="3835" max="3835" width="22.109375" style="269" bestFit="1" customWidth="1"/>
    <col min="3836" max="3836" width="5.109375" style="269" bestFit="1" customWidth="1"/>
    <col min="3837" max="3837" width="7.109375" style="269" customWidth="1"/>
    <col min="3838" max="3838" width="11.44140625" style="269" customWidth="1"/>
    <col min="3839" max="3841" width="8.88671875" style="269"/>
    <col min="3842" max="3842" width="9.88671875" style="269" customWidth="1"/>
    <col min="3843" max="3843" width="8.88671875" style="269"/>
    <col min="3844" max="3844" width="22.33203125" style="269" customWidth="1"/>
    <col min="3845" max="3845" width="5.109375" style="269" bestFit="1" customWidth="1"/>
    <col min="3846" max="3846" width="6.88671875" style="269" customWidth="1"/>
    <col min="3847" max="3847" width="8.109375" style="269" bestFit="1" customWidth="1"/>
    <col min="3848" max="3848" width="8.88671875" style="269"/>
    <col min="3849" max="3849" width="9.44140625" style="269" bestFit="1" customWidth="1"/>
    <col min="3850" max="3850" width="8.88671875" style="269"/>
    <col min="3851" max="3851" width="10.5546875" style="269" customWidth="1"/>
    <col min="3852" max="3852" width="8.88671875" style="269"/>
    <col min="3853" max="3853" width="22.109375" style="269" bestFit="1" customWidth="1"/>
    <col min="3854" max="3859" width="8.88671875" style="269"/>
    <col min="3860" max="3860" width="38.6640625" style="269" customWidth="1"/>
    <col min="3861" max="3861" width="28" style="269" bestFit="1" customWidth="1"/>
    <col min="3862" max="3862" width="11.5546875" style="269" customWidth="1"/>
    <col min="3863" max="4081" width="8.88671875" style="269"/>
    <col min="4082" max="4082" width="22.109375" style="269" bestFit="1" customWidth="1"/>
    <col min="4083" max="4083" width="6.88671875" style="269" customWidth="1"/>
    <col min="4084" max="4084" width="7.109375" style="269" customWidth="1"/>
    <col min="4085" max="4085" width="10.44140625" style="269" customWidth="1"/>
    <col min="4086" max="4090" width="8.88671875" style="269"/>
    <col min="4091" max="4091" width="22.109375" style="269" bestFit="1" customWidth="1"/>
    <col min="4092" max="4092" width="5.109375" style="269" bestFit="1" customWidth="1"/>
    <col min="4093" max="4093" width="7.109375" style="269" customWidth="1"/>
    <col min="4094" max="4094" width="11.44140625" style="269" customWidth="1"/>
    <col min="4095" max="4097" width="8.88671875" style="269"/>
    <col min="4098" max="4098" width="9.88671875" style="269" customWidth="1"/>
    <col min="4099" max="4099" width="8.88671875" style="269"/>
    <col min="4100" max="4100" width="22.33203125" style="269" customWidth="1"/>
    <col min="4101" max="4101" width="5.109375" style="269" bestFit="1" customWidth="1"/>
    <col min="4102" max="4102" width="6.88671875" style="269" customWidth="1"/>
    <col min="4103" max="4103" width="8.109375" style="269" bestFit="1" customWidth="1"/>
    <col min="4104" max="4104" width="8.88671875" style="269"/>
    <col min="4105" max="4105" width="9.44140625" style="269" bestFit="1" customWidth="1"/>
    <col min="4106" max="4106" width="8.88671875" style="269"/>
    <col min="4107" max="4107" width="10.5546875" style="269" customWidth="1"/>
    <col min="4108" max="4108" width="8.88671875" style="269"/>
    <col min="4109" max="4109" width="22.109375" style="269" bestFit="1" customWidth="1"/>
    <col min="4110" max="4115" width="8.88671875" style="269"/>
    <col min="4116" max="4116" width="38.6640625" style="269" customWidth="1"/>
    <col min="4117" max="4117" width="28" style="269" bestFit="1" customWidth="1"/>
    <col min="4118" max="4118" width="11.5546875" style="269" customWidth="1"/>
    <col min="4119" max="4337" width="8.88671875" style="269"/>
    <col min="4338" max="4338" width="22.109375" style="269" bestFit="1" customWidth="1"/>
    <col min="4339" max="4339" width="6.88671875" style="269" customWidth="1"/>
    <col min="4340" max="4340" width="7.109375" style="269" customWidth="1"/>
    <col min="4341" max="4341" width="10.44140625" style="269" customWidth="1"/>
    <col min="4342" max="4346" width="8.88671875" style="269"/>
    <col min="4347" max="4347" width="22.109375" style="269" bestFit="1" customWidth="1"/>
    <col min="4348" max="4348" width="5.109375" style="269" bestFit="1" customWidth="1"/>
    <col min="4349" max="4349" width="7.109375" style="269" customWidth="1"/>
    <col min="4350" max="4350" width="11.44140625" style="269" customWidth="1"/>
    <col min="4351" max="4353" width="8.88671875" style="269"/>
    <col min="4354" max="4354" width="9.88671875" style="269" customWidth="1"/>
    <col min="4355" max="4355" width="8.88671875" style="269"/>
    <col min="4356" max="4356" width="22.33203125" style="269" customWidth="1"/>
    <col min="4357" max="4357" width="5.109375" style="269" bestFit="1" customWidth="1"/>
    <col min="4358" max="4358" width="6.88671875" style="269" customWidth="1"/>
    <col min="4359" max="4359" width="8.109375" style="269" bestFit="1" customWidth="1"/>
    <col min="4360" max="4360" width="8.88671875" style="269"/>
    <col min="4361" max="4361" width="9.44140625" style="269" bestFit="1" customWidth="1"/>
    <col min="4362" max="4362" width="8.88671875" style="269"/>
    <col min="4363" max="4363" width="10.5546875" style="269" customWidth="1"/>
    <col min="4364" max="4364" width="8.88671875" style="269"/>
    <col min="4365" max="4365" width="22.109375" style="269" bestFit="1" customWidth="1"/>
    <col min="4366" max="4371" width="8.88671875" style="269"/>
    <col min="4372" max="4372" width="38.6640625" style="269" customWidth="1"/>
    <col min="4373" max="4373" width="28" style="269" bestFit="1" customWidth="1"/>
    <col min="4374" max="4374" width="11.5546875" style="269" customWidth="1"/>
    <col min="4375" max="4593" width="8.88671875" style="269"/>
    <col min="4594" max="4594" width="22.109375" style="269" bestFit="1" customWidth="1"/>
    <col min="4595" max="4595" width="6.88671875" style="269" customWidth="1"/>
    <col min="4596" max="4596" width="7.109375" style="269" customWidth="1"/>
    <col min="4597" max="4597" width="10.44140625" style="269" customWidth="1"/>
    <col min="4598" max="4602" width="8.88671875" style="269"/>
    <col min="4603" max="4603" width="22.109375" style="269" bestFit="1" customWidth="1"/>
    <col min="4604" max="4604" width="5.109375" style="269" bestFit="1" customWidth="1"/>
    <col min="4605" max="4605" width="7.109375" style="269" customWidth="1"/>
    <col min="4606" max="4606" width="11.44140625" style="269" customWidth="1"/>
    <col min="4607" max="4609" width="8.88671875" style="269"/>
    <col min="4610" max="4610" width="9.88671875" style="269" customWidth="1"/>
    <col min="4611" max="4611" width="8.88671875" style="269"/>
    <col min="4612" max="4612" width="22.33203125" style="269" customWidth="1"/>
    <col min="4613" max="4613" width="5.109375" style="269" bestFit="1" customWidth="1"/>
    <col min="4614" max="4614" width="6.88671875" style="269" customWidth="1"/>
    <col min="4615" max="4615" width="8.109375" style="269" bestFit="1" customWidth="1"/>
    <col min="4616" max="4616" width="8.88671875" style="269"/>
    <col min="4617" max="4617" width="9.44140625" style="269" bestFit="1" customWidth="1"/>
    <col min="4618" max="4618" width="8.88671875" style="269"/>
    <col min="4619" max="4619" width="10.5546875" style="269" customWidth="1"/>
    <col min="4620" max="4620" width="8.88671875" style="269"/>
    <col min="4621" max="4621" width="22.109375" style="269" bestFit="1" customWidth="1"/>
    <col min="4622" max="4627" width="8.88671875" style="269"/>
    <col min="4628" max="4628" width="38.6640625" style="269" customWidth="1"/>
    <col min="4629" max="4629" width="28" style="269" bestFit="1" customWidth="1"/>
    <col min="4630" max="4630" width="11.5546875" style="269" customWidth="1"/>
    <col min="4631" max="4849" width="8.88671875" style="269"/>
    <col min="4850" max="4850" width="22.109375" style="269" bestFit="1" customWidth="1"/>
    <col min="4851" max="4851" width="6.88671875" style="269" customWidth="1"/>
    <col min="4852" max="4852" width="7.109375" style="269" customWidth="1"/>
    <col min="4853" max="4853" width="10.44140625" style="269" customWidth="1"/>
    <col min="4854" max="4858" width="8.88671875" style="269"/>
    <col min="4859" max="4859" width="22.109375" style="269" bestFit="1" customWidth="1"/>
    <col min="4860" max="4860" width="5.109375" style="269" bestFit="1" customWidth="1"/>
    <col min="4861" max="4861" width="7.109375" style="269" customWidth="1"/>
    <col min="4862" max="4862" width="11.44140625" style="269" customWidth="1"/>
    <col min="4863" max="4865" width="8.88671875" style="269"/>
    <col min="4866" max="4866" width="9.88671875" style="269" customWidth="1"/>
    <col min="4867" max="4867" width="8.88671875" style="269"/>
    <col min="4868" max="4868" width="22.33203125" style="269" customWidth="1"/>
    <col min="4869" max="4869" width="5.109375" style="269" bestFit="1" customWidth="1"/>
    <col min="4870" max="4870" width="6.88671875" style="269" customWidth="1"/>
    <col min="4871" max="4871" width="8.109375" style="269" bestFit="1" customWidth="1"/>
    <col min="4872" max="4872" width="8.88671875" style="269"/>
    <col min="4873" max="4873" width="9.44140625" style="269" bestFit="1" customWidth="1"/>
    <col min="4874" max="4874" width="8.88671875" style="269"/>
    <col min="4875" max="4875" width="10.5546875" style="269" customWidth="1"/>
    <col min="4876" max="4876" width="8.88671875" style="269"/>
    <col min="4877" max="4877" width="22.109375" style="269" bestFit="1" customWidth="1"/>
    <col min="4878" max="4883" width="8.88671875" style="269"/>
    <col min="4884" max="4884" width="38.6640625" style="269" customWidth="1"/>
    <col min="4885" max="4885" width="28" style="269" bestFit="1" customWidth="1"/>
    <col min="4886" max="4886" width="11.5546875" style="269" customWidth="1"/>
    <col min="4887" max="5105" width="8.88671875" style="269"/>
    <col min="5106" max="5106" width="22.109375" style="269" bestFit="1" customWidth="1"/>
    <col min="5107" max="5107" width="6.88671875" style="269" customWidth="1"/>
    <col min="5108" max="5108" width="7.109375" style="269" customWidth="1"/>
    <col min="5109" max="5109" width="10.44140625" style="269" customWidth="1"/>
    <col min="5110" max="5114" width="8.88671875" style="269"/>
    <col min="5115" max="5115" width="22.109375" style="269" bestFit="1" customWidth="1"/>
    <col min="5116" max="5116" width="5.109375" style="269" bestFit="1" customWidth="1"/>
    <col min="5117" max="5117" width="7.109375" style="269" customWidth="1"/>
    <col min="5118" max="5118" width="11.44140625" style="269" customWidth="1"/>
    <col min="5119" max="5121" width="8.88671875" style="269"/>
    <col min="5122" max="5122" width="9.88671875" style="269" customWidth="1"/>
    <col min="5123" max="5123" width="8.88671875" style="269"/>
    <col min="5124" max="5124" width="22.33203125" style="269" customWidth="1"/>
    <col min="5125" max="5125" width="5.109375" style="269" bestFit="1" customWidth="1"/>
    <col min="5126" max="5126" width="6.88671875" style="269" customWidth="1"/>
    <col min="5127" max="5127" width="8.109375" style="269" bestFit="1" customWidth="1"/>
    <col min="5128" max="5128" width="8.88671875" style="269"/>
    <col min="5129" max="5129" width="9.44140625" style="269" bestFit="1" customWidth="1"/>
    <col min="5130" max="5130" width="8.88671875" style="269"/>
    <col min="5131" max="5131" width="10.5546875" style="269" customWidth="1"/>
    <col min="5132" max="5132" width="8.88671875" style="269"/>
    <col min="5133" max="5133" width="22.109375" style="269" bestFit="1" customWidth="1"/>
    <col min="5134" max="5139" width="8.88671875" style="269"/>
    <col min="5140" max="5140" width="38.6640625" style="269" customWidth="1"/>
    <col min="5141" max="5141" width="28" style="269" bestFit="1" customWidth="1"/>
    <col min="5142" max="5142" width="11.5546875" style="269" customWidth="1"/>
    <col min="5143" max="5361" width="8.88671875" style="269"/>
    <col min="5362" max="5362" width="22.109375" style="269" bestFit="1" customWidth="1"/>
    <col min="5363" max="5363" width="6.88671875" style="269" customWidth="1"/>
    <col min="5364" max="5364" width="7.109375" style="269" customWidth="1"/>
    <col min="5365" max="5365" width="10.44140625" style="269" customWidth="1"/>
    <col min="5366" max="5370" width="8.88671875" style="269"/>
    <col min="5371" max="5371" width="22.109375" style="269" bestFit="1" customWidth="1"/>
    <col min="5372" max="5372" width="5.109375" style="269" bestFit="1" customWidth="1"/>
    <col min="5373" max="5373" width="7.109375" style="269" customWidth="1"/>
    <col min="5374" max="5374" width="11.44140625" style="269" customWidth="1"/>
    <col min="5375" max="5377" width="8.88671875" style="269"/>
    <col min="5378" max="5378" width="9.88671875" style="269" customWidth="1"/>
    <col min="5379" max="5379" width="8.88671875" style="269"/>
    <col min="5380" max="5380" width="22.33203125" style="269" customWidth="1"/>
    <col min="5381" max="5381" width="5.109375" style="269" bestFit="1" customWidth="1"/>
    <col min="5382" max="5382" width="6.88671875" style="269" customWidth="1"/>
    <col min="5383" max="5383" width="8.109375" style="269" bestFit="1" customWidth="1"/>
    <col min="5384" max="5384" width="8.88671875" style="269"/>
    <col min="5385" max="5385" width="9.44140625" style="269" bestFit="1" customWidth="1"/>
    <col min="5386" max="5386" width="8.88671875" style="269"/>
    <col min="5387" max="5387" width="10.5546875" style="269" customWidth="1"/>
    <col min="5388" max="5388" width="8.88671875" style="269"/>
    <col min="5389" max="5389" width="22.109375" style="269" bestFit="1" customWidth="1"/>
    <col min="5390" max="5395" width="8.88671875" style="269"/>
    <col min="5396" max="5396" width="38.6640625" style="269" customWidth="1"/>
    <col min="5397" max="5397" width="28" style="269" bestFit="1" customWidth="1"/>
    <col min="5398" max="5398" width="11.5546875" style="269" customWidth="1"/>
    <col min="5399" max="5617" width="8.88671875" style="269"/>
    <col min="5618" max="5618" width="22.109375" style="269" bestFit="1" customWidth="1"/>
    <col min="5619" max="5619" width="6.88671875" style="269" customWidth="1"/>
    <col min="5620" max="5620" width="7.109375" style="269" customWidth="1"/>
    <col min="5621" max="5621" width="10.44140625" style="269" customWidth="1"/>
    <col min="5622" max="5626" width="8.88671875" style="269"/>
    <col min="5627" max="5627" width="22.109375" style="269" bestFit="1" customWidth="1"/>
    <col min="5628" max="5628" width="5.109375" style="269" bestFit="1" customWidth="1"/>
    <col min="5629" max="5629" width="7.109375" style="269" customWidth="1"/>
    <col min="5630" max="5630" width="11.44140625" style="269" customWidth="1"/>
    <col min="5631" max="5633" width="8.88671875" style="269"/>
    <col min="5634" max="5634" width="9.88671875" style="269" customWidth="1"/>
    <col min="5635" max="5635" width="8.88671875" style="269"/>
    <col min="5636" max="5636" width="22.33203125" style="269" customWidth="1"/>
    <col min="5637" max="5637" width="5.109375" style="269" bestFit="1" customWidth="1"/>
    <col min="5638" max="5638" width="6.88671875" style="269" customWidth="1"/>
    <col min="5639" max="5639" width="8.109375" style="269" bestFit="1" customWidth="1"/>
    <col min="5640" max="5640" width="8.88671875" style="269"/>
    <col min="5641" max="5641" width="9.44140625" style="269" bestFit="1" customWidth="1"/>
    <col min="5642" max="5642" width="8.88671875" style="269"/>
    <col min="5643" max="5643" width="10.5546875" style="269" customWidth="1"/>
    <col min="5644" max="5644" width="8.88671875" style="269"/>
    <col min="5645" max="5645" width="22.109375" style="269" bestFit="1" customWidth="1"/>
    <col min="5646" max="5651" width="8.88671875" style="269"/>
    <col min="5652" max="5652" width="38.6640625" style="269" customWidth="1"/>
    <col min="5653" max="5653" width="28" style="269" bestFit="1" customWidth="1"/>
    <col min="5654" max="5654" width="11.5546875" style="269" customWidth="1"/>
    <col min="5655" max="5873" width="8.88671875" style="269"/>
    <col min="5874" max="5874" width="22.109375" style="269" bestFit="1" customWidth="1"/>
    <col min="5875" max="5875" width="6.88671875" style="269" customWidth="1"/>
    <col min="5876" max="5876" width="7.109375" style="269" customWidth="1"/>
    <col min="5877" max="5877" width="10.44140625" style="269" customWidth="1"/>
    <col min="5878" max="5882" width="8.88671875" style="269"/>
    <col min="5883" max="5883" width="22.109375" style="269" bestFit="1" customWidth="1"/>
    <col min="5884" max="5884" width="5.109375" style="269" bestFit="1" customWidth="1"/>
    <col min="5885" max="5885" width="7.109375" style="269" customWidth="1"/>
    <col min="5886" max="5886" width="11.44140625" style="269" customWidth="1"/>
    <col min="5887" max="5889" width="8.88671875" style="269"/>
    <col min="5890" max="5890" width="9.88671875" style="269" customWidth="1"/>
    <col min="5891" max="5891" width="8.88671875" style="269"/>
    <col min="5892" max="5892" width="22.33203125" style="269" customWidth="1"/>
    <col min="5893" max="5893" width="5.109375" style="269" bestFit="1" customWidth="1"/>
    <col min="5894" max="5894" width="6.88671875" style="269" customWidth="1"/>
    <col min="5895" max="5895" width="8.109375" style="269" bestFit="1" customWidth="1"/>
    <col min="5896" max="5896" width="8.88671875" style="269"/>
    <col min="5897" max="5897" width="9.44140625" style="269" bestFit="1" customWidth="1"/>
    <col min="5898" max="5898" width="8.88671875" style="269"/>
    <col min="5899" max="5899" width="10.5546875" style="269" customWidth="1"/>
    <col min="5900" max="5900" width="8.88671875" style="269"/>
    <col min="5901" max="5901" width="22.109375" style="269" bestFit="1" customWidth="1"/>
    <col min="5902" max="5907" width="8.88671875" style="269"/>
    <col min="5908" max="5908" width="38.6640625" style="269" customWidth="1"/>
    <col min="5909" max="5909" width="28" style="269" bestFit="1" customWidth="1"/>
    <col min="5910" max="5910" width="11.5546875" style="269" customWidth="1"/>
    <col min="5911" max="6129" width="8.88671875" style="269"/>
    <col min="6130" max="6130" width="22.109375" style="269" bestFit="1" customWidth="1"/>
    <col min="6131" max="6131" width="6.88671875" style="269" customWidth="1"/>
    <col min="6132" max="6132" width="7.109375" style="269" customWidth="1"/>
    <col min="6133" max="6133" width="10.44140625" style="269" customWidth="1"/>
    <col min="6134" max="6138" width="8.88671875" style="269"/>
    <col min="6139" max="6139" width="22.109375" style="269" bestFit="1" customWidth="1"/>
    <col min="6140" max="6140" width="5.109375" style="269" bestFit="1" customWidth="1"/>
    <col min="6141" max="6141" width="7.109375" style="269" customWidth="1"/>
    <col min="6142" max="6142" width="11.44140625" style="269" customWidth="1"/>
    <col min="6143" max="6145" width="8.88671875" style="269"/>
    <col min="6146" max="6146" width="9.88671875" style="269" customWidth="1"/>
    <col min="6147" max="6147" width="8.88671875" style="269"/>
    <col min="6148" max="6148" width="22.33203125" style="269" customWidth="1"/>
    <col min="6149" max="6149" width="5.109375" style="269" bestFit="1" customWidth="1"/>
    <col min="6150" max="6150" width="6.88671875" style="269" customWidth="1"/>
    <col min="6151" max="6151" width="8.109375" style="269" bestFit="1" customWidth="1"/>
    <col min="6152" max="6152" width="8.88671875" style="269"/>
    <col min="6153" max="6153" width="9.44140625" style="269" bestFit="1" customWidth="1"/>
    <col min="6154" max="6154" width="8.88671875" style="269"/>
    <col min="6155" max="6155" width="10.5546875" style="269" customWidth="1"/>
    <col min="6156" max="6156" width="8.88671875" style="269"/>
    <col min="6157" max="6157" width="22.109375" style="269" bestFit="1" customWidth="1"/>
    <col min="6158" max="6163" width="8.88671875" style="269"/>
    <col min="6164" max="6164" width="38.6640625" style="269" customWidth="1"/>
    <col min="6165" max="6165" width="28" style="269" bestFit="1" customWidth="1"/>
    <col min="6166" max="6166" width="11.5546875" style="269" customWidth="1"/>
    <col min="6167" max="6385" width="8.88671875" style="269"/>
    <col min="6386" max="6386" width="22.109375" style="269" bestFit="1" customWidth="1"/>
    <col min="6387" max="6387" width="6.88671875" style="269" customWidth="1"/>
    <col min="6388" max="6388" width="7.109375" style="269" customWidth="1"/>
    <col min="6389" max="6389" width="10.44140625" style="269" customWidth="1"/>
    <col min="6390" max="6394" width="8.88671875" style="269"/>
    <col min="6395" max="6395" width="22.109375" style="269" bestFit="1" customWidth="1"/>
    <col min="6396" max="6396" width="5.109375" style="269" bestFit="1" customWidth="1"/>
    <col min="6397" max="6397" width="7.109375" style="269" customWidth="1"/>
    <col min="6398" max="6398" width="11.44140625" style="269" customWidth="1"/>
    <col min="6399" max="6401" width="8.88671875" style="269"/>
    <col min="6402" max="6402" width="9.88671875" style="269" customWidth="1"/>
    <col min="6403" max="6403" width="8.88671875" style="269"/>
    <col min="6404" max="6404" width="22.33203125" style="269" customWidth="1"/>
    <col min="6405" max="6405" width="5.109375" style="269" bestFit="1" customWidth="1"/>
    <col min="6406" max="6406" width="6.88671875" style="269" customWidth="1"/>
    <col min="6407" max="6407" width="8.109375" style="269" bestFit="1" customWidth="1"/>
    <col min="6408" max="6408" width="8.88671875" style="269"/>
    <col min="6409" max="6409" width="9.44140625" style="269" bestFit="1" customWidth="1"/>
    <col min="6410" max="6410" width="8.88671875" style="269"/>
    <col min="6411" max="6411" width="10.5546875" style="269" customWidth="1"/>
    <col min="6412" max="6412" width="8.88671875" style="269"/>
    <col min="6413" max="6413" width="22.109375" style="269" bestFit="1" customWidth="1"/>
    <col min="6414" max="6419" width="8.88671875" style="269"/>
    <col min="6420" max="6420" width="38.6640625" style="269" customWidth="1"/>
    <col min="6421" max="6421" width="28" style="269" bestFit="1" customWidth="1"/>
    <col min="6422" max="6422" width="11.5546875" style="269" customWidth="1"/>
    <col min="6423" max="6641" width="8.88671875" style="269"/>
    <col min="6642" max="6642" width="22.109375" style="269" bestFit="1" customWidth="1"/>
    <col min="6643" max="6643" width="6.88671875" style="269" customWidth="1"/>
    <col min="6644" max="6644" width="7.109375" style="269" customWidth="1"/>
    <col min="6645" max="6645" width="10.44140625" style="269" customWidth="1"/>
    <col min="6646" max="6650" width="8.88671875" style="269"/>
    <col min="6651" max="6651" width="22.109375" style="269" bestFit="1" customWidth="1"/>
    <col min="6652" max="6652" width="5.109375" style="269" bestFit="1" customWidth="1"/>
    <col min="6653" max="6653" width="7.109375" style="269" customWidth="1"/>
    <col min="6654" max="6654" width="11.44140625" style="269" customWidth="1"/>
    <col min="6655" max="6657" width="8.88671875" style="269"/>
    <col min="6658" max="6658" width="9.88671875" style="269" customWidth="1"/>
    <col min="6659" max="6659" width="8.88671875" style="269"/>
    <col min="6660" max="6660" width="22.33203125" style="269" customWidth="1"/>
    <col min="6661" max="6661" width="5.109375" style="269" bestFit="1" customWidth="1"/>
    <col min="6662" max="6662" width="6.88671875" style="269" customWidth="1"/>
    <col min="6663" max="6663" width="8.109375" style="269" bestFit="1" customWidth="1"/>
    <col min="6664" max="6664" width="8.88671875" style="269"/>
    <col min="6665" max="6665" width="9.44140625" style="269" bestFit="1" customWidth="1"/>
    <col min="6666" max="6666" width="8.88671875" style="269"/>
    <col min="6667" max="6667" width="10.5546875" style="269" customWidth="1"/>
    <col min="6668" max="6668" width="8.88671875" style="269"/>
    <col min="6669" max="6669" width="22.109375" style="269" bestFit="1" customWidth="1"/>
    <col min="6670" max="6675" width="8.88671875" style="269"/>
    <col min="6676" max="6676" width="38.6640625" style="269" customWidth="1"/>
    <col min="6677" max="6677" width="28" style="269" bestFit="1" customWidth="1"/>
    <col min="6678" max="6678" width="11.5546875" style="269" customWidth="1"/>
    <col min="6679" max="6897" width="8.88671875" style="269"/>
    <col min="6898" max="6898" width="22.109375" style="269" bestFit="1" customWidth="1"/>
    <col min="6899" max="6899" width="6.88671875" style="269" customWidth="1"/>
    <col min="6900" max="6900" width="7.109375" style="269" customWidth="1"/>
    <col min="6901" max="6901" width="10.44140625" style="269" customWidth="1"/>
    <col min="6902" max="6906" width="8.88671875" style="269"/>
    <col min="6907" max="6907" width="22.109375" style="269" bestFit="1" customWidth="1"/>
    <col min="6908" max="6908" width="5.109375" style="269" bestFit="1" customWidth="1"/>
    <col min="6909" max="6909" width="7.109375" style="269" customWidth="1"/>
    <col min="6910" max="6910" width="11.44140625" style="269" customWidth="1"/>
    <col min="6911" max="6913" width="8.88671875" style="269"/>
    <col min="6914" max="6914" width="9.88671875" style="269" customWidth="1"/>
    <col min="6915" max="6915" width="8.88671875" style="269"/>
    <col min="6916" max="6916" width="22.33203125" style="269" customWidth="1"/>
    <col min="6917" max="6917" width="5.109375" style="269" bestFit="1" customWidth="1"/>
    <col min="6918" max="6918" width="6.88671875" style="269" customWidth="1"/>
    <col min="6919" max="6919" width="8.109375" style="269" bestFit="1" customWidth="1"/>
    <col min="6920" max="6920" width="8.88671875" style="269"/>
    <col min="6921" max="6921" width="9.44140625" style="269" bestFit="1" customWidth="1"/>
    <col min="6922" max="6922" width="8.88671875" style="269"/>
    <col min="6923" max="6923" width="10.5546875" style="269" customWidth="1"/>
    <col min="6924" max="6924" width="8.88671875" style="269"/>
    <col min="6925" max="6925" width="22.109375" style="269" bestFit="1" customWidth="1"/>
    <col min="6926" max="6931" width="8.88671875" style="269"/>
    <col min="6932" max="6932" width="38.6640625" style="269" customWidth="1"/>
    <col min="6933" max="6933" width="28" style="269" bestFit="1" customWidth="1"/>
    <col min="6934" max="6934" width="11.5546875" style="269" customWidth="1"/>
    <col min="6935" max="7153" width="8.88671875" style="269"/>
    <col min="7154" max="7154" width="22.109375" style="269" bestFit="1" customWidth="1"/>
    <col min="7155" max="7155" width="6.88671875" style="269" customWidth="1"/>
    <col min="7156" max="7156" width="7.109375" style="269" customWidth="1"/>
    <col min="7157" max="7157" width="10.44140625" style="269" customWidth="1"/>
    <col min="7158" max="7162" width="8.88671875" style="269"/>
    <col min="7163" max="7163" width="22.109375" style="269" bestFit="1" customWidth="1"/>
    <col min="7164" max="7164" width="5.109375" style="269" bestFit="1" customWidth="1"/>
    <col min="7165" max="7165" width="7.109375" style="269" customWidth="1"/>
    <col min="7166" max="7166" width="11.44140625" style="269" customWidth="1"/>
    <col min="7167" max="7169" width="8.88671875" style="269"/>
    <col min="7170" max="7170" width="9.88671875" style="269" customWidth="1"/>
    <col min="7171" max="7171" width="8.88671875" style="269"/>
    <col min="7172" max="7172" width="22.33203125" style="269" customWidth="1"/>
    <col min="7173" max="7173" width="5.109375" style="269" bestFit="1" customWidth="1"/>
    <col min="7174" max="7174" width="6.88671875" style="269" customWidth="1"/>
    <col min="7175" max="7175" width="8.109375" style="269" bestFit="1" customWidth="1"/>
    <col min="7176" max="7176" width="8.88671875" style="269"/>
    <col min="7177" max="7177" width="9.44140625" style="269" bestFit="1" customWidth="1"/>
    <col min="7178" max="7178" width="8.88671875" style="269"/>
    <col min="7179" max="7179" width="10.5546875" style="269" customWidth="1"/>
    <col min="7180" max="7180" width="8.88671875" style="269"/>
    <col min="7181" max="7181" width="22.109375" style="269" bestFit="1" customWidth="1"/>
    <col min="7182" max="7187" width="8.88671875" style="269"/>
    <col min="7188" max="7188" width="38.6640625" style="269" customWidth="1"/>
    <col min="7189" max="7189" width="28" style="269" bestFit="1" customWidth="1"/>
    <col min="7190" max="7190" width="11.5546875" style="269" customWidth="1"/>
    <col min="7191" max="7409" width="8.88671875" style="269"/>
    <col min="7410" max="7410" width="22.109375" style="269" bestFit="1" customWidth="1"/>
    <col min="7411" max="7411" width="6.88671875" style="269" customWidth="1"/>
    <col min="7412" max="7412" width="7.109375" style="269" customWidth="1"/>
    <col min="7413" max="7413" width="10.44140625" style="269" customWidth="1"/>
    <col min="7414" max="7418" width="8.88671875" style="269"/>
    <col min="7419" max="7419" width="22.109375" style="269" bestFit="1" customWidth="1"/>
    <col min="7420" max="7420" width="5.109375" style="269" bestFit="1" customWidth="1"/>
    <col min="7421" max="7421" width="7.109375" style="269" customWidth="1"/>
    <col min="7422" max="7422" width="11.44140625" style="269" customWidth="1"/>
    <col min="7423" max="7425" width="8.88671875" style="269"/>
    <col min="7426" max="7426" width="9.88671875" style="269" customWidth="1"/>
    <col min="7427" max="7427" width="8.88671875" style="269"/>
    <col min="7428" max="7428" width="22.33203125" style="269" customWidth="1"/>
    <col min="7429" max="7429" width="5.109375" style="269" bestFit="1" customWidth="1"/>
    <col min="7430" max="7430" width="6.88671875" style="269" customWidth="1"/>
    <col min="7431" max="7431" width="8.109375" style="269" bestFit="1" customWidth="1"/>
    <col min="7432" max="7432" width="8.88671875" style="269"/>
    <col min="7433" max="7433" width="9.44140625" style="269" bestFit="1" customWidth="1"/>
    <col min="7434" max="7434" width="8.88671875" style="269"/>
    <col min="7435" max="7435" width="10.5546875" style="269" customWidth="1"/>
    <col min="7436" max="7436" width="8.88671875" style="269"/>
    <col min="7437" max="7437" width="22.109375" style="269" bestFit="1" customWidth="1"/>
    <col min="7438" max="7443" width="8.88671875" style="269"/>
    <col min="7444" max="7444" width="38.6640625" style="269" customWidth="1"/>
    <col min="7445" max="7445" width="28" style="269" bestFit="1" customWidth="1"/>
    <col min="7446" max="7446" width="11.5546875" style="269" customWidth="1"/>
    <col min="7447" max="7665" width="8.88671875" style="269"/>
    <col min="7666" max="7666" width="22.109375" style="269" bestFit="1" customWidth="1"/>
    <col min="7667" max="7667" width="6.88671875" style="269" customWidth="1"/>
    <col min="7668" max="7668" width="7.109375" style="269" customWidth="1"/>
    <col min="7669" max="7669" width="10.44140625" style="269" customWidth="1"/>
    <col min="7670" max="7674" width="8.88671875" style="269"/>
    <col min="7675" max="7675" width="22.109375" style="269" bestFit="1" customWidth="1"/>
    <col min="7676" max="7676" width="5.109375" style="269" bestFit="1" customWidth="1"/>
    <col min="7677" max="7677" width="7.109375" style="269" customWidth="1"/>
    <col min="7678" max="7678" width="11.44140625" style="269" customWidth="1"/>
    <col min="7679" max="7681" width="8.88671875" style="269"/>
    <col min="7682" max="7682" width="9.88671875" style="269" customWidth="1"/>
    <col min="7683" max="7683" width="8.88671875" style="269"/>
    <col min="7684" max="7684" width="22.33203125" style="269" customWidth="1"/>
    <col min="7685" max="7685" width="5.109375" style="269" bestFit="1" customWidth="1"/>
    <col min="7686" max="7686" width="6.88671875" style="269" customWidth="1"/>
    <col min="7687" max="7687" width="8.109375" style="269" bestFit="1" customWidth="1"/>
    <col min="7688" max="7688" width="8.88671875" style="269"/>
    <col min="7689" max="7689" width="9.44140625" style="269" bestFit="1" customWidth="1"/>
    <col min="7690" max="7690" width="8.88671875" style="269"/>
    <col min="7691" max="7691" width="10.5546875" style="269" customWidth="1"/>
    <col min="7692" max="7692" width="8.88671875" style="269"/>
    <col min="7693" max="7693" width="22.109375" style="269" bestFit="1" customWidth="1"/>
    <col min="7694" max="7699" width="8.88671875" style="269"/>
    <col min="7700" max="7700" width="38.6640625" style="269" customWidth="1"/>
    <col min="7701" max="7701" width="28" style="269" bestFit="1" customWidth="1"/>
    <col min="7702" max="7702" width="11.5546875" style="269" customWidth="1"/>
    <col min="7703" max="7921" width="8.88671875" style="269"/>
    <col min="7922" max="7922" width="22.109375" style="269" bestFit="1" customWidth="1"/>
    <col min="7923" max="7923" width="6.88671875" style="269" customWidth="1"/>
    <col min="7924" max="7924" width="7.109375" style="269" customWidth="1"/>
    <col min="7925" max="7925" width="10.44140625" style="269" customWidth="1"/>
    <col min="7926" max="7930" width="8.88671875" style="269"/>
    <col min="7931" max="7931" width="22.109375" style="269" bestFit="1" customWidth="1"/>
    <col min="7932" max="7932" width="5.109375" style="269" bestFit="1" customWidth="1"/>
    <col min="7933" max="7933" width="7.109375" style="269" customWidth="1"/>
    <col min="7934" max="7934" width="11.44140625" style="269" customWidth="1"/>
    <col min="7935" max="7937" width="8.88671875" style="269"/>
    <col min="7938" max="7938" width="9.88671875" style="269" customWidth="1"/>
    <col min="7939" max="7939" width="8.88671875" style="269"/>
    <col min="7940" max="7940" width="22.33203125" style="269" customWidth="1"/>
    <col min="7941" max="7941" width="5.109375" style="269" bestFit="1" customWidth="1"/>
    <col min="7942" max="7942" width="6.88671875" style="269" customWidth="1"/>
    <col min="7943" max="7943" width="8.109375" style="269" bestFit="1" customWidth="1"/>
    <col min="7944" max="7944" width="8.88671875" style="269"/>
    <col min="7945" max="7945" width="9.44140625" style="269" bestFit="1" customWidth="1"/>
    <col min="7946" max="7946" width="8.88671875" style="269"/>
    <col min="7947" max="7947" width="10.5546875" style="269" customWidth="1"/>
    <col min="7948" max="7948" width="8.88671875" style="269"/>
    <col min="7949" max="7949" width="22.109375" style="269" bestFit="1" customWidth="1"/>
    <col min="7950" max="7955" width="8.88671875" style="269"/>
    <col min="7956" max="7956" width="38.6640625" style="269" customWidth="1"/>
    <col min="7957" max="7957" width="28" style="269" bestFit="1" customWidth="1"/>
    <col min="7958" max="7958" width="11.5546875" style="269" customWidth="1"/>
    <col min="7959" max="8177" width="8.88671875" style="269"/>
    <col min="8178" max="8178" width="22.109375" style="269" bestFit="1" customWidth="1"/>
    <col min="8179" max="8179" width="6.88671875" style="269" customWidth="1"/>
    <col min="8180" max="8180" width="7.109375" style="269" customWidth="1"/>
    <col min="8181" max="8181" width="10.44140625" style="269" customWidth="1"/>
    <col min="8182" max="8186" width="8.88671875" style="269"/>
    <col min="8187" max="8187" width="22.109375" style="269" bestFit="1" customWidth="1"/>
    <col min="8188" max="8188" width="5.109375" style="269" bestFit="1" customWidth="1"/>
    <col min="8189" max="8189" width="7.109375" style="269" customWidth="1"/>
    <col min="8190" max="8190" width="11.44140625" style="269" customWidth="1"/>
    <col min="8191" max="8193" width="8.88671875" style="269"/>
    <col min="8194" max="8194" width="9.88671875" style="269" customWidth="1"/>
    <col min="8195" max="8195" width="8.88671875" style="269"/>
    <col min="8196" max="8196" width="22.33203125" style="269" customWidth="1"/>
    <col min="8197" max="8197" width="5.109375" style="269" bestFit="1" customWidth="1"/>
    <col min="8198" max="8198" width="6.88671875" style="269" customWidth="1"/>
    <col min="8199" max="8199" width="8.109375" style="269" bestFit="1" customWidth="1"/>
    <col min="8200" max="8200" width="8.88671875" style="269"/>
    <col min="8201" max="8201" width="9.44140625" style="269" bestFit="1" customWidth="1"/>
    <col min="8202" max="8202" width="8.88671875" style="269"/>
    <col min="8203" max="8203" width="10.5546875" style="269" customWidth="1"/>
    <col min="8204" max="8204" width="8.88671875" style="269"/>
    <col min="8205" max="8205" width="22.109375" style="269" bestFit="1" customWidth="1"/>
    <col min="8206" max="8211" width="8.88671875" style="269"/>
    <col min="8212" max="8212" width="38.6640625" style="269" customWidth="1"/>
    <col min="8213" max="8213" width="28" style="269" bestFit="1" customWidth="1"/>
    <col min="8214" max="8214" width="11.5546875" style="269" customWidth="1"/>
    <col min="8215" max="8433" width="8.88671875" style="269"/>
    <col min="8434" max="8434" width="22.109375" style="269" bestFit="1" customWidth="1"/>
    <col min="8435" max="8435" width="6.88671875" style="269" customWidth="1"/>
    <col min="8436" max="8436" width="7.109375" style="269" customWidth="1"/>
    <col min="8437" max="8437" width="10.44140625" style="269" customWidth="1"/>
    <col min="8438" max="8442" width="8.88671875" style="269"/>
    <col min="8443" max="8443" width="22.109375" style="269" bestFit="1" customWidth="1"/>
    <col min="8444" max="8444" width="5.109375" style="269" bestFit="1" customWidth="1"/>
    <col min="8445" max="8445" width="7.109375" style="269" customWidth="1"/>
    <col min="8446" max="8446" width="11.44140625" style="269" customWidth="1"/>
    <col min="8447" max="8449" width="8.88671875" style="269"/>
    <col min="8450" max="8450" width="9.88671875" style="269" customWidth="1"/>
    <col min="8451" max="8451" width="8.88671875" style="269"/>
    <col min="8452" max="8452" width="22.33203125" style="269" customWidth="1"/>
    <col min="8453" max="8453" width="5.109375" style="269" bestFit="1" customWidth="1"/>
    <col min="8454" max="8454" width="6.88671875" style="269" customWidth="1"/>
    <col min="8455" max="8455" width="8.109375" style="269" bestFit="1" customWidth="1"/>
    <col min="8456" max="8456" width="8.88671875" style="269"/>
    <col min="8457" max="8457" width="9.44140625" style="269" bestFit="1" customWidth="1"/>
    <col min="8458" max="8458" width="8.88671875" style="269"/>
    <col min="8459" max="8459" width="10.5546875" style="269" customWidth="1"/>
    <col min="8460" max="8460" width="8.88671875" style="269"/>
    <col min="8461" max="8461" width="22.109375" style="269" bestFit="1" customWidth="1"/>
    <col min="8462" max="8467" width="8.88671875" style="269"/>
    <col min="8468" max="8468" width="38.6640625" style="269" customWidth="1"/>
    <col min="8469" max="8469" width="28" style="269" bestFit="1" customWidth="1"/>
    <col min="8470" max="8470" width="11.5546875" style="269" customWidth="1"/>
    <col min="8471" max="8689" width="8.88671875" style="269"/>
    <col min="8690" max="8690" width="22.109375" style="269" bestFit="1" customWidth="1"/>
    <col min="8691" max="8691" width="6.88671875" style="269" customWidth="1"/>
    <col min="8692" max="8692" width="7.109375" style="269" customWidth="1"/>
    <col min="8693" max="8693" width="10.44140625" style="269" customWidth="1"/>
    <col min="8694" max="8698" width="8.88671875" style="269"/>
    <col min="8699" max="8699" width="22.109375" style="269" bestFit="1" customWidth="1"/>
    <col min="8700" max="8700" width="5.109375" style="269" bestFit="1" customWidth="1"/>
    <col min="8701" max="8701" width="7.109375" style="269" customWidth="1"/>
    <col min="8702" max="8702" width="11.44140625" style="269" customWidth="1"/>
    <col min="8703" max="8705" width="8.88671875" style="269"/>
    <col min="8706" max="8706" width="9.88671875" style="269" customWidth="1"/>
    <col min="8707" max="8707" width="8.88671875" style="269"/>
    <col min="8708" max="8708" width="22.33203125" style="269" customWidth="1"/>
    <col min="8709" max="8709" width="5.109375" style="269" bestFit="1" customWidth="1"/>
    <col min="8710" max="8710" width="6.88671875" style="269" customWidth="1"/>
    <col min="8711" max="8711" width="8.109375" style="269" bestFit="1" customWidth="1"/>
    <col min="8712" max="8712" width="8.88671875" style="269"/>
    <col min="8713" max="8713" width="9.44140625" style="269" bestFit="1" customWidth="1"/>
    <col min="8714" max="8714" width="8.88671875" style="269"/>
    <col min="8715" max="8715" width="10.5546875" style="269" customWidth="1"/>
    <col min="8716" max="8716" width="8.88671875" style="269"/>
    <col min="8717" max="8717" width="22.109375" style="269" bestFit="1" customWidth="1"/>
    <col min="8718" max="8723" width="8.88671875" style="269"/>
    <col min="8724" max="8724" width="38.6640625" style="269" customWidth="1"/>
    <col min="8725" max="8725" width="28" style="269" bestFit="1" customWidth="1"/>
    <col min="8726" max="8726" width="11.5546875" style="269" customWidth="1"/>
    <col min="8727" max="8945" width="8.88671875" style="269"/>
    <col min="8946" max="8946" width="22.109375" style="269" bestFit="1" customWidth="1"/>
    <col min="8947" max="8947" width="6.88671875" style="269" customWidth="1"/>
    <col min="8948" max="8948" width="7.109375" style="269" customWidth="1"/>
    <col min="8949" max="8949" width="10.44140625" style="269" customWidth="1"/>
    <col min="8950" max="8954" width="8.88671875" style="269"/>
    <col min="8955" max="8955" width="22.109375" style="269" bestFit="1" customWidth="1"/>
    <col min="8956" max="8956" width="5.109375" style="269" bestFit="1" customWidth="1"/>
    <col min="8957" max="8957" width="7.109375" style="269" customWidth="1"/>
    <col min="8958" max="8958" width="11.44140625" style="269" customWidth="1"/>
    <col min="8959" max="8961" width="8.88671875" style="269"/>
    <col min="8962" max="8962" width="9.88671875" style="269" customWidth="1"/>
    <col min="8963" max="8963" width="8.88671875" style="269"/>
    <col min="8964" max="8964" width="22.33203125" style="269" customWidth="1"/>
    <col min="8965" max="8965" width="5.109375" style="269" bestFit="1" customWidth="1"/>
    <col min="8966" max="8966" width="6.88671875" style="269" customWidth="1"/>
    <col min="8967" max="8967" width="8.109375" style="269" bestFit="1" customWidth="1"/>
    <col min="8968" max="8968" width="8.88671875" style="269"/>
    <col min="8969" max="8969" width="9.44140625" style="269" bestFit="1" customWidth="1"/>
    <col min="8970" max="8970" width="8.88671875" style="269"/>
    <col min="8971" max="8971" width="10.5546875" style="269" customWidth="1"/>
    <col min="8972" max="8972" width="8.88671875" style="269"/>
    <col min="8973" max="8973" width="22.109375" style="269" bestFit="1" customWidth="1"/>
    <col min="8974" max="8979" width="8.88671875" style="269"/>
    <col min="8980" max="8980" width="38.6640625" style="269" customWidth="1"/>
    <col min="8981" max="8981" width="28" style="269" bestFit="1" customWidth="1"/>
    <col min="8982" max="8982" width="11.5546875" style="269" customWidth="1"/>
    <col min="8983" max="9201" width="8.88671875" style="269"/>
    <col min="9202" max="9202" width="22.109375" style="269" bestFit="1" customWidth="1"/>
    <col min="9203" max="9203" width="6.88671875" style="269" customWidth="1"/>
    <col min="9204" max="9204" width="7.109375" style="269" customWidth="1"/>
    <col min="9205" max="9205" width="10.44140625" style="269" customWidth="1"/>
    <col min="9206" max="9210" width="8.88671875" style="269"/>
    <col min="9211" max="9211" width="22.109375" style="269" bestFit="1" customWidth="1"/>
    <col min="9212" max="9212" width="5.109375" style="269" bestFit="1" customWidth="1"/>
    <col min="9213" max="9213" width="7.109375" style="269" customWidth="1"/>
    <col min="9214" max="9214" width="11.44140625" style="269" customWidth="1"/>
    <col min="9215" max="9217" width="8.88671875" style="269"/>
    <col min="9218" max="9218" width="9.88671875" style="269" customWidth="1"/>
    <col min="9219" max="9219" width="8.88671875" style="269"/>
    <col min="9220" max="9220" width="22.33203125" style="269" customWidth="1"/>
    <col min="9221" max="9221" width="5.109375" style="269" bestFit="1" customWidth="1"/>
    <col min="9222" max="9222" width="6.88671875" style="269" customWidth="1"/>
    <col min="9223" max="9223" width="8.109375" style="269" bestFit="1" customWidth="1"/>
    <col min="9224" max="9224" width="8.88671875" style="269"/>
    <col min="9225" max="9225" width="9.44140625" style="269" bestFit="1" customWidth="1"/>
    <col min="9226" max="9226" width="8.88671875" style="269"/>
    <col min="9227" max="9227" width="10.5546875" style="269" customWidth="1"/>
    <col min="9228" max="9228" width="8.88671875" style="269"/>
    <col min="9229" max="9229" width="22.109375" style="269" bestFit="1" customWidth="1"/>
    <col min="9230" max="9235" width="8.88671875" style="269"/>
    <col min="9236" max="9236" width="38.6640625" style="269" customWidth="1"/>
    <col min="9237" max="9237" width="28" style="269" bestFit="1" customWidth="1"/>
    <col min="9238" max="9238" width="11.5546875" style="269" customWidth="1"/>
    <col min="9239" max="9457" width="8.88671875" style="269"/>
    <col min="9458" max="9458" width="22.109375" style="269" bestFit="1" customWidth="1"/>
    <col min="9459" max="9459" width="6.88671875" style="269" customWidth="1"/>
    <col min="9460" max="9460" width="7.109375" style="269" customWidth="1"/>
    <col min="9461" max="9461" width="10.44140625" style="269" customWidth="1"/>
    <col min="9462" max="9466" width="8.88671875" style="269"/>
    <col min="9467" max="9467" width="22.109375" style="269" bestFit="1" customWidth="1"/>
    <col min="9468" max="9468" width="5.109375" style="269" bestFit="1" customWidth="1"/>
    <col min="9469" max="9469" width="7.109375" style="269" customWidth="1"/>
    <col min="9470" max="9470" width="11.44140625" style="269" customWidth="1"/>
    <col min="9471" max="9473" width="8.88671875" style="269"/>
    <col min="9474" max="9474" width="9.88671875" style="269" customWidth="1"/>
    <col min="9475" max="9475" width="8.88671875" style="269"/>
    <col min="9476" max="9476" width="22.33203125" style="269" customWidth="1"/>
    <col min="9477" max="9477" width="5.109375" style="269" bestFit="1" customWidth="1"/>
    <col min="9478" max="9478" width="6.88671875" style="269" customWidth="1"/>
    <col min="9479" max="9479" width="8.109375" style="269" bestFit="1" customWidth="1"/>
    <col min="9480" max="9480" width="8.88671875" style="269"/>
    <col min="9481" max="9481" width="9.44140625" style="269" bestFit="1" customWidth="1"/>
    <col min="9482" max="9482" width="8.88671875" style="269"/>
    <col min="9483" max="9483" width="10.5546875" style="269" customWidth="1"/>
    <col min="9484" max="9484" width="8.88671875" style="269"/>
    <col min="9485" max="9485" width="22.109375" style="269" bestFit="1" customWidth="1"/>
    <col min="9486" max="9491" width="8.88671875" style="269"/>
    <col min="9492" max="9492" width="38.6640625" style="269" customWidth="1"/>
    <col min="9493" max="9493" width="28" style="269" bestFit="1" customWidth="1"/>
    <col min="9494" max="9494" width="11.5546875" style="269" customWidth="1"/>
    <col min="9495" max="9713" width="8.88671875" style="269"/>
    <col min="9714" max="9714" width="22.109375" style="269" bestFit="1" customWidth="1"/>
    <col min="9715" max="9715" width="6.88671875" style="269" customWidth="1"/>
    <col min="9716" max="9716" width="7.109375" style="269" customWidth="1"/>
    <col min="9717" max="9717" width="10.44140625" style="269" customWidth="1"/>
    <col min="9718" max="9722" width="8.88671875" style="269"/>
    <col min="9723" max="9723" width="22.109375" style="269" bestFit="1" customWidth="1"/>
    <col min="9724" max="9724" width="5.109375" style="269" bestFit="1" customWidth="1"/>
    <col min="9725" max="9725" width="7.109375" style="269" customWidth="1"/>
    <col min="9726" max="9726" width="11.44140625" style="269" customWidth="1"/>
    <col min="9727" max="9729" width="8.88671875" style="269"/>
    <col min="9730" max="9730" width="9.88671875" style="269" customWidth="1"/>
    <col min="9731" max="9731" width="8.88671875" style="269"/>
    <col min="9732" max="9732" width="22.33203125" style="269" customWidth="1"/>
    <col min="9733" max="9733" width="5.109375" style="269" bestFit="1" customWidth="1"/>
    <col min="9734" max="9734" width="6.88671875" style="269" customWidth="1"/>
    <col min="9735" max="9735" width="8.109375" style="269" bestFit="1" customWidth="1"/>
    <col min="9736" max="9736" width="8.88671875" style="269"/>
    <col min="9737" max="9737" width="9.44140625" style="269" bestFit="1" customWidth="1"/>
    <col min="9738" max="9738" width="8.88671875" style="269"/>
    <col min="9739" max="9739" width="10.5546875" style="269" customWidth="1"/>
    <col min="9740" max="9740" width="8.88671875" style="269"/>
    <col min="9741" max="9741" width="22.109375" style="269" bestFit="1" customWidth="1"/>
    <col min="9742" max="9747" width="8.88671875" style="269"/>
    <col min="9748" max="9748" width="38.6640625" style="269" customWidth="1"/>
    <col min="9749" max="9749" width="28" style="269" bestFit="1" customWidth="1"/>
    <col min="9750" max="9750" width="11.5546875" style="269" customWidth="1"/>
    <col min="9751" max="9969" width="8.88671875" style="269"/>
    <col min="9970" max="9970" width="22.109375" style="269" bestFit="1" customWidth="1"/>
    <col min="9971" max="9971" width="6.88671875" style="269" customWidth="1"/>
    <col min="9972" max="9972" width="7.109375" style="269" customWidth="1"/>
    <col min="9973" max="9973" width="10.44140625" style="269" customWidth="1"/>
    <col min="9974" max="9978" width="8.88671875" style="269"/>
    <col min="9979" max="9979" width="22.109375" style="269" bestFit="1" customWidth="1"/>
    <col min="9980" max="9980" width="5.109375" style="269" bestFit="1" customWidth="1"/>
    <col min="9981" max="9981" width="7.109375" style="269" customWidth="1"/>
    <col min="9982" max="9982" width="11.44140625" style="269" customWidth="1"/>
    <col min="9983" max="9985" width="8.88671875" style="269"/>
    <col min="9986" max="9986" width="9.88671875" style="269" customWidth="1"/>
    <col min="9987" max="9987" width="8.88671875" style="269"/>
    <col min="9988" max="9988" width="22.33203125" style="269" customWidth="1"/>
    <col min="9989" max="9989" width="5.109375" style="269" bestFit="1" customWidth="1"/>
    <col min="9990" max="9990" width="6.88671875" style="269" customWidth="1"/>
    <col min="9991" max="9991" width="8.109375" style="269" bestFit="1" customWidth="1"/>
    <col min="9992" max="9992" width="8.88671875" style="269"/>
    <col min="9993" max="9993" width="9.44140625" style="269" bestFit="1" customWidth="1"/>
    <col min="9994" max="9994" width="8.88671875" style="269"/>
    <col min="9995" max="9995" width="10.5546875" style="269" customWidth="1"/>
    <col min="9996" max="9996" width="8.88671875" style="269"/>
    <col min="9997" max="9997" width="22.109375" style="269" bestFit="1" customWidth="1"/>
    <col min="9998" max="10003" width="8.88671875" style="269"/>
    <col min="10004" max="10004" width="38.6640625" style="269" customWidth="1"/>
    <col min="10005" max="10005" width="28" style="269" bestFit="1" customWidth="1"/>
    <col min="10006" max="10006" width="11.5546875" style="269" customWidth="1"/>
    <col min="10007" max="10225" width="8.88671875" style="269"/>
    <col min="10226" max="10226" width="22.109375" style="269" bestFit="1" customWidth="1"/>
    <col min="10227" max="10227" width="6.88671875" style="269" customWidth="1"/>
    <col min="10228" max="10228" width="7.109375" style="269" customWidth="1"/>
    <col min="10229" max="10229" width="10.44140625" style="269" customWidth="1"/>
    <col min="10230" max="10234" width="8.88671875" style="269"/>
    <col min="10235" max="10235" width="22.109375" style="269" bestFit="1" customWidth="1"/>
    <col min="10236" max="10236" width="5.109375" style="269" bestFit="1" customWidth="1"/>
    <col min="10237" max="10237" width="7.109375" style="269" customWidth="1"/>
    <col min="10238" max="10238" width="11.44140625" style="269" customWidth="1"/>
    <col min="10239" max="10241" width="8.88671875" style="269"/>
    <col min="10242" max="10242" width="9.88671875" style="269" customWidth="1"/>
    <col min="10243" max="10243" width="8.88671875" style="269"/>
    <col min="10244" max="10244" width="22.33203125" style="269" customWidth="1"/>
    <col min="10245" max="10245" width="5.109375" style="269" bestFit="1" customWidth="1"/>
    <col min="10246" max="10246" width="6.88671875" style="269" customWidth="1"/>
    <col min="10247" max="10247" width="8.109375" style="269" bestFit="1" customWidth="1"/>
    <col min="10248" max="10248" width="8.88671875" style="269"/>
    <col min="10249" max="10249" width="9.44140625" style="269" bestFit="1" customWidth="1"/>
    <col min="10250" max="10250" width="8.88671875" style="269"/>
    <col min="10251" max="10251" width="10.5546875" style="269" customWidth="1"/>
    <col min="10252" max="10252" width="8.88671875" style="269"/>
    <col min="10253" max="10253" width="22.109375" style="269" bestFit="1" customWidth="1"/>
    <col min="10254" max="10259" width="8.88671875" style="269"/>
    <col min="10260" max="10260" width="38.6640625" style="269" customWidth="1"/>
    <col min="10261" max="10261" width="28" style="269" bestFit="1" customWidth="1"/>
    <col min="10262" max="10262" width="11.5546875" style="269" customWidth="1"/>
    <col min="10263" max="10481" width="8.88671875" style="269"/>
    <col min="10482" max="10482" width="22.109375" style="269" bestFit="1" customWidth="1"/>
    <col min="10483" max="10483" width="6.88671875" style="269" customWidth="1"/>
    <col min="10484" max="10484" width="7.109375" style="269" customWidth="1"/>
    <col min="10485" max="10485" width="10.44140625" style="269" customWidth="1"/>
    <col min="10486" max="10490" width="8.88671875" style="269"/>
    <col min="10491" max="10491" width="22.109375" style="269" bestFit="1" customWidth="1"/>
    <col min="10492" max="10492" width="5.109375" style="269" bestFit="1" customWidth="1"/>
    <col min="10493" max="10493" width="7.109375" style="269" customWidth="1"/>
    <col min="10494" max="10494" width="11.44140625" style="269" customWidth="1"/>
    <col min="10495" max="10497" width="8.88671875" style="269"/>
    <col min="10498" max="10498" width="9.88671875" style="269" customWidth="1"/>
    <col min="10499" max="10499" width="8.88671875" style="269"/>
    <col min="10500" max="10500" width="22.33203125" style="269" customWidth="1"/>
    <col min="10501" max="10501" width="5.109375" style="269" bestFit="1" customWidth="1"/>
    <col min="10502" max="10502" width="6.88671875" style="269" customWidth="1"/>
    <col min="10503" max="10503" width="8.109375" style="269" bestFit="1" customWidth="1"/>
    <col min="10504" max="10504" width="8.88671875" style="269"/>
    <col min="10505" max="10505" width="9.44140625" style="269" bestFit="1" customWidth="1"/>
    <col min="10506" max="10506" width="8.88671875" style="269"/>
    <col min="10507" max="10507" width="10.5546875" style="269" customWidth="1"/>
    <col min="10508" max="10508" width="8.88671875" style="269"/>
    <col min="10509" max="10509" width="22.109375" style="269" bestFit="1" customWidth="1"/>
    <col min="10510" max="10515" width="8.88671875" style="269"/>
    <col min="10516" max="10516" width="38.6640625" style="269" customWidth="1"/>
    <col min="10517" max="10517" width="28" style="269" bestFit="1" customWidth="1"/>
    <col min="10518" max="10518" width="11.5546875" style="269" customWidth="1"/>
    <col min="10519" max="10737" width="8.88671875" style="269"/>
    <col min="10738" max="10738" width="22.109375" style="269" bestFit="1" customWidth="1"/>
    <col min="10739" max="10739" width="6.88671875" style="269" customWidth="1"/>
    <col min="10740" max="10740" width="7.109375" style="269" customWidth="1"/>
    <col min="10741" max="10741" width="10.44140625" style="269" customWidth="1"/>
    <col min="10742" max="10746" width="8.88671875" style="269"/>
    <col min="10747" max="10747" width="22.109375" style="269" bestFit="1" customWidth="1"/>
    <col min="10748" max="10748" width="5.109375" style="269" bestFit="1" customWidth="1"/>
    <col min="10749" max="10749" width="7.109375" style="269" customWidth="1"/>
    <col min="10750" max="10750" width="11.44140625" style="269" customWidth="1"/>
    <col min="10751" max="10753" width="8.88671875" style="269"/>
    <col min="10754" max="10754" width="9.88671875" style="269" customWidth="1"/>
    <col min="10755" max="10755" width="8.88671875" style="269"/>
    <col min="10756" max="10756" width="22.33203125" style="269" customWidth="1"/>
    <col min="10757" max="10757" width="5.109375" style="269" bestFit="1" customWidth="1"/>
    <col min="10758" max="10758" width="6.88671875" style="269" customWidth="1"/>
    <col min="10759" max="10759" width="8.109375" style="269" bestFit="1" customWidth="1"/>
    <col min="10760" max="10760" width="8.88671875" style="269"/>
    <col min="10761" max="10761" width="9.44140625" style="269" bestFit="1" customWidth="1"/>
    <col min="10762" max="10762" width="8.88671875" style="269"/>
    <col min="10763" max="10763" width="10.5546875" style="269" customWidth="1"/>
    <col min="10764" max="10764" width="8.88671875" style="269"/>
    <col min="10765" max="10765" width="22.109375" style="269" bestFit="1" customWidth="1"/>
    <col min="10766" max="10771" width="8.88671875" style="269"/>
    <col min="10772" max="10772" width="38.6640625" style="269" customWidth="1"/>
    <col min="10773" max="10773" width="28" style="269" bestFit="1" customWidth="1"/>
    <col min="10774" max="10774" width="11.5546875" style="269" customWidth="1"/>
    <col min="10775" max="10993" width="8.88671875" style="269"/>
    <col min="10994" max="10994" width="22.109375" style="269" bestFit="1" customWidth="1"/>
    <col min="10995" max="10995" width="6.88671875" style="269" customWidth="1"/>
    <col min="10996" max="10996" width="7.109375" style="269" customWidth="1"/>
    <col min="10997" max="10997" width="10.44140625" style="269" customWidth="1"/>
    <col min="10998" max="11002" width="8.88671875" style="269"/>
    <col min="11003" max="11003" width="22.109375" style="269" bestFit="1" customWidth="1"/>
    <col min="11004" max="11004" width="5.109375" style="269" bestFit="1" customWidth="1"/>
    <col min="11005" max="11005" width="7.109375" style="269" customWidth="1"/>
    <col min="11006" max="11006" width="11.44140625" style="269" customWidth="1"/>
    <col min="11007" max="11009" width="8.88671875" style="269"/>
    <col min="11010" max="11010" width="9.88671875" style="269" customWidth="1"/>
    <col min="11011" max="11011" width="8.88671875" style="269"/>
    <col min="11012" max="11012" width="22.33203125" style="269" customWidth="1"/>
    <col min="11013" max="11013" width="5.109375" style="269" bestFit="1" customWidth="1"/>
    <col min="11014" max="11014" width="6.88671875" style="269" customWidth="1"/>
    <col min="11015" max="11015" width="8.109375" style="269" bestFit="1" customWidth="1"/>
    <col min="11016" max="11016" width="8.88671875" style="269"/>
    <col min="11017" max="11017" width="9.44140625" style="269" bestFit="1" customWidth="1"/>
    <col min="11018" max="11018" width="8.88671875" style="269"/>
    <col min="11019" max="11019" width="10.5546875" style="269" customWidth="1"/>
    <col min="11020" max="11020" width="8.88671875" style="269"/>
    <col min="11021" max="11021" width="22.109375" style="269" bestFit="1" customWidth="1"/>
    <col min="11022" max="11027" width="8.88671875" style="269"/>
    <col min="11028" max="11028" width="38.6640625" style="269" customWidth="1"/>
    <col min="11029" max="11029" width="28" style="269" bestFit="1" customWidth="1"/>
    <col min="11030" max="11030" width="11.5546875" style="269" customWidth="1"/>
    <col min="11031" max="11249" width="8.88671875" style="269"/>
    <col min="11250" max="11250" width="22.109375" style="269" bestFit="1" customWidth="1"/>
    <col min="11251" max="11251" width="6.88671875" style="269" customWidth="1"/>
    <col min="11252" max="11252" width="7.109375" style="269" customWidth="1"/>
    <col min="11253" max="11253" width="10.44140625" style="269" customWidth="1"/>
    <col min="11254" max="11258" width="8.88671875" style="269"/>
    <col min="11259" max="11259" width="22.109375" style="269" bestFit="1" customWidth="1"/>
    <col min="11260" max="11260" width="5.109375" style="269" bestFit="1" customWidth="1"/>
    <col min="11261" max="11261" width="7.109375" style="269" customWidth="1"/>
    <col min="11262" max="11262" width="11.44140625" style="269" customWidth="1"/>
    <col min="11263" max="11265" width="8.88671875" style="269"/>
    <col min="11266" max="11266" width="9.88671875" style="269" customWidth="1"/>
    <col min="11267" max="11267" width="8.88671875" style="269"/>
    <col min="11268" max="11268" width="22.33203125" style="269" customWidth="1"/>
    <col min="11269" max="11269" width="5.109375" style="269" bestFit="1" customWidth="1"/>
    <col min="11270" max="11270" width="6.88671875" style="269" customWidth="1"/>
    <col min="11271" max="11271" width="8.109375" style="269" bestFit="1" customWidth="1"/>
    <col min="11272" max="11272" width="8.88671875" style="269"/>
    <col min="11273" max="11273" width="9.44140625" style="269" bestFit="1" customWidth="1"/>
    <col min="11274" max="11274" width="8.88671875" style="269"/>
    <col min="11275" max="11275" width="10.5546875" style="269" customWidth="1"/>
    <col min="11276" max="11276" width="8.88671875" style="269"/>
    <col min="11277" max="11277" width="22.109375" style="269" bestFit="1" customWidth="1"/>
    <col min="11278" max="11283" width="8.88671875" style="269"/>
    <col min="11284" max="11284" width="38.6640625" style="269" customWidth="1"/>
    <col min="11285" max="11285" width="28" style="269" bestFit="1" customWidth="1"/>
    <col min="11286" max="11286" width="11.5546875" style="269" customWidth="1"/>
    <col min="11287" max="11505" width="8.88671875" style="269"/>
    <col min="11506" max="11506" width="22.109375" style="269" bestFit="1" customWidth="1"/>
    <col min="11507" max="11507" width="6.88671875" style="269" customWidth="1"/>
    <col min="11508" max="11508" width="7.109375" style="269" customWidth="1"/>
    <col min="11509" max="11509" width="10.44140625" style="269" customWidth="1"/>
    <col min="11510" max="11514" width="8.88671875" style="269"/>
    <col min="11515" max="11515" width="22.109375" style="269" bestFit="1" customWidth="1"/>
    <col min="11516" max="11516" width="5.109375" style="269" bestFit="1" customWidth="1"/>
    <col min="11517" max="11517" width="7.109375" style="269" customWidth="1"/>
    <col min="11518" max="11518" width="11.44140625" style="269" customWidth="1"/>
    <col min="11519" max="11521" width="8.88671875" style="269"/>
    <col min="11522" max="11522" width="9.88671875" style="269" customWidth="1"/>
    <col min="11523" max="11523" width="8.88671875" style="269"/>
    <col min="11524" max="11524" width="22.33203125" style="269" customWidth="1"/>
    <col min="11525" max="11525" width="5.109375" style="269" bestFit="1" customWidth="1"/>
    <col min="11526" max="11526" width="6.88671875" style="269" customWidth="1"/>
    <col min="11527" max="11527" width="8.109375" style="269" bestFit="1" customWidth="1"/>
    <col min="11528" max="11528" width="8.88671875" style="269"/>
    <col min="11529" max="11529" width="9.44140625" style="269" bestFit="1" customWidth="1"/>
    <col min="11530" max="11530" width="8.88671875" style="269"/>
    <col min="11531" max="11531" width="10.5546875" style="269" customWidth="1"/>
    <col min="11532" max="11532" width="8.88671875" style="269"/>
    <col min="11533" max="11533" width="22.109375" style="269" bestFit="1" customWidth="1"/>
    <col min="11534" max="11539" width="8.88671875" style="269"/>
    <col min="11540" max="11540" width="38.6640625" style="269" customWidth="1"/>
    <col min="11541" max="11541" width="28" style="269" bestFit="1" customWidth="1"/>
    <col min="11542" max="11542" width="11.5546875" style="269" customWidth="1"/>
    <col min="11543" max="11761" width="8.88671875" style="269"/>
    <col min="11762" max="11762" width="22.109375" style="269" bestFit="1" customWidth="1"/>
    <col min="11763" max="11763" width="6.88671875" style="269" customWidth="1"/>
    <col min="11764" max="11764" width="7.109375" style="269" customWidth="1"/>
    <col min="11765" max="11765" width="10.44140625" style="269" customWidth="1"/>
    <col min="11766" max="11770" width="8.88671875" style="269"/>
    <col min="11771" max="11771" width="22.109375" style="269" bestFit="1" customWidth="1"/>
    <col min="11772" max="11772" width="5.109375" style="269" bestFit="1" customWidth="1"/>
    <col min="11773" max="11773" width="7.109375" style="269" customWidth="1"/>
    <col min="11774" max="11774" width="11.44140625" style="269" customWidth="1"/>
    <col min="11775" max="11777" width="8.88671875" style="269"/>
    <col min="11778" max="11778" width="9.88671875" style="269" customWidth="1"/>
    <col min="11779" max="11779" width="8.88671875" style="269"/>
    <col min="11780" max="11780" width="22.33203125" style="269" customWidth="1"/>
    <col min="11781" max="11781" width="5.109375" style="269" bestFit="1" customWidth="1"/>
    <col min="11782" max="11782" width="6.88671875" style="269" customWidth="1"/>
    <col min="11783" max="11783" width="8.109375" style="269" bestFit="1" customWidth="1"/>
    <col min="11784" max="11784" width="8.88671875" style="269"/>
    <col min="11785" max="11785" width="9.44140625" style="269" bestFit="1" customWidth="1"/>
    <col min="11786" max="11786" width="8.88671875" style="269"/>
    <col min="11787" max="11787" width="10.5546875" style="269" customWidth="1"/>
    <col min="11788" max="11788" width="8.88671875" style="269"/>
    <col min="11789" max="11789" width="22.109375" style="269" bestFit="1" customWidth="1"/>
    <col min="11790" max="11795" width="8.88671875" style="269"/>
    <col min="11796" max="11796" width="38.6640625" style="269" customWidth="1"/>
    <col min="11797" max="11797" width="28" style="269" bestFit="1" customWidth="1"/>
    <col min="11798" max="11798" width="11.5546875" style="269" customWidth="1"/>
    <col min="11799" max="12017" width="8.88671875" style="269"/>
    <col min="12018" max="12018" width="22.109375" style="269" bestFit="1" customWidth="1"/>
    <col min="12019" max="12019" width="6.88671875" style="269" customWidth="1"/>
    <col min="12020" max="12020" width="7.109375" style="269" customWidth="1"/>
    <col min="12021" max="12021" width="10.44140625" style="269" customWidth="1"/>
    <col min="12022" max="12026" width="8.88671875" style="269"/>
    <col min="12027" max="12027" width="22.109375" style="269" bestFit="1" customWidth="1"/>
    <col min="12028" max="12028" width="5.109375" style="269" bestFit="1" customWidth="1"/>
    <col min="12029" max="12029" width="7.109375" style="269" customWidth="1"/>
    <col min="12030" max="12030" width="11.44140625" style="269" customWidth="1"/>
    <col min="12031" max="12033" width="8.88671875" style="269"/>
    <col min="12034" max="12034" width="9.88671875" style="269" customWidth="1"/>
    <col min="12035" max="12035" width="8.88671875" style="269"/>
    <col min="12036" max="12036" width="22.33203125" style="269" customWidth="1"/>
    <col min="12037" max="12037" width="5.109375" style="269" bestFit="1" customWidth="1"/>
    <col min="12038" max="12038" width="6.88671875" style="269" customWidth="1"/>
    <col min="12039" max="12039" width="8.109375" style="269" bestFit="1" customWidth="1"/>
    <col min="12040" max="12040" width="8.88671875" style="269"/>
    <col min="12041" max="12041" width="9.44140625" style="269" bestFit="1" customWidth="1"/>
    <col min="12042" max="12042" width="8.88671875" style="269"/>
    <col min="12043" max="12043" width="10.5546875" style="269" customWidth="1"/>
    <col min="12044" max="12044" width="8.88671875" style="269"/>
    <col min="12045" max="12045" width="22.109375" style="269" bestFit="1" customWidth="1"/>
    <col min="12046" max="12051" width="8.88671875" style="269"/>
    <col min="12052" max="12052" width="38.6640625" style="269" customWidth="1"/>
    <col min="12053" max="12053" width="28" style="269" bestFit="1" customWidth="1"/>
    <col min="12054" max="12054" width="11.5546875" style="269" customWidth="1"/>
    <col min="12055" max="12273" width="8.88671875" style="269"/>
    <col min="12274" max="12274" width="22.109375" style="269" bestFit="1" customWidth="1"/>
    <col min="12275" max="12275" width="6.88671875" style="269" customWidth="1"/>
    <col min="12276" max="12276" width="7.109375" style="269" customWidth="1"/>
    <col min="12277" max="12277" width="10.44140625" style="269" customWidth="1"/>
    <col min="12278" max="12282" width="8.88671875" style="269"/>
    <col min="12283" max="12283" width="22.109375" style="269" bestFit="1" customWidth="1"/>
    <col min="12284" max="12284" width="5.109375" style="269" bestFit="1" customWidth="1"/>
    <col min="12285" max="12285" width="7.109375" style="269" customWidth="1"/>
    <col min="12286" max="12286" width="11.44140625" style="269" customWidth="1"/>
    <col min="12287" max="12289" width="8.88671875" style="269"/>
    <col min="12290" max="12290" width="9.88671875" style="269" customWidth="1"/>
    <col min="12291" max="12291" width="8.88671875" style="269"/>
    <col min="12292" max="12292" width="22.33203125" style="269" customWidth="1"/>
    <col min="12293" max="12293" width="5.109375" style="269" bestFit="1" customWidth="1"/>
    <col min="12294" max="12294" width="6.88671875" style="269" customWidth="1"/>
    <col min="12295" max="12295" width="8.109375" style="269" bestFit="1" customWidth="1"/>
    <col min="12296" max="12296" width="8.88671875" style="269"/>
    <col min="12297" max="12297" width="9.44140625" style="269" bestFit="1" customWidth="1"/>
    <col min="12298" max="12298" width="8.88671875" style="269"/>
    <col min="12299" max="12299" width="10.5546875" style="269" customWidth="1"/>
    <col min="12300" max="12300" width="8.88671875" style="269"/>
    <col min="12301" max="12301" width="22.109375" style="269" bestFit="1" customWidth="1"/>
    <col min="12302" max="12307" width="8.88671875" style="269"/>
    <col min="12308" max="12308" width="38.6640625" style="269" customWidth="1"/>
    <col min="12309" max="12309" width="28" style="269" bestFit="1" customWidth="1"/>
    <col min="12310" max="12310" width="11.5546875" style="269" customWidth="1"/>
    <col min="12311" max="12529" width="8.88671875" style="269"/>
    <col min="12530" max="12530" width="22.109375" style="269" bestFit="1" customWidth="1"/>
    <col min="12531" max="12531" width="6.88671875" style="269" customWidth="1"/>
    <col min="12532" max="12532" width="7.109375" style="269" customWidth="1"/>
    <col min="12533" max="12533" width="10.44140625" style="269" customWidth="1"/>
    <col min="12534" max="12538" width="8.88671875" style="269"/>
    <col min="12539" max="12539" width="22.109375" style="269" bestFit="1" customWidth="1"/>
    <col min="12540" max="12540" width="5.109375" style="269" bestFit="1" customWidth="1"/>
    <col min="12541" max="12541" width="7.109375" style="269" customWidth="1"/>
    <col min="12542" max="12542" width="11.44140625" style="269" customWidth="1"/>
    <col min="12543" max="12545" width="8.88671875" style="269"/>
    <col min="12546" max="12546" width="9.88671875" style="269" customWidth="1"/>
    <col min="12547" max="12547" width="8.88671875" style="269"/>
    <col min="12548" max="12548" width="22.33203125" style="269" customWidth="1"/>
    <col min="12549" max="12549" width="5.109375" style="269" bestFit="1" customWidth="1"/>
    <col min="12550" max="12550" width="6.88671875" style="269" customWidth="1"/>
    <col min="12551" max="12551" width="8.109375" style="269" bestFit="1" customWidth="1"/>
    <col min="12552" max="12552" width="8.88671875" style="269"/>
    <col min="12553" max="12553" width="9.44140625" style="269" bestFit="1" customWidth="1"/>
    <col min="12554" max="12554" width="8.88671875" style="269"/>
    <col min="12555" max="12555" width="10.5546875" style="269" customWidth="1"/>
    <col min="12556" max="12556" width="8.88671875" style="269"/>
    <col min="12557" max="12557" width="22.109375" style="269" bestFit="1" customWidth="1"/>
    <col min="12558" max="12563" width="8.88671875" style="269"/>
    <col min="12564" max="12564" width="38.6640625" style="269" customWidth="1"/>
    <col min="12565" max="12565" width="28" style="269" bestFit="1" customWidth="1"/>
    <col min="12566" max="12566" width="11.5546875" style="269" customWidth="1"/>
    <col min="12567" max="12785" width="8.88671875" style="269"/>
    <col min="12786" max="12786" width="22.109375" style="269" bestFit="1" customWidth="1"/>
    <col min="12787" max="12787" width="6.88671875" style="269" customWidth="1"/>
    <col min="12788" max="12788" width="7.109375" style="269" customWidth="1"/>
    <col min="12789" max="12789" width="10.44140625" style="269" customWidth="1"/>
    <col min="12790" max="12794" width="8.88671875" style="269"/>
    <col min="12795" max="12795" width="22.109375" style="269" bestFit="1" customWidth="1"/>
    <col min="12796" max="12796" width="5.109375" style="269" bestFit="1" customWidth="1"/>
    <col min="12797" max="12797" width="7.109375" style="269" customWidth="1"/>
    <col min="12798" max="12798" width="11.44140625" style="269" customWidth="1"/>
    <col min="12799" max="12801" width="8.88671875" style="269"/>
    <col min="12802" max="12802" width="9.88671875" style="269" customWidth="1"/>
    <col min="12803" max="12803" width="8.88671875" style="269"/>
    <col min="12804" max="12804" width="22.33203125" style="269" customWidth="1"/>
    <col min="12805" max="12805" width="5.109375" style="269" bestFit="1" customWidth="1"/>
    <col min="12806" max="12806" width="6.88671875" style="269" customWidth="1"/>
    <col min="12807" max="12807" width="8.109375" style="269" bestFit="1" customWidth="1"/>
    <col min="12808" max="12808" width="8.88671875" style="269"/>
    <col min="12809" max="12809" width="9.44140625" style="269" bestFit="1" customWidth="1"/>
    <col min="12810" max="12810" width="8.88671875" style="269"/>
    <col min="12811" max="12811" width="10.5546875" style="269" customWidth="1"/>
    <col min="12812" max="12812" width="8.88671875" style="269"/>
    <col min="12813" max="12813" width="22.109375" style="269" bestFit="1" customWidth="1"/>
    <col min="12814" max="12819" width="8.88671875" style="269"/>
    <col min="12820" max="12820" width="38.6640625" style="269" customWidth="1"/>
    <col min="12821" max="12821" width="28" style="269" bestFit="1" customWidth="1"/>
    <col min="12822" max="12822" width="11.5546875" style="269" customWidth="1"/>
    <col min="12823" max="13041" width="8.88671875" style="269"/>
    <col min="13042" max="13042" width="22.109375" style="269" bestFit="1" customWidth="1"/>
    <col min="13043" max="13043" width="6.88671875" style="269" customWidth="1"/>
    <col min="13044" max="13044" width="7.109375" style="269" customWidth="1"/>
    <col min="13045" max="13045" width="10.44140625" style="269" customWidth="1"/>
    <col min="13046" max="13050" width="8.88671875" style="269"/>
    <col min="13051" max="13051" width="22.109375" style="269" bestFit="1" customWidth="1"/>
    <col min="13052" max="13052" width="5.109375" style="269" bestFit="1" customWidth="1"/>
    <col min="13053" max="13053" width="7.109375" style="269" customWidth="1"/>
    <col min="13054" max="13054" width="11.44140625" style="269" customWidth="1"/>
    <col min="13055" max="13057" width="8.88671875" style="269"/>
    <col min="13058" max="13058" width="9.88671875" style="269" customWidth="1"/>
    <col min="13059" max="13059" width="8.88671875" style="269"/>
    <col min="13060" max="13060" width="22.33203125" style="269" customWidth="1"/>
    <col min="13061" max="13061" width="5.109375" style="269" bestFit="1" customWidth="1"/>
    <col min="13062" max="13062" width="6.88671875" style="269" customWidth="1"/>
    <col min="13063" max="13063" width="8.109375" style="269" bestFit="1" customWidth="1"/>
    <col min="13064" max="13064" width="8.88671875" style="269"/>
    <col min="13065" max="13065" width="9.44140625" style="269" bestFit="1" customWidth="1"/>
    <col min="13066" max="13066" width="8.88671875" style="269"/>
    <col min="13067" max="13067" width="10.5546875" style="269" customWidth="1"/>
    <col min="13068" max="13068" width="8.88671875" style="269"/>
    <col min="13069" max="13069" width="22.109375" style="269" bestFit="1" customWidth="1"/>
    <col min="13070" max="13075" width="8.88671875" style="269"/>
    <col min="13076" max="13076" width="38.6640625" style="269" customWidth="1"/>
    <col min="13077" max="13077" width="28" style="269" bestFit="1" customWidth="1"/>
    <col min="13078" max="13078" width="11.5546875" style="269" customWidth="1"/>
    <col min="13079" max="13297" width="8.88671875" style="269"/>
    <col min="13298" max="13298" width="22.109375" style="269" bestFit="1" customWidth="1"/>
    <col min="13299" max="13299" width="6.88671875" style="269" customWidth="1"/>
    <col min="13300" max="13300" width="7.109375" style="269" customWidth="1"/>
    <col min="13301" max="13301" width="10.44140625" style="269" customWidth="1"/>
    <col min="13302" max="13306" width="8.88671875" style="269"/>
    <col min="13307" max="13307" width="22.109375" style="269" bestFit="1" customWidth="1"/>
    <col min="13308" max="13308" width="5.109375" style="269" bestFit="1" customWidth="1"/>
    <col min="13309" max="13309" width="7.109375" style="269" customWidth="1"/>
    <col min="13310" max="13310" width="11.44140625" style="269" customWidth="1"/>
    <col min="13311" max="13313" width="8.88671875" style="269"/>
    <col min="13314" max="13314" width="9.88671875" style="269" customWidth="1"/>
    <col min="13315" max="13315" width="8.88671875" style="269"/>
    <col min="13316" max="13316" width="22.33203125" style="269" customWidth="1"/>
    <col min="13317" max="13317" width="5.109375" style="269" bestFit="1" customWidth="1"/>
    <col min="13318" max="13318" width="6.88671875" style="269" customWidth="1"/>
    <col min="13319" max="13319" width="8.109375" style="269" bestFit="1" customWidth="1"/>
    <col min="13320" max="13320" width="8.88671875" style="269"/>
    <col min="13321" max="13321" width="9.44140625" style="269" bestFit="1" customWidth="1"/>
    <col min="13322" max="13322" width="8.88671875" style="269"/>
    <col min="13323" max="13323" width="10.5546875" style="269" customWidth="1"/>
    <col min="13324" max="13324" width="8.88671875" style="269"/>
    <col min="13325" max="13325" width="22.109375" style="269" bestFit="1" customWidth="1"/>
    <col min="13326" max="13331" width="8.88671875" style="269"/>
    <col min="13332" max="13332" width="38.6640625" style="269" customWidth="1"/>
    <col min="13333" max="13333" width="28" style="269" bestFit="1" customWidth="1"/>
    <col min="13334" max="13334" width="11.5546875" style="269" customWidth="1"/>
    <col min="13335" max="13553" width="8.88671875" style="269"/>
    <col min="13554" max="13554" width="22.109375" style="269" bestFit="1" customWidth="1"/>
    <col min="13555" max="13555" width="6.88671875" style="269" customWidth="1"/>
    <col min="13556" max="13556" width="7.109375" style="269" customWidth="1"/>
    <col min="13557" max="13557" width="10.44140625" style="269" customWidth="1"/>
    <col min="13558" max="13562" width="8.88671875" style="269"/>
    <col min="13563" max="13563" width="22.109375" style="269" bestFit="1" customWidth="1"/>
    <col min="13564" max="13564" width="5.109375" style="269" bestFit="1" customWidth="1"/>
    <col min="13565" max="13565" width="7.109375" style="269" customWidth="1"/>
    <col min="13566" max="13566" width="11.44140625" style="269" customWidth="1"/>
    <col min="13567" max="13569" width="8.88671875" style="269"/>
    <col min="13570" max="13570" width="9.88671875" style="269" customWidth="1"/>
    <col min="13571" max="13571" width="8.88671875" style="269"/>
    <col min="13572" max="13572" width="22.33203125" style="269" customWidth="1"/>
    <col min="13573" max="13573" width="5.109375" style="269" bestFit="1" customWidth="1"/>
    <col min="13574" max="13574" width="6.88671875" style="269" customWidth="1"/>
    <col min="13575" max="13575" width="8.109375" style="269" bestFit="1" customWidth="1"/>
    <col min="13576" max="13576" width="8.88671875" style="269"/>
    <col min="13577" max="13577" width="9.44140625" style="269" bestFit="1" customWidth="1"/>
    <col min="13578" max="13578" width="8.88671875" style="269"/>
    <col min="13579" max="13579" width="10.5546875" style="269" customWidth="1"/>
    <col min="13580" max="13580" width="8.88671875" style="269"/>
    <col min="13581" max="13581" width="22.109375" style="269" bestFit="1" customWidth="1"/>
    <col min="13582" max="13587" width="8.88671875" style="269"/>
    <col min="13588" max="13588" width="38.6640625" style="269" customWidth="1"/>
    <col min="13589" max="13589" width="28" style="269" bestFit="1" customWidth="1"/>
    <col min="13590" max="13590" width="11.5546875" style="269" customWidth="1"/>
    <col min="13591" max="13809" width="8.88671875" style="269"/>
    <col min="13810" max="13810" width="22.109375" style="269" bestFit="1" customWidth="1"/>
    <col min="13811" max="13811" width="6.88671875" style="269" customWidth="1"/>
    <col min="13812" max="13812" width="7.109375" style="269" customWidth="1"/>
    <col min="13813" max="13813" width="10.44140625" style="269" customWidth="1"/>
    <col min="13814" max="13818" width="8.88671875" style="269"/>
    <col min="13819" max="13819" width="22.109375" style="269" bestFit="1" customWidth="1"/>
    <col min="13820" max="13820" width="5.109375" style="269" bestFit="1" customWidth="1"/>
    <col min="13821" max="13821" width="7.109375" style="269" customWidth="1"/>
    <col min="13822" max="13822" width="11.44140625" style="269" customWidth="1"/>
    <col min="13823" max="13825" width="8.88671875" style="269"/>
    <col min="13826" max="13826" width="9.88671875" style="269" customWidth="1"/>
    <col min="13827" max="13827" width="8.88671875" style="269"/>
    <col min="13828" max="13828" width="22.33203125" style="269" customWidth="1"/>
    <col min="13829" max="13829" width="5.109375" style="269" bestFit="1" customWidth="1"/>
    <col min="13830" max="13830" width="6.88671875" style="269" customWidth="1"/>
    <col min="13831" max="13831" width="8.109375" style="269" bestFit="1" customWidth="1"/>
    <col min="13832" max="13832" width="8.88671875" style="269"/>
    <col min="13833" max="13833" width="9.44140625" style="269" bestFit="1" customWidth="1"/>
    <col min="13834" max="13834" width="8.88671875" style="269"/>
    <col min="13835" max="13835" width="10.5546875" style="269" customWidth="1"/>
    <col min="13836" max="13836" width="8.88671875" style="269"/>
    <col min="13837" max="13837" width="22.109375" style="269" bestFit="1" customWidth="1"/>
    <col min="13838" max="13843" width="8.88671875" style="269"/>
    <col min="13844" max="13844" width="38.6640625" style="269" customWidth="1"/>
    <col min="13845" max="13845" width="28" style="269" bestFit="1" customWidth="1"/>
    <col min="13846" max="13846" width="11.5546875" style="269" customWidth="1"/>
    <col min="13847" max="14065" width="8.88671875" style="269"/>
    <col min="14066" max="14066" width="22.109375" style="269" bestFit="1" customWidth="1"/>
    <col min="14067" max="14067" width="6.88671875" style="269" customWidth="1"/>
    <col min="14068" max="14068" width="7.109375" style="269" customWidth="1"/>
    <col min="14069" max="14069" width="10.44140625" style="269" customWidth="1"/>
    <col min="14070" max="14074" width="8.88671875" style="269"/>
    <col min="14075" max="14075" width="22.109375" style="269" bestFit="1" customWidth="1"/>
    <col min="14076" max="14076" width="5.109375" style="269" bestFit="1" customWidth="1"/>
    <col min="14077" max="14077" width="7.109375" style="269" customWidth="1"/>
    <col min="14078" max="14078" width="11.44140625" style="269" customWidth="1"/>
    <col min="14079" max="14081" width="8.88671875" style="269"/>
    <col min="14082" max="14082" width="9.88671875" style="269" customWidth="1"/>
    <col min="14083" max="14083" width="8.88671875" style="269"/>
    <col min="14084" max="14084" width="22.33203125" style="269" customWidth="1"/>
    <col min="14085" max="14085" width="5.109375" style="269" bestFit="1" customWidth="1"/>
    <col min="14086" max="14086" width="6.88671875" style="269" customWidth="1"/>
    <col min="14087" max="14087" width="8.109375" style="269" bestFit="1" customWidth="1"/>
    <col min="14088" max="14088" width="8.88671875" style="269"/>
    <col min="14089" max="14089" width="9.44140625" style="269" bestFit="1" customWidth="1"/>
    <col min="14090" max="14090" width="8.88671875" style="269"/>
    <col min="14091" max="14091" width="10.5546875" style="269" customWidth="1"/>
    <col min="14092" max="14092" width="8.88671875" style="269"/>
    <col min="14093" max="14093" width="22.109375" style="269" bestFit="1" customWidth="1"/>
    <col min="14094" max="14099" width="8.88671875" style="269"/>
    <col min="14100" max="14100" width="38.6640625" style="269" customWidth="1"/>
    <col min="14101" max="14101" width="28" style="269" bestFit="1" customWidth="1"/>
    <col min="14102" max="14102" width="11.5546875" style="269" customWidth="1"/>
    <col min="14103" max="14321" width="8.88671875" style="269"/>
    <col min="14322" max="14322" width="22.109375" style="269" bestFit="1" customWidth="1"/>
    <col min="14323" max="14323" width="6.88671875" style="269" customWidth="1"/>
    <col min="14324" max="14324" width="7.109375" style="269" customWidth="1"/>
    <col min="14325" max="14325" width="10.44140625" style="269" customWidth="1"/>
    <col min="14326" max="14330" width="8.88671875" style="269"/>
    <col min="14331" max="14331" width="22.109375" style="269" bestFit="1" customWidth="1"/>
    <col min="14332" max="14332" width="5.109375" style="269" bestFit="1" customWidth="1"/>
    <col min="14333" max="14333" width="7.109375" style="269" customWidth="1"/>
    <col min="14334" max="14334" width="11.44140625" style="269" customWidth="1"/>
    <col min="14335" max="14337" width="8.88671875" style="269"/>
    <col min="14338" max="14338" width="9.88671875" style="269" customWidth="1"/>
    <col min="14339" max="14339" width="8.88671875" style="269"/>
    <col min="14340" max="14340" width="22.33203125" style="269" customWidth="1"/>
    <col min="14341" max="14341" width="5.109375" style="269" bestFit="1" customWidth="1"/>
    <col min="14342" max="14342" width="6.88671875" style="269" customWidth="1"/>
    <col min="14343" max="14343" width="8.109375" style="269" bestFit="1" customWidth="1"/>
    <col min="14344" max="14344" width="8.88671875" style="269"/>
    <col min="14345" max="14345" width="9.44140625" style="269" bestFit="1" customWidth="1"/>
    <col min="14346" max="14346" width="8.88671875" style="269"/>
    <col min="14347" max="14347" width="10.5546875" style="269" customWidth="1"/>
    <col min="14348" max="14348" width="8.88671875" style="269"/>
    <col min="14349" max="14349" width="22.109375" style="269" bestFit="1" customWidth="1"/>
    <col min="14350" max="14355" width="8.88671875" style="269"/>
    <col min="14356" max="14356" width="38.6640625" style="269" customWidth="1"/>
    <col min="14357" max="14357" width="28" style="269" bestFit="1" customWidth="1"/>
    <col min="14358" max="14358" width="11.5546875" style="269" customWidth="1"/>
    <col min="14359" max="14577" width="8.88671875" style="269"/>
    <col min="14578" max="14578" width="22.109375" style="269" bestFit="1" customWidth="1"/>
    <col min="14579" max="14579" width="6.88671875" style="269" customWidth="1"/>
    <col min="14580" max="14580" width="7.109375" style="269" customWidth="1"/>
    <col min="14581" max="14581" width="10.44140625" style="269" customWidth="1"/>
    <col min="14582" max="14586" width="8.88671875" style="269"/>
    <col min="14587" max="14587" width="22.109375" style="269" bestFit="1" customWidth="1"/>
    <col min="14588" max="14588" width="5.109375" style="269" bestFit="1" customWidth="1"/>
    <col min="14589" max="14589" width="7.109375" style="269" customWidth="1"/>
    <col min="14590" max="14590" width="11.44140625" style="269" customWidth="1"/>
    <col min="14591" max="14593" width="8.88671875" style="269"/>
    <col min="14594" max="14594" width="9.88671875" style="269" customWidth="1"/>
    <col min="14595" max="14595" width="8.88671875" style="269"/>
    <col min="14596" max="14596" width="22.33203125" style="269" customWidth="1"/>
    <col min="14597" max="14597" width="5.109375" style="269" bestFit="1" customWidth="1"/>
    <col min="14598" max="14598" width="6.88671875" style="269" customWidth="1"/>
    <col min="14599" max="14599" width="8.109375" style="269" bestFit="1" customWidth="1"/>
    <col min="14600" max="14600" width="8.88671875" style="269"/>
    <col min="14601" max="14601" width="9.44140625" style="269" bestFit="1" customWidth="1"/>
    <col min="14602" max="14602" width="8.88671875" style="269"/>
    <col min="14603" max="14603" width="10.5546875" style="269" customWidth="1"/>
    <col min="14604" max="14604" width="8.88671875" style="269"/>
    <col min="14605" max="14605" width="22.109375" style="269" bestFit="1" customWidth="1"/>
    <col min="14606" max="14611" width="8.88671875" style="269"/>
    <col min="14612" max="14612" width="38.6640625" style="269" customWidth="1"/>
    <col min="14613" max="14613" width="28" style="269" bestFit="1" customWidth="1"/>
    <col min="14614" max="14614" width="11.5546875" style="269" customWidth="1"/>
    <col min="14615" max="14833" width="8.88671875" style="269"/>
    <col min="14834" max="14834" width="22.109375" style="269" bestFit="1" customWidth="1"/>
    <col min="14835" max="14835" width="6.88671875" style="269" customWidth="1"/>
    <col min="14836" max="14836" width="7.109375" style="269" customWidth="1"/>
    <col min="14837" max="14837" width="10.44140625" style="269" customWidth="1"/>
    <col min="14838" max="14842" width="8.88671875" style="269"/>
    <col min="14843" max="14843" width="22.109375" style="269" bestFit="1" customWidth="1"/>
    <col min="14844" max="14844" width="5.109375" style="269" bestFit="1" customWidth="1"/>
    <col min="14845" max="14845" width="7.109375" style="269" customWidth="1"/>
    <col min="14846" max="14846" width="11.44140625" style="269" customWidth="1"/>
    <col min="14847" max="14849" width="8.88671875" style="269"/>
    <col min="14850" max="14850" width="9.88671875" style="269" customWidth="1"/>
    <col min="14851" max="14851" width="8.88671875" style="269"/>
    <col min="14852" max="14852" width="22.33203125" style="269" customWidth="1"/>
    <col min="14853" max="14853" width="5.109375" style="269" bestFit="1" customWidth="1"/>
    <col min="14854" max="14854" width="6.88671875" style="269" customWidth="1"/>
    <col min="14855" max="14855" width="8.109375" style="269" bestFit="1" customWidth="1"/>
    <col min="14856" max="14856" width="8.88671875" style="269"/>
    <col min="14857" max="14857" width="9.44140625" style="269" bestFit="1" customWidth="1"/>
    <col min="14858" max="14858" width="8.88671875" style="269"/>
    <col min="14859" max="14859" width="10.5546875" style="269" customWidth="1"/>
    <col min="14860" max="14860" width="8.88671875" style="269"/>
    <col min="14861" max="14861" width="22.109375" style="269" bestFit="1" customWidth="1"/>
    <col min="14862" max="14867" width="8.88671875" style="269"/>
    <col min="14868" max="14868" width="38.6640625" style="269" customWidth="1"/>
    <col min="14869" max="14869" width="28" style="269" bestFit="1" customWidth="1"/>
    <col min="14870" max="14870" width="11.5546875" style="269" customWidth="1"/>
    <col min="14871" max="15089" width="8.88671875" style="269"/>
    <col min="15090" max="15090" width="22.109375" style="269" bestFit="1" customWidth="1"/>
    <col min="15091" max="15091" width="6.88671875" style="269" customWidth="1"/>
    <col min="15092" max="15092" width="7.109375" style="269" customWidth="1"/>
    <col min="15093" max="15093" width="10.44140625" style="269" customWidth="1"/>
    <col min="15094" max="15098" width="8.88671875" style="269"/>
    <col min="15099" max="15099" width="22.109375" style="269" bestFit="1" customWidth="1"/>
    <col min="15100" max="15100" width="5.109375" style="269" bestFit="1" customWidth="1"/>
    <col min="15101" max="15101" width="7.109375" style="269" customWidth="1"/>
    <col min="15102" max="15102" width="11.44140625" style="269" customWidth="1"/>
    <col min="15103" max="15105" width="8.88671875" style="269"/>
    <col min="15106" max="15106" width="9.88671875" style="269" customWidth="1"/>
    <col min="15107" max="15107" width="8.88671875" style="269"/>
    <col min="15108" max="15108" width="22.33203125" style="269" customWidth="1"/>
    <col min="15109" max="15109" width="5.109375" style="269" bestFit="1" customWidth="1"/>
    <col min="15110" max="15110" width="6.88671875" style="269" customWidth="1"/>
    <col min="15111" max="15111" width="8.109375" style="269" bestFit="1" customWidth="1"/>
    <col min="15112" max="15112" width="8.88671875" style="269"/>
    <col min="15113" max="15113" width="9.44140625" style="269" bestFit="1" customWidth="1"/>
    <col min="15114" max="15114" width="8.88671875" style="269"/>
    <col min="15115" max="15115" width="10.5546875" style="269" customWidth="1"/>
    <col min="15116" max="15116" width="8.88671875" style="269"/>
    <col min="15117" max="15117" width="22.109375" style="269" bestFit="1" customWidth="1"/>
    <col min="15118" max="15123" width="8.88671875" style="269"/>
    <col min="15124" max="15124" width="38.6640625" style="269" customWidth="1"/>
    <col min="15125" max="15125" width="28" style="269" bestFit="1" customWidth="1"/>
    <col min="15126" max="15126" width="11.5546875" style="269" customWidth="1"/>
    <col min="15127" max="15345" width="8.88671875" style="269"/>
    <col min="15346" max="15346" width="22.109375" style="269" bestFit="1" customWidth="1"/>
    <col min="15347" max="15347" width="6.88671875" style="269" customWidth="1"/>
    <col min="15348" max="15348" width="7.109375" style="269" customWidth="1"/>
    <col min="15349" max="15349" width="10.44140625" style="269" customWidth="1"/>
    <col min="15350" max="15354" width="8.88671875" style="269"/>
    <col min="15355" max="15355" width="22.109375" style="269" bestFit="1" customWidth="1"/>
    <col min="15356" max="15356" width="5.109375" style="269" bestFit="1" customWidth="1"/>
    <col min="15357" max="15357" width="7.109375" style="269" customWidth="1"/>
    <col min="15358" max="15358" width="11.44140625" style="269" customWidth="1"/>
    <col min="15359" max="15361" width="8.88671875" style="269"/>
    <col min="15362" max="15362" width="9.88671875" style="269" customWidth="1"/>
    <col min="15363" max="15363" width="8.88671875" style="269"/>
    <col min="15364" max="15364" width="22.33203125" style="269" customWidth="1"/>
    <col min="15365" max="15365" width="5.109375" style="269" bestFit="1" customWidth="1"/>
    <col min="15366" max="15366" width="6.88671875" style="269" customWidth="1"/>
    <col min="15367" max="15367" width="8.109375" style="269" bestFit="1" customWidth="1"/>
    <col min="15368" max="15368" width="8.88671875" style="269"/>
    <col min="15369" max="15369" width="9.44140625" style="269" bestFit="1" customWidth="1"/>
    <col min="15370" max="15370" width="8.88671875" style="269"/>
    <col min="15371" max="15371" width="10.5546875" style="269" customWidth="1"/>
    <col min="15372" max="15372" width="8.88671875" style="269"/>
    <col min="15373" max="15373" width="22.109375" style="269" bestFit="1" customWidth="1"/>
    <col min="15374" max="15379" width="8.88671875" style="269"/>
    <col min="15380" max="15380" width="38.6640625" style="269" customWidth="1"/>
    <col min="15381" max="15381" width="28" style="269" bestFit="1" customWidth="1"/>
    <col min="15382" max="15382" width="11.5546875" style="269" customWidth="1"/>
    <col min="15383" max="15601" width="8.88671875" style="269"/>
    <col min="15602" max="15602" width="22.109375" style="269" bestFit="1" customWidth="1"/>
    <col min="15603" max="15603" width="6.88671875" style="269" customWidth="1"/>
    <col min="15604" max="15604" width="7.109375" style="269" customWidth="1"/>
    <col min="15605" max="15605" width="10.44140625" style="269" customWidth="1"/>
    <col min="15606" max="15610" width="8.88671875" style="269"/>
    <col min="15611" max="15611" width="22.109375" style="269" bestFit="1" customWidth="1"/>
    <col min="15612" max="15612" width="5.109375" style="269" bestFit="1" customWidth="1"/>
    <col min="15613" max="15613" width="7.109375" style="269" customWidth="1"/>
    <col min="15614" max="15614" width="11.44140625" style="269" customWidth="1"/>
    <col min="15615" max="15617" width="8.88671875" style="269"/>
    <col min="15618" max="15618" width="9.88671875" style="269" customWidth="1"/>
    <col min="15619" max="15619" width="8.88671875" style="269"/>
    <col min="15620" max="15620" width="22.33203125" style="269" customWidth="1"/>
    <col min="15621" max="15621" width="5.109375" style="269" bestFit="1" customWidth="1"/>
    <col min="15622" max="15622" width="6.88671875" style="269" customWidth="1"/>
    <col min="15623" max="15623" width="8.109375" style="269" bestFit="1" customWidth="1"/>
    <col min="15624" max="15624" width="8.88671875" style="269"/>
    <col min="15625" max="15625" width="9.44140625" style="269" bestFit="1" customWidth="1"/>
    <col min="15626" max="15626" width="8.88671875" style="269"/>
    <col min="15627" max="15627" width="10.5546875" style="269" customWidth="1"/>
    <col min="15628" max="15628" width="8.88671875" style="269"/>
    <col min="15629" max="15629" width="22.109375" style="269" bestFit="1" customWidth="1"/>
    <col min="15630" max="15635" width="8.88671875" style="269"/>
    <col min="15636" max="15636" width="38.6640625" style="269" customWidth="1"/>
    <col min="15637" max="15637" width="28" style="269" bestFit="1" customWidth="1"/>
    <col min="15638" max="15638" width="11.5546875" style="269" customWidth="1"/>
    <col min="15639" max="15857" width="8.88671875" style="269"/>
    <col min="15858" max="15858" width="22.109375" style="269" bestFit="1" customWidth="1"/>
    <col min="15859" max="15859" width="6.88671875" style="269" customWidth="1"/>
    <col min="15860" max="15860" width="7.109375" style="269" customWidth="1"/>
    <col min="15861" max="15861" width="10.44140625" style="269" customWidth="1"/>
    <col min="15862" max="15866" width="8.88671875" style="269"/>
    <col min="15867" max="15867" width="22.109375" style="269" bestFit="1" customWidth="1"/>
    <col min="15868" max="15868" width="5.109375" style="269" bestFit="1" customWidth="1"/>
    <col min="15869" max="15869" width="7.109375" style="269" customWidth="1"/>
    <col min="15870" max="15870" width="11.44140625" style="269" customWidth="1"/>
    <col min="15871" max="15873" width="8.88671875" style="269"/>
    <col min="15874" max="15874" width="9.88671875" style="269" customWidth="1"/>
    <col min="15875" max="15875" width="8.88671875" style="269"/>
    <col min="15876" max="15876" width="22.33203125" style="269" customWidth="1"/>
    <col min="15877" max="15877" width="5.109375" style="269" bestFit="1" customWidth="1"/>
    <col min="15878" max="15878" width="6.88671875" style="269" customWidth="1"/>
    <col min="15879" max="15879" width="8.109375" style="269" bestFit="1" customWidth="1"/>
    <col min="15880" max="15880" width="8.88671875" style="269"/>
    <col min="15881" max="15881" width="9.44140625" style="269" bestFit="1" customWidth="1"/>
    <col min="15882" max="15882" width="8.88671875" style="269"/>
    <col min="15883" max="15883" width="10.5546875" style="269" customWidth="1"/>
    <col min="15884" max="15884" width="8.88671875" style="269"/>
    <col min="15885" max="15885" width="22.109375" style="269" bestFit="1" customWidth="1"/>
    <col min="15886" max="15891" width="8.88671875" style="269"/>
    <col min="15892" max="15892" width="38.6640625" style="269" customWidth="1"/>
    <col min="15893" max="15893" width="28" style="269" bestFit="1" customWidth="1"/>
    <col min="15894" max="15894" width="11.5546875" style="269" customWidth="1"/>
    <col min="15895" max="16113" width="8.88671875" style="269"/>
    <col min="16114" max="16114" width="22.109375" style="269" bestFit="1" customWidth="1"/>
    <col min="16115" max="16115" width="6.88671875" style="269" customWidth="1"/>
    <col min="16116" max="16116" width="7.109375" style="269" customWidth="1"/>
    <col min="16117" max="16117" width="10.44140625" style="269" customWidth="1"/>
    <col min="16118" max="16122" width="8.88671875" style="269"/>
    <col min="16123" max="16123" width="22.109375" style="269" bestFit="1" customWidth="1"/>
    <col min="16124" max="16124" width="5.109375" style="269" bestFit="1" customWidth="1"/>
    <col min="16125" max="16125" width="7.109375" style="269" customWidth="1"/>
    <col min="16126" max="16126" width="11.44140625" style="269" customWidth="1"/>
    <col min="16127" max="16129" width="8.88671875" style="269"/>
    <col min="16130" max="16130" width="9.88671875" style="269" customWidth="1"/>
    <col min="16131" max="16131" width="8.88671875" style="269"/>
    <col min="16132" max="16132" width="22.33203125" style="269" customWidth="1"/>
    <col min="16133" max="16133" width="5.109375" style="269" bestFit="1" customWidth="1"/>
    <col min="16134" max="16134" width="6.88671875" style="269" customWidth="1"/>
    <col min="16135" max="16135" width="8.109375" style="269" bestFit="1" customWidth="1"/>
    <col min="16136" max="16136" width="8.88671875" style="269"/>
    <col min="16137" max="16137" width="9.44140625" style="269" bestFit="1" customWidth="1"/>
    <col min="16138" max="16138" width="8.88671875" style="269"/>
    <col min="16139" max="16139" width="10.5546875" style="269" customWidth="1"/>
    <col min="16140" max="16140" width="8.88671875" style="269"/>
    <col min="16141" max="16141" width="22.109375" style="269" bestFit="1" customWidth="1"/>
    <col min="16142" max="16147" width="8.88671875" style="269"/>
    <col min="16148" max="16148" width="38.6640625" style="269" customWidth="1"/>
    <col min="16149" max="16149" width="28" style="269" bestFit="1" customWidth="1"/>
    <col min="16150" max="16150" width="11.5546875" style="269" customWidth="1"/>
    <col min="16151" max="16384" width="8.88671875" style="269"/>
  </cols>
  <sheetData>
    <row r="2" spans="1:20" ht="15" thickBot="1"/>
    <row r="3" spans="1:20" ht="15.75" customHeight="1" thickBot="1">
      <c r="A3" s="2002" t="s">
        <v>605</v>
      </c>
      <c r="B3" s="2003"/>
      <c r="C3" s="2003"/>
      <c r="D3" s="2004"/>
      <c r="E3" s="2005"/>
      <c r="F3" s="2002" t="s">
        <v>606</v>
      </c>
      <c r="G3" s="2003"/>
      <c r="H3" s="2003"/>
      <c r="I3" s="2004"/>
      <c r="K3" s="2712" t="s">
        <v>389</v>
      </c>
      <c r="L3" s="2713"/>
      <c r="M3" s="2713"/>
      <c r="N3" s="2713"/>
      <c r="O3" s="2713"/>
      <c r="P3" s="2713"/>
      <c r="Q3" s="2713"/>
      <c r="R3" s="2713"/>
      <c r="S3" s="2713"/>
      <c r="T3" s="2714"/>
    </row>
    <row r="4" spans="1:20" ht="15.75" customHeight="1" thickBot="1">
      <c r="A4" s="2126"/>
      <c r="B4" s="2006" t="s">
        <v>215</v>
      </c>
      <c r="C4" s="2715" t="s">
        <v>216</v>
      </c>
      <c r="D4" s="2716" t="s">
        <v>217</v>
      </c>
      <c r="E4" s="2012"/>
      <c r="F4" s="2126"/>
      <c r="G4" s="2006" t="s">
        <v>215</v>
      </c>
      <c r="H4" s="2715" t="s">
        <v>216</v>
      </c>
      <c r="I4" s="2716" t="s">
        <v>217</v>
      </c>
      <c r="K4" s="2717" t="s">
        <v>607</v>
      </c>
      <c r="L4" s="2718"/>
      <c r="M4" s="1031" t="s">
        <v>608</v>
      </c>
      <c r="N4" s="1032"/>
      <c r="O4" s="1032"/>
      <c r="P4" s="1032"/>
      <c r="Q4" s="1032"/>
      <c r="R4" s="1032"/>
      <c r="S4" s="1032"/>
      <c r="T4" s="2719"/>
    </row>
    <row r="5" spans="1:20" ht="15" thickBot="1">
      <c r="A5" s="294" t="s">
        <v>85</v>
      </c>
      <c r="B5" s="2720">
        <f>L6</f>
        <v>69600</v>
      </c>
      <c r="C5" s="2007">
        <f>M6</f>
        <v>0.20793518578803963</v>
      </c>
      <c r="D5" s="935">
        <f>B5*C5</f>
        <v>14472.288930847559</v>
      </c>
      <c r="E5" s="935"/>
      <c r="F5" s="294" t="s">
        <v>85</v>
      </c>
      <c r="G5" s="2720">
        <f>L6</f>
        <v>69600</v>
      </c>
      <c r="H5" s="2007">
        <f>N6</f>
        <v>0.20793518578803963</v>
      </c>
      <c r="I5" s="935">
        <f>G5*H5</f>
        <v>14472.288930847559</v>
      </c>
      <c r="K5" s="2721"/>
      <c r="L5" s="2722"/>
      <c r="M5" s="2723" t="s">
        <v>609</v>
      </c>
      <c r="N5" s="2723" t="s">
        <v>610</v>
      </c>
      <c r="O5" s="2723" t="s">
        <v>423</v>
      </c>
      <c r="P5" s="2723" t="s">
        <v>437</v>
      </c>
      <c r="Q5" s="2723" t="s">
        <v>611</v>
      </c>
      <c r="R5" s="2723" t="s">
        <v>612</v>
      </c>
      <c r="S5" s="2723" t="s">
        <v>613</v>
      </c>
      <c r="T5" s="2723" t="s">
        <v>614</v>
      </c>
    </row>
    <row r="6" spans="1:20">
      <c r="A6" s="294" t="s">
        <v>81</v>
      </c>
      <c r="B6" s="2720">
        <f>L8</f>
        <v>54412.800000000003</v>
      </c>
      <c r="C6" s="2007">
        <f>M8</f>
        <v>0.45</v>
      </c>
      <c r="D6" s="935">
        <f>B6*C6</f>
        <v>24485.760000000002</v>
      </c>
      <c r="E6" s="935"/>
      <c r="F6" s="294" t="s">
        <v>81</v>
      </c>
      <c r="G6" s="2720">
        <f>L8</f>
        <v>54412.800000000003</v>
      </c>
      <c r="H6" s="2007">
        <f>N8</f>
        <v>0.7</v>
      </c>
      <c r="I6" s="935">
        <f>G6*H6</f>
        <v>38088.959999999999</v>
      </c>
      <c r="K6" s="889" t="s">
        <v>85</v>
      </c>
      <c r="L6" s="493">
        <f>'[13]Master Look Up'!O4</f>
        <v>69600</v>
      </c>
      <c r="M6" s="2724">
        <v>0.20793518578803963</v>
      </c>
      <c r="N6" s="2725">
        <v>0.20793518578803963</v>
      </c>
      <c r="O6" s="2725">
        <v>0.45454545454545453</v>
      </c>
      <c r="P6" s="2725">
        <v>0.17141009055627424</v>
      </c>
      <c r="Q6" s="2725">
        <v>0.57834862385321095</v>
      </c>
      <c r="R6" s="2725">
        <v>0.69090909090909092</v>
      </c>
      <c r="S6" s="2725">
        <v>0.54186582691334406</v>
      </c>
      <c r="T6" s="2726">
        <v>0.56619472021660655</v>
      </c>
    </row>
    <row r="7" spans="1:20">
      <c r="A7" s="305" t="s">
        <v>245</v>
      </c>
      <c r="B7" s="2720">
        <f>L9</f>
        <v>45210.880000000005</v>
      </c>
      <c r="C7" s="2007">
        <f t="shared" ref="C7" si="0">M9</f>
        <v>0.95</v>
      </c>
      <c r="D7" s="935">
        <f>B7*C7</f>
        <v>42950.336000000003</v>
      </c>
      <c r="E7" s="935"/>
      <c r="F7" s="305" t="s">
        <v>245</v>
      </c>
      <c r="G7" s="2720">
        <f>L9</f>
        <v>45210.880000000005</v>
      </c>
      <c r="H7" s="2007">
        <f t="shared" ref="H7" si="1">N9</f>
        <v>1.62</v>
      </c>
      <c r="I7" s="935">
        <f>G7*H7</f>
        <v>73241.625600000014</v>
      </c>
      <c r="K7" s="294" t="s">
        <v>478</v>
      </c>
      <c r="L7" s="493">
        <f>'[13]Master Look Up'!O5</f>
        <v>63627.199999999997</v>
      </c>
      <c r="M7" s="2727"/>
      <c r="N7" s="2728"/>
      <c r="O7" s="2728">
        <v>1.1357541478464965</v>
      </c>
      <c r="P7" s="2728">
        <v>0.32923673997412672</v>
      </c>
      <c r="Q7" s="2728">
        <v>2.0403669724770643</v>
      </c>
      <c r="R7" s="2728">
        <v>1.9335664335664335</v>
      </c>
      <c r="S7" s="2728">
        <v>1.8452173424056681</v>
      </c>
      <c r="T7" s="2729">
        <v>1.2765117328519857</v>
      </c>
    </row>
    <row r="8" spans="1:20">
      <c r="A8" s="305" t="s">
        <v>615</v>
      </c>
      <c r="B8" s="2720">
        <f>L10</f>
        <v>34927.359999999993</v>
      </c>
      <c r="C8" s="2007">
        <f>M10</f>
        <v>0.13543146969089426</v>
      </c>
      <c r="D8" s="935">
        <f>B8*C8</f>
        <v>4730.2636972229511</v>
      </c>
      <c r="E8" s="935"/>
      <c r="F8" s="305" t="s">
        <v>615</v>
      </c>
      <c r="G8" s="2720">
        <f>L10</f>
        <v>34927.359999999993</v>
      </c>
      <c r="H8" s="2007">
        <f>N10</f>
        <v>0.13543146969089426</v>
      </c>
      <c r="I8" s="935">
        <f>G8*H8</f>
        <v>4730.2636972229511</v>
      </c>
      <c r="K8" s="294" t="s">
        <v>616</v>
      </c>
      <c r="L8" s="493">
        <f>'[13]Master Look Up'!O7</f>
        <v>54412.800000000003</v>
      </c>
      <c r="M8" s="2727">
        <v>0.45</v>
      </c>
      <c r="N8" s="2728">
        <v>0.7</v>
      </c>
      <c r="O8" s="2728">
        <v>0.15</v>
      </c>
      <c r="P8" s="2728">
        <v>0.7</v>
      </c>
      <c r="Q8" s="2728"/>
      <c r="R8" s="2728">
        <v>0.25</v>
      </c>
      <c r="S8" s="2728">
        <v>1.1000000000000001</v>
      </c>
      <c r="T8" s="2729">
        <v>0.9</v>
      </c>
    </row>
    <row r="9" spans="1:20">
      <c r="A9" s="305"/>
      <c r="B9" s="2720"/>
      <c r="C9" s="2007"/>
      <c r="D9" s="935"/>
      <c r="E9" s="935"/>
      <c r="F9" s="305"/>
      <c r="G9" s="2720"/>
      <c r="H9" s="2007"/>
      <c r="I9" s="935"/>
      <c r="K9" s="305" t="s">
        <v>245</v>
      </c>
      <c r="L9" s="493">
        <f>'[13]Master Look Up'!O12</f>
        <v>45210.880000000005</v>
      </c>
      <c r="M9" s="2727">
        <v>0.95</v>
      </c>
      <c r="N9" s="2728">
        <v>1.62</v>
      </c>
      <c r="O9" s="2728">
        <v>1.05</v>
      </c>
      <c r="P9" s="2728">
        <v>1.91</v>
      </c>
      <c r="Q9" s="2728"/>
      <c r="R9" s="2728">
        <v>1.21</v>
      </c>
      <c r="S9" s="2728">
        <v>3.79</v>
      </c>
      <c r="T9" s="2729">
        <v>2.39</v>
      </c>
    </row>
    <row r="10" spans="1:20" ht="15" thickBot="1">
      <c r="A10" s="305"/>
      <c r="B10" s="2720"/>
      <c r="C10" s="2007"/>
      <c r="D10" s="935"/>
      <c r="E10" s="935"/>
      <c r="F10" s="305"/>
      <c r="G10" s="2720"/>
      <c r="H10" s="2007"/>
      <c r="I10" s="935"/>
      <c r="K10" s="2730" t="s">
        <v>615</v>
      </c>
      <c r="L10" s="493">
        <f>'[13]Master Look Up'!O8</f>
        <v>34927.359999999993</v>
      </c>
      <c r="M10" s="2731">
        <v>0.13543146969089426</v>
      </c>
      <c r="N10" s="2732">
        <v>0.13543146969089426</v>
      </c>
      <c r="O10" s="2732">
        <v>0.25</v>
      </c>
      <c r="P10" s="2732">
        <v>0.16558861578266496</v>
      </c>
      <c r="Q10" s="2732">
        <v>0.13064220183486239</v>
      </c>
      <c r="R10" s="2732">
        <v>0.20489510489510487</v>
      </c>
      <c r="S10" s="2732">
        <v>0.33456109767755715</v>
      </c>
      <c r="T10" s="2733">
        <v>0.47354467509025272</v>
      </c>
    </row>
    <row r="11" spans="1:20" ht="15" thickBot="1">
      <c r="A11" s="2008" t="s">
        <v>266</v>
      </c>
      <c r="B11" s="2009"/>
      <c r="C11" s="2010">
        <f>SUM(C5:C8)</f>
        <v>1.7433666554789338</v>
      </c>
      <c r="D11" s="2011">
        <f>SUM(D5:D8)</f>
        <v>86638.648628070514</v>
      </c>
      <c r="E11" s="2012"/>
      <c r="F11" s="2008" t="s">
        <v>266</v>
      </c>
      <c r="G11" s="2009"/>
      <c r="H11" s="2010">
        <f>SUM(H5:H8)</f>
        <v>2.6633666554789337</v>
      </c>
      <c r="I11" s="2011">
        <f>SUM(I5:I8)</f>
        <v>130533.13822807051</v>
      </c>
      <c r="K11" s="1031" t="s">
        <v>177</v>
      </c>
      <c r="L11" s="1032"/>
      <c r="M11" s="2734" t="s">
        <v>609</v>
      </c>
      <c r="N11" s="2723" t="s">
        <v>610</v>
      </c>
      <c r="O11" s="2723" t="s">
        <v>423</v>
      </c>
      <c r="P11" s="2723" t="s">
        <v>437</v>
      </c>
      <c r="Q11" s="2723" t="s">
        <v>611</v>
      </c>
      <c r="R11" s="2723" t="s">
        <v>612</v>
      </c>
      <c r="S11" s="2723" t="s">
        <v>613</v>
      </c>
      <c r="T11" s="2723" t="s">
        <v>614</v>
      </c>
    </row>
    <row r="12" spans="1:20" ht="15.6">
      <c r="A12" s="2013"/>
      <c r="B12" s="2014"/>
      <c r="C12" s="2015"/>
      <c r="D12" s="2012"/>
      <c r="E12" s="2012"/>
      <c r="F12" s="2013"/>
      <c r="G12" s="2014"/>
      <c r="H12" s="2015"/>
      <c r="I12" s="2012"/>
      <c r="K12" s="2735" t="s">
        <v>286</v>
      </c>
      <c r="L12" s="2736">
        <f>'[13]Master Look Up'!D18</f>
        <v>0.224</v>
      </c>
      <c r="M12" s="2737"/>
      <c r="N12" s="2737"/>
      <c r="O12" s="2737"/>
      <c r="P12" s="2737"/>
      <c r="Q12" s="2737"/>
      <c r="R12" s="2737"/>
      <c r="S12" s="2737"/>
      <c r="T12" s="2738"/>
    </row>
    <row r="13" spans="1:20">
      <c r="A13" s="2126" t="s">
        <v>224</v>
      </c>
      <c r="B13" s="2014"/>
      <c r="C13" s="2715"/>
      <c r="D13" s="2012"/>
      <c r="E13" s="2012"/>
      <c r="F13" s="2126" t="s">
        <v>224</v>
      </c>
      <c r="G13" s="2014"/>
      <c r="H13" s="2715"/>
      <c r="I13" s="2012"/>
      <c r="K13" s="349" t="s">
        <v>62</v>
      </c>
      <c r="L13" s="965">
        <f>'[13]Master Look Up'!D23</f>
        <v>0.12</v>
      </c>
      <c r="M13" s="2739"/>
      <c r="N13" s="2739"/>
      <c r="O13" s="2739"/>
      <c r="P13" s="2739"/>
      <c r="Q13" s="2739"/>
      <c r="R13" s="2739"/>
      <c r="S13" s="2740"/>
      <c r="T13" s="2741"/>
    </row>
    <row r="14" spans="1:20">
      <c r="A14" s="2016" t="s">
        <v>183</v>
      </c>
      <c r="B14" s="2017">
        <f>L12</f>
        <v>0.224</v>
      </c>
      <c r="C14" s="2742"/>
      <c r="D14" s="2018">
        <f>B14*D11</f>
        <v>19407.057292687794</v>
      </c>
      <c r="E14" s="2018"/>
      <c r="F14" s="2016" t="s">
        <v>183</v>
      </c>
      <c r="G14" s="2017">
        <f>L12</f>
        <v>0.224</v>
      </c>
      <c r="H14" s="2742"/>
      <c r="I14" s="2018">
        <f>G14*I11</f>
        <v>29239.422963087796</v>
      </c>
      <c r="K14" s="349" t="s">
        <v>73</v>
      </c>
      <c r="L14" s="1683">
        <f>'[13]Master Look Up'!F4</f>
        <v>5963.9694954316819</v>
      </c>
      <c r="M14" s="2743" t="s">
        <v>180</v>
      </c>
      <c r="N14" s="350"/>
      <c r="O14" s="350"/>
      <c r="P14" s="350"/>
      <c r="Q14" s="350"/>
      <c r="R14" s="350"/>
      <c r="S14" s="350"/>
      <c r="T14" s="2744"/>
    </row>
    <row r="15" spans="1:20" ht="15.75" customHeight="1">
      <c r="A15" s="952" t="s">
        <v>225</v>
      </c>
      <c r="B15" s="2745"/>
      <c r="C15" s="2746"/>
      <c r="D15" s="2011">
        <f>D11+D14</f>
        <v>106045.70592075831</v>
      </c>
      <c r="E15" s="2747"/>
      <c r="F15" s="952" t="s">
        <v>225</v>
      </c>
      <c r="G15" s="2745"/>
      <c r="H15" s="2746"/>
      <c r="I15" s="2011">
        <f>I11+I14</f>
        <v>159772.56119115831</v>
      </c>
      <c r="K15" s="349" t="s">
        <v>84</v>
      </c>
      <c r="L15" s="1683">
        <f>'[13]Master Look Up'!F5</f>
        <v>159.61973086509079</v>
      </c>
      <c r="M15" s="2743" t="s">
        <v>180</v>
      </c>
      <c r="N15" s="350"/>
      <c r="O15" s="350"/>
      <c r="P15" s="350"/>
      <c r="Q15" s="350"/>
      <c r="R15" s="350"/>
      <c r="S15" s="350"/>
      <c r="T15" s="2744"/>
    </row>
    <row r="16" spans="1:20">
      <c r="A16" s="349" t="s">
        <v>73</v>
      </c>
      <c r="B16" s="295"/>
      <c r="C16" s="327">
        <f>L14</f>
        <v>5963.9694954316819</v>
      </c>
      <c r="D16" s="2018">
        <f t="shared" ref="D16:D22" si="2">C16*$C$11</f>
        <v>10397.385552629115</v>
      </c>
      <c r="E16" s="2012"/>
      <c r="F16" s="349" t="s">
        <v>73</v>
      </c>
      <c r="G16" s="295"/>
      <c r="H16" s="327">
        <f>L14</f>
        <v>5963.9694954316819</v>
      </c>
      <c r="I16" s="2018">
        <f t="shared" ref="I16:I22" si="3">H16*$H$11</f>
        <v>15884.237488426263</v>
      </c>
      <c r="K16" s="349" t="s">
        <v>88</v>
      </c>
      <c r="L16" s="1683">
        <f>'[13]Master Look Up'!F6</f>
        <v>1056.8783932396871</v>
      </c>
      <c r="M16" s="2743" t="s">
        <v>180</v>
      </c>
      <c r="N16" s="350"/>
      <c r="O16" s="350"/>
      <c r="P16" s="350"/>
      <c r="Q16" s="350"/>
      <c r="R16" s="350"/>
      <c r="S16" s="350"/>
      <c r="T16" s="2744"/>
    </row>
    <row r="17" spans="1:20">
      <c r="A17" s="349" t="s">
        <v>84</v>
      </c>
      <c r="B17" s="295"/>
      <c r="C17" s="327">
        <f t="shared" ref="C17:C22" si="4">L15</f>
        <v>159.61973086509079</v>
      </c>
      <c r="D17" s="2018">
        <f t="shared" si="2"/>
        <v>278.27571634672086</v>
      </c>
      <c r="E17" s="2012"/>
      <c r="F17" s="349" t="s">
        <v>84</v>
      </c>
      <c r="G17" s="295"/>
      <c r="H17" s="327">
        <f t="shared" ref="H17:H22" si="5">L15</f>
        <v>159.61973086509079</v>
      </c>
      <c r="I17" s="2018">
        <f t="shared" si="3"/>
        <v>425.12586874260438</v>
      </c>
      <c r="K17" s="349" t="s">
        <v>92</v>
      </c>
      <c r="L17" s="1683">
        <f>'[13]Master Look Up'!F7</f>
        <v>659.46971027355744</v>
      </c>
      <c r="M17" s="2743" t="s">
        <v>180</v>
      </c>
      <c r="N17" s="350"/>
      <c r="O17" s="350"/>
      <c r="P17" s="350"/>
      <c r="Q17" s="350"/>
      <c r="R17" s="350"/>
      <c r="S17" s="350"/>
      <c r="T17" s="2744"/>
    </row>
    <row r="18" spans="1:20">
      <c r="A18" s="349" t="s">
        <v>88</v>
      </c>
      <c r="B18" s="295"/>
      <c r="C18" s="327">
        <f t="shared" si="4"/>
        <v>1056.8783932396871</v>
      </c>
      <c r="D18" s="2018">
        <f t="shared" si="2"/>
        <v>1842.5265496702225</v>
      </c>
      <c r="E18" s="2012"/>
      <c r="F18" s="349" t="s">
        <v>88</v>
      </c>
      <c r="G18" s="295"/>
      <c r="H18" s="327">
        <f t="shared" si="5"/>
        <v>1056.8783932396871</v>
      </c>
      <c r="I18" s="2018">
        <f t="shared" si="3"/>
        <v>2814.8546714507347</v>
      </c>
      <c r="K18" s="349" t="s">
        <v>94</v>
      </c>
      <c r="L18" s="1683">
        <f>'[13]Master Look Up'!F8</f>
        <v>474.11060420697481</v>
      </c>
      <c r="M18" s="2743" t="s">
        <v>180</v>
      </c>
      <c r="N18" s="350"/>
      <c r="O18" s="350"/>
      <c r="P18" s="350"/>
      <c r="Q18" s="350"/>
      <c r="R18" s="350"/>
      <c r="S18" s="350"/>
      <c r="T18" s="2744"/>
    </row>
    <row r="19" spans="1:20">
      <c r="A19" s="349" t="s">
        <v>92</v>
      </c>
      <c r="B19" s="295"/>
      <c r="C19" s="327">
        <f t="shared" si="4"/>
        <v>659.46971027355744</v>
      </c>
      <c r="D19" s="2018">
        <f t="shared" si="2"/>
        <v>1149.6975031892732</v>
      </c>
      <c r="E19" s="2012"/>
      <c r="F19" s="349" t="s">
        <v>92</v>
      </c>
      <c r="G19" s="295"/>
      <c r="H19" s="327">
        <f t="shared" si="5"/>
        <v>659.46971027355744</v>
      </c>
      <c r="I19" s="2018">
        <f t="shared" si="3"/>
        <v>1756.409636640946</v>
      </c>
      <c r="K19" s="349" t="s">
        <v>109</v>
      </c>
      <c r="L19" s="1683">
        <f>'[13]Master Look Up'!F236</f>
        <v>1733.9343036087084</v>
      </c>
      <c r="M19" s="2743" t="s">
        <v>180</v>
      </c>
      <c r="N19" s="350"/>
      <c r="O19" s="350"/>
      <c r="P19" s="350"/>
      <c r="Q19" s="350"/>
      <c r="R19" s="350"/>
      <c r="S19" s="350"/>
      <c r="T19" s="2744"/>
    </row>
    <row r="20" spans="1:20">
      <c r="A20" s="349" t="s">
        <v>94</v>
      </c>
      <c r="B20" s="295"/>
      <c r="C20" s="327">
        <f t="shared" si="4"/>
        <v>474.11060420697481</v>
      </c>
      <c r="D20" s="2018">
        <f t="shared" si="2"/>
        <v>826.54861838341014</v>
      </c>
      <c r="E20" s="2012"/>
      <c r="F20" s="349" t="s">
        <v>94</v>
      </c>
      <c r="G20" s="295"/>
      <c r="H20" s="327">
        <f t="shared" si="5"/>
        <v>474.11060420697481</v>
      </c>
      <c r="I20" s="2018">
        <f t="shared" si="3"/>
        <v>1262.730374253827</v>
      </c>
      <c r="K20" s="349" t="s">
        <v>125</v>
      </c>
      <c r="L20" s="1683">
        <f>'[13]Master Look Up'!F12</f>
        <v>1347.3502436316674</v>
      </c>
      <c r="M20" s="2743" t="s">
        <v>180</v>
      </c>
      <c r="N20" s="350"/>
      <c r="O20" s="350"/>
      <c r="P20" s="350"/>
      <c r="Q20" s="350"/>
      <c r="R20" s="350"/>
      <c r="S20" s="350"/>
      <c r="T20" s="2744"/>
    </row>
    <row r="21" spans="1:20" ht="12.75" customHeight="1">
      <c r="A21" s="349" t="s">
        <v>109</v>
      </c>
      <c r="B21" s="295"/>
      <c r="C21" s="327">
        <f t="shared" si="4"/>
        <v>1733.9343036087084</v>
      </c>
      <c r="D21" s="2018">
        <f t="shared" si="2"/>
        <v>3022.883247702508</v>
      </c>
      <c r="E21" s="2012"/>
      <c r="F21" s="349" t="s">
        <v>109</v>
      </c>
      <c r="G21" s="295"/>
      <c r="H21" s="327">
        <f t="shared" si="5"/>
        <v>1733.9343036087084</v>
      </c>
      <c r="I21" s="2018">
        <f t="shared" si="3"/>
        <v>4618.1028070225202</v>
      </c>
      <c r="K21" s="349"/>
      <c r="L21" s="350"/>
      <c r="M21" s="2739"/>
      <c r="N21" s="350"/>
      <c r="O21" s="350"/>
      <c r="P21" s="350"/>
      <c r="Q21" s="350"/>
      <c r="R21" s="350"/>
      <c r="S21" s="350"/>
      <c r="T21" s="2744"/>
    </row>
    <row r="22" spans="1:20">
      <c r="A22" s="349" t="s">
        <v>125</v>
      </c>
      <c r="B22" s="295"/>
      <c r="C22" s="327">
        <f t="shared" si="4"/>
        <v>1347.3502436316674</v>
      </c>
      <c r="D22" s="2018">
        <f t="shared" si="2"/>
        <v>2348.9254879988666</v>
      </c>
      <c r="E22" s="2012"/>
      <c r="F22" s="349" t="s">
        <v>125</v>
      </c>
      <c r="G22" s="295"/>
      <c r="H22" s="327">
        <f t="shared" si="5"/>
        <v>1347.3502436316674</v>
      </c>
      <c r="I22" s="2018">
        <f t="shared" si="3"/>
        <v>3588.4877121400004</v>
      </c>
      <c r="K22" s="349"/>
      <c r="L22" s="350"/>
      <c r="M22" s="2739"/>
      <c r="N22" s="350"/>
      <c r="O22" s="350"/>
      <c r="P22" s="350"/>
      <c r="Q22" s="350"/>
      <c r="R22" s="350"/>
      <c r="S22" s="350"/>
      <c r="T22" s="2744"/>
    </row>
    <row r="23" spans="1:20" ht="15" thickBot="1">
      <c r="A23" s="349"/>
      <c r="B23" s="295"/>
      <c r="C23" s="296"/>
      <c r="D23" s="2012"/>
      <c r="E23" s="2012"/>
      <c r="F23" s="349"/>
      <c r="G23" s="295"/>
      <c r="H23" s="296"/>
      <c r="I23" s="2012"/>
      <c r="K23" s="2748" t="s">
        <v>617</v>
      </c>
      <c r="L23" s="2749"/>
      <c r="M23" s="2750">
        <v>0.34150000000000003</v>
      </c>
      <c r="N23" s="2750">
        <v>0.21195</v>
      </c>
      <c r="O23" s="2750">
        <v>0.21310000000000001</v>
      </c>
      <c r="P23" s="2750">
        <v>0.28775000000000001</v>
      </c>
      <c r="Q23" s="2750">
        <v>0.20979999999999999</v>
      </c>
      <c r="R23" s="2750">
        <v>0.29899999999999999</v>
      </c>
      <c r="S23" s="2751">
        <v>0.16789999999999999</v>
      </c>
      <c r="T23" s="2752">
        <v>0.31219999999999998</v>
      </c>
    </row>
    <row r="24" spans="1:20" ht="15.75" customHeight="1" thickBot="1">
      <c r="A24" s="349"/>
      <c r="B24" s="295"/>
      <c r="C24" s="296"/>
      <c r="D24" s="2012"/>
      <c r="E24" s="2012"/>
      <c r="F24" s="349"/>
      <c r="G24" s="295"/>
      <c r="H24" s="296"/>
      <c r="I24" s="2012"/>
      <c r="K24" s="2753" t="s">
        <v>618</v>
      </c>
      <c r="L24" s="2754">
        <f>'[13]Master Look Up'!D26</f>
        <v>1.0633805350099574E-2</v>
      </c>
      <c r="M24" s="2755" t="s">
        <v>153</v>
      </c>
      <c r="N24" s="2756"/>
      <c r="O24" s="2756"/>
      <c r="P24" s="2756"/>
      <c r="Q24" s="2756"/>
      <c r="R24" s="2756"/>
      <c r="S24" s="2756"/>
      <c r="T24" s="2757"/>
    </row>
    <row r="25" spans="1:20" ht="15.75" customHeight="1" thickBot="1">
      <c r="A25" s="349" t="s">
        <v>619</v>
      </c>
      <c r="B25" s="351"/>
      <c r="C25" s="296"/>
      <c r="D25" s="2018">
        <f>SUM(D16:D24)</f>
        <v>19866.242675920119</v>
      </c>
      <c r="E25" s="2012"/>
      <c r="F25" s="349" t="s">
        <v>619</v>
      </c>
      <c r="G25" s="351"/>
      <c r="H25" s="296"/>
      <c r="I25" s="2018">
        <f>SUM(I16:I24)</f>
        <v>30349.948558676893</v>
      </c>
      <c r="K25" s="2758" t="s">
        <v>620</v>
      </c>
      <c r="L25" s="2754">
        <v>3.7000000000000002E-3</v>
      </c>
      <c r="M25" s="2756"/>
      <c r="N25" s="2756"/>
      <c r="O25" s="2756"/>
      <c r="P25" s="2756"/>
      <c r="Q25" s="2756"/>
      <c r="R25" s="2756"/>
      <c r="S25" s="2756"/>
      <c r="T25" s="2757"/>
    </row>
    <row r="26" spans="1:20">
      <c r="A26" s="952" t="s">
        <v>346</v>
      </c>
      <c r="B26" s="2745"/>
      <c r="C26" s="2746"/>
      <c r="D26" s="2011">
        <f>D15+D25</f>
        <v>125911.94859667843</v>
      </c>
      <c r="E26" s="2012"/>
      <c r="F26" s="952" t="s">
        <v>346</v>
      </c>
      <c r="G26" s="2745"/>
      <c r="H26" s="2746"/>
      <c r="I26" s="2011">
        <f>I15+I25</f>
        <v>190122.50974983521</v>
      </c>
    </row>
    <row r="27" spans="1:20">
      <c r="A27" s="349" t="s">
        <v>347</v>
      </c>
      <c r="B27" s="2019">
        <f>L13</f>
        <v>0.12</v>
      </c>
      <c r="C27" s="296"/>
      <c r="D27" s="2018">
        <f>B27*D26</f>
        <v>15109.433831601411</v>
      </c>
      <c r="E27" s="2012"/>
      <c r="F27" s="349" t="s">
        <v>347</v>
      </c>
      <c r="G27" s="2019">
        <f>L13</f>
        <v>0.12</v>
      </c>
      <c r="H27" s="296"/>
      <c r="I27" s="2018">
        <f>G27*I26</f>
        <v>22814.701169980224</v>
      </c>
    </row>
    <row r="28" spans="1:20">
      <c r="A28" s="2759" t="str">
        <f>K25</f>
        <v>PFLMA Trust Contribution</v>
      </c>
      <c r="B28" s="2760">
        <f>L25</f>
        <v>3.7000000000000002E-3</v>
      </c>
      <c r="C28" s="2761"/>
      <c r="D28" s="2020">
        <f>D11*B28</f>
        <v>320.5629999238609</v>
      </c>
      <c r="E28" s="2012"/>
      <c r="F28" s="2759" t="str">
        <f>K25</f>
        <v>PFLMA Trust Contribution</v>
      </c>
      <c r="G28" s="2760">
        <f>L25</f>
        <v>3.7000000000000002E-3</v>
      </c>
      <c r="H28" s="2761"/>
      <c r="I28" s="2020">
        <f>I11*G28</f>
        <v>482.9726114438609</v>
      </c>
    </row>
    <row r="29" spans="1:20" ht="15" thickBot="1">
      <c r="A29" s="2762" t="s">
        <v>188</v>
      </c>
      <c r="B29" s="2763"/>
      <c r="C29" s="2764"/>
      <c r="D29" s="2021">
        <f>D26+D27+D28</f>
        <v>141341.9454282037</v>
      </c>
      <c r="E29" s="2012"/>
      <c r="F29" s="2762" t="s">
        <v>188</v>
      </c>
      <c r="G29" s="2763"/>
      <c r="H29" s="2764"/>
      <c r="I29" s="2021">
        <f>I26+I27+I28</f>
        <v>213420.1835312593</v>
      </c>
    </row>
    <row r="30" spans="1:20" ht="15" thickTop="1">
      <c r="A30" s="336" t="s">
        <v>485</v>
      </c>
      <c r="B30" s="350"/>
      <c r="C30" s="472"/>
      <c r="D30" s="2744">
        <v>10</v>
      </c>
      <c r="E30" s="2744"/>
      <c r="F30" s="336" t="s">
        <v>485</v>
      </c>
      <c r="G30" s="350"/>
      <c r="H30" s="472"/>
      <c r="I30" s="2744">
        <v>10</v>
      </c>
    </row>
    <row r="31" spans="1:20">
      <c r="A31" s="336" t="s">
        <v>486</v>
      </c>
      <c r="B31" s="2014"/>
      <c r="C31" s="2765"/>
      <c r="D31" s="2022">
        <f>D29/D30/365</f>
        <v>38.723820665261293</v>
      </c>
      <c r="E31" s="2022"/>
      <c r="F31" s="336" t="s">
        <v>486</v>
      </c>
      <c r="G31" s="2014"/>
      <c r="H31" s="2765"/>
      <c r="I31" s="2022">
        <f>(I29/I30)/365</f>
        <v>58.471283159249126</v>
      </c>
    </row>
    <row r="32" spans="1:20" ht="15" thickBot="1">
      <c r="A32" s="2766" t="str">
        <f>K24</f>
        <v>CAF (Jan 2022)</v>
      </c>
      <c r="B32" s="2767">
        <f>L24</f>
        <v>1.0633805350099574E-2</v>
      </c>
      <c r="C32" s="2768"/>
      <c r="D32" s="2023">
        <f>D31*(1+B32)</f>
        <v>39.135602236627847</v>
      </c>
      <c r="E32" s="2012"/>
      <c r="F32" s="2766" t="str">
        <f>K24</f>
        <v>CAF (Jan 2022)</v>
      </c>
      <c r="G32" s="2767">
        <f>L24</f>
        <v>1.0633805350099574E-2</v>
      </c>
      <c r="H32" s="2768"/>
      <c r="I32" s="2023">
        <f>I31*(1+G32)</f>
        <v>59.093055402935136</v>
      </c>
    </row>
    <row r="33" spans="1:14" ht="16.5" customHeight="1" thickBot="1">
      <c r="A33" s="2024"/>
      <c r="B33" s="2014"/>
      <c r="C33" s="2769"/>
      <c r="E33" s="491"/>
      <c r="F33" s="2024"/>
      <c r="G33" s="2024"/>
      <c r="H33" s="2769"/>
      <c r="I33" s="2770"/>
      <c r="J33" s="491"/>
    </row>
    <row r="34" spans="1:14" ht="15" thickBot="1">
      <c r="A34" s="2002" t="s">
        <v>621</v>
      </c>
      <c r="B34" s="2003"/>
      <c r="C34" s="2003"/>
      <c r="D34" s="2004"/>
      <c r="F34" s="2002" t="s">
        <v>622</v>
      </c>
      <c r="G34" s="2003"/>
      <c r="H34" s="2003"/>
      <c r="I34" s="2004"/>
      <c r="J34" s="2771"/>
      <c r="K34" s="2002" t="s">
        <v>623</v>
      </c>
      <c r="L34" s="2003"/>
      <c r="M34" s="2003"/>
      <c r="N34" s="2004"/>
    </row>
    <row r="35" spans="1:14">
      <c r="A35" s="2126"/>
      <c r="B35" s="2006" t="s">
        <v>215</v>
      </c>
      <c r="C35" s="2715" t="s">
        <v>216</v>
      </c>
      <c r="D35" s="2716" t="s">
        <v>217</v>
      </c>
      <c r="F35" s="2126"/>
      <c r="G35" s="2024" t="s">
        <v>215</v>
      </c>
      <c r="H35" s="2715" t="s">
        <v>216</v>
      </c>
      <c r="I35" s="2012" t="s">
        <v>217</v>
      </c>
      <c r="K35" s="2126"/>
      <c r="L35" s="2025" t="s">
        <v>215</v>
      </c>
      <c r="M35" s="2715" t="s">
        <v>216</v>
      </c>
      <c r="N35" s="2716" t="s">
        <v>217</v>
      </c>
    </row>
    <row r="36" spans="1:14">
      <c r="A36" s="294" t="s">
        <v>85</v>
      </c>
      <c r="B36" s="2720">
        <f>L6</f>
        <v>69600</v>
      </c>
      <c r="C36" s="2007">
        <f>O6</f>
        <v>0.45454545454545453</v>
      </c>
      <c r="D36" s="935">
        <f>B36*C36</f>
        <v>31636.363636363636</v>
      </c>
      <c r="F36" s="294" t="s">
        <v>85</v>
      </c>
      <c r="G36" s="2720">
        <f>L6</f>
        <v>69600</v>
      </c>
      <c r="H36" s="2007">
        <f>P6</f>
        <v>0.17141009055627424</v>
      </c>
      <c r="I36" s="935">
        <f>G36*H36</f>
        <v>11930.142302716687</v>
      </c>
      <c r="K36" s="294" t="s">
        <v>85</v>
      </c>
      <c r="L36" s="2720">
        <f>L6</f>
        <v>69600</v>
      </c>
      <c r="M36" s="2007">
        <f>Q6</f>
        <v>0.57834862385321095</v>
      </c>
      <c r="N36" s="935">
        <f>L36*M36</f>
        <v>40253.064220183485</v>
      </c>
    </row>
    <row r="37" spans="1:14">
      <c r="A37" s="294" t="s">
        <v>478</v>
      </c>
      <c r="B37" s="2720">
        <f t="shared" ref="B37" si="6">L7</f>
        <v>63627.199999999997</v>
      </c>
      <c r="C37" s="2007">
        <v>0.65</v>
      </c>
      <c r="D37" s="935">
        <f>B37*C37</f>
        <v>41357.68</v>
      </c>
      <c r="F37" s="294" t="s">
        <v>478</v>
      </c>
      <c r="G37" s="2720">
        <f t="shared" ref="G37" si="7">L7</f>
        <v>63627.199999999997</v>
      </c>
      <c r="H37" s="2007">
        <v>0.52</v>
      </c>
      <c r="I37" s="935">
        <f>G37*H37</f>
        <v>33086.144</v>
      </c>
      <c r="K37" s="294" t="s">
        <v>478</v>
      </c>
      <c r="L37" s="2720">
        <f>L7</f>
        <v>63627.199999999997</v>
      </c>
      <c r="M37" s="2007">
        <v>1.02</v>
      </c>
      <c r="N37" s="935">
        <f>L37*M37</f>
        <v>64899.743999999999</v>
      </c>
    </row>
    <row r="38" spans="1:14">
      <c r="A38" s="294" t="s">
        <v>81</v>
      </c>
      <c r="B38" s="2720">
        <f>L8</f>
        <v>54412.800000000003</v>
      </c>
      <c r="C38" s="2007">
        <v>0.64</v>
      </c>
      <c r="D38" s="935">
        <f>B38*C38</f>
        <v>34824.192000000003</v>
      </c>
      <c r="F38" s="294" t="s">
        <v>81</v>
      </c>
      <c r="G38" s="2720">
        <f>L8</f>
        <v>54412.800000000003</v>
      </c>
      <c r="H38" s="2007">
        <v>0.51</v>
      </c>
      <c r="I38" s="935">
        <f>G38*H38</f>
        <v>27750.528000000002</v>
      </c>
      <c r="K38" s="294" t="s">
        <v>81</v>
      </c>
      <c r="L38" s="2720">
        <f>L8</f>
        <v>54412.800000000003</v>
      </c>
      <c r="M38" s="2007">
        <v>1.02</v>
      </c>
      <c r="N38" s="935">
        <f>L38*M38</f>
        <v>55501.056000000004</v>
      </c>
    </row>
    <row r="39" spans="1:14">
      <c r="A39" s="305" t="s">
        <v>245</v>
      </c>
      <c r="B39" s="2720">
        <f>L9</f>
        <v>45210.880000000005</v>
      </c>
      <c r="C39" s="2007">
        <f>O9</f>
        <v>1.05</v>
      </c>
      <c r="D39" s="935">
        <f>B39*C39</f>
        <v>47471.424000000006</v>
      </c>
      <c r="F39" s="305" t="s">
        <v>245</v>
      </c>
      <c r="G39" s="2720">
        <f>L9</f>
        <v>45210.880000000005</v>
      </c>
      <c r="H39" s="2007">
        <f>P9</f>
        <v>1.91</v>
      </c>
      <c r="I39" s="935">
        <f>G39*H39</f>
        <v>86352.780800000008</v>
      </c>
      <c r="K39" s="305" t="s">
        <v>245</v>
      </c>
      <c r="L39" s="2720"/>
      <c r="M39" s="2007"/>
      <c r="N39" s="935"/>
    </row>
    <row r="40" spans="1:14">
      <c r="A40" s="305" t="s">
        <v>615</v>
      </c>
      <c r="B40" s="2720">
        <f>L10</f>
        <v>34927.359999999993</v>
      </c>
      <c r="C40" s="2007">
        <f>O10</f>
        <v>0.25</v>
      </c>
      <c r="D40" s="935">
        <f>B40*C40</f>
        <v>8731.8399999999983</v>
      </c>
      <c r="F40" s="305" t="s">
        <v>615</v>
      </c>
      <c r="G40" s="2720">
        <f>L10</f>
        <v>34927.359999999993</v>
      </c>
      <c r="H40" s="2007">
        <f>P10</f>
        <v>0.16558861578266496</v>
      </c>
      <c r="I40" s="935">
        <f>G40*H40</f>
        <v>5783.5731953428194</v>
      </c>
      <c r="K40" s="305" t="s">
        <v>615</v>
      </c>
      <c r="L40" s="2720">
        <f>L10</f>
        <v>34927.359999999993</v>
      </c>
      <c r="M40" s="2007">
        <f>Q10</f>
        <v>0.13064220183486239</v>
      </c>
      <c r="N40" s="935">
        <f>L40*M40</f>
        <v>4562.9872146788985</v>
      </c>
    </row>
    <row r="41" spans="1:14">
      <c r="A41" s="305"/>
      <c r="B41" s="2720"/>
      <c r="C41" s="2007"/>
      <c r="D41" s="935"/>
      <c r="F41" s="305"/>
      <c r="G41" s="2720"/>
      <c r="H41" s="2007"/>
      <c r="I41" s="935"/>
      <c r="K41" s="305"/>
      <c r="L41" s="2720"/>
      <c r="M41" s="2007"/>
      <c r="N41" s="935"/>
    </row>
    <row r="42" spans="1:14">
      <c r="A42" s="305"/>
      <c r="B42" s="2720"/>
      <c r="C42" s="2007"/>
      <c r="D42" s="935"/>
      <c r="F42" s="305"/>
      <c r="G42" s="2720"/>
      <c r="H42" s="2007"/>
      <c r="I42" s="935"/>
      <c r="K42" s="305"/>
      <c r="L42" s="2720"/>
      <c r="M42" s="2007"/>
      <c r="N42" s="935"/>
    </row>
    <row r="43" spans="1:14">
      <c r="A43" s="2008" t="s">
        <v>266</v>
      </c>
      <c r="B43" s="2009"/>
      <c r="C43" s="2010">
        <f>SUM(C36:C40)</f>
        <v>3.0445454545454549</v>
      </c>
      <c r="D43" s="2011">
        <f>SUM(D36:D40)</f>
        <v>164021.49963636365</v>
      </c>
      <c r="F43" s="2008" t="s">
        <v>266</v>
      </c>
      <c r="G43" s="2009"/>
      <c r="H43" s="2010">
        <f>SUM(H36:H40)</f>
        <v>3.2769987063389387</v>
      </c>
      <c r="I43" s="2011">
        <f>SUM(I36:I40)</f>
        <v>164903.16829805952</v>
      </c>
      <c r="K43" s="2008" t="s">
        <v>266</v>
      </c>
      <c r="L43" s="2009"/>
      <c r="M43" s="2010">
        <f>SUM(M36:M40)</f>
        <v>2.7489908256880735</v>
      </c>
      <c r="N43" s="2011">
        <f>SUM(N36:N40)</f>
        <v>165216.85143486239</v>
      </c>
    </row>
    <row r="44" spans="1:14" ht="15.6">
      <c r="A44" s="2013"/>
      <c r="B44" s="2014"/>
      <c r="C44" s="2015"/>
      <c r="D44" s="2012"/>
      <c r="F44" s="2013"/>
      <c r="G44" s="2014"/>
      <c r="H44" s="2015"/>
      <c r="I44" s="2012"/>
      <c r="K44" s="2013"/>
      <c r="L44" s="2014"/>
      <c r="M44" s="2026"/>
      <c r="N44" s="2012"/>
    </row>
    <row r="45" spans="1:14">
      <c r="A45" s="2126" t="s">
        <v>224</v>
      </c>
      <c r="B45" s="2014"/>
      <c r="C45" s="2715"/>
      <c r="D45" s="2012"/>
      <c r="F45" s="2126" t="s">
        <v>224</v>
      </c>
      <c r="G45" s="2014"/>
      <c r="H45" s="2772"/>
      <c r="I45" s="2012"/>
      <c r="K45" s="2126" t="s">
        <v>224</v>
      </c>
      <c r="L45" s="2014"/>
      <c r="M45" s="2772"/>
      <c r="N45" s="2012"/>
    </row>
    <row r="46" spans="1:14">
      <c r="A46" s="2016" t="s">
        <v>183</v>
      </c>
      <c r="B46" s="2017">
        <f>L12</f>
        <v>0.224</v>
      </c>
      <c r="C46" s="2742"/>
      <c r="D46" s="2018">
        <f>B46*D43</f>
        <v>36740.815918545457</v>
      </c>
      <c r="F46" s="2016" t="s">
        <v>183</v>
      </c>
      <c r="G46" s="2027">
        <f>L12</f>
        <v>0.224</v>
      </c>
      <c r="H46" s="2773"/>
      <c r="I46" s="2018">
        <f>G46*I43</f>
        <v>36938.309698765333</v>
      </c>
      <c r="K46" s="2016" t="s">
        <v>183</v>
      </c>
      <c r="L46" s="2027">
        <f>L12</f>
        <v>0.224</v>
      </c>
      <c r="M46" s="2773"/>
      <c r="N46" s="2018">
        <f>N43*L46</f>
        <v>37008.574721409175</v>
      </c>
    </row>
    <row r="47" spans="1:14">
      <c r="A47" s="952" t="s">
        <v>225</v>
      </c>
      <c r="B47" s="2745"/>
      <c r="C47" s="2746"/>
      <c r="D47" s="2011">
        <f>D43+D46</f>
        <v>200762.31555490912</v>
      </c>
      <c r="F47" s="952" t="s">
        <v>225</v>
      </c>
      <c r="G47" s="2745"/>
      <c r="H47" s="2774"/>
      <c r="I47" s="2011">
        <f>I43+I46</f>
        <v>201841.47799682486</v>
      </c>
      <c r="K47" s="952" t="s">
        <v>225</v>
      </c>
      <c r="L47" s="2745"/>
      <c r="M47" s="2774"/>
      <c r="N47" s="2011">
        <f>N43+N46</f>
        <v>202225.42615627157</v>
      </c>
    </row>
    <row r="48" spans="1:14">
      <c r="A48" s="349" t="s">
        <v>73</v>
      </c>
      <c r="B48" s="295"/>
      <c r="C48" s="327">
        <f>L14</f>
        <v>5963.9694954316819</v>
      </c>
      <c r="D48" s="2018">
        <f t="shared" ref="D48:D54" si="8">C48*$C$43</f>
        <v>18157.576218364276</v>
      </c>
      <c r="F48" s="349" t="s">
        <v>73</v>
      </c>
      <c r="G48" s="295"/>
      <c r="H48" s="2775">
        <f>L14</f>
        <v>5963.9694954316819</v>
      </c>
      <c r="I48" s="2018">
        <f t="shared" ref="I48:I54" si="9">H48*$H$43</f>
        <v>19543.920321174515</v>
      </c>
      <c r="K48" s="349" t="s">
        <v>73</v>
      </c>
      <c r="L48" s="295"/>
      <c r="M48" s="2775">
        <f>L14</f>
        <v>5963.9694954316819</v>
      </c>
      <c r="N48" s="2018">
        <f t="shared" ref="N48:N54" si="10">M48*$M$43</f>
        <v>16394.897427625223</v>
      </c>
    </row>
    <row r="49" spans="1:15">
      <c r="A49" s="349" t="s">
        <v>84</v>
      </c>
      <c r="B49" s="295"/>
      <c r="C49" s="327">
        <f t="shared" ref="C49:C54" si="11">L15</f>
        <v>159.61973086509079</v>
      </c>
      <c r="D49" s="2018">
        <f t="shared" si="8"/>
        <v>485.96952606108101</v>
      </c>
      <c r="F49" s="349" t="s">
        <v>84</v>
      </c>
      <c r="G49" s="295"/>
      <c r="H49" s="2775">
        <f t="shared" ref="H49:H54" si="12">L15</f>
        <v>159.61973086509079</v>
      </c>
      <c r="I49" s="2018">
        <f t="shared" si="9"/>
        <v>523.07365155107209</v>
      </c>
      <c r="K49" s="349" t="s">
        <v>84</v>
      </c>
      <c r="L49" s="295"/>
      <c r="M49" s="2775">
        <f t="shared" ref="M49:M54" si="13">L15</f>
        <v>159.61973086509079</v>
      </c>
      <c r="N49" s="2018">
        <f t="shared" si="10"/>
        <v>438.79317574693397</v>
      </c>
    </row>
    <row r="50" spans="1:15">
      <c r="A50" s="349" t="s">
        <v>88</v>
      </c>
      <c r="B50" s="295"/>
      <c r="C50" s="327">
        <f t="shared" si="11"/>
        <v>1056.8783932396871</v>
      </c>
      <c r="D50" s="2018">
        <f t="shared" si="8"/>
        <v>3217.7143081451932</v>
      </c>
      <c r="F50" s="349" t="s">
        <v>88</v>
      </c>
      <c r="G50" s="295"/>
      <c r="H50" s="2775">
        <f t="shared" si="12"/>
        <v>1056.8783932396871</v>
      </c>
      <c r="I50" s="2018">
        <f t="shared" si="9"/>
        <v>3463.3891274040307</v>
      </c>
      <c r="K50" s="349" t="s">
        <v>88</v>
      </c>
      <c r="L50" s="295"/>
      <c r="M50" s="2775">
        <f t="shared" si="13"/>
        <v>1056.8783932396871</v>
      </c>
      <c r="N50" s="2018">
        <f t="shared" si="10"/>
        <v>2905.3490068838519</v>
      </c>
    </row>
    <row r="51" spans="1:15">
      <c r="A51" s="349" t="s">
        <v>92</v>
      </c>
      <c r="B51" s="295"/>
      <c r="C51" s="327">
        <f t="shared" si="11"/>
        <v>659.46971027355744</v>
      </c>
      <c r="D51" s="2018">
        <f t="shared" si="8"/>
        <v>2007.7855088237675</v>
      </c>
      <c r="F51" s="349" t="s">
        <v>92</v>
      </c>
      <c r="G51" s="295"/>
      <c r="H51" s="2775">
        <f t="shared" si="12"/>
        <v>659.46971027355744</v>
      </c>
      <c r="I51" s="2018">
        <f t="shared" si="9"/>
        <v>2161.0813874361625</v>
      </c>
      <c r="K51" s="349" t="s">
        <v>92</v>
      </c>
      <c r="L51" s="295"/>
      <c r="M51" s="2775">
        <f t="shared" si="13"/>
        <v>659.46971027355744</v>
      </c>
      <c r="N51" s="2018">
        <f t="shared" si="10"/>
        <v>1812.8761833611813</v>
      </c>
    </row>
    <row r="52" spans="1:15">
      <c r="A52" s="349" t="s">
        <v>94</v>
      </c>
      <c r="B52" s="295"/>
      <c r="C52" s="327">
        <f t="shared" si="11"/>
        <v>474.11060420697481</v>
      </c>
      <c r="D52" s="2018">
        <f t="shared" si="8"/>
        <v>1443.4512849901444</v>
      </c>
      <c r="F52" s="349" t="s">
        <v>94</v>
      </c>
      <c r="G52" s="295"/>
      <c r="H52" s="2775">
        <f t="shared" si="12"/>
        <v>474.11060420697481</v>
      </c>
      <c r="I52" s="2018">
        <f t="shared" si="9"/>
        <v>1553.659836647829</v>
      </c>
      <c r="K52" s="349" t="s">
        <v>94</v>
      </c>
      <c r="L52" s="295"/>
      <c r="M52" s="2775">
        <f t="shared" si="13"/>
        <v>474.11060420697481</v>
      </c>
      <c r="N52" s="2018">
        <f t="shared" si="10"/>
        <v>1303.3257013264031</v>
      </c>
    </row>
    <row r="53" spans="1:15">
      <c r="A53" s="349" t="s">
        <v>109</v>
      </c>
      <c r="B53" s="295"/>
      <c r="C53" s="327">
        <f t="shared" si="11"/>
        <v>1733.9343036087084</v>
      </c>
      <c r="D53" s="2018">
        <f t="shared" si="8"/>
        <v>5279.0418025323324</v>
      </c>
      <c r="F53" s="349" t="s">
        <v>109</v>
      </c>
      <c r="G53" s="295"/>
      <c r="H53" s="2775">
        <f t="shared" si="12"/>
        <v>1733.9343036087084</v>
      </c>
      <c r="I53" s="2018">
        <f t="shared" si="9"/>
        <v>5682.1004698024462</v>
      </c>
      <c r="K53" s="349" t="s">
        <v>109</v>
      </c>
      <c r="L53" s="295"/>
      <c r="M53" s="2775">
        <f t="shared" si="13"/>
        <v>1733.9343036087084</v>
      </c>
      <c r="N53" s="2018">
        <f t="shared" si="10"/>
        <v>4766.5694929661786</v>
      </c>
    </row>
    <row r="54" spans="1:15">
      <c r="A54" s="349" t="s">
        <v>125</v>
      </c>
      <c r="B54" s="295"/>
      <c r="C54" s="327">
        <f t="shared" si="11"/>
        <v>1347.3502436316674</v>
      </c>
      <c r="D54" s="2018">
        <f t="shared" si="8"/>
        <v>4102.069059929504</v>
      </c>
      <c r="F54" s="349" t="s">
        <v>125</v>
      </c>
      <c r="G54" s="295"/>
      <c r="H54" s="2775">
        <f t="shared" si="12"/>
        <v>1347.3502436316674</v>
      </c>
      <c r="I54" s="2018">
        <f t="shared" si="9"/>
        <v>4415.2650053664274</v>
      </c>
      <c r="K54" s="349" t="s">
        <v>125</v>
      </c>
      <c r="L54" s="295"/>
      <c r="M54" s="2775">
        <f t="shared" si="13"/>
        <v>1347.3502436316674</v>
      </c>
      <c r="N54" s="2018">
        <f t="shared" si="10"/>
        <v>3703.8534587320441</v>
      </c>
    </row>
    <row r="55" spans="1:15">
      <c r="A55" s="349"/>
      <c r="B55" s="295"/>
      <c r="C55" s="296"/>
      <c r="D55" s="2012"/>
      <c r="F55" s="349"/>
      <c r="G55" s="295"/>
      <c r="H55" s="501"/>
      <c r="I55" s="2012"/>
      <c r="K55" s="349"/>
      <c r="L55" s="295"/>
      <c r="M55" s="501"/>
      <c r="N55" s="2012"/>
    </row>
    <row r="56" spans="1:15" ht="15" customHeight="1">
      <c r="A56" s="349"/>
      <c r="B56" s="295"/>
      <c r="C56" s="296"/>
      <c r="D56" s="2012"/>
      <c r="F56" s="349"/>
      <c r="G56" s="295"/>
      <c r="H56" s="501"/>
      <c r="I56" s="2012"/>
      <c r="K56" s="349"/>
      <c r="L56" s="295"/>
      <c r="M56" s="501"/>
      <c r="N56" s="2012"/>
    </row>
    <row r="57" spans="1:15" ht="15.75" customHeight="1">
      <c r="A57" s="349"/>
      <c r="B57" s="295"/>
      <c r="C57" s="296"/>
      <c r="D57" s="2012"/>
      <c r="F57" s="349"/>
      <c r="G57" s="295"/>
      <c r="H57" s="501"/>
      <c r="I57" s="2012"/>
      <c r="K57" s="349"/>
      <c r="L57" s="295"/>
      <c r="M57" s="501"/>
      <c r="N57" s="2012"/>
    </row>
    <row r="58" spans="1:15">
      <c r="A58" s="349" t="s">
        <v>619</v>
      </c>
      <c r="B58" s="351"/>
      <c r="C58" s="296"/>
      <c r="D58" s="2018">
        <f>SUM(D48:D57)</f>
        <v>34693.607708846299</v>
      </c>
      <c r="F58" s="349" t="s">
        <v>619</v>
      </c>
      <c r="G58" s="351"/>
      <c r="H58" s="501"/>
      <c r="I58" s="2018">
        <f>SUM(I48:I57)</f>
        <v>37342.489799382485</v>
      </c>
      <c r="K58" s="349" t="s">
        <v>619</v>
      </c>
      <c r="L58" s="351"/>
      <c r="M58" s="501"/>
      <c r="N58" s="2018">
        <f>SUM(N48:N57)</f>
        <v>31325.664446641818</v>
      </c>
    </row>
    <row r="59" spans="1:15">
      <c r="A59" s="952" t="s">
        <v>346</v>
      </c>
      <c r="B59" s="2745"/>
      <c r="C59" s="2746"/>
      <c r="D59" s="2011">
        <f>D47+D58</f>
        <v>235455.92326375542</v>
      </c>
      <c r="F59" s="952" t="s">
        <v>346</v>
      </c>
      <c r="G59" s="2745"/>
      <c r="H59" s="2774"/>
      <c r="I59" s="2011">
        <f>I47+I58</f>
        <v>239183.96779620735</v>
      </c>
      <c r="K59" s="952" t="s">
        <v>346</v>
      </c>
      <c r="L59" s="2745"/>
      <c r="M59" s="2774"/>
      <c r="N59" s="2011">
        <f>N47+N58</f>
        <v>233551.09060291338</v>
      </c>
    </row>
    <row r="60" spans="1:15">
      <c r="A60" s="349" t="s">
        <v>347</v>
      </c>
      <c r="B60" s="2019">
        <f>L13</f>
        <v>0.12</v>
      </c>
      <c r="C60" s="296"/>
      <c r="D60" s="2018">
        <f>B60*D59</f>
        <v>28254.71079165065</v>
      </c>
      <c r="F60" s="349" t="s">
        <v>347</v>
      </c>
      <c r="G60" s="351">
        <f>L13</f>
        <v>0.12</v>
      </c>
      <c r="H60" s="501"/>
      <c r="I60" s="2018">
        <f>G60*I59</f>
        <v>28702.076135544881</v>
      </c>
      <c r="K60" s="349" t="s">
        <v>347</v>
      </c>
      <c r="L60" s="351">
        <f>L13</f>
        <v>0.12</v>
      </c>
      <c r="M60" s="501"/>
      <c r="N60" s="2018">
        <f>L60*N59</f>
        <v>28026.130872349604</v>
      </c>
    </row>
    <row r="61" spans="1:15">
      <c r="A61" s="2759" t="str">
        <f>A28</f>
        <v>PFLMA Trust Contribution</v>
      </c>
      <c r="B61" s="2760">
        <f>B28</f>
        <v>3.7000000000000002E-3</v>
      </c>
      <c r="C61" s="2761"/>
      <c r="D61" s="2020">
        <f>D43*B61</f>
        <v>606.87954865454549</v>
      </c>
      <c r="F61" s="2759" t="str">
        <f>F28</f>
        <v>PFLMA Trust Contribution</v>
      </c>
      <c r="G61" s="2760">
        <f>G28</f>
        <v>3.7000000000000002E-3</v>
      </c>
      <c r="H61" s="2776"/>
      <c r="I61" s="2020">
        <f>I43*G61</f>
        <v>610.14172270282029</v>
      </c>
      <c r="K61" s="2759" t="str">
        <f>F28</f>
        <v>PFLMA Trust Contribution</v>
      </c>
      <c r="L61" s="2760">
        <f>G28</f>
        <v>3.7000000000000002E-3</v>
      </c>
      <c r="M61" s="2776"/>
      <c r="N61" s="2020">
        <f>N43*L61</f>
        <v>611.30235030899087</v>
      </c>
    </row>
    <row r="62" spans="1:15" ht="15" thickBot="1">
      <c r="A62" s="2762" t="s">
        <v>188</v>
      </c>
      <c r="B62" s="2763"/>
      <c r="C62" s="2764"/>
      <c r="D62" s="2021">
        <f>D59+D60+D61</f>
        <v>264317.51360406063</v>
      </c>
      <c r="F62" s="2762" t="s">
        <v>188</v>
      </c>
      <c r="G62" s="2763"/>
      <c r="H62" s="2777"/>
      <c r="I62" s="2021">
        <f>I59+I60+I61</f>
        <v>268496.18565445504</v>
      </c>
      <c r="K62" s="2762" t="s">
        <v>188</v>
      </c>
      <c r="L62" s="2763"/>
      <c r="M62" s="2777"/>
      <c r="N62" s="2021">
        <f>N59+N60+N61</f>
        <v>262188.52382557199</v>
      </c>
    </row>
    <row r="63" spans="1:15" ht="15" thickTop="1">
      <c r="A63" s="336" t="s">
        <v>485</v>
      </c>
      <c r="B63" s="350"/>
      <c r="C63" s="472"/>
      <c r="D63" s="2744">
        <v>10</v>
      </c>
      <c r="F63" s="336" t="s">
        <v>485</v>
      </c>
      <c r="G63" s="350"/>
      <c r="H63" s="302"/>
      <c r="I63" s="2744">
        <v>10</v>
      </c>
      <c r="K63" s="336" t="s">
        <v>485</v>
      </c>
      <c r="L63" s="350"/>
      <c r="M63" s="302"/>
      <c r="N63" s="2744">
        <v>10</v>
      </c>
    </row>
    <row r="64" spans="1:15">
      <c r="A64" s="336" t="s">
        <v>486</v>
      </c>
      <c r="B64" s="2014"/>
      <c r="C64" s="2765"/>
      <c r="D64" s="2022">
        <f>(D62/D63)/365</f>
        <v>72.415757151797436</v>
      </c>
      <c r="F64" s="336" t="s">
        <v>486</v>
      </c>
      <c r="G64" s="2014"/>
      <c r="H64" s="2778"/>
      <c r="I64" s="2022">
        <f>(I62/I63)/365</f>
        <v>73.560598809439739</v>
      </c>
      <c r="K64" s="336" t="s">
        <v>486</v>
      </c>
      <c r="L64" s="2014"/>
      <c r="M64" s="2778"/>
      <c r="N64" s="2022">
        <f>(N62/N63)/365</f>
        <v>71.832472280978621</v>
      </c>
      <c r="O64" s="2779"/>
    </row>
    <row r="65" spans="1:15" ht="15" thickBot="1">
      <c r="A65" s="2766" t="str">
        <f>A32</f>
        <v>CAF (Jan 2022)</v>
      </c>
      <c r="B65" s="2767">
        <f>B32</f>
        <v>1.0633805350099574E-2</v>
      </c>
      <c r="C65" s="2768"/>
      <c r="D65" s="2023">
        <f>D64*(1+B65)</f>
        <v>73.185812217629731</v>
      </c>
      <c r="F65" s="2766" t="str">
        <f>F32</f>
        <v>CAF (Jan 2022)</v>
      </c>
      <c r="G65" s="2780">
        <f>G32</f>
        <v>1.0633805350099574E-2</v>
      </c>
      <c r="H65" s="2781"/>
      <c r="I65" s="2028">
        <f>I64*(1+G65)</f>
        <v>74.342827898616093</v>
      </c>
      <c r="K65" s="2766" t="str">
        <f>F32</f>
        <v>CAF (Jan 2022)</v>
      </c>
      <c r="L65" s="2780">
        <f>G32</f>
        <v>1.0633805350099574E-2</v>
      </c>
      <c r="M65" s="2781"/>
      <c r="N65" s="2028">
        <f>N64*(L65+1)</f>
        <v>72.596324809030975</v>
      </c>
      <c r="O65" s="2779"/>
    </row>
    <row r="66" spans="1:15" ht="15" thickBot="1">
      <c r="E66" s="491"/>
      <c r="J66" s="491"/>
      <c r="O66" s="491"/>
    </row>
    <row r="67" spans="1:15" ht="15" thickBot="1">
      <c r="A67" s="2002" t="s">
        <v>624</v>
      </c>
      <c r="B67" s="2782"/>
      <c r="C67" s="2782"/>
      <c r="D67" s="2783"/>
      <c r="F67" s="2002" t="s">
        <v>625</v>
      </c>
      <c r="G67" s="2003"/>
      <c r="H67" s="2003"/>
      <c r="I67" s="2004"/>
      <c r="K67" s="2784" t="s">
        <v>626</v>
      </c>
      <c r="L67" s="2785"/>
      <c r="M67" s="2785"/>
      <c r="N67" s="2786"/>
    </row>
    <row r="68" spans="1:15">
      <c r="A68" s="2126"/>
      <c r="B68" s="2006" t="s">
        <v>215</v>
      </c>
      <c r="C68" s="2715" t="s">
        <v>216</v>
      </c>
      <c r="D68" s="2716" t="s">
        <v>217</v>
      </c>
      <c r="F68" s="2126"/>
      <c r="G68" s="2006" t="s">
        <v>215</v>
      </c>
      <c r="H68" s="2715" t="s">
        <v>216</v>
      </c>
      <c r="I68" s="2716" t="s">
        <v>217</v>
      </c>
      <c r="K68" s="349"/>
      <c r="L68" s="2006" t="s">
        <v>215</v>
      </c>
      <c r="M68" s="2715" t="s">
        <v>216</v>
      </c>
      <c r="N68" s="2716" t="s">
        <v>217</v>
      </c>
    </row>
    <row r="69" spans="1:15">
      <c r="A69" s="294" t="s">
        <v>85</v>
      </c>
      <c r="B69" s="2720">
        <f>L6</f>
        <v>69600</v>
      </c>
      <c r="C69" s="2007">
        <f>R6</f>
        <v>0.69090909090909092</v>
      </c>
      <c r="D69" s="935">
        <f>B69*C69</f>
        <v>48087.272727272728</v>
      </c>
      <c r="F69" s="294" t="s">
        <v>85</v>
      </c>
      <c r="G69" s="2720">
        <f>L6</f>
        <v>69600</v>
      </c>
      <c r="H69" s="2007">
        <f>S6</f>
        <v>0.54186582691334406</v>
      </c>
      <c r="I69" s="935">
        <f>G69*H69</f>
        <v>37713.861553168746</v>
      </c>
      <c r="K69" s="294" t="s">
        <v>85</v>
      </c>
      <c r="L69" s="2720">
        <f>L6</f>
        <v>69600</v>
      </c>
      <c r="M69" s="2007">
        <f>T6</f>
        <v>0.56619472021660655</v>
      </c>
      <c r="N69" s="935">
        <f>L69*M69</f>
        <v>39407.152527075814</v>
      </c>
    </row>
    <row r="70" spans="1:15">
      <c r="A70" s="294" t="s">
        <v>478</v>
      </c>
      <c r="B70" s="2720">
        <f t="shared" ref="B70" si="14">L7</f>
        <v>63627.199999999997</v>
      </c>
      <c r="C70" s="2007">
        <v>1.0900000000000001</v>
      </c>
      <c r="D70" s="935">
        <f>B70*C70</f>
        <v>69353.648000000001</v>
      </c>
      <c r="F70" s="294" t="s">
        <v>478</v>
      </c>
      <c r="G70" s="2720">
        <f t="shared" ref="G70" si="15">L7</f>
        <v>63627.199999999997</v>
      </c>
      <c r="H70" s="2007">
        <v>1.47</v>
      </c>
      <c r="I70" s="935">
        <f>G70*H70</f>
        <v>93531.983999999997</v>
      </c>
      <c r="K70" s="294" t="s">
        <v>478</v>
      </c>
      <c r="L70" s="2720">
        <f>L7</f>
        <v>63627.199999999997</v>
      </c>
      <c r="M70" s="2007">
        <v>1.0900000000000001</v>
      </c>
      <c r="N70" s="935">
        <f>L70*M70</f>
        <v>69353.648000000001</v>
      </c>
    </row>
    <row r="71" spans="1:15">
      <c r="A71" s="294" t="s">
        <v>81</v>
      </c>
      <c r="B71" s="2720">
        <f>L8</f>
        <v>54412.800000000003</v>
      </c>
      <c r="C71" s="2007">
        <v>1.0900000000000001</v>
      </c>
      <c r="D71" s="935">
        <f>B71*C71</f>
        <v>59309.952000000005</v>
      </c>
      <c r="F71" s="294" t="s">
        <v>81</v>
      </c>
      <c r="G71" s="2720">
        <f>L8</f>
        <v>54412.800000000003</v>
      </c>
      <c r="H71" s="2007">
        <v>1.48</v>
      </c>
      <c r="I71" s="935">
        <f>G71*H71</f>
        <v>80530.944000000003</v>
      </c>
      <c r="K71" s="294" t="s">
        <v>81</v>
      </c>
      <c r="L71" s="2720">
        <f>L8</f>
        <v>54412.800000000003</v>
      </c>
      <c r="M71" s="2007">
        <v>1.0900000000000001</v>
      </c>
      <c r="N71" s="935">
        <f>L71*M71</f>
        <v>59309.952000000005</v>
      </c>
    </row>
    <row r="72" spans="1:15">
      <c r="A72" s="305" t="s">
        <v>245</v>
      </c>
      <c r="B72" s="2720">
        <f>L9</f>
        <v>45210.880000000005</v>
      </c>
      <c r="C72" s="2007">
        <f>R9</f>
        <v>1.21</v>
      </c>
      <c r="D72" s="935">
        <f>B72*C72</f>
        <v>54705.164800000006</v>
      </c>
      <c r="F72" s="305" t="s">
        <v>245</v>
      </c>
      <c r="G72" s="2720">
        <f>L9</f>
        <v>45210.880000000005</v>
      </c>
      <c r="H72" s="2007">
        <f>S9</f>
        <v>3.79</v>
      </c>
      <c r="I72" s="935">
        <f>G72*H72</f>
        <v>171349.23520000002</v>
      </c>
      <c r="K72" s="305" t="s">
        <v>245</v>
      </c>
      <c r="L72" s="2720">
        <f t="shared" ref="L72:L73" si="16">L9</f>
        <v>45210.880000000005</v>
      </c>
      <c r="M72" s="2007">
        <f t="shared" ref="M72:M73" si="17">T9</f>
        <v>2.39</v>
      </c>
      <c r="N72" s="935">
        <f>L72*M72</f>
        <v>108054.00320000002</v>
      </c>
    </row>
    <row r="73" spans="1:15">
      <c r="A73" s="305" t="s">
        <v>615</v>
      </c>
      <c r="B73" s="2720">
        <f>L10</f>
        <v>34927.359999999993</v>
      </c>
      <c r="C73" s="2007">
        <f>R10</f>
        <v>0.20489510489510487</v>
      </c>
      <c r="D73" s="935">
        <f>B73*C73</f>
        <v>7156.4450909090892</v>
      </c>
      <c r="F73" s="305" t="s">
        <v>615</v>
      </c>
      <c r="G73" s="2720">
        <f>L10</f>
        <v>34927.359999999993</v>
      </c>
      <c r="H73" s="2007">
        <f>S10</f>
        <v>0.33456109767755715</v>
      </c>
      <c r="I73" s="935">
        <f>G73*H73</f>
        <v>11685.335900579201</v>
      </c>
      <c r="K73" s="305" t="s">
        <v>615</v>
      </c>
      <c r="L73" s="2720">
        <f t="shared" si="16"/>
        <v>34927.359999999993</v>
      </c>
      <c r="M73" s="2007">
        <f t="shared" si="17"/>
        <v>0.47354467509025272</v>
      </c>
      <c r="N73" s="935">
        <f>L73*M73</f>
        <v>16539.665342960285</v>
      </c>
    </row>
    <row r="74" spans="1:15">
      <c r="A74" s="305"/>
      <c r="B74" s="2720"/>
      <c r="C74" s="2007"/>
      <c r="D74" s="935"/>
      <c r="F74" s="305"/>
      <c r="G74" s="2720"/>
      <c r="H74" s="2007"/>
      <c r="I74" s="935"/>
      <c r="K74" s="305"/>
      <c r="L74" s="2720"/>
      <c r="M74" s="2007"/>
      <c r="N74" s="935"/>
    </row>
    <row r="75" spans="1:15">
      <c r="A75" s="305"/>
      <c r="B75" s="2720"/>
      <c r="C75" s="2007"/>
      <c r="D75" s="935"/>
      <c r="F75" s="305"/>
      <c r="G75" s="2720"/>
      <c r="H75" s="2007"/>
      <c r="I75" s="935"/>
      <c r="K75" s="305"/>
      <c r="L75" s="2720"/>
      <c r="M75" s="2007"/>
      <c r="N75" s="935"/>
    </row>
    <row r="76" spans="1:15">
      <c r="A76" s="2008" t="s">
        <v>266</v>
      </c>
      <c r="B76" s="2009"/>
      <c r="C76" s="2010">
        <f>SUM(C69:C73)</f>
        <v>4.2858041958041957</v>
      </c>
      <c r="D76" s="2011">
        <f>SUM(D69:D73)</f>
        <v>238612.48261818182</v>
      </c>
      <c r="F76" s="2008" t="s">
        <v>266</v>
      </c>
      <c r="G76" s="2009"/>
      <c r="H76" s="2010">
        <f>SUM(H69:H73)</f>
        <v>7.6164269245909022</v>
      </c>
      <c r="I76" s="2011">
        <f>SUM(I69:I73)</f>
        <v>394811.36065374804</v>
      </c>
      <c r="K76" s="2008" t="s">
        <v>266</v>
      </c>
      <c r="L76" s="2009"/>
      <c r="M76" s="2010">
        <f>SUM(M69:M73)</f>
        <v>5.6097393953068586</v>
      </c>
      <c r="N76" s="2011">
        <f>SUM(N69:N73)</f>
        <v>292664.42107003613</v>
      </c>
    </row>
    <row r="77" spans="1:15" ht="15.6">
      <c r="A77" s="2013"/>
      <c r="B77" s="2014"/>
      <c r="C77" s="2015"/>
      <c r="D77" s="2012"/>
      <c r="F77" s="2013"/>
      <c r="G77" s="2014"/>
      <c r="H77" s="2015"/>
      <c r="I77" s="2012"/>
      <c r="K77" s="2013"/>
      <c r="L77" s="2014"/>
      <c r="M77" s="2015"/>
      <c r="N77" s="2012"/>
    </row>
    <row r="78" spans="1:15" ht="13.5" customHeight="1">
      <c r="A78" s="2126" t="s">
        <v>224</v>
      </c>
      <c r="B78" s="2014"/>
      <c r="C78" s="2715"/>
      <c r="D78" s="2012"/>
      <c r="F78" s="2126" t="s">
        <v>224</v>
      </c>
      <c r="G78" s="2014"/>
      <c r="H78" s="2715"/>
      <c r="I78" s="2012"/>
      <c r="K78" s="2126" t="s">
        <v>224</v>
      </c>
      <c r="L78" s="2014"/>
      <c r="M78" s="2715"/>
      <c r="N78" s="2012"/>
    </row>
    <row r="79" spans="1:15">
      <c r="A79" s="2016" t="s">
        <v>183</v>
      </c>
      <c r="B79" s="2017">
        <f>L12</f>
        <v>0.224</v>
      </c>
      <c r="C79" s="2742"/>
      <c r="D79" s="2018">
        <f>B79*D76</f>
        <v>53449.196106472729</v>
      </c>
      <c r="F79" s="2016" t="s">
        <v>183</v>
      </c>
      <c r="G79" s="2017">
        <f>L12</f>
        <v>0.224</v>
      </c>
      <c r="H79" s="2742"/>
      <c r="I79" s="2018">
        <f>I76*G79</f>
        <v>88437.744786439565</v>
      </c>
      <c r="K79" s="2016" t="s">
        <v>183</v>
      </c>
      <c r="L79" s="2017">
        <f>L12</f>
        <v>0.224</v>
      </c>
      <c r="M79" s="2742"/>
      <c r="N79" s="2018">
        <f>L79*N76</f>
        <v>65556.830319688088</v>
      </c>
    </row>
    <row r="80" spans="1:15">
      <c r="A80" s="952" t="s">
        <v>225</v>
      </c>
      <c r="B80" s="2745"/>
      <c r="C80" s="2746"/>
      <c r="D80" s="2011">
        <f>D76+D79</f>
        <v>292061.67872465454</v>
      </c>
      <c r="F80" s="952" t="s">
        <v>225</v>
      </c>
      <c r="G80" s="2745"/>
      <c r="H80" s="2746"/>
      <c r="I80" s="2011">
        <f>I76+I79</f>
        <v>483249.10544018762</v>
      </c>
      <c r="K80" s="952" t="s">
        <v>225</v>
      </c>
      <c r="L80" s="2745"/>
      <c r="M80" s="2746"/>
      <c r="N80" s="2011">
        <f>SUM(N76+N79)</f>
        <v>358221.2513897242</v>
      </c>
    </row>
    <row r="81" spans="1:18">
      <c r="A81" s="349" t="s">
        <v>73</v>
      </c>
      <c r="B81" s="295"/>
      <c r="C81" s="2775">
        <f>L14</f>
        <v>5963.9694954316819</v>
      </c>
      <c r="D81" s="2018">
        <f t="shared" ref="D81:D87" si="18">C81*$C$76</f>
        <v>25560.405487169333</v>
      </c>
      <c r="F81" s="349" t="s">
        <v>73</v>
      </c>
      <c r="G81" s="295"/>
      <c r="H81" s="2775">
        <f>L14</f>
        <v>5963.9694954316819</v>
      </c>
      <c r="I81" s="2018">
        <f t="shared" ref="I81:I87" si="19">H81*$H$76</f>
        <v>45424.137842444681</v>
      </c>
      <c r="K81" s="349" t="s">
        <v>73</v>
      </c>
      <c r="L81" s="295"/>
      <c r="M81" s="2775">
        <f>L14</f>
        <v>5963.9694954316819</v>
      </c>
      <c r="N81" s="2018">
        <f t="shared" ref="N81:N87" si="20">M81*$M$76</f>
        <v>33456.314630931476</v>
      </c>
    </row>
    <row r="82" spans="1:18">
      <c r="A82" s="349" t="s">
        <v>84</v>
      </c>
      <c r="B82" s="295"/>
      <c r="C82" s="2775">
        <f t="shared" ref="C82:C87" si="21">L15</f>
        <v>159.61973086509079</v>
      </c>
      <c r="D82" s="2018">
        <f t="shared" si="18"/>
        <v>684.09891227474259</v>
      </c>
      <c r="F82" s="349" t="s">
        <v>84</v>
      </c>
      <c r="G82" s="295"/>
      <c r="H82" s="2775">
        <f t="shared" ref="H82:H87" si="22">L15</f>
        <v>159.61973086509079</v>
      </c>
      <c r="I82" s="2018">
        <f t="shared" si="19"/>
        <v>1215.7320158568309</v>
      </c>
      <c r="K82" s="349" t="s">
        <v>84</v>
      </c>
      <c r="L82" s="295"/>
      <c r="M82" s="2775">
        <f t="shared" ref="M82:M87" si="23">L15</f>
        <v>159.61973086509079</v>
      </c>
      <c r="N82" s="2018">
        <f t="shared" si="20"/>
        <v>895.4250925021779</v>
      </c>
    </row>
    <row r="83" spans="1:18">
      <c r="A83" s="349" t="s">
        <v>88</v>
      </c>
      <c r="B83" s="295"/>
      <c r="C83" s="2775">
        <f t="shared" si="21"/>
        <v>1056.8783932396871</v>
      </c>
      <c r="D83" s="2018">
        <f t="shared" si="18"/>
        <v>4529.5738522014472</v>
      </c>
      <c r="F83" s="349" t="s">
        <v>88</v>
      </c>
      <c r="G83" s="295"/>
      <c r="H83" s="2775">
        <f t="shared" si="22"/>
        <v>1056.8783932396871</v>
      </c>
      <c r="I83" s="2018">
        <f t="shared" si="19"/>
        <v>8049.6370502891241</v>
      </c>
      <c r="K83" s="349" t="s">
        <v>88</v>
      </c>
      <c r="L83" s="295"/>
      <c r="M83" s="2775">
        <f t="shared" si="23"/>
        <v>1056.8783932396871</v>
      </c>
      <c r="N83" s="2018">
        <f t="shared" si="20"/>
        <v>5928.8123586052861</v>
      </c>
    </row>
    <row r="84" spans="1:18">
      <c r="A84" s="349" t="s">
        <v>92</v>
      </c>
      <c r="B84" s="295"/>
      <c r="C84" s="2775">
        <f t="shared" si="21"/>
        <v>659.46971027355744</v>
      </c>
      <c r="D84" s="2018">
        <f t="shared" si="18"/>
        <v>2826.3580512961898</v>
      </c>
      <c r="F84" s="349" t="s">
        <v>92</v>
      </c>
      <c r="G84" s="295"/>
      <c r="H84" s="2775">
        <f t="shared" si="22"/>
        <v>659.46971027355744</v>
      </c>
      <c r="I84" s="2018">
        <f t="shared" si="19"/>
        <v>5022.8028572796848</v>
      </c>
      <c r="K84" s="349" t="s">
        <v>92</v>
      </c>
      <c r="L84" s="295"/>
      <c r="M84" s="2775">
        <f t="shared" si="23"/>
        <v>659.46971027355744</v>
      </c>
      <c r="N84" s="2018">
        <f t="shared" si="20"/>
        <v>3699.4532137331753</v>
      </c>
    </row>
    <row r="85" spans="1:18">
      <c r="A85" s="349" t="s">
        <v>94</v>
      </c>
      <c r="B85" s="295"/>
      <c r="C85" s="2775">
        <f t="shared" si="21"/>
        <v>474.11060420697481</v>
      </c>
      <c r="D85" s="2018">
        <f t="shared" si="18"/>
        <v>2031.945216785515</v>
      </c>
      <c r="F85" s="349" t="s">
        <v>94</v>
      </c>
      <c r="G85" s="295"/>
      <c r="H85" s="2775">
        <f t="shared" si="22"/>
        <v>474.11060420697481</v>
      </c>
      <c r="I85" s="2018">
        <f t="shared" si="19"/>
        <v>3611.0287711160636</v>
      </c>
      <c r="K85" s="349" t="s">
        <v>94</v>
      </c>
      <c r="L85" s="295"/>
      <c r="M85" s="2775">
        <f t="shared" si="23"/>
        <v>474.11060420697481</v>
      </c>
      <c r="N85" s="2018">
        <f t="shared" si="20"/>
        <v>2659.6369341526042</v>
      </c>
    </row>
    <row r="86" spans="1:18">
      <c r="A86" s="349" t="s">
        <v>109</v>
      </c>
      <c r="B86" s="295"/>
      <c r="C86" s="2775">
        <f t="shared" si="21"/>
        <v>1733.9343036087084</v>
      </c>
      <c r="D86" s="2018">
        <f t="shared" si="18"/>
        <v>7431.3029136550285</v>
      </c>
      <c r="F86" s="349" t="s">
        <v>109</v>
      </c>
      <c r="G86" s="295"/>
      <c r="H86" s="2775">
        <f t="shared" si="22"/>
        <v>1733.9343036087084</v>
      </c>
      <c r="I86" s="2018">
        <f t="shared" si="19"/>
        <v>13206.383915477143</v>
      </c>
      <c r="K86" s="349" t="s">
        <v>109</v>
      </c>
      <c r="L86" s="295"/>
      <c r="M86" s="2775">
        <f t="shared" si="23"/>
        <v>1733.9343036087084</v>
      </c>
      <c r="N86" s="2018">
        <f t="shared" si="20"/>
        <v>9726.9195718277351</v>
      </c>
    </row>
    <row r="87" spans="1:18">
      <c r="A87" s="349" t="s">
        <v>125</v>
      </c>
      <c r="B87" s="295"/>
      <c r="C87" s="2775">
        <f t="shared" si="21"/>
        <v>1347.3502436316674</v>
      </c>
      <c r="D87" s="2018">
        <f t="shared" si="18"/>
        <v>5774.4793273744053</v>
      </c>
      <c r="F87" s="349" t="s">
        <v>125</v>
      </c>
      <c r="G87" s="295"/>
      <c r="H87" s="2775">
        <f t="shared" si="22"/>
        <v>1347.3502436316674</v>
      </c>
      <c r="I87" s="2018">
        <f t="shared" si="19"/>
        <v>10261.994672450342</v>
      </c>
      <c r="K87" s="349" t="s">
        <v>125</v>
      </c>
      <c r="L87" s="295"/>
      <c r="M87" s="2775">
        <f t="shared" si="23"/>
        <v>1347.3502436316674</v>
      </c>
      <c r="N87" s="2018">
        <f t="shared" si="20"/>
        <v>7558.2837409768581</v>
      </c>
    </row>
    <row r="88" spans="1:18">
      <c r="A88" s="349"/>
      <c r="B88" s="295"/>
      <c r="C88" s="501"/>
      <c r="D88" s="2012"/>
      <c r="F88" s="349"/>
      <c r="G88" s="295"/>
      <c r="H88" s="501"/>
      <c r="I88" s="2012"/>
      <c r="K88" s="349"/>
      <c r="L88" s="295"/>
      <c r="M88" s="501"/>
      <c r="N88" s="2012"/>
    </row>
    <row r="89" spans="1:18">
      <c r="A89" s="349" t="s">
        <v>619</v>
      </c>
      <c r="B89" s="2017"/>
      <c r="C89" s="501"/>
      <c r="D89" s="2018">
        <f>SUM(D81:D88)</f>
        <v>48838.163760756659</v>
      </c>
      <c r="F89" s="349" t="s">
        <v>619</v>
      </c>
      <c r="G89" s="2017"/>
      <c r="H89" s="501"/>
      <c r="I89" s="2018">
        <f>SUM(I81:I88)</f>
        <v>86791.717124913863</v>
      </c>
      <c r="K89" s="349" t="s">
        <v>619</v>
      </c>
      <c r="L89" s="2017"/>
      <c r="M89" s="501"/>
      <c r="N89" s="2018">
        <f>SUM(N81:N88)</f>
        <v>63924.845542729308</v>
      </c>
    </row>
    <row r="90" spans="1:18">
      <c r="A90" s="952" t="s">
        <v>346</v>
      </c>
      <c r="B90" s="2745"/>
      <c r="C90" s="2774"/>
      <c r="D90" s="2011">
        <f>D89+D80</f>
        <v>340899.84248541121</v>
      </c>
      <c r="F90" s="952" t="s">
        <v>346</v>
      </c>
      <c r="G90" s="2745"/>
      <c r="H90" s="2774"/>
      <c r="I90" s="2011">
        <f>I80+I89</f>
        <v>570040.82256510144</v>
      </c>
      <c r="K90" s="952" t="s">
        <v>346</v>
      </c>
      <c r="L90" s="2745"/>
      <c r="M90" s="2774"/>
      <c r="N90" s="2011">
        <f>N80+N89</f>
        <v>422146.09693245351</v>
      </c>
    </row>
    <row r="91" spans="1:18">
      <c r="A91" s="349" t="s">
        <v>347</v>
      </c>
      <c r="B91" s="2017">
        <f>L13</f>
        <v>0.12</v>
      </c>
      <c r="C91" s="501"/>
      <c r="D91" s="2018">
        <f>D90*B91</f>
        <v>40907.981098249344</v>
      </c>
      <c r="F91" s="349" t="s">
        <v>347</v>
      </c>
      <c r="G91" s="2017">
        <f>L13</f>
        <v>0.12</v>
      </c>
      <c r="H91" s="501"/>
      <c r="I91" s="2018">
        <f>G91*I90</f>
        <v>68404.898707812172</v>
      </c>
      <c r="K91" s="349" t="s">
        <v>347</v>
      </c>
      <c r="L91" s="2017">
        <f>L13</f>
        <v>0.12</v>
      </c>
      <c r="M91" s="501"/>
      <c r="N91" s="2018">
        <f>L91*N90</f>
        <v>50657.531631894417</v>
      </c>
    </row>
    <row r="92" spans="1:18">
      <c r="A92" s="2759" t="str">
        <f>A61</f>
        <v>PFLMA Trust Contribution</v>
      </c>
      <c r="B92" s="2760">
        <f>B61</f>
        <v>3.7000000000000002E-3</v>
      </c>
      <c r="C92" s="2776"/>
      <c r="D92" s="2020">
        <f>D76*B92</f>
        <v>882.86618568727283</v>
      </c>
      <c r="F92" s="2759" t="str">
        <f>F61</f>
        <v>PFLMA Trust Contribution</v>
      </c>
      <c r="G92" s="2760">
        <f>G61</f>
        <v>3.7000000000000002E-3</v>
      </c>
      <c r="H92" s="2776"/>
      <c r="I92" s="2020">
        <f>I76*G92</f>
        <v>1460.8020344188678</v>
      </c>
      <c r="K92" s="2787" t="str">
        <f>K61</f>
        <v>PFLMA Trust Contribution</v>
      </c>
      <c r="L92" s="2760">
        <f>L61</f>
        <v>3.7000000000000002E-3</v>
      </c>
      <c r="M92" s="2776"/>
      <c r="N92" s="2020">
        <f>N76*L92</f>
        <v>1082.8583579591336</v>
      </c>
    </row>
    <row r="93" spans="1:18" ht="15" thickBot="1">
      <c r="A93" s="2762" t="s">
        <v>188</v>
      </c>
      <c r="B93" s="2763"/>
      <c r="C93" s="2777"/>
      <c r="D93" s="2021">
        <f>D90+D91+D92</f>
        <v>382690.68976934778</v>
      </c>
      <c r="F93" s="2762" t="s">
        <v>188</v>
      </c>
      <c r="G93" s="2763"/>
      <c r="H93" s="2777"/>
      <c r="I93" s="2021">
        <f>I90+I91+I92</f>
        <v>639906.52330733254</v>
      </c>
      <c r="K93" s="2762" t="s">
        <v>188</v>
      </c>
      <c r="L93" s="2763"/>
      <c r="M93" s="2777"/>
      <c r="N93" s="2021">
        <f>N90+N91+N92</f>
        <v>473886.48692230706</v>
      </c>
      <c r="R93" s="295"/>
    </row>
    <row r="94" spans="1:18" ht="15" thickTop="1">
      <c r="A94" s="336" t="s">
        <v>485</v>
      </c>
      <c r="B94" s="350"/>
      <c r="C94" s="302"/>
      <c r="D94" s="2744">
        <v>10</v>
      </c>
      <c r="F94" s="336" t="s">
        <v>485</v>
      </c>
      <c r="G94" s="350"/>
      <c r="H94" s="302"/>
      <c r="I94" s="2744">
        <v>10</v>
      </c>
      <c r="K94" s="336" t="s">
        <v>485</v>
      </c>
      <c r="L94" s="350"/>
      <c r="M94" s="302"/>
      <c r="N94" s="2744">
        <v>10</v>
      </c>
      <c r="R94" s="2014"/>
    </row>
    <row r="95" spans="1:18">
      <c r="A95" s="336" t="s">
        <v>486</v>
      </c>
      <c r="B95" s="2014"/>
      <c r="C95" s="2778"/>
      <c r="D95" s="2022">
        <f>(D93/D94)/365</f>
        <v>104.84676432036926</v>
      </c>
      <c r="F95" s="336" t="s">
        <v>486</v>
      </c>
      <c r="G95" s="2014"/>
      <c r="H95" s="2778"/>
      <c r="I95" s="2022">
        <f>I93/I94/365</f>
        <v>175.31685570063905</v>
      </c>
      <c r="K95" s="336" t="s">
        <v>486</v>
      </c>
      <c r="L95" s="2014"/>
      <c r="M95" s="2778"/>
      <c r="N95" s="2022">
        <f>N93/N94/365</f>
        <v>129.83191422528961</v>
      </c>
      <c r="P95" s="2788"/>
      <c r="Q95" s="295"/>
      <c r="R95" s="2014"/>
    </row>
    <row r="96" spans="1:18" ht="15" thickBot="1">
      <c r="A96" s="2766" t="str">
        <f>A65</f>
        <v>CAF (Jan 2022)</v>
      </c>
      <c r="B96" s="2029">
        <f>B65</f>
        <v>1.0633805350099574E-2</v>
      </c>
      <c r="C96" s="2781"/>
      <c r="D96" s="2023">
        <f>D95*(1+B96)</f>
        <v>105.96168440373984</v>
      </c>
      <c r="F96" s="2766" t="str">
        <f>F65</f>
        <v>CAF (Jan 2022)</v>
      </c>
      <c r="G96" s="2029">
        <f>G65</f>
        <v>1.0633805350099574E-2</v>
      </c>
      <c r="H96" s="2781"/>
      <c r="I96" s="2023">
        <f>I95*(1+G96)</f>
        <v>177.18114101875116</v>
      </c>
      <c r="K96" s="2766" t="str">
        <f>K65</f>
        <v>CAF (Jan 2022)</v>
      </c>
      <c r="L96" s="2029">
        <f>L65</f>
        <v>1.0633805350099574E-2</v>
      </c>
      <c r="M96" s="2781"/>
      <c r="N96" s="2023">
        <f>N95*(1+L96)</f>
        <v>131.21252152939218</v>
      </c>
      <c r="P96" s="2030"/>
      <c r="Q96" s="2014"/>
      <c r="R96" s="2789"/>
    </row>
    <row r="97" spans="3:20">
      <c r="E97" s="491"/>
      <c r="J97" s="491"/>
      <c r="O97" s="491"/>
      <c r="P97" s="2790"/>
      <c r="Q97" s="2014"/>
      <c r="R97" s="2789"/>
    </row>
    <row r="98" spans="3:20">
      <c r="P98" s="351"/>
      <c r="Q98" s="2031"/>
      <c r="R98" s="2789"/>
    </row>
    <row r="99" spans="3:20">
      <c r="P99" s="351"/>
      <c r="Q99" s="2031"/>
      <c r="R99" s="2789"/>
    </row>
    <row r="100" spans="3:20">
      <c r="P100" s="351"/>
      <c r="Q100" s="2031"/>
      <c r="R100" s="2014"/>
    </row>
    <row r="101" spans="3:20">
      <c r="P101" s="351"/>
      <c r="Q101" s="2791"/>
      <c r="R101" s="2014"/>
    </row>
    <row r="102" spans="3:20">
      <c r="D102" s="498"/>
      <c r="P102" s="2019"/>
      <c r="Q102" s="2014"/>
      <c r="R102" s="2014"/>
    </row>
    <row r="103" spans="3:20">
      <c r="Q103" s="2024"/>
      <c r="R103" s="2014"/>
      <c r="S103" s="2792"/>
    </row>
    <row r="104" spans="3:20">
      <c r="Q104" s="2024"/>
      <c r="R104" s="2014"/>
      <c r="S104" s="295"/>
    </row>
    <row r="105" spans="3:20">
      <c r="Q105" s="350"/>
      <c r="R105" s="350"/>
      <c r="S105" s="295"/>
    </row>
    <row r="106" spans="3:20">
      <c r="F106" s="350"/>
      <c r="G106" s="2793"/>
      <c r="H106" s="2788"/>
      <c r="I106" s="295"/>
      <c r="N106" s="350"/>
      <c r="O106" s="2794"/>
      <c r="P106" s="2793"/>
      <c r="Q106" s="2788"/>
      <c r="R106" s="295"/>
      <c r="S106" s="295"/>
      <c r="T106" s="501"/>
    </row>
    <row r="107" spans="3:20">
      <c r="F107" s="2024"/>
      <c r="G107" s="2024"/>
      <c r="H107" s="2030"/>
      <c r="I107" s="2014"/>
      <c r="J107" s="2033"/>
      <c r="N107" s="2024"/>
      <c r="O107" s="2024"/>
      <c r="P107" s="2024"/>
      <c r="Q107" s="2795"/>
      <c r="R107" s="295"/>
      <c r="S107" s="295"/>
      <c r="T107" s="501"/>
    </row>
    <row r="108" spans="3:20">
      <c r="C108" s="2796"/>
      <c r="D108" s="2032"/>
      <c r="F108" s="2024"/>
      <c r="G108" s="2024"/>
      <c r="H108" s="2790"/>
      <c r="I108" s="2014"/>
      <c r="J108" s="2033"/>
      <c r="N108" s="2024"/>
      <c r="O108" s="2024"/>
      <c r="P108" s="2024"/>
      <c r="Q108" s="2788"/>
      <c r="R108" s="295"/>
      <c r="S108" s="295"/>
      <c r="T108" s="501"/>
    </row>
    <row r="109" spans="3:20">
      <c r="F109" s="295"/>
      <c r="G109" s="295"/>
      <c r="H109" s="351"/>
      <c r="I109" s="2031"/>
      <c r="J109" s="2014"/>
      <c r="N109" s="295"/>
      <c r="O109" s="295"/>
      <c r="P109" s="295"/>
      <c r="Q109" s="2788"/>
      <c r="R109" s="295"/>
      <c r="S109" s="2014"/>
      <c r="T109" s="501"/>
    </row>
    <row r="110" spans="3:20">
      <c r="F110" s="295"/>
      <c r="G110" s="295"/>
      <c r="H110" s="351"/>
      <c r="I110" s="2031"/>
      <c r="J110" s="295"/>
      <c r="N110" s="295"/>
      <c r="O110" s="295"/>
      <c r="P110" s="295"/>
      <c r="Q110" s="2788"/>
      <c r="R110" s="295"/>
      <c r="S110" s="2014"/>
      <c r="T110" s="2026"/>
    </row>
    <row r="111" spans="3:20">
      <c r="F111" s="306"/>
      <c r="G111" s="306"/>
      <c r="H111" s="351"/>
      <c r="I111" s="2031"/>
      <c r="J111" s="295"/>
      <c r="N111" s="306"/>
      <c r="O111" s="306"/>
      <c r="P111" s="306"/>
      <c r="Q111" s="2030"/>
      <c r="R111" s="2014"/>
      <c r="S111" s="350"/>
      <c r="T111" s="2026"/>
    </row>
    <row r="112" spans="3:20">
      <c r="F112" s="306"/>
      <c r="G112" s="306"/>
      <c r="H112" s="351"/>
      <c r="I112" s="2791"/>
      <c r="J112" s="295"/>
      <c r="N112" s="306"/>
      <c r="O112" s="306"/>
      <c r="P112" s="306"/>
      <c r="Q112" s="2790"/>
      <c r="R112" s="2014"/>
      <c r="S112" s="2014"/>
      <c r="T112" s="350"/>
    </row>
    <row r="113" spans="6:20">
      <c r="F113" s="2024"/>
      <c r="G113" s="2024"/>
      <c r="H113" s="2019"/>
      <c r="I113" s="2014"/>
      <c r="J113" s="295"/>
      <c r="N113" s="2024"/>
      <c r="O113" s="2024"/>
      <c r="P113" s="2024"/>
      <c r="Q113" s="350"/>
      <c r="R113" s="350"/>
      <c r="S113" s="2014"/>
      <c r="T113" s="2026"/>
    </row>
    <row r="114" spans="6:20" ht="15.6">
      <c r="F114" s="2034"/>
      <c r="G114" s="2034"/>
      <c r="H114" s="2024"/>
      <c r="I114" s="2014"/>
      <c r="J114" s="2014"/>
      <c r="N114" s="2034"/>
      <c r="O114" s="2034"/>
      <c r="P114" s="2034"/>
      <c r="Q114" s="2024"/>
      <c r="R114" s="2014"/>
      <c r="T114" s="2026"/>
    </row>
    <row r="115" spans="6:20">
      <c r="F115" s="2024"/>
      <c r="G115" s="2024"/>
      <c r="H115" s="2024"/>
      <c r="I115" s="2014"/>
      <c r="J115" s="2014"/>
      <c r="N115" s="2024"/>
      <c r="O115" s="2024"/>
      <c r="P115" s="2024"/>
      <c r="Q115" s="2797"/>
      <c r="R115" s="2014"/>
    </row>
    <row r="116" spans="6:20">
      <c r="F116" s="2035"/>
      <c r="G116" s="2792"/>
      <c r="H116" s="350"/>
      <c r="I116" s="350"/>
      <c r="J116" s="2014"/>
      <c r="N116" s="2035"/>
      <c r="O116" s="2798"/>
      <c r="P116" s="2792"/>
    </row>
    <row r="117" spans="6:20">
      <c r="F117" s="350"/>
      <c r="G117" s="350"/>
      <c r="H117" s="2788"/>
      <c r="I117" s="295"/>
      <c r="J117" s="2033"/>
      <c r="N117" s="350"/>
      <c r="O117" s="350"/>
      <c r="P117" s="350"/>
    </row>
    <row r="118" spans="6:20">
      <c r="F118" s="350"/>
      <c r="G118" s="350"/>
      <c r="H118" s="2795"/>
      <c r="I118" s="295"/>
      <c r="J118" s="2014"/>
      <c r="N118" s="350"/>
      <c r="O118" s="350"/>
      <c r="P118" s="350"/>
    </row>
    <row r="119" spans="6:20">
      <c r="F119" s="350"/>
      <c r="G119" s="350"/>
      <c r="H119" s="2788"/>
      <c r="I119" s="295"/>
      <c r="J119" s="2014"/>
      <c r="N119" s="350"/>
      <c r="O119" s="2799"/>
      <c r="P119" s="350"/>
    </row>
    <row r="120" spans="6:20">
      <c r="F120" s="350"/>
      <c r="G120" s="350"/>
      <c r="H120" s="2788"/>
      <c r="I120" s="295"/>
      <c r="J120" s="2033"/>
      <c r="N120" s="350"/>
      <c r="O120" s="2799"/>
      <c r="P120" s="350"/>
      <c r="S120" s="2036"/>
    </row>
    <row r="121" spans="6:20" ht="25.5" customHeight="1">
      <c r="F121" s="350"/>
      <c r="G121" s="2793"/>
      <c r="H121" s="2788"/>
      <c r="I121" s="295"/>
      <c r="J121" s="2014"/>
      <c r="N121" s="350"/>
      <c r="O121" s="2794"/>
      <c r="P121" s="2793"/>
    </row>
    <row r="122" spans="6:20">
      <c r="F122" s="2024"/>
      <c r="G122" s="2024"/>
      <c r="H122" s="2030"/>
      <c r="I122" s="2014"/>
      <c r="J122" s="2033"/>
      <c r="N122" s="2024"/>
      <c r="O122" s="2024"/>
      <c r="P122" s="2024"/>
    </row>
    <row r="123" spans="6:20">
      <c r="F123" s="2024"/>
      <c r="G123" s="2024"/>
      <c r="H123" s="2790"/>
      <c r="I123" s="2014"/>
      <c r="J123" s="2033"/>
      <c r="N123" s="2024"/>
      <c r="O123" s="2024"/>
      <c r="P123" s="2024"/>
      <c r="S123" s="2024"/>
    </row>
    <row r="124" spans="6:20">
      <c r="F124" s="302"/>
      <c r="G124" s="302"/>
      <c r="H124" s="350"/>
      <c r="I124" s="350"/>
      <c r="J124" s="2014"/>
      <c r="N124" s="302"/>
      <c r="O124" s="302"/>
      <c r="P124" s="302"/>
      <c r="S124" s="2789"/>
      <c r="T124" s="2772"/>
    </row>
    <row r="125" spans="6:20">
      <c r="F125" s="302"/>
      <c r="G125" s="302"/>
      <c r="H125" s="2024"/>
      <c r="I125" s="2014"/>
      <c r="J125" s="2800"/>
      <c r="N125" s="302"/>
      <c r="O125" s="302"/>
      <c r="P125" s="302"/>
      <c r="Q125" s="2801"/>
      <c r="R125" s="2014"/>
      <c r="S125" s="2789"/>
      <c r="T125" s="2037"/>
    </row>
    <row r="126" spans="6:20">
      <c r="F126" s="2024"/>
      <c r="G126" s="2024"/>
      <c r="H126" s="2797"/>
      <c r="I126" s="2014"/>
      <c r="J126" s="2033"/>
      <c r="N126" s="2024"/>
      <c r="O126" s="2024"/>
      <c r="P126" s="2024"/>
      <c r="Q126" s="351"/>
      <c r="R126" s="2031"/>
      <c r="S126" s="2789"/>
      <c r="T126" s="2037"/>
    </row>
    <row r="127" spans="6:20">
      <c r="J127" s="2038"/>
      <c r="Q127" s="351"/>
      <c r="R127" s="2031"/>
      <c r="S127" s="2802"/>
      <c r="T127" s="2037"/>
    </row>
    <row r="128" spans="6:20">
      <c r="N128" s="2039"/>
      <c r="Q128" s="351"/>
      <c r="R128" s="2031"/>
      <c r="S128" s="2789"/>
      <c r="T128" s="2037"/>
    </row>
    <row r="129" spans="3:20">
      <c r="Q129" s="351"/>
      <c r="R129" s="2031"/>
      <c r="S129" s="2014"/>
      <c r="T129" s="2037"/>
    </row>
    <row r="130" spans="3:20">
      <c r="Q130" s="351"/>
      <c r="R130" s="2791"/>
      <c r="S130" s="2014"/>
      <c r="T130" s="2026"/>
    </row>
    <row r="131" spans="3:20">
      <c r="Q131" s="2019"/>
      <c r="R131" s="2014"/>
      <c r="S131" s="2014"/>
      <c r="T131" s="2026"/>
    </row>
    <row r="132" spans="3:20">
      <c r="Q132" s="2024"/>
      <c r="R132" s="2014"/>
      <c r="S132" s="2792"/>
      <c r="T132" s="2772"/>
    </row>
    <row r="133" spans="3:20">
      <c r="Q133" s="2024"/>
      <c r="R133" s="2014"/>
      <c r="S133" s="295"/>
      <c r="T133" s="2773"/>
    </row>
    <row r="134" spans="3:20">
      <c r="Q134" s="350"/>
      <c r="R134" s="350"/>
      <c r="S134" s="295"/>
      <c r="T134" s="501"/>
    </row>
    <row r="135" spans="3:20">
      <c r="Q135" s="2788"/>
      <c r="R135" s="295"/>
      <c r="S135" s="295"/>
      <c r="T135" s="501"/>
    </row>
    <row r="136" spans="3:20">
      <c r="C136" s="2796"/>
      <c r="D136" s="2032"/>
      <c r="G136" s="2024"/>
      <c r="H136" s="2801"/>
      <c r="I136" s="2014"/>
      <c r="O136" s="2024"/>
      <c r="P136" s="2024"/>
      <c r="Q136" s="2795"/>
      <c r="R136" s="295"/>
      <c r="S136" s="295"/>
      <c r="T136" s="501"/>
    </row>
    <row r="137" spans="3:20">
      <c r="G137" s="295"/>
      <c r="H137" s="351"/>
      <c r="I137" s="2031"/>
      <c r="J137" s="2014"/>
      <c r="O137" s="295"/>
      <c r="P137" s="295"/>
      <c r="Q137" s="2788"/>
      <c r="R137" s="295"/>
      <c r="S137" s="295"/>
      <c r="T137" s="501"/>
    </row>
    <row r="138" spans="3:20">
      <c r="F138" s="295"/>
      <c r="G138" s="295"/>
      <c r="H138" s="351"/>
      <c r="I138" s="2031"/>
      <c r="J138" s="295"/>
      <c r="N138" s="295"/>
      <c r="O138" s="295"/>
      <c r="P138" s="295"/>
      <c r="Q138" s="2788"/>
      <c r="R138" s="295"/>
      <c r="S138" s="2014"/>
      <c r="T138" s="501"/>
    </row>
    <row r="139" spans="3:20">
      <c r="F139" s="306"/>
      <c r="G139" s="306"/>
      <c r="H139" s="351"/>
      <c r="I139" s="2031"/>
      <c r="J139" s="295"/>
      <c r="N139" s="295"/>
      <c r="O139" s="295"/>
      <c r="P139" s="295"/>
      <c r="Q139" s="2788"/>
      <c r="R139" s="295"/>
      <c r="S139" s="2014"/>
      <c r="T139" s="2026"/>
    </row>
    <row r="140" spans="3:20">
      <c r="F140" s="306"/>
      <c r="G140" s="306"/>
      <c r="H140" s="351"/>
      <c r="I140" s="2791"/>
      <c r="J140" s="295"/>
      <c r="N140" s="306"/>
      <c r="O140" s="306"/>
      <c r="P140" s="306"/>
      <c r="Q140" s="2030"/>
      <c r="R140" s="2014"/>
      <c r="S140" s="350"/>
      <c r="T140" s="2026"/>
    </row>
    <row r="141" spans="3:20">
      <c r="F141" s="2024"/>
      <c r="G141" s="2024"/>
      <c r="H141" s="2019"/>
      <c r="I141" s="2014"/>
      <c r="J141" s="295"/>
      <c r="N141" s="306"/>
      <c r="O141" s="306"/>
      <c r="P141" s="306"/>
      <c r="Q141" s="2790"/>
      <c r="R141" s="2014"/>
      <c r="S141" s="2014"/>
      <c r="T141" s="350"/>
    </row>
    <row r="142" spans="3:20" ht="15.6">
      <c r="F142" s="2034"/>
      <c r="G142" s="2034"/>
      <c r="H142" s="2024"/>
      <c r="I142" s="2014"/>
      <c r="J142" s="2014"/>
      <c r="N142" s="2024"/>
      <c r="O142" s="2024"/>
      <c r="P142" s="2024"/>
      <c r="Q142" s="350"/>
      <c r="R142" s="350"/>
      <c r="S142" s="2014"/>
      <c r="T142" s="2026"/>
    </row>
    <row r="143" spans="3:20" ht="15.6">
      <c r="F143" s="2024"/>
      <c r="G143" s="2024"/>
      <c r="H143" s="2024"/>
      <c r="I143" s="2014"/>
      <c r="J143" s="2014"/>
      <c r="N143" s="2034"/>
      <c r="O143" s="2034"/>
      <c r="P143" s="2034"/>
      <c r="Q143" s="2024"/>
      <c r="R143" s="2014"/>
      <c r="T143" s="2026"/>
    </row>
    <row r="144" spans="3:20">
      <c r="F144" s="2035"/>
      <c r="G144" s="2792"/>
      <c r="H144" s="350"/>
      <c r="I144" s="350"/>
      <c r="J144" s="2014"/>
      <c r="N144" s="2024"/>
      <c r="O144" s="2024"/>
      <c r="P144" s="2024"/>
      <c r="Q144" s="2797"/>
      <c r="R144" s="2014"/>
    </row>
    <row r="145" spans="6:20">
      <c r="F145" s="350"/>
      <c r="G145" s="350"/>
      <c r="H145" s="2788"/>
      <c r="I145" s="295"/>
      <c r="J145" s="2033"/>
      <c r="N145" s="2035"/>
      <c r="O145" s="2798"/>
      <c r="P145" s="2792"/>
    </row>
    <row r="146" spans="6:20">
      <c r="F146" s="350"/>
      <c r="G146" s="350"/>
      <c r="H146" s="2795"/>
      <c r="I146" s="295"/>
      <c r="J146" s="2014"/>
      <c r="N146" s="350"/>
      <c r="O146" s="350"/>
      <c r="P146" s="350"/>
      <c r="S146" s="2014"/>
    </row>
    <row r="147" spans="6:20">
      <c r="F147" s="350"/>
      <c r="G147" s="350"/>
      <c r="H147" s="2788"/>
      <c r="I147" s="295"/>
      <c r="J147" s="2014"/>
      <c r="N147" s="350"/>
      <c r="O147" s="350"/>
      <c r="P147" s="350"/>
      <c r="S147" s="2792"/>
      <c r="T147" s="2772"/>
    </row>
    <row r="148" spans="6:20">
      <c r="F148" s="350"/>
      <c r="G148" s="350"/>
      <c r="H148" s="2788"/>
      <c r="I148" s="295"/>
      <c r="J148" s="2033"/>
      <c r="N148" s="350"/>
      <c r="O148" s="2799"/>
      <c r="P148" s="350"/>
      <c r="Q148" s="2024"/>
      <c r="R148" s="2014"/>
      <c r="S148" s="295"/>
      <c r="T148" s="2773"/>
    </row>
    <row r="149" spans="6:20">
      <c r="F149" s="350"/>
      <c r="G149" s="2793"/>
      <c r="H149" s="2788"/>
      <c r="I149" s="295"/>
      <c r="J149" s="2014"/>
      <c r="N149" s="350"/>
      <c r="O149" s="2799"/>
      <c r="P149" s="350"/>
      <c r="Q149" s="350"/>
      <c r="R149" s="350"/>
      <c r="S149" s="2789"/>
      <c r="T149" s="501"/>
    </row>
    <row r="150" spans="6:20">
      <c r="F150" s="2024"/>
      <c r="G150" s="2024"/>
      <c r="H150" s="2030"/>
      <c r="I150" s="2014"/>
      <c r="J150" s="2033"/>
      <c r="N150" s="350"/>
      <c r="O150" s="2794"/>
      <c r="P150" s="2793"/>
      <c r="Q150" s="2788"/>
      <c r="R150" s="295"/>
      <c r="S150" s="2014"/>
      <c r="T150" s="2037"/>
    </row>
    <row r="151" spans="6:20">
      <c r="F151" s="2024"/>
      <c r="G151" s="2024"/>
      <c r="H151" s="2790"/>
      <c r="I151" s="2014"/>
      <c r="J151" s="2033"/>
      <c r="N151" s="2024"/>
      <c r="O151" s="2024"/>
      <c r="P151" s="2024"/>
      <c r="Q151" s="351"/>
      <c r="R151" s="2031"/>
      <c r="S151" s="2792"/>
      <c r="T151" s="2037"/>
    </row>
    <row r="152" spans="6:20">
      <c r="F152" s="302"/>
      <c r="G152" s="302"/>
      <c r="H152" s="350"/>
      <c r="I152" s="350"/>
      <c r="J152" s="2014"/>
      <c r="N152" s="2024"/>
      <c r="O152" s="2024"/>
      <c r="P152" s="2024"/>
      <c r="Q152" s="351"/>
      <c r="R152" s="2031"/>
      <c r="S152" s="295"/>
      <c r="T152" s="2037"/>
    </row>
    <row r="153" spans="6:20">
      <c r="F153" s="302"/>
      <c r="G153" s="302"/>
      <c r="H153" s="2024"/>
      <c r="I153" s="2014"/>
      <c r="J153" s="2800"/>
      <c r="N153" s="302"/>
      <c r="O153" s="302"/>
      <c r="P153" s="302"/>
      <c r="Q153" s="351"/>
      <c r="R153" s="2031"/>
      <c r="S153" s="2014"/>
      <c r="T153" s="2037"/>
    </row>
    <row r="154" spans="6:20">
      <c r="F154" s="2024"/>
      <c r="G154" s="2024"/>
      <c r="H154" s="2797"/>
      <c r="I154" s="2014"/>
      <c r="J154" s="2033"/>
      <c r="N154" s="302"/>
      <c r="O154" s="302"/>
      <c r="P154" s="302"/>
      <c r="Q154" s="351"/>
      <c r="R154" s="2791"/>
      <c r="S154" s="2014"/>
      <c r="T154" s="2026"/>
    </row>
    <row r="155" spans="6:20">
      <c r="J155" s="2038"/>
      <c r="N155" s="2024"/>
      <c r="O155" s="2024"/>
      <c r="P155" s="2024"/>
      <c r="Q155" s="2019"/>
      <c r="R155" s="2014"/>
      <c r="S155" s="2014"/>
      <c r="T155" s="2026"/>
    </row>
    <row r="156" spans="6:20">
      <c r="Q156" s="2024"/>
      <c r="R156" s="2014"/>
      <c r="S156" s="2792"/>
      <c r="T156" s="2772"/>
    </row>
    <row r="157" spans="6:20">
      <c r="Q157" s="2024"/>
      <c r="R157" s="2014"/>
      <c r="S157" s="295"/>
      <c r="T157" s="2773"/>
    </row>
    <row r="158" spans="6:20">
      <c r="Q158" s="350"/>
      <c r="R158" s="350"/>
      <c r="S158" s="295"/>
      <c r="T158" s="501"/>
    </row>
    <row r="159" spans="6:20">
      <c r="N159" s="2024"/>
      <c r="O159" s="2024"/>
      <c r="P159" s="2024"/>
      <c r="Q159" s="2788"/>
      <c r="R159" s="295"/>
      <c r="S159" s="295"/>
      <c r="T159" s="501"/>
    </row>
    <row r="160" spans="6:20">
      <c r="F160" s="2024"/>
      <c r="G160" s="2024"/>
      <c r="H160" s="2801"/>
      <c r="I160" s="2014"/>
      <c r="N160" s="2035"/>
      <c r="O160" s="2798"/>
      <c r="P160" s="2792"/>
      <c r="Q160" s="2795"/>
      <c r="R160" s="295"/>
      <c r="S160" s="295"/>
      <c r="T160" s="501"/>
    </row>
    <row r="161" spans="3:20">
      <c r="C161" s="2796"/>
      <c r="D161" s="2032"/>
      <c r="F161" s="2024"/>
      <c r="G161" s="2024"/>
      <c r="H161" s="2801"/>
      <c r="I161" s="2014"/>
      <c r="J161" s="2014"/>
      <c r="N161" s="350"/>
      <c r="O161" s="350"/>
      <c r="P161" s="350"/>
      <c r="Q161" s="2788"/>
      <c r="R161" s="295"/>
      <c r="S161" s="295"/>
      <c r="T161" s="501"/>
    </row>
    <row r="162" spans="3:20">
      <c r="F162" s="295"/>
      <c r="G162" s="295"/>
      <c r="H162" s="351"/>
      <c r="I162" s="2031"/>
      <c r="J162" s="2014"/>
      <c r="N162" s="295"/>
      <c r="O162" s="295"/>
      <c r="P162" s="295"/>
      <c r="Q162" s="2788"/>
      <c r="R162" s="295"/>
      <c r="S162" s="2014"/>
      <c r="T162" s="501"/>
    </row>
    <row r="163" spans="3:20">
      <c r="F163" s="295"/>
      <c r="G163" s="295"/>
      <c r="H163" s="351"/>
      <c r="I163" s="2031"/>
      <c r="J163" s="295"/>
      <c r="N163" s="295"/>
      <c r="O163" s="295"/>
      <c r="P163" s="295"/>
      <c r="Q163" s="2788"/>
      <c r="R163" s="295"/>
      <c r="S163" s="2014"/>
      <c r="T163" s="2026"/>
    </row>
    <row r="164" spans="3:20">
      <c r="F164" s="306"/>
      <c r="G164" s="306"/>
      <c r="H164" s="351"/>
      <c r="I164" s="2031"/>
      <c r="J164" s="295"/>
      <c r="N164" s="306"/>
      <c r="O164" s="306"/>
      <c r="P164" s="306"/>
      <c r="Q164" s="2030"/>
      <c r="R164" s="2014"/>
      <c r="S164" s="350"/>
      <c r="T164" s="2026"/>
    </row>
    <row r="165" spans="3:20">
      <c r="F165" s="306"/>
      <c r="G165" s="306"/>
      <c r="H165" s="351"/>
      <c r="I165" s="2791"/>
      <c r="J165" s="295"/>
      <c r="N165" s="306"/>
      <c r="O165" s="306"/>
      <c r="P165" s="306"/>
      <c r="Q165" s="2790"/>
      <c r="R165" s="2014"/>
      <c r="S165" s="2014"/>
      <c r="T165" s="350"/>
    </row>
    <row r="166" spans="3:20">
      <c r="F166" s="2024"/>
      <c r="G166" s="2024"/>
      <c r="H166" s="2019"/>
      <c r="I166" s="2014"/>
      <c r="J166" s="295"/>
      <c r="N166" s="2024"/>
      <c r="O166" s="2024"/>
      <c r="P166" s="2024"/>
      <c r="Q166" s="350"/>
      <c r="R166" s="350"/>
      <c r="S166" s="2014"/>
      <c r="T166" s="2026"/>
    </row>
    <row r="167" spans="3:20" ht="15.6">
      <c r="F167" s="2034"/>
      <c r="G167" s="2034"/>
      <c r="H167" s="2024"/>
      <c r="I167" s="2014"/>
      <c r="J167" s="2014"/>
      <c r="N167" s="2034"/>
      <c r="O167" s="2034"/>
      <c r="P167" s="2034"/>
      <c r="Q167" s="2024"/>
      <c r="R167" s="2014"/>
      <c r="S167" s="350"/>
      <c r="T167" s="2026"/>
    </row>
    <row r="168" spans="3:20">
      <c r="F168" s="2024"/>
      <c r="G168" s="2024"/>
      <c r="H168" s="2024"/>
      <c r="I168" s="2014"/>
      <c r="J168" s="2014"/>
      <c r="N168" s="2024"/>
      <c r="O168" s="2024"/>
      <c r="P168" s="2024"/>
      <c r="Q168" s="2797"/>
      <c r="R168" s="2014"/>
      <c r="T168" s="350"/>
    </row>
    <row r="169" spans="3:20">
      <c r="F169" s="2035"/>
      <c r="G169" s="2792"/>
      <c r="H169" s="350"/>
      <c r="I169" s="350"/>
      <c r="J169" s="2014"/>
      <c r="N169" s="2035"/>
      <c r="O169" s="2798"/>
      <c r="P169" s="2792"/>
      <c r="Q169" s="350"/>
      <c r="R169" s="350"/>
    </row>
    <row r="170" spans="3:20">
      <c r="F170" s="350"/>
      <c r="G170" s="350"/>
      <c r="H170" s="2788"/>
      <c r="I170" s="295"/>
      <c r="J170" s="2033"/>
      <c r="N170" s="350"/>
      <c r="O170" s="350"/>
      <c r="P170" s="350"/>
    </row>
    <row r="171" spans="3:20">
      <c r="F171" s="350"/>
      <c r="G171" s="350"/>
      <c r="H171" s="2795"/>
      <c r="I171" s="295"/>
      <c r="J171" s="2014"/>
      <c r="N171" s="350"/>
      <c r="O171" s="350"/>
      <c r="P171" s="350"/>
      <c r="S171" s="295"/>
    </row>
    <row r="172" spans="3:20">
      <c r="F172" s="350"/>
      <c r="G172" s="350"/>
      <c r="H172" s="2788"/>
      <c r="I172" s="295"/>
      <c r="J172" s="2014"/>
      <c r="N172" s="350"/>
      <c r="O172" s="2799"/>
      <c r="P172" s="350"/>
      <c r="S172" s="295"/>
      <c r="T172" s="501"/>
    </row>
    <row r="173" spans="3:20">
      <c r="F173" s="350"/>
      <c r="G173" s="350"/>
      <c r="H173" s="2788"/>
      <c r="I173" s="295"/>
      <c r="J173" s="2033"/>
      <c r="N173" s="350"/>
      <c r="O173" s="2799"/>
      <c r="P173" s="350"/>
      <c r="Q173" s="2795"/>
      <c r="R173" s="295"/>
      <c r="S173" s="295"/>
      <c r="T173" s="501"/>
    </row>
    <row r="174" spans="3:20">
      <c r="F174" s="350"/>
      <c r="G174" s="2793"/>
      <c r="H174" s="2788"/>
      <c r="I174" s="295"/>
      <c r="J174" s="2014"/>
      <c r="N174" s="350"/>
      <c r="O174" s="2794"/>
      <c r="P174" s="2793"/>
      <c r="Q174" s="2788"/>
      <c r="R174" s="295"/>
      <c r="S174" s="2789"/>
      <c r="T174" s="501"/>
    </row>
    <row r="175" spans="3:20">
      <c r="F175" s="2024"/>
      <c r="G175" s="2024"/>
      <c r="H175" s="2030"/>
      <c r="I175" s="2014"/>
      <c r="J175" s="2033"/>
      <c r="N175" s="2024"/>
      <c r="O175" s="2024"/>
      <c r="P175" s="2024"/>
      <c r="Q175" s="2788"/>
      <c r="R175" s="295"/>
      <c r="S175" s="2014"/>
      <c r="T175" s="2037"/>
    </row>
    <row r="176" spans="3:20">
      <c r="F176" s="2024"/>
      <c r="G176" s="2024"/>
      <c r="H176" s="2790"/>
      <c r="I176" s="2014"/>
      <c r="J176" s="2033"/>
      <c r="N176" s="2024"/>
      <c r="O176" s="2024"/>
      <c r="P176" s="2024"/>
      <c r="Q176" s="351"/>
      <c r="R176" s="2031"/>
      <c r="S176" s="2014"/>
      <c r="T176" s="2037"/>
    </row>
    <row r="177" spans="6:20">
      <c r="F177" s="302"/>
      <c r="G177" s="302"/>
      <c r="H177" s="350"/>
      <c r="I177" s="350"/>
      <c r="J177" s="2014"/>
      <c r="N177" s="302"/>
      <c r="O177" s="302"/>
      <c r="P177" s="302"/>
      <c r="Q177" s="351"/>
      <c r="R177" s="2031"/>
      <c r="S177" s="2792"/>
      <c r="T177" s="2037"/>
    </row>
    <row r="178" spans="6:20">
      <c r="F178" s="302"/>
      <c r="G178" s="302"/>
      <c r="H178" s="2024"/>
      <c r="I178" s="2014"/>
      <c r="J178" s="2800"/>
      <c r="N178" s="302"/>
      <c r="O178" s="302"/>
      <c r="P178" s="302"/>
      <c r="Q178" s="351"/>
      <c r="R178" s="2031"/>
      <c r="S178" s="2014"/>
      <c r="T178" s="2037"/>
    </row>
    <row r="179" spans="6:20">
      <c r="F179" s="2024"/>
      <c r="G179" s="2024"/>
      <c r="H179" s="2797"/>
      <c r="I179" s="2014"/>
      <c r="J179" s="2033"/>
      <c r="N179" s="2024"/>
      <c r="O179" s="2024"/>
      <c r="P179" s="2024"/>
      <c r="Q179" s="351"/>
      <c r="R179" s="2791"/>
      <c r="S179" s="2014"/>
      <c r="T179" s="2026"/>
    </row>
    <row r="180" spans="6:20">
      <c r="J180" s="2038"/>
      <c r="N180" s="350"/>
      <c r="O180" s="350"/>
      <c r="P180" s="350"/>
      <c r="Q180" s="2019"/>
      <c r="R180" s="2014"/>
      <c r="S180" s="2014"/>
      <c r="T180" s="2026"/>
    </row>
    <row r="181" spans="6:20">
      <c r="Q181" s="2024"/>
      <c r="R181" s="2014"/>
      <c r="S181" s="2792"/>
      <c r="T181" s="2772"/>
    </row>
    <row r="182" spans="6:20">
      <c r="Q182" s="2024"/>
      <c r="R182" s="2014"/>
      <c r="S182" s="295"/>
      <c r="T182" s="2773"/>
    </row>
    <row r="183" spans="6:20">
      <c r="Q183" s="350"/>
      <c r="R183" s="350"/>
      <c r="S183" s="295"/>
      <c r="T183" s="501"/>
    </row>
    <row r="184" spans="6:20">
      <c r="N184" s="350"/>
      <c r="O184" s="350"/>
      <c r="P184" s="350"/>
      <c r="Q184" s="2788"/>
      <c r="R184" s="295"/>
      <c r="S184" s="295"/>
      <c r="T184" s="501"/>
    </row>
    <row r="185" spans="6:20">
      <c r="N185" s="350"/>
      <c r="O185" s="2799"/>
      <c r="P185" s="350"/>
      <c r="Q185" s="2795"/>
      <c r="R185" s="295"/>
      <c r="S185" s="295"/>
      <c r="T185" s="501"/>
    </row>
    <row r="186" spans="6:20">
      <c r="F186" s="2024"/>
      <c r="G186" s="2024"/>
      <c r="H186" s="2801"/>
      <c r="I186" s="2014"/>
      <c r="N186" s="350"/>
      <c r="O186" s="2799"/>
      <c r="P186" s="350"/>
      <c r="Q186" s="2788"/>
      <c r="R186" s="295"/>
      <c r="S186" s="295"/>
      <c r="T186" s="501"/>
    </row>
    <row r="187" spans="6:20">
      <c r="F187" s="295"/>
      <c r="G187" s="295"/>
      <c r="H187" s="351"/>
      <c r="I187" s="2031"/>
      <c r="J187" s="2014"/>
      <c r="N187" s="295"/>
      <c r="O187" s="295"/>
      <c r="P187" s="295"/>
      <c r="Q187" s="2788"/>
      <c r="R187" s="295"/>
      <c r="S187" s="2014"/>
      <c r="T187" s="501"/>
    </row>
    <row r="188" spans="6:20">
      <c r="F188" s="295"/>
      <c r="G188" s="295"/>
      <c r="H188" s="351"/>
      <c r="I188" s="2031"/>
      <c r="J188" s="295"/>
      <c r="N188" s="295"/>
      <c r="O188" s="295"/>
      <c r="P188" s="295"/>
      <c r="Q188" s="2788"/>
      <c r="R188" s="295"/>
      <c r="S188" s="2014"/>
      <c r="T188" s="2026"/>
    </row>
    <row r="189" spans="6:20">
      <c r="F189" s="306"/>
      <c r="G189" s="306"/>
      <c r="H189" s="351"/>
      <c r="I189" s="2031"/>
      <c r="J189" s="295"/>
      <c r="N189" s="306"/>
      <c r="O189" s="306"/>
      <c r="P189" s="306"/>
      <c r="Q189" s="2030"/>
      <c r="R189" s="2014"/>
      <c r="S189" s="350"/>
      <c r="T189" s="2026"/>
    </row>
    <row r="190" spans="6:20">
      <c r="F190" s="306"/>
      <c r="G190" s="306"/>
      <c r="H190" s="351"/>
      <c r="I190" s="2791"/>
      <c r="J190" s="295"/>
      <c r="N190" s="306"/>
      <c r="O190" s="306"/>
      <c r="P190" s="306"/>
      <c r="Q190" s="2790"/>
      <c r="R190" s="2014"/>
      <c r="S190" s="2014"/>
      <c r="T190" s="350"/>
    </row>
    <row r="191" spans="6:20">
      <c r="F191" s="2024"/>
      <c r="G191" s="2024"/>
      <c r="H191" s="2019"/>
      <c r="I191" s="2014"/>
      <c r="J191" s="295"/>
      <c r="N191" s="2024"/>
      <c r="O191" s="2024"/>
      <c r="P191" s="2024"/>
      <c r="Q191" s="350"/>
      <c r="R191" s="350"/>
      <c r="S191" s="2014"/>
      <c r="T191" s="2026"/>
    </row>
    <row r="192" spans="6:20" ht="15.6">
      <c r="F192" s="2034"/>
      <c r="G192" s="2034"/>
      <c r="H192" s="2024"/>
      <c r="I192" s="2014"/>
      <c r="J192" s="2014"/>
      <c r="N192" s="2034"/>
      <c r="O192" s="2034"/>
      <c r="P192" s="2034"/>
      <c r="Q192" s="2024"/>
      <c r="R192" s="2014"/>
      <c r="T192" s="2026"/>
    </row>
    <row r="193" spans="6:20">
      <c r="F193" s="2024"/>
      <c r="G193" s="2024"/>
      <c r="H193" s="2024"/>
      <c r="I193" s="2014"/>
      <c r="J193" s="2014"/>
      <c r="N193" s="2024"/>
      <c r="O193" s="2024"/>
      <c r="P193" s="2024"/>
      <c r="Q193" s="2797"/>
      <c r="R193" s="2014"/>
    </row>
    <row r="194" spans="6:20">
      <c r="F194" s="2035"/>
      <c r="G194" s="2792"/>
      <c r="H194" s="350"/>
      <c r="I194" s="350"/>
      <c r="J194" s="2014"/>
      <c r="N194" s="2035"/>
      <c r="O194" s="2798"/>
      <c r="P194" s="2792"/>
      <c r="S194" s="295"/>
    </row>
    <row r="195" spans="6:20">
      <c r="F195" s="350"/>
      <c r="G195" s="350"/>
      <c r="H195" s="2788"/>
      <c r="I195" s="295"/>
      <c r="J195" s="2033"/>
      <c r="N195" s="350"/>
      <c r="O195" s="350"/>
      <c r="P195" s="350"/>
      <c r="S195" s="295"/>
      <c r="T195" s="501"/>
    </row>
    <row r="196" spans="6:20">
      <c r="F196" s="350"/>
      <c r="G196" s="350"/>
      <c r="H196" s="2795"/>
      <c r="I196" s="295"/>
      <c r="J196" s="2014"/>
      <c r="N196" s="350"/>
      <c r="O196" s="350"/>
      <c r="P196" s="350"/>
      <c r="Q196" s="2788"/>
      <c r="R196" s="295"/>
      <c r="S196" s="295"/>
      <c r="T196" s="501"/>
    </row>
    <row r="197" spans="6:20">
      <c r="F197" s="350"/>
      <c r="G197" s="350"/>
      <c r="H197" s="2788"/>
      <c r="I197" s="295"/>
      <c r="J197" s="2014"/>
      <c r="N197" s="350"/>
      <c r="O197" s="2799"/>
      <c r="P197" s="350"/>
      <c r="Q197" s="2788"/>
      <c r="R197" s="295"/>
      <c r="S197" s="2789"/>
      <c r="T197" s="501"/>
    </row>
    <row r="198" spans="6:20">
      <c r="F198" s="350"/>
      <c r="G198" s="350"/>
      <c r="H198" s="2788"/>
      <c r="I198" s="295"/>
      <c r="J198" s="2033"/>
      <c r="N198" s="350"/>
      <c r="O198" s="2799"/>
      <c r="P198" s="350"/>
      <c r="Q198" s="2788"/>
      <c r="R198" s="295"/>
      <c r="S198" s="2014"/>
      <c r="T198" s="2037"/>
    </row>
    <row r="199" spans="6:20">
      <c r="F199" s="350"/>
      <c r="G199" s="2793"/>
      <c r="H199" s="2788"/>
      <c r="I199" s="295"/>
      <c r="J199" s="2014"/>
      <c r="N199" s="350"/>
      <c r="O199" s="2794"/>
      <c r="P199" s="2793"/>
      <c r="Q199" s="351"/>
      <c r="R199" s="2031"/>
      <c r="S199" s="2014"/>
      <c r="T199" s="2037"/>
    </row>
    <row r="200" spans="6:20">
      <c r="F200" s="2024"/>
      <c r="G200" s="2024"/>
      <c r="H200" s="2030"/>
      <c r="I200" s="2014"/>
      <c r="J200" s="2033"/>
      <c r="N200" s="2024"/>
      <c r="O200" s="2024"/>
      <c r="P200" s="2024"/>
      <c r="Q200" s="351"/>
      <c r="R200" s="2031"/>
      <c r="S200" s="2792"/>
      <c r="T200" s="2037"/>
    </row>
    <row r="201" spans="6:20">
      <c r="F201" s="2024"/>
      <c r="G201" s="2024"/>
      <c r="H201" s="2790"/>
      <c r="I201" s="2014"/>
      <c r="J201" s="2033"/>
      <c r="N201" s="2024"/>
      <c r="O201" s="2024"/>
      <c r="P201" s="2024"/>
      <c r="Q201" s="351"/>
      <c r="R201" s="2031"/>
      <c r="S201" s="2014"/>
      <c r="T201" s="2037"/>
    </row>
    <row r="202" spans="6:20">
      <c r="F202" s="302"/>
      <c r="G202" s="302"/>
      <c r="H202" s="350"/>
      <c r="I202" s="350"/>
      <c r="J202" s="2014"/>
      <c r="N202" s="302"/>
      <c r="O202" s="302"/>
      <c r="P202" s="302"/>
      <c r="Q202" s="351"/>
      <c r="R202" s="2791"/>
      <c r="S202" s="2014"/>
      <c r="T202" s="2026"/>
    </row>
    <row r="203" spans="6:20">
      <c r="F203" s="302"/>
      <c r="G203" s="302"/>
      <c r="H203" s="2024"/>
      <c r="I203" s="2014"/>
      <c r="J203" s="2800"/>
      <c r="N203" s="302"/>
      <c r="O203" s="302"/>
      <c r="P203" s="302"/>
      <c r="Q203" s="2019"/>
      <c r="R203" s="2014"/>
      <c r="S203" s="2014"/>
      <c r="T203" s="2026"/>
    </row>
    <row r="204" spans="6:20">
      <c r="F204" s="2024"/>
      <c r="G204" s="2024"/>
      <c r="H204" s="2797"/>
      <c r="I204" s="2014"/>
      <c r="J204" s="2033"/>
      <c r="N204" s="2024"/>
      <c r="O204" s="2024"/>
      <c r="P204" s="2024"/>
      <c r="Q204" s="2024"/>
      <c r="R204" s="2014"/>
      <c r="S204" s="2792"/>
      <c r="T204" s="2772"/>
    </row>
    <row r="205" spans="6:20">
      <c r="J205" s="2038"/>
      <c r="Q205" s="2024"/>
      <c r="R205" s="2014"/>
      <c r="S205" s="295"/>
      <c r="T205" s="2773"/>
    </row>
    <row r="206" spans="6:20">
      <c r="Q206" s="350"/>
      <c r="R206" s="350"/>
      <c r="S206" s="295"/>
      <c r="T206" s="501"/>
    </row>
    <row r="207" spans="6:20">
      <c r="N207" s="350"/>
      <c r="O207" s="2799"/>
      <c r="P207" s="350"/>
      <c r="Q207" s="2788"/>
      <c r="R207" s="295"/>
      <c r="S207" s="295"/>
      <c r="T207" s="501"/>
    </row>
    <row r="208" spans="6:20">
      <c r="N208" s="350"/>
      <c r="O208" s="2799"/>
      <c r="P208" s="350"/>
      <c r="Q208" s="2795"/>
      <c r="R208" s="295"/>
      <c r="S208" s="295"/>
      <c r="T208" s="501"/>
    </row>
    <row r="209" spans="14:20">
      <c r="N209" s="350"/>
      <c r="O209" s="2794"/>
      <c r="P209" s="2793"/>
      <c r="Q209" s="2788"/>
      <c r="R209" s="295"/>
      <c r="S209" s="295"/>
      <c r="T209" s="501"/>
    </row>
    <row r="210" spans="14:20">
      <c r="N210" s="295"/>
      <c r="O210" s="295"/>
      <c r="P210" s="295"/>
      <c r="Q210" s="2788"/>
      <c r="R210" s="295"/>
      <c r="S210" s="2014"/>
      <c r="T210" s="501"/>
    </row>
    <row r="211" spans="14:20">
      <c r="N211" s="295"/>
      <c r="O211" s="295"/>
      <c r="P211" s="295"/>
      <c r="Q211" s="2788"/>
      <c r="R211" s="295"/>
      <c r="S211" s="2014"/>
      <c r="T211" s="2026"/>
    </row>
    <row r="212" spans="14:20">
      <c r="N212" s="306"/>
      <c r="O212" s="306"/>
      <c r="P212" s="306"/>
      <c r="Q212" s="2030"/>
      <c r="R212" s="2014"/>
      <c r="S212" s="350"/>
      <c r="T212" s="2026"/>
    </row>
    <row r="213" spans="14:20">
      <c r="N213" s="306"/>
      <c r="O213" s="306"/>
      <c r="P213" s="306"/>
      <c r="Q213" s="2790"/>
      <c r="R213" s="2014"/>
      <c r="S213" s="2014"/>
      <c r="T213" s="350"/>
    </row>
    <row r="214" spans="14:20">
      <c r="N214" s="2024"/>
      <c r="O214" s="2024"/>
      <c r="P214" s="2024"/>
      <c r="Q214" s="350"/>
      <c r="R214" s="350"/>
      <c r="S214" s="2014"/>
      <c r="T214" s="2026"/>
    </row>
    <row r="215" spans="14:20" ht="15.6">
      <c r="N215" s="2034"/>
      <c r="O215" s="2034"/>
      <c r="P215" s="2034"/>
      <c r="Q215" s="2024"/>
      <c r="R215" s="2014"/>
      <c r="T215" s="2026"/>
    </row>
    <row r="216" spans="14:20">
      <c r="N216" s="2024"/>
      <c r="O216" s="2024"/>
      <c r="P216" s="2024"/>
      <c r="Q216" s="2797"/>
      <c r="R216" s="2014"/>
      <c r="S216" s="295"/>
    </row>
    <row r="217" spans="14:20">
      <c r="N217" s="2035"/>
      <c r="O217" s="2798"/>
      <c r="P217" s="2792"/>
      <c r="S217" s="295"/>
      <c r="T217" s="501"/>
    </row>
    <row r="218" spans="14:20">
      <c r="N218" s="350"/>
      <c r="O218" s="350"/>
      <c r="P218" s="350"/>
      <c r="Q218" s="2788"/>
      <c r="R218" s="295"/>
      <c r="S218" s="2014"/>
      <c r="T218" s="501"/>
    </row>
    <row r="219" spans="14:20">
      <c r="N219" s="350"/>
      <c r="O219" s="350"/>
      <c r="P219" s="350"/>
      <c r="Q219" s="2788"/>
      <c r="R219" s="295"/>
      <c r="S219" s="2789"/>
      <c r="T219" s="2026"/>
    </row>
    <row r="220" spans="14:20">
      <c r="N220" s="350"/>
      <c r="O220" s="2799"/>
      <c r="P220" s="350"/>
      <c r="Q220" s="2030"/>
      <c r="R220" s="2014"/>
      <c r="T220" s="2037"/>
    </row>
    <row r="221" spans="14:20">
      <c r="N221" s="350"/>
      <c r="O221" s="2799"/>
      <c r="P221" s="350"/>
      <c r="Q221" s="351"/>
      <c r="R221" s="2031"/>
      <c r="S221" s="295"/>
      <c r="T221" s="2037"/>
    </row>
    <row r="222" spans="14:20">
      <c r="N222" s="350"/>
      <c r="O222" s="2794"/>
      <c r="P222" s="2793"/>
      <c r="Q222" s="351"/>
      <c r="R222" s="2031"/>
      <c r="S222" s="295"/>
      <c r="T222" s="2037"/>
    </row>
    <row r="223" spans="14:20">
      <c r="N223" s="2024"/>
      <c r="O223" s="2024"/>
      <c r="P223" s="2024"/>
      <c r="Q223" s="351"/>
      <c r="R223" s="2031"/>
      <c r="S223" s="2014"/>
      <c r="T223" s="2037"/>
    </row>
    <row r="224" spans="14:20">
      <c r="N224" s="2024"/>
      <c r="O224" s="2024"/>
      <c r="P224" s="2024"/>
      <c r="Q224" s="351"/>
      <c r="R224" s="2791"/>
      <c r="S224" s="2014"/>
      <c r="T224" s="2026"/>
    </row>
    <row r="225" spans="14:20">
      <c r="N225" s="302"/>
      <c r="O225" s="302"/>
      <c r="P225" s="302"/>
      <c r="Q225" s="2019"/>
      <c r="R225" s="2014"/>
      <c r="S225" s="2014"/>
      <c r="T225" s="2026"/>
    </row>
    <row r="226" spans="14:20">
      <c r="N226" s="302"/>
      <c r="O226" s="302"/>
      <c r="P226" s="302"/>
      <c r="Q226" s="2024"/>
      <c r="R226" s="2014"/>
      <c r="S226" s="2792"/>
      <c r="T226" s="2772"/>
    </row>
    <row r="227" spans="14:20">
      <c r="N227" s="2024"/>
      <c r="O227" s="2024"/>
      <c r="P227" s="2024"/>
      <c r="Q227" s="2024"/>
      <c r="R227" s="2014"/>
      <c r="S227" s="295"/>
      <c r="T227" s="2773"/>
    </row>
    <row r="228" spans="14:20">
      <c r="Q228" s="350"/>
      <c r="R228" s="350"/>
      <c r="S228" s="295"/>
      <c r="T228" s="501"/>
    </row>
    <row r="229" spans="14:20">
      <c r="N229" s="350"/>
      <c r="O229" s="2799"/>
      <c r="P229" s="350"/>
      <c r="Q229" s="2788"/>
      <c r="R229" s="295"/>
      <c r="S229" s="295"/>
      <c r="T229" s="501"/>
    </row>
    <row r="230" spans="14:20">
      <c r="N230" s="350"/>
      <c r="O230" s="2794"/>
      <c r="P230" s="2793"/>
      <c r="Q230" s="2795"/>
      <c r="R230" s="295"/>
      <c r="S230" s="295"/>
      <c r="T230" s="501"/>
    </row>
    <row r="231" spans="14:20">
      <c r="N231" s="2024"/>
      <c r="O231" s="2024"/>
      <c r="P231" s="2024"/>
      <c r="Q231" s="2788"/>
      <c r="R231" s="295"/>
      <c r="S231" s="295"/>
      <c r="T231" s="501"/>
    </row>
    <row r="232" spans="14:20">
      <c r="N232" s="295"/>
      <c r="O232" s="295"/>
      <c r="P232" s="295"/>
      <c r="Q232" s="2788"/>
      <c r="R232" s="295"/>
      <c r="S232" s="2014"/>
      <c r="T232" s="501"/>
    </row>
    <row r="233" spans="14:20">
      <c r="N233" s="295"/>
      <c r="O233" s="295"/>
      <c r="P233" s="295"/>
      <c r="Q233" s="2788"/>
      <c r="R233" s="295"/>
      <c r="S233" s="2014"/>
      <c r="T233" s="2026"/>
    </row>
    <row r="234" spans="14:20">
      <c r="N234" s="306"/>
      <c r="O234" s="306"/>
      <c r="P234" s="306"/>
      <c r="Q234" s="2030"/>
      <c r="R234" s="2014"/>
      <c r="S234" s="350"/>
      <c r="T234" s="2026"/>
    </row>
    <row r="235" spans="14:20">
      <c r="N235" s="306"/>
      <c r="O235" s="306"/>
      <c r="P235" s="306"/>
      <c r="Q235" s="2790"/>
      <c r="R235" s="2014"/>
      <c r="S235" s="2014"/>
      <c r="T235" s="350"/>
    </row>
    <row r="236" spans="14:20">
      <c r="N236" s="2024"/>
      <c r="O236" s="2024"/>
      <c r="P236" s="2024"/>
      <c r="Q236" s="350"/>
      <c r="R236" s="350"/>
      <c r="S236" s="2014"/>
      <c r="T236" s="2026"/>
    </row>
    <row r="237" spans="14:20" ht="15.6">
      <c r="N237" s="2034"/>
      <c r="O237" s="2034"/>
      <c r="P237" s="2034"/>
      <c r="Q237" s="2024"/>
      <c r="R237" s="2014"/>
      <c r="T237" s="2026"/>
    </row>
    <row r="238" spans="14:20">
      <c r="N238" s="2024"/>
      <c r="O238" s="2024"/>
      <c r="P238" s="2024"/>
      <c r="Q238" s="2797"/>
      <c r="R238" s="2014"/>
      <c r="S238" s="295"/>
    </row>
    <row r="239" spans="14:20">
      <c r="N239" s="2035"/>
      <c r="O239" s="2798"/>
      <c r="P239" s="2792"/>
      <c r="S239" s="295"/>
      <c r="T239" s="501"/>
    </row>
    <row r="240" spans="14:20">
      <c r="N240" s="350"/>
      <c r="O240" s="350"/>
      <c r="P240" s="350"/>
      <c r="Q240" s="2788"/>
      <c r="R240" s="295"/>
      <c r="S240" s="295"/>
      <c r="T240" s="501"/>
    </row>
    <row r="241" spans="14:20">
      <c r="N241" s="350"/>
      <c r="O241" s="350"/>
      <c r="P241" s="350"/>
      <c r="Q241" s="2795"/>
      <c r="R241" s="295"/>
      <c r="S241" s="2789"/>
      <c r="T241" s="501"/>
    </row>
    <row r="242" spans="14:20">
      <c r="N242" s="350"/>
      <c r="O242" s="2799"/>
      <c r="P242" s="350"/>
      <c r="Q242" s="2788"/>
      <c r="R242" s="295"/>
      <c r="S242" s="295"/>
      <c r="T242" s="2037"/>
    </row>
    <row r="243" spans="14:20">
      <c r="N243" s="350"/>
      <c r="O243" s="2799"/>
      <c r="P243" s="350"/>
      <c r="Q243" s="351"/>
      <c r="R243" s="2031"/>
      <c r="S243" s="295"/>
      <c r="T243" s="2037"/>
    </row>
    <row r="244" spans="14:20">
      <c r="N244" s="350"/>
      <c r="O244" s="2794"/>
      <c r="P244" s="2793"/>
      <c r="Q244" s="351"/>
      <c r="R244" s="2031"/>
      <c r="S244" s="295"/>
      <c r="T244" s="2037"/>
    </row>
    <row r="245" spans="14:20">
      <c r="N245" s="2024"/>
      <c r="O245" s="2024"/>
      <c r="P245" s="2024"/>
      <c r="Q245" s="351"/>
      <c r="R245" s="2031"/>
      <c r="S245" s="2014"/>
      <c r="T245" s="2037"/>
    </row>
    <row r="246" spans="14:20">
      <c r="N246" s="2024"/>
      <c r="O246" s="2024"/>
      <c r="P246" s="2024"/>
      <c r="Q246" s="351"/>
      <c r="R246" s="2791"/>
      <c r="S246" s="2014"/>
      <c r="T246" s="2026"/>
    </row>
    <row r="247" spans="14:20">
      <c r="N247" s="302"/>
      <c r="O247" s="302"/>
      <c r="P247" s="302"/>
      <c r="Q247" s="2019"/>
      <c r="R247" s="2014"/>
      <c r="S247" s="2014"/>
      <c r="T247" s="2026"/>
    </row>
    <row r="248" spans="14:20">
      <c r="N248" s="302"/>
      <c r="O248" s="302"/>
      <c r="P248" s="302"/>
      <c r="Q248" s="2024"/>
      <c r="R248" s="2014"/>
      <c r="S248" s="2792"/>
      <c r="T248" s="2772"/>
    </row>
    <row r="249" spans="14:20">
      <c r="N249" s="2024"/>
      <c r="O249" s="2024"/>
      <c r="P249" s="2024"/>
      <c r="Q249" s="2024"/>
      <c r="R249" s="2014"/>
      <c r="S249" s="295"/>
      <c r="T249" s="2773"/>
    </row>
    <row r="250" spans="14:20">
      <c r="Q250" s="350"/>
      <c r="R250" s="350"/>
      <c r="S250" s="295"/>
      <c r="T250" s="501"/>
    </row>
    <row r="251" spans="14:20">
      <c r="N251" s="350"/>
      <c r="O251" s="350"/>
      <c r="P251" s="350"/>
      <c r="Q251" s="2788"/>
      <c r="R251" s="295"/>
      <c r="S251" s="295"/>
      <c r="T251" s="501"/>
    </row>
    <row r="252" spans="14:20">
      <c r="N252" s="350"/>
      <c r="O252" s="350"/>
      <c r="P252" s="350"/>
      <c r="Q252" s="2795"/>
      <c r="R252" s="295"/>
      <c r="S252" s="295"/>
      <c r="T252" s="501"/>
    </row>
    <row r="253" spans="14:20">
      <c r="N253" s="350"/>
      <c r="O253" s="2799"/>
      <c r="P253" s="350"/>
      <c r="Q253" s="2788"/>
      <c r="R253" s="295"/>
      <c r="S253" s="295"/>
      <c r="T253" s="501"/>
    </row>
    <row r="254" spans="14:20">
      <c r="N254" s="295"/>
      <c r="O254" s="295"/>
      <c r="P254" s="295"/>
      <c r="Q254" s="2788"/>
      <c r="R254" s="295"/>
      <c r="S254" s="2014"/>
      <c r="T254" s="501"/>
    </row>
    <row r="255" spans="14:20">
      <c r="N255" s="295"/>
      <c r="O255" s="295"/>
      <c r="P255" s="295"/>
      <c r="Q255" s="2788"/>
      <c r="R255" s="295"/>
      <c r="S255" s="2014"/>
      <c r="T255" s="2026"/>
    </row>
    <row r="256" spans="14:20">
      <c r="N256" s="306"/>
      <c r="O256" s="306"/>
      <c r="P256" s="306"/>
      <c r="Q256" s="2030"/>
      <c r="R256" s="2014"/>
      <c r="S256" s="350"/>
      <c r="T256" s="2026"/>
    </row>
    <row r="257" spans="14:20">
      <c r="N257" s="306"/>
      <c r="O257" s="306"/>
      <c r="P257" s="306"/>
      <c r="Q257" s="2790"/>
      <c r="R257" s="2014"/>
      <c r="S257" s="2014"/>
      <c r="T257" s="350"/>
    </row>
    <row r="258" spans="14:20">
      <c r="N258" s="2024"/>
      <c r="O258" s="2024"/>
      <c r="P258" s="2024"/>
      <c r="Q258" s="350"/>
      <c r="R258" s="350"/>
      <c r="S258" s="2014"/>
      <c r="T258" s="2026"/>
    </row>
    <row r="259" spans="14:20" ht="15.6">
      <c r="N259" s="2034"/>
      <c r="O259" s="2034"/>
      <c r="P259" s="2034"/>
      <c r="Q259" s="2024"/>
      <c r="R259" s="2014"/>
      <c r="T259" s="2026"/>
    </row>
    <row r="260" spans="14:20">
      <c r="N260" s="2024"/>
      <c r="O260" s="2024"/>
      <c r="P260" s="2024"/>
      <c r="Q260" s="2797"/>
      <c r="R260" s="2014"/>
    </row>
    <row r="261" spans="14:20">
      <c r="N261" s="2035"/>
      <c r="O261" s="2798"/>
      <c r="P261" s="2792"/>
    </row>
    <row r="262" spans="14:20">
      <c r="N262" s="350"/>
      <c r="O262" s="350"/>
      <c r="P262" s="350"/>
    </row>
    <row r="263" spans="14:20">
      <c r="N263" s="350"/>
      <c r="O263" s="350"/>
      <c r="P263" s="350"/>
    </row>
    <row r="264" spans="14:20">
      <c r="N264" s="350"/>
      <c r="O264" s="2799"/>
      <c r="P264" s="350"/>
    </row>
    <row r="265" spans="14:20">
      <c r="N265" s="350"/>
      <c r="O265" s="2799"/>
      <c r="P265" s="350"/>
    </row>
    <row r="266" spans="14:20">
      <c r="N266" s="350"/>
      <c r="O266" s="2794"/>
      <c r="P266" s="2793"/>
    </row>
    <row r="267" spans="14:20">
      <c r="N267" s="2024"/>
      <c r="O267" s="2024"/>
      <c r="P267" s="2024"/>
      <c r="S267" s="295"/>
    </row>
    <row r="268" spans="14:20">
      <c r="N268" s="2024"/>
      <c r="O268" s="2024"/>
      <c r="P268" s="2024"/>
      <c r="S268" s="2014"/>
      <c r="T268" s="501"/>
    </row>
    <row r="269" spans="14:20">
      <c r="N269" s="302"/>
      <c r="O269" s="302"/>
      <c r="P269" s="302"/>
      <c r="Q269" s="2788"/>
      <c r="R269" s="295"/>
      <c r="S269" s="2014"/>
      <c r="T269" s="2026"/>
    </row>
    <row r="270" spans="14:20">
      <c r="N270" s="302"/>
      <c r="O270" s="302"/>
      <c r="P270" s="302"/>
      <c r="Q270" s="2030"/>
      <c r="R270" s="2014"/>
      <c r="S270" s="2789"/>
      <c r="T270" s="2026"/>
    </row>
    <row r="271" spans="14:20">
      <c r="N271" s="2024"/>
      <c r="O271" s="2024"/>
      <c r="P271" s="2024"/>
      <c r="Q271" s="2790"/>
      <c r="R271" s="2014"/>
      <c r="S271" s="2789"/>
      <c r="T271" s="2037"/>
    </row>
    <row r="272" spans="14:20">
      <c r="Q272" s="351"/>
      <c r="R272" s="2031"/>
      <c r="S272" s="2803"/>
      <c r="T272" s="2037"/>
    </row>
    <row r="273" spans="14:20">
      <c r="Q273" s="351"/>
      <c r="R273" s="2031"/>
      <c r="S273" s="2789"/>
      <c r="T273" s="2037"/>
    </row>
    <row r="274" spans="14:20">
      <c r="Q274" s="351"/>
      <c r="R274" s="2031"/>
      <c r="S274" s="2014"/>
      <c r="T274" s="2037"/>
    </row>
    <row r="275" spans="14:20">
      <c r="Q275" s="351"/>
      <c r="R275" s="2791"/>
      <c r="S275" s="2014"/>
      <c r="T275" s="2026"/>
    </row>
    <row r="276" spans="14:20">
      <c r="Q276" s="2019"/>
      <c r="R276" s="2014"/>
      <c r="S276" s="2014"/>
      <c r="T276" s="2026"/>
    </row>
    <row r="277" spans="14:20">
      <c r="Q277" s="2024"/>
      <c r="R277" s="2014"/>
      <c r="S277" s="2792"/>
      <c r="T277" s="2772"/>
    </row>
    <row r="278" spans="14:20">
      <c r="Q278" s="2024"/>
      <c r="R278" s="2014"/>
      <c r="S278" s="295"/>
      <c r="T278" s="2773"/>
    </row>
    <row r="279" spans="14:20">
      <c r="Q279" s="350"/>
      <c r="R279" s="350"/>
      <c r="S279" s="295"/>
      <c r="T279" s="501"/>
    </row>
    <row r="280" spans="14:20">
      <c r="N280" s="350"/>
      <c r="O280" s="2794"/>
      <c r="P280" s="2793"/>
      <c r="Q280" s="2788"/>
      <c r="R280" s="295"/>
      <c r="S280" s="295"/>
      <c r="T280" s="501"/>
    </row>
    <row r="281" spans="14:20">
      <c r="N281" s="2024"/>
      <c r="O281" s="2024"/>
      <c r="P281" s="2024"/>
      <c r="Q281" s="2795"/>
      <c r="R281" s="295"/>
      <c r="S281" s="295"/>
      <c r="T281" s="501"/>
    </row>
    <row r="282" spans="14:20">
      <c r="N282" s="2024"/>
      <c r="O282" s="2024"/>
      <c r="P282" s="2024"/>
      <c r="Q282" s="2788"/>
      <c r="R282" s="295"/>
      <c r="S282" s="295"/>
      <c r="T282" s="501"/>
    </row>
    <row r="283" spans="14:20">
      <c r="N283" s="295"/>
      <c r="O283" s="295"/>
      <c r="P283" s="295"/>
      <c r="Q283" s="2788"/>
      <c r="R283" s="295"/>
      <c r="S283" s="2014"/>
      <c r="T283" s="501"/>
    </row>
    <row r="284" spans="14:20">
      <c r="N284" s="295"/>
      <c r="O284" s="295"/>
      <c r="P284" s="295"/>
      <c r="Q284" s="2788"/>
      <c r="R284" s="295"/>
      <c r="S284" s="2014"/>
      <c r="T284" s="2026"/>
    </row>
    <row r="285" spans="14:20">
      <c r="N285" s="306"/>
      <c r="O285" s="306"/>
      <c r="P285" s="306"/>
      <c r="Q285" s="2030"/>
      <c r="R285" s="2014"/>
      <c r="S285" s="350"/>
      <c r="T285" s="2026"/>
    </row>
    <row r="286" spans="14:20">
      <c r="N286" s="306"/>
      <c r="O286" s="306"/>
      <c r="P286" s="306"/>
      <c r="Q286" s="2790"/>
      <c r="R286" s="2014"/>
      <c r="S286" s="2014"/>
      <c r="T286" s="350"/>
    </row>
    <row r="287" spans="14:20">
      <c r="N287" s="2024"/>
      <c r="O287" s="2024"/>
      <c r="P287" s="2024"/>
      <c r="Q287" s="350"/>
      <c r="R287" s="350"/>
      <c r="S287" s="2014"/>
      <c r="T287" s="2026"/>
    </row>
    <row r="288" spans="14:20" ht="15.6">
      <c r="N288" s="2034"/>
      <c r="O288" s="2034"/>
      <c r="P288" s="2034"/>
      <c r="Q288" s="2024"/>
      <c r="R288" s="2014"/>
      <c r="T288" s="2026"/>
    </row>
    <row r="289" spans="14:20">
      <c r="N289" s="2024"/>
      <c r="O289" s="2024"/>
      <c r="P289" s="2024"/>
      <c r="Q289" s="2797"/>
      <c r="R289" s="2014"/>
      <c r="S289" s="295"/>
    </row>
    <row r="290" spans="14:20">
      <c r="N290" s="2035"/>
      <c r="O290" s="2798"/>
      <c r="P290" s="2792"/>
      <c r="S290" s="2014"/>
      <c r="T290" s="501"/>
    </row>
    <row r="291" spans="14:20">
      <c r="N291" s="350"/>
      <c r="O291" s="350"/>
      <c r="P291" s="350"/>
      <c r="Q291" s="2788"/>
      <c r="R291" s="295"/>
      <c r="S291" s="2014"/>
      <c r="T291" s="2026"/>
    </row>
    <row r="292" spans="14:20">
      <c r="N292" s="350"/>
      <c r="O292" s="350"/>
      <c r="P292" s="350"/>
      <c r="Q292" s="2030"/>
      <c r="R292" s="2014"/>
      <c r="S292" s="2789"/>
      <c r="T292" s="2026"/>
    </row>
    <row r="293" spans="14:20">
      <c r="N293" s="350"/>
      <c r="O293" s="2799"/>
      <c r="P293" s="350"/>
      <c r="Q293" s="2790"/>
      <c r="R293" s="2014"/>
      <c r="S293" s="2789"/>
      <c r="T293" s="2037"/>
    </row>
    <row r="294" spans="14:20">
      <c r="N294" s="350"/>
      <c r="O294" s="2799"/>
      <c r="P294" s="350"/>
      <c r="Q294" s="351"/>
      <c r="R294" s="2031"/>
      <c r="S294" s="2803"/>
      <c r="T294" s="2037"/>
    </row>
    <row r="295" spans="14:20">
      <c r="N295" s="350"/>
      <c r="O295" s="2794"/>
      <c r="P295" s="2793"/>
      <c r="Q295" s="351"/>
      <c r="R295" s="2031"/>
      <c r="S295" s="2789"/>
      <c r="T295" s="2037"/>
    </row>
    <row r="296" spans="14:20">
      <c r="N296" s="2024"/>
      <c r="O296" s="2024"/>
      <c r="P296" s="2024"/>
      <c r="Q296" s="351"/>
      <c r="R296" s="2031"/>
      <c r="S296" s="2014"/>
      <c r="T296" s="2037"/>
    </row>
    <row r="297" spans="14:20">
      <c r="N297" s="2024"/>
      <c r="O297" s="2024"/>
      <c r="P297" s="2024"/>
      <c r="Q297" s="351"/>
      <c r="R297" s="2791"/>
      <c r="S297" s="2014"/>
      <c r="T297" s="2026"/>
    </row>
    <row r="298" spans="14:20">
      <c r="N298" s="302"/>
      <c r="O298" s="302"/>
      <c r="P298" s="302"/>
      <c r="Q298" s="2019"/>
      <c r="R298" s="2014"/>
      <c r="S298" s="2014"/>
      <c r="T298" s="2026"/>
    </row>
    <row r="299" spans="14:20">
      <c r="N299" s="302"/>
      <c r="O299" s="302"/>
      <c r="P299" s="302"/>
      <c r="Q299" s="2024"/>
      <c r="R299" s="2014"/>
      <c r="S299" s="2792"/>
      <c r="T299" s="2772"/>
    </row>
    <row r="300" spans="14:20">
      <c r="N300" s="2024"/>
      <c r="O300" s="2024"/>
      <c r="P300" s="2024"/>
      <c r="Q300" s="2024"/>
      <c r="R300" s="2014"/>
      <c r="S300" s="295"/>
      <c r="T300" s="2773"/>
    </row>
    <row r="301" spans="14:20">
      <c r="Q301" s="350"/>
      <c r="R301" s="350"/>
      <c r="S301" s="295"/>
      <c r="T301" s="501"/>
    </row>
    <row r="302" spans="14:20">
      <c r="N302" s="350"/>
      <c r="O302" s="2794"/>
      <c r="P302" s="2793"/>
      <c r="Q302" s="2788"/>
      <c r="R302" s="295"/>
      <c r="S302" s="295"/>
      <c r="T302" s="501"/>
    </row>
    <row r="303" spans="14:20">
      <c r="N303" s="2024"/>
      <c r="O303" s="2024"/>
      <c r="P303" s="2024"/>
      <c r="Q303" s="2795"/>
      <c r="R303" s="295"/>
      <c r="S303" s="295"/>
      <c r="T303" s="501"/>
    </row>
    <row r="304" spans="14:20">
      <c r="N304" s="2024"/>
      <c r="O304" s="2024"/>
      <c r="P304" s="2024"/>
      <c r="Q304" s="2788"/>
      <c r="R304" s="295"/>
      <c r="S304" s="295"/>
      <c r="T304" s="501"/>
    </row>
    <row r="305" spans="14:20">
      <c r="N305" s="295"/>
      <c r="O305" s="295"/>
      <c r="P305" s="295"/>
      <c r="Q305" s="2788"/>
      <c r="R305" s="295"/>
      <c r="S305" s="2014"/>
      <c r="T305" s="501"/>
    </row>
    <row r="306" spans="14:20">
      <c r="N306" s="295"/>
      <c r="O306" s="295"/>
      <c r="P306" s="295"/>
      <c r="Q306" s="2788"/>
      <c r="R306" s="295"/>
      <c r="S306" s="2014"/>
      <c r="T306" s="2026"/>
    </row>
    <row r="307" spans="14:20">
      <c r="N307" s="306"/>
      <c r="O307" s="306"/>
      <c r="P307" s="306"/>
      <c r="Q307" s="2030"/>
      <c r="R307" s="2014"/>
      <c r="S307" s="350"/>
      <c r="T307" s="2026"/>
    </row>
    <row r="308" spans="14:20">
      <c r="N308" s="306"/>
      <c r="O308" s="306"/>
      <c r="P308" s="306"/>
      <c r="Q308" s="2790"/>
      <c r="R308" s="2014"/>
      <c r="S308" s="2014"/>
      <c r="T308" s="350"/>
    </row>
    <row r="309" spans="14:20">
      <c r="N309" s="2024"/>
      <c r="O309" s="2024"/>
      <c r="P309" s="2024"/>
      <c r="Q309" s="350"/>
      <c r="R309" s="350"/>
      <c r="S309" s="2014"/>
      <c r="T309" s="2026"/>
    </row>
    <row r="310" spans="14:20" ht="15.6">
      <c r="N310" s="2034"/>
      <c r="O310" s="2034"/>
      <c r="P310" s="2034"/>
      <c r="Q310" s="2024"/>
      <c r="R310" s="2014"/>
      <c r="S310" s="350"/>
      <c r="T310" s="2026"/>
    </row>
    <row r="311" spans="14:20">
      <c r="N311" s="2024"/>
      <c r="O311" s="2024"/>
      <c r="P311" s="2024"/>
      <c r="Q311" s="2797"/>
      <c r="R311" s="2014"/>
      <c r="T311" s="350"/>
    </row>
    <row r="312" spans="14:20">
      <c r="N312" s="2035"/>
      <c r="O312" s="2798"/>
      <c r="P312" s="2792"/>
      <c r="Q312" s="350"/>
      <c r="R312" s="350"/>
    </row>
    <row r="313" spans="14:20">
      <c r="N313" s="350"/>
      <c r="O313" s="350"/>
      <c r="P313" s="350"/>
    </row>
    <row r="314" spans="14:20">
      <c r="N314" s="350"/>
      <c r="O314" s="350"/>
      <c r="P314" s="350"/>
    </row>
    <row r="315" spans="14:20">
      <c r="N315" s="350"/>
      <c r="O315" s="2799"/>
      <c r="P315" s="350"/>
    </row>
    <row r="316" spans="14:20">
      <c r="N316" s="350"/>
      <c r="O316" s="2799"/>
      <c r="P316" s="350"/>
    </row>
    <row r="317" spans="14:20">
      <c r="N317" s="350"/>
      <c r="O317" s="2794"/>
      <c r="P317" s="2793"/>
    </row>
    <row r="318" spans="14:20">
      <c r="N318" s="2024"/>
      <c r="O318" s="2024"/>
      <c r="P318" s="2024"/>
    </row>
    <row r="319" spans="14:20">
      <c r="N319" s="2024"/>
      <c r="O319" s="2024"/>
      <c r="P319" s="2024"/>
    </row>
    <row r="320" spans="14:20">
      <c r="N320" s="302"/>
      <c r="O320" s="302"/>
      <c r="P320" s="302"/>
    </row>
    <row r="321" spans="14:16">
      <c r="N321" s="302"/>
      <c r="O321" s="302"/>
      <c r="P321" s="302"/>
    </row>
    <row r="322" spans="14:16">
      <c r="N322" s="2024"/>
      <c r="O322" s="2024"/>
      <c r="P322" s="2024"/>
    </row>
    <row r="323" spans="14:16">
      <c r="N323" s="350"/>
      <c r="O323" s="350"/>
      <c r="P323" s="350"/>
    </row>
  </sheetData>
  <mergeCells count="12">
    <mergeCell ref="A34:D34"/>
    <mergeCell ref="F34:I34"/>
    <mergeCell ref="K34:N34"/>
    <mergeCell ref="A67:D67"/>
    <mergeCell ref="F67:I67"/>
    <mergeCell ref="K67:N67"/>
    <mergeCell ref="A3:D3"/>
    <mergeCell ref="F3:I3"/>
    <mergeCell ref="K3:T3"/>
    <mergeCell ref="K4:L5"/>
    <mergeCell ref="M4:T4"/>
    <mergeCell ref="K11:L11"/>
  </mergeCells>
  <pageMargins left="0.25" right="0.25" top="0.75" bottom="0.75" header="0.3" footer="0.3"/>
  <pageSetup scale="47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35"/>
  <sheetViews>
    <sheetView workbookViewId="0">
      <selection activeCell="AC16" sqref="AC16:AC17"/>
    </sheetView>
  </sheetViews>
  <sheetFormatPr defaultRowHeight="14.4"/>
  <cols>
    <col min="1" max="1" width="1.5546875" style="269" customWidth="1"/>
    <col min="2" max="2" width="27.88671875" style="269" hidden="1" customWidth="1"/>
    <col min="3" max="3" width="12.33203125" style="269" hidden="1" customWidth="1"/>
    <col min="4" max="5" width="0" style="269" hidden="1" customWidth="1"/>
    <col min="6" max="6" width="14" style="269" hidden="1" customWidth="1"/>
    <col min="7" max="7" width="4.5546875" style="269" hidden="1" customWidth="1"/>
    <col min="8" max="8" width="32.33203125" style="269" hidden="1" customWidth="1"/>
    <col min="9" max="9" width="8.44140625" style="269" hidden="1" customWidth="1"/>
    <col min="10" max="10" width="12.109375" style="269" hidden="1" customWidth="1"/>
    <col min="11" max="11" width="11.109375" style="269" hidden="1" customWidth="1"/>
    <col min="12" max="12" width="14" style="269" hidden="1" customWidth="1"/>
    <col min="13" max="14" width="0" style="269" hidden="1" customWidth="1"/>
    <col min="15" max="15" width="10" style="269" bestFit="1" customWidth="1"/>
    <col min="16" max="16" width="21.44140625" style="269" bestFit="1" customWidth="1"/>
    <col min="17" max="17" width="10.5546875" style="269" bestFit="1" customWidth="1"/>
    <col min="18" max="21" width="8.88671875" style="269"/>
    <col min="22" max="22" width="4.6640625" style="269" customWidth="1"/>
    <col min="23" max="23" width="8.88671875" style="269"/>
    <col min="24" max="24" width="36.109375" style="269" bestFit="1" customWidth="1"/>
    <col min="25" max="26" width="12" style="269" bestFit="1" customWidth="1"/>
    <col min="27" max="27" width="8.88671875" style="269"/>
    <col min="28" max="28" width="12.5546875" style="269" bestFit="1" customWidth="1"/>
    <col min="29" max="257" width="8.88671875" style="269"/>
    <col min="258" max="258" width="27.88671875" style="269" customWidth="1"/>
    <col min="259" max="259" width="12.33203125" style="269" customWidth="1"/>
    <col min="260" max="261" width="8.88671875" style="269"/>
    <col min="262" max="262" width="14" style="269" customWidth="1"/>
    <col min="263" max="513" width="8.88671875" style="269"/>
    <col min="514" max="514" width="27.88671875" style="269" customWidth="1"/>
    <col min="515" max="515" width="12.33203125" style="269" customWidth="1"/>
    <col min="516" max="517" width="8.88671875" style="269"/>
    <col min="518" max="518" width="14" style="269" customWidth="1"/>
    <col min="519" max="769" width="8.88671875" style="269"/>
    <col min="770" max="770" width="27.88671875" style="269" customWidth="1"/>
    <col min="771" max="771" width="12.33203125" style="269" customWidth="1"/>
    <col min="772" max="773" width="8.88671875" style="269"/>
    <col min="774" max="774" width="14" style="269" customWidth="1"/>
    <col min="775" max="1025" width="8.88671875" style="269"/>
    <col min="1026" max="1026" width="27.88671875" style="269" customWidth="1"/>
    <col min="1027" max="1027" width="12.33203125" style="269" customWidth="1"/>
    <col min="1028" max="1029" width="8.88671875" style="269"/>
    <col min="1030" max="1030" width="14" style="269" customWidth="1"/>
    <col min="1031" max="1281" width="8.88671875" style="269"/>
    <col min="1282" max="1282" width="27.88671875" style="269" customWidth="1"/>
    <col min="1283" max="1283" width="12.33203125" style="269" customWidth="1"/>
    <col min="1284" max="1285" width="8.88671875" style="269"/>
    <col min="1286" max="1286" width="14" style="269" customWidth="1"/>
    <col min="1287" max="1537" width="8.88671875" style="269"/>
    <col min="1538" max="1538" width="27.88671875" style="269" customWidth="1"/>
    <col min="1539" max="1539" width="12.33203125" style="269" customWidth="1"/>
    <col min="1540" max="1541" width="8.88671875" style="269"/>
    <col min="1542" max="1542" width="14" style="269" customWidth="1"/>
    <col min="1543" max="1793" width="8.88671875" style="269"/>
    <col min="1794" max="1794" width="27.88671875" style="269" customWidth="1"/>
    <col min="1795" max="1795" width="12.33203125" style="269" customWidth="1"/>
    <col min="1796" max="1797" width="8.88671875" style="269"/>
    <col min="1798" max="1798" width="14" style="269" customWidth="1"/>
    <col min="1799" max="2049" width="8.88671875" style="269"/>
    <col min="2050" max="2050" width="27.88671875" style="269" customWidth="1"/>
    <col min="2051" max="2051" width="12.33203125" style="269" customWidth="1"/>
    <col min="2052" max="2053" width="8.88671875" style="269"/>
    <col min="2054" max="2054" width="14" style="269" customWidth="1"/>
    <col min="2055" max="2305" width="8.88671875" style="269"/>
    <col min="2306" max="2306" width="27.88671875" style="269" customWidth="1"/>
    <col min="2307" max="2307" width="12.33203125" style="269" customWidth="1"/>
    <col min="2308" max="2309" width="8.88671875" style="269"/>
    <col min="2310" max="2310" width="14" style="269" customWidth="1"/>
    <col min="2311" max="2561" width="8.88671875" style="269"/>
    <col min="2562" max="2562" width="27.88671875" style="269" customWidth="1"/>
    <col min="2563" max="2563" width="12.33203125" style="269" customWidth="1"/>
    <col min="2564" max="2565" width="8.88671875" style="269"/>
    <col min="2566" max="2566" width="14" style="269" customWidth="1"/>
    <col min="2567" max="2817" width="8.88671875" style="269"/>
    <col min="2818" max="2818" width="27.88671875" style="269" customWidth="1"/>
    <col min="2819" max="2819" width="12.33203125" style="269" customWidth="1"/>
    <col min="2820" max="2821" width="8.88671875" style="269"/>
    <col min="2822" max="2822" width="14" style="269" customWidth="1"/>
    <col min="2823" max="3073" width="8.88671875" style="269"/>
    <col min="3074" max="3074" width="27.88671875" style="269" customWidth="1"/>
    <col min="3075" max="3075" width="12.33203125" style="269" customWidth="1"/>
    <col min="3076" max="3077" width="8.88671875" style="269"/>
    <col min="3078" max="3078" width="14" style="269" customWidth="1"/>
    <col min="3079" max="3329" width="8.88671875" style="269"/>
    <col min="3330" max="3330" width="27.88671875" style="269" customWidth="1"/>
    <col min="3331" max="3331" width="12.33203125" style="269" customWidth="1"/>
    <col min="3332" max="3333" width="8.88671875" style="269"/>
    <col min="3334" max="3334" width="14" style="269" customWidth="1"/>
    <col min="3335" max="3585" width="8.88671875" style="269"/>
    <col min="3586" max="3586" width="27.88671875" style="269" customWidth="1"/>
    <col min="3587" max="3587" width="12.33203125" style="269" customWidth="1"/>
    <col min="3588" max="3589" width="8.88671875" style="269"/>
    <col min="3590" max="3590" width="14" style="269" customWidth="1"/>
    <col min="3591" max="3841" width="8.88671875" style="269"/>
    <col min="3842" max="3842" width="27.88671875" style="269" customWidth="1"/>
    <col min="3843" max="3843" width="12.33203125" style="269" customWidth="1"/>
    <col min="3844" max="3845" width="8.88671875" style="269"/>
    <col min="3846" max="3846" width="14" style="269" customWidth="1"/>
    <col min="3847" max="4097" width="8.88671875" style="269"/>
    <col min="4098" max="4098" width="27.88671875" style="269" customWidth="1"/>
    <col min="4099" max="4099" width="12.33203125" style="269" customWidth="1"/>
    <col min="4100" max="4101" width="8.88671875" style="269"/>
    <col min="4102" max="4102" width="14" style="269" customWidth="1"/>
    <col min="4103" max="4353" width="8.88671875" style="269"/>
    <col min="4354" max="4354" width="27.88671875" style="269" customWidth="1"/>
    <col min="4355" max="4355" width="12.33203125" style="269" customWidth="1"/>
    <col min="4356" max="4357" width="8.88671875" style="269"/>
    <col min="4358" max="4358" width="14" style="269" customWidth="1"/>
    <col min="4359" max="4609" width="8.88671875" style="269"/>
    <col min="4610" max="4610" width="27.88671875" style="269" customWidth="1"/>
    <col min="4611" max="4611" width="12.33203125" style="269" customWidth="1"/>
    <col min="4612" max="4613" width="8.88671875" style="269"/>
    <col min="4614" max="4614" width="14" style="269" customWidth="1"/>
    <col min="4615" max="4865" width="8.88671875" style="269"/>
    <col min="4866" max="4866" width="27.88671875" style="269" customWidth="1"/>
    <col min="4867" max="4867" width="12.33203125" style="269" customWidth="1"/>
    <col min="4868" max="4869" width="8.88671875" style="269"/>
    <col min="4870" max="4870" width="14" style="269" customWidth="1"/>
    <col min="4871" max="5121" width="8.88671875" style="269"/>
    <col min="5122" max="5122" width="27.88671875" style="269" customWidth="1"/>
    <col min="5123" max="5123" width="12.33203125" style="269" customWidth="1"/>
    <col min="5124" max="5125" width="8.88671875" style="269"/>
    <col min="5126" max="5126" width="14" style="269" customWidth="1"/>
    <col min="5127" max="5377" width="8.88671875" style="269"/>
    <col min="5378" max="5378" width="27.88671875" style="269" customWidth="1"/>
    <col min="5379" max="5379" width="12.33203125" style="269" customWidth="1"/>
    <col min="5380" max="5381" width="8.88671875" style="269"/>
    <col min="5382" max="5382" width="14" style="269" customWidth="1"/>
    <col min="5383" max="5633" width="8.88671875" style="269"/>
    <col min="5634" max="5634" width="27.88671875" style="269" customWidth="1"/>
    <col min="5635" max="5635" width="12.33203125" style="269" customWidth="1"/>
    <col min="5636" max="5637" width="8.88671875" style="269"/>
    <col min="5638" max="5638" width="14" style="269" customWidth="1"/>
    <col min="5639" max="5889" width="8.88671875" style="269"/>
    <col min="5890" max="5890" width="27.88671875" style="269" customWidth="1"/>
    <col min="5891" max="5891" width="12.33203125" style="269" customWidth="1"/>
    <col min="5892" max="5893" width="8.88671875" style="269"/>
    <col min="5894" max="5894" width="14" style="269" customWidth="1"/>
    <col min="5895" max="6145" width="8.88671875" style="269"/>
    <col min="6146" max="6146" width="27.88671875" style="269" customWidth="1"/>
    <col min="6147" max="6147" width="12.33203125" style="269" customWidth="1"/>
    <col min="6148" max="6149" width="8.88671875" style="269"/>
    <col min="6150" max="6150" width="14" style="269" customWidth="1"/>
    <col min="6151" max="6401" width="8.88671875" style="269"/>
    <col min="6402" max="6402" width="27.88671875" style="269" customWidth="1"/>
    <col min="6403" max="6403" width="12.33203125" style="269" customWidth="1"/>
    <col min="6404" max="6405" width="8.88671875" style="269"/>
    <col min="6406" max="6406" width="14" style="269" customWidth="1"/>
    <col min="6407" max="6657" width="8.88671875" style="269"/>
    <col min="6658" max="6658" width="27.88671875" style="269" customWidth="1"/>
    <col min="6659" max="6659" width="12.33203125" style="269" customWidth="1"/>
    <col min="6660" max="6661" width="8.88671875" style="269"/>
    <col min="6662" max="6662" width="14" style="269" customWidth="1"/>
    <col min="6663" max="6913" width="8.88671875" style="269"/>
    <col min="6914" max="6914" width="27.88671875" style="269" customWidth="1"/>
    <col min="6915" max="6915" width="12.33203125" style="269" customWidth="1"/>
    <col min="6916" max="6917" width="8.88671875" style="269"/>
    <col min="6918" max="6918" width="14" style="269" customWidth="1"/>
    <col min="6919" max="7169" width="8.88671875" style="269"/>
    <col min="7170" max="7170" width="27.88671875" style="269" customWidth="1"/>
    <col min="7171" max="7171" width="12.33203125" style="269" customWidth="1"/>
    <col min="7172" max="7173" width="8.88671875" style="269"/>
    <col min="7174" max="7174" width="14" style="269" customWidth="1"/>
    <col min="7175" max="7425" width="8.88671875" style="269"/>
    <col min="7426" max="7426" width="27.88671875" style="269" customWidth="1"/>
    <col min="7427" max="7427" width="12.33203125" style="269" customWidth="1"/>
    <col min="7428" max="7429" width="8.88671875" style="269"/>
    <col min="7430" max="7430" width="14" style="269" customWidth="1"/>
    <col min="7431" max="7681" width="8.88671875" style="269"/>
    <col min="7682" max="7682" width="27.88671875" style="269" customWidth="1"/>
    <col min="7683" max="7683" width="12.33203125" style="269" customWidth="1"/>
    <col min="7684" max="7685" width="8.88671875" style="269"/>
    <col min="7686" max="7686" width="14" style="269" customWidth="1"/>
    <col min="7687" max="7937" width="8.88671875" style="269"/>
    <col min="7938" max="7938" width="27.88671875" style="269" customWidth="1"/>
    <col min="7939" max="7939" width="12.33203125" style="269" customWidth="1"/>
    <col min="7940" max="7941" width="8.88671875" style="269"/>
    <col min="7942" max="7942" width="14" style="269" customWidth="1"/>
    <col min="7943" max="8193" width="8.88671875" style="269"/>
    <col min="8194" max="8194" width="27.88671875" style="269" customWidth="1"/>
    <col min="8195" max="8195" width="12.33203125" style="269" customWidth="1"/>
    <col min="8196" max="8197" width="8.88671875" style="269"/>
    <col min="8198" max="8198" width="14" style="269" customWidth="1"/>
    <col min="8199" max="8449" width="8.88671875" style="269"/>
    <col min="8450" max="8450" width="27.88671875" style="269" customWidth="1"/>
    <col min="8451" max="8451" width="12.33203125" style="269" customWidth="1"/>
    <col min="8452" max="8453" width="8.88671875" style="269"/>
    <col min="8454" max="8454" width="14" style="269" customWidth="1"/>
    <col min="8455" max="8705" width="8.88671875" style="269"/>
    <col min="8706" max="8706" width="27.88671875" style="269" customWidth="1"/>
    <col min="8707" max="8707" width="12.33203125" style="269" customWidth="1"/>
    <col min="8708" max="8709" width="8.88671875" style="269"/>
    <col min="8710" max="8710" width="14" style="269" customWidth="1"/>
    <col min="8711" max="8961" width="8.88671875" style="269"/>
    <col min="8962" max="8962" width="27.88671875" style="269" customWidth="1"/>
    <col min="8963" max="8963" width="12.33203125" style="269" customWidth="1"/>
    <col min="8964" max="8965" width="8.88671875" style="269"/>
    <col min="8966" max="8966" width="14" style="269" customWidth="1"/>
    <col min="8967" max="9217" width="8.88671875" style="269"/>
    <col min="9218" max="9218" width="27.88671875" style="269" customWidth="1"/>
    <col min="9219" max="9219" width="12.33203125" style="269" customWidth="1"/>
    <col min="9220" max="9221" width="8.88671875" style="269"/>
    <col min="9222" max="9222" width="14" style="269" customWidth="1"/>
    <col min="9223" max="9473" width="8.88671875" style="269"/>
    <col min="9474" max="9474" width="27.88671875" style="269" customWidth="1"/>
    <col min="9475" max="9475" width="12.33203125" style="269" customWidth="1"/>
    <col min="9476" max="9477" width="8.88671875" style="269"/>
    <col min="9478" max="9478" width="14" style="269" customWidth="1"/>
    <col min="9479" max="9729" width="8.88671875" style="269"/>
    <col min="9730" max="9730" width="27.88671875" style="269" customWidth="1"/>
    <col min="9731" max="9731" width="12.33203125" style="269" customWidth="1"/>
    <col min="9732" max="9733" width="8.88671875" style="269"/>
    <col min="9734" max="9734" width="14" style="269" customWidth="1"/>
    <col min="9735" max="9985" width="8.88671875" style="269"/>
    <col min="9986" max="9986" width="27.88671875" style="269" customWidth="1"/>
    <col min="9987" max="9987" width="12.33203125" style="269" customWidth="1"/>
    <col min="9988" max="9989" width="8.88671875" style="269"/>
    <col min="9990" max="9990" width="14" style="269" customWidth="1"/>
    <col min="9991" max="10241" width="8.88671875" style="269"/>
    <col min="10242" max="10242" width="27.88671875" style="269" customWidth="1"/>
    <col min="10243" max="10243" width="12.33203125" style="269" customWidth="1"/>
    <col min="10244" max="10245" width="8.88671875" style="269"/>
    <col min="10246" max="10246" width="14" style="269" customWidth="1"/>
    <col min="10247" max="10497" width="8.88671875" style="269"/>
    <col min="10498" max="10498" width="27.88671875" style="269" customWidth="1"/>
    <col min="10499" max="10499" width="12.33203125" style="269" customWidth="1"/>
    <col min="10500" max="10501" width="8.88671875" style="269"/>
    <col min="10502" max="10502" width="14" style="269" customWidth="1"/>
    <col min="10503" max="10753" width="8.88671875" style="269"/>
    <col min="10754" max="10754" width="27.88671875" style="269" customWidth="1"/>
    <col min="10755" max="10755" width="12.33203125" style="269" customWidth="1"/>
    <col min="10756" max="10757" width="8.88671875" style="269"/>
    <col min="10758" max="10758" width="14" style="269" customWidth="1"/>
    <col min="10759" max="11009" width="8.88671875" style="269"/>
    <col min="11010" max="11010" width="27.88671875" style="269" customWidth="1"/>
    <col min="11011" max="11011" width="12.33203125" style="269" customWidth="1"/>
    <col min="11012" max="11013" width="8.88671875" style="269"/>
    <col min="11014" max="11014" width="14" style="269" customWidth="1"/>
    <col min="11015" max="11265" width="8.88671875" style="269"/>
    <col min="11266" max="11266" width="27.88671875" style="269" customWidth="1"/>
    <col min="11267" max="11267" width="12.33203125" style="269" customWidth="1"/>
    <col min="11268" max="11269" width="8.88671875" style="269"/>
    <col min="11270" max="11270" width="14" style="269" customWidth="1"/>
    <col min="11271" max="11521" width="8.88671875" style="269"/>
    <col min="11522" max="11522" width="27.88671875" style="269" customWidth="1"/>
    <col min="11523" max="11523" width="12.33203125" style="269" customWidth="1"/>
    <col min="11524" max="11525" width="8.88671875" style="269"/>
    <col min="11526" max="11526" width="14" style="269" customWidth="1"/>
    <col min="11527" max="11777" width="8.88671875" style="269"/>
    <col min="11778" max="11778" width="27.88671875" style="269" customWidth="1"/>
    <col min="11779" max="11779" width="12.33203125" style="269" customWidth="1"/>
    <col min="11780" max="11781" width="8.88671875" style="269"/>
    <col min="11782" max="11782" width="14" style="269" customWidth="1"/>
    <col min="11783" max="12033" width="8.88671875" style="269"/>
    <col min="12034" max="12034" width="27.88671875" style="269" customWidth="1"/>
    <col min="12035" max="12035" width="12.33203125" style="269" customWidth="1"/>
    <col min="12036" max="12037" width="8.88671875" style="269"/>
    <col min="12038" max="12038" width="14" style="269" customWidth="1"/>
    <col min="12039" max="12289" width="8.88671875" style="269"/>
    <col min="12290" max="12290" width="27.88671875" style="269" customWidth="1"/>
    <col min="12291" max="12291" width="12.33203125" style="269" customWidth="1"/>
    <col min="12292" max="12293" width="8.88671875" style="269"/>
    <col min="12294" max="12294" width="14" style="269" customWidth="1"/>
    <col min="12295" max="12545" width="8.88671875" style="269"/>
    <col min="12546" max="12546" width="27.88671875" style="269" customWidth="1"/>
    <col min="12547" max="12547" width="12.33203125" style="269" customWidth="1"/>
    <col min="12548" max="12549" width="8.88671875" style="269"/>
    <col min="12550" max="12550" width="14" style="269" customWidth="1"/>
    <col min="12551" max="12801" width="8.88671875" style="269"/>
    <col min="12802" max="12802" width="27.88671875" style="269" customWidth="1"/>
    <col min="12803" max="12803" width="12.33203125" style="269" customWidth="1"/>
    <col min="12804" max="12805" width="8.88671875" style="269"/>
    <col min="12806" max="12806" width="14" style="269" customWidth="1"/>
    <col min="12807" max="13057" width="8.88671875" style="269"/>
    <col min="13058" max="13058" width="27.88671875" style="269" customWidth="1"/>
    <col min="13059" max="13059" width="12.33203125" style="269" customWidth="1"/>
    <col min="13060" max="13061" width="8.88671875" style="269"/>
    <col min="13062" max="13062" width="14" style="269" customWidth="1"/>
    <col min="13063" max="13313" width="8.88671875" style="269"/>
    <col min="13314" max="13314" width="27.88671875" style="269" customWidth="1"/>
    <col min="13315" max="13315" width="12.33203125" style="269" customWidth="1"/>
    <col min="13316" max="13317" width="8.88671875" style="269"/>
    <col min="13318" max="13318" width="14" style="269" customWidth="1"/>
    <col min="13319" max="13569" width="8.88671875" style="269"/>
    <col min="13570" max="13570" width="27.88671875" style="269" customWidth="1"/>
    <col min="13571" max="13571" width="12.33203125" style="269" customWidth="1"/>
    <col min="13572" max="13573" width="8.88671875" style="269"/>
    <col min="13574" max="13574" width="14" style="269" customWidth="1"/>
    <col min="13575" max="13825" width="8.88671875" style="269"/>
    <col min="13826" max="13826" width="27.88671875" style="269" customWidth="1"/>
    <col min="13827" max="13827" width="12.33203125" style="269" customWidth="1"/>
    <col min="13828" max="13829" width="8.88671875" style="269"/>
    <col min="13830" max="13830" width="14" style="269" customWidth="1"/>
    <col min="13831" max="14081" width="8.88671875" style="269"/>
    <col min="14082" max="14082" width="27.88671875" style="269" customWidth="1"/>
    <col min="14083" max="14083" width="12.33203125" style="269" customWidth="1"/>
    <col min="14084" max="14085" width="8.88671875" style="269"/>
    <col min="14086" max="14086" width="14" style="269" customWidth="1"/>
    <col min="14087" max="14337" width="8.88671875" style="269"/>
    <col min="14338" max="14338" width="27.88671875" style="269" customWidth="1"/>
    <col min="14339" max="14339" width="12.33203125" style="269" customWidth="1"/>
    <col min="14340" max="14341" width="8.88671875" style="269"/>
    <col min="14342" max="14342" width="14" style="269" customWidth="1"/>
    <col min="14343" max="14593" width="8.88671875" style="269"/>
    <col min="14594" max="14594" width="27.88671875" style="269" customWidth="1"/>
    <col min="14595" max="14595" width="12.33203125" style="269" customWidth="1"/>
    <col min="14596" max="14597" width="8.88671875" style="269"/>
    <col min="14598" max="14598" width="14" style="269" customWidth="1"/>
    <col min="14599" max="14849" width="8.88671875" style="269"/>
    <col min="14850" max="14850" width="27.88671875" style="269" customWidth="1"/>
    <col min="14851" max="14851" width="12.33203125" style="269" customWidth="1"/>
    <col min="14852" max="14853" width="8.88671875" style="269"/>
    <col min="14854" max="14854" width="14" style="269" customWidth="1"/>
    <col min="14855" max="15105" width="8.88671875" style="269"/>
    <col min="15106" max="15106" width="27.88671875" style="269" customWidth="1"/>
    <col min="15107" max="15107" width="12.33203125" style="269" customWidth="1"/>
    <col min="15108" max="15109" width="8.88671875" style="269"/>
    <col min="15110" max="15110" width="14" style="269" customWidth="1"/>
    <col min="15111" max="15361" width="8.88671875" style="269"/>
    <col min="15362" max="15362" width="27.88671875" style="269" customWidth="1"/>
    <col min="15363" max="15363" width="12.33203125" style="269" customWidth="1"/>
    <col min="15364" max="15365" width="8.88671875" style="269"/>
    <col min="15366" max="15366" width="14" style="269" customWidth="1"/>
    <col min="15367" max="15617" width="8.88671875" style="269"/>
    <col min="15618" max="15618" width="27.88671875" style="269" customWidth="1"/>
    <col min="15619" max="15619" width="12.33203125" style="269" customWidth="1"/>
    <col min="15620" max="15621" width="8.88671875" style="269"/>
    <col min="15622" max="15622" width="14" style="269" customWidth="1"/>
    <col min="15623" max="15873" width="8.88671875" style="269"/>
    <col min="15874" max="15874" width="27.88671875" style="269" customWidth="1"/>
    <col min="15875" max="15875" width="12.33203125" style="269" customWidth="1"/>
    <col min="15876" max="15877" width="8.88671875" style="269"/>
    <col min="15878" max="15878" width="14" style="269" customWidth="1"/>
    <col min="15879" max="16129" width="8.88671875" style="269"/>
    <col min="16130" max="16130" width="27.88671875" style="269" customWidth="1"/>
    <col min="16131" max="16131" width="12.33203125" style="269" customWidth="1"/>
    <col min="16132" max="16133" width="8.88671875" style="269"/>
    <col min="16134" max="16134" width="14" style="269" customWidth="1"/>
    <col min="16135" max="16384" width="8.88671875" style="269"/>
  </cols>
  <sheetData>
    <row r="1" spans="1:28">
      <c r="A1" s="313"/>
      <c r="B1" s="2040" t="s">
        <v>627</v>
      </c>
      <c r="C1" s="2040"/>
      <c r="D1" s="2804"/>
      <c r="E1" s="2804"/>
      <c r="F1" s="2804"/>
      <c r="H1" s="2041"/>
    </row>
    <row r="2" spans="1:28">
      <c r="A2" s="313"/>
      <c r="B2" s="2804" t="s">
        <v>628</v>
      </c>
      <c r="C2" s="2804"/>
      <c r="D2" s="2804"/>
      <c r="E2" s="2804"/>
      <c r="F2" s="2804"/>
      <c r="H2" s="2042"/>
      <c r="I2" s="281"/>
      <c r="J2" s="281"/>
      <c r="K2" s="281"/>
      <c r="L2" s="281"/>
      <c r="M2" s="281">
        <v>11680</v>
      </c>
      <c r="N2" s="281"/>
      <c r="O2" s="281"/>
      <c r="P2" s="281"/>
      <c r="Q2" s="281"/>
      <c r="R2" s="281"/>
      <c r="S2" s="281"/>
      <c r="T2" s="281"/>
      <c r="U2" s="281"/>
      <c r="V2" s="281"/>
      <c r="W2" s="281"/>
    </row>
    <row r="3" spans="1:28" ht="15" thickBot="1">
      <c r="A3" s="313"/>
      <c r="B3" s="2805"/>
      <c r="C3" s="2805"/>
      <c r="D3" s="2805"/>
      <c r="E3" s="2805"/>
      <c r="F3" s="2805"/>
      <c r="H3" s="2806">
        <v>43522</v>
      </c>
      <c r="I3" s="281"/>
      <c r="J3" s="281"/>
      <c r="K3" s="281"/>
      <c r="L3" s="281"/>
      <c r="M3" s="281">
        <f>M2/L23</f>
        <v>365</v>
      </c>
      <c r="N3" s="281"/>
      <c r="O3" s="281"/>
      <c r="P3" s="281"/>
      <c r="Q3" s="281"/>
      <c r="R3" s="281"/>
      <c r="S3" s="281"/>
      <c r="T3" s="281"/>
      <c r="U3" s="281"/>
      <c r="V3" s="281"/>
      <c r="W3" s="281"/>
    </row>
    <row r="4" spans="1:28" ht="15" thickBot="1">
      <c r="A4" s="313"/>
      <c r="B4" s="2804"/>
      <c r="C4" s="2804"/>
      <c r="D4" s="2804"/>
      <c r="E4" s="2804"/>
      <c r="F4" s="2804"/>
      <c r="H4" s="2044" t="s">
        <v>627</v>
      </c>
      <c r="I4" s="2045"/>
      <c r="J4" s="1316"/>
      <c r="K4" s="1316"/>
      <c r="L4" s="1317"/>
      <c r="M4" s="281">
        <f>M2/M3</f>
        <v>32</v>
      </c>
      <c r="N4" s="281"/>
      <c r="O4" s="281"/>
      <c r="P4" s="1272" t="s">
        <v>389</v>
      </c>
      <c r="Q4" s="1273"/>
      <c r="R4" s="1273"/>
      <c r="S4" s="1273"/>
      <c r="T4" s="1273"/>
      <c r="U4" s="1273"/>
      <c r="V4" s="1274"/>
      <c r="W4" s="281"/>
    </row>
    <row r="5" spans="1:28" ht="16.5" customHeight="1" thickBot="1">
      <c r="A5" s="313"/>
      <c r="B5" s="2807"/>
      <c r="C5" s="2808" t="s">
        <v>629</v>
      </c>
      <c r="D5" s="2046" t="s">
        <v>630</v>
      </c>
      <c r="E5" s="2046" t="s">
        <v>631</v>
      </c>
      <c r="F5" s="2047" t="s">
        <v>217</v>
      </c>
      <c r="H5" s="2048"/>
      <c r="I5" s="2809" t="s">
        <v>629</v>
      </c>
      <c r="J5" s="2810" t="s">
        <v>630</v>
      </c>
      <c r="K5" s="2810" t="s">
        <v>631</v>
      </c>
      <c r="L5" s="2811" t="s">
        <v>217</v>
      </c>
      <c r="M5" s="281"/>
      <c r="N5" s="281"/>
      <c r="O5" s="281"/>
      <c r="P5" s="2812" t="s">
        <v>455</v>
      </c>
      <c r="Q5" s="777"/>
      <c r="R5" s="777"/>
      <c r="S5" s="777"/>
      <c r="T5" s="777"/>
      <c r="U5" s="777"/>
      <c r="V5" s="2813"/>
      <c r="W5" s="281"/>
      <c r="X5" s="2814"/>
    </row>
    <row r="6" spans="1:28" ht="15" thickBot="1">
      <c r="A6" s="313"/>
      <c r="B6" s="2059" t="s">
        <v>85</v>
      </c>
      <c r="C6" s="2049">
        <v>228.57142857142856</v>
      </c>
      <c r="D6" s="2815">
        <v>54801.305737123301</v>
      </c>
      <c r="E6" s="2050">
        <v>0.14000000000000001</v>
      </c>
      <c r="F6" s="2816">
        <v>7672.1828031972627</v>
      </c>
      <c r="H6" s="2051" t="s">
        <v>85</v>
      </c>
      <c r="I6" s="2052">
        <v>228.57142857142856</v>
      </c>
      <c r="J6" s="2817">
        <f>Q6</f>
        <v>69600</v>
      </c>
      <c r="K6" s="2053">
        <v>0.14000000000000001</v>
      </c>
      <c r="L6" s="2818">
        <f>K6*J6</f>
        <v>9744.0000000000018</v>
      </c>
      <c r="M6" s="281"/>
      <c r="N6" s="281"/>
      <c r="O6" s="281"/>
      <c r="P6" s="725" t="s">
        <v>85</v>
      </c>
      <c r="Q6" s="1179">
        <f>'[13]Master Look Up'!O9</f>
        <v>69600</v>
      </c>
      <c r="R6" s="673" t="str">
        <f>'[13]Master Look Up'!P9</f>
        <v xml:space="preserve">BLS 2020 Manangement </v>
      </c>
      <c r="S6" s="673"/>
      <c r="T6" s="673"/>
      <c r="U6" s="673"/>
      <c r="V6" s="726"/>
      <c r="W6" s="281"/>
      <c r="X6" s="2819" t="s">
        <v>627</v>
      </c>
      <c r="Y6" s="2820"/>
      <c r="Z6" s="2820"/>
      <c r="AA6" s="2820"/>
      <c r="AB6" s="2821"/>
    </row>
    <row r="7" spans="1:28" ht="15" thickBot="1">
      <c r="A7" s="313"/>
      <c r="B7" s="2059" t="s">
        <v>632</v>
      </c>
      <c r="C7" s="2822">
        <v>246.15384615384613</v>
      </c>
      <c r="D7" s="2815">
        <v>70000</v>
      </c>
      <c r="E7" s="2050">
        <v>0.13</v>
      </c>
      <c r="F7" s="2823">
        <v>9100</v>
      </c>
      <c r="H7" s="2060" t="s">
        <v>632</v>
      </c>
      <c r="I7" s="2061">
        <v>246.15384615384613</v>
      </c>
      <c r="J7" s="2817">
        <f t="shared" ref="J7:J8" si="0">Q7</f>
        <v>54412.800000000003</v>
      </c>
      <c r="K7" s="2053">
        <v>0.13</v>
      </c>
      <c r="L7" s="2818">
        <f t="shared" ref="L7:L9" si="1">K7*J7</f>
        <v>7073.6640000000007</v>
      </c>
      <c r="M7" s="281"/>
      <c r="N7" s="281"/>
      <c r="O7" s="281"/>
      <c r="P7" s="1181" t="str">
        <f>H7</f>
        <v>Education Coordinator</v>
      </c>
      <c r="Q7" s="1179">
        <f>'[13]Master Look Up'!O10</f>
        <v>54412.800000000003</v>
      </c>
      <c r="R7" s="673" t="str">
        <f>'[13]Master Look Up'!P10</f>
        <v>BLS 2020 Case Manager</v>
      </c>
      <c r="S7" s="673"/>
      <c r="T7" s="673"/>
      <c r="U7" s="673"/>
      <c r="V7" s="726"/>
      <c r="W7" s="281"/>
      <c r="X7" s="1314"/>
      <c r="Y7" s="1316" t="s">
        <v>629</v>
      </c>
      <c r="Z7" s="1316" t="s">
        <v>630</v>
      </c>
      <c r="AA7" s="1316" t="s">
        <v>631</v>
      </c>
      <c r="AB7" s="1317" t="s">
        <v>217</v>
      </c>
    </row>
    <row r="8" spans="1:28">
      <c r="A8" s="313"/>
      <c r="B8" s="2059" t="s">
        <v>633</v>
      </c>
      <c r="C8" s="2057">
        <v>12.851405622489958</v>
      </c>
      <c r="D8" s="2058">
        <v>47028.112449799191</v>
      </c>
      <c r="E8" s="2050">
        <v>2.4900000000000002</v>
      </c>
      <c r="F8" s="2823">
        <v>117100</v>
      </c>
      <c r="H8" s="2060" t="s">
        <v>633</v>
      </c>
      <c r="I8" s="2052">
        <v>12.851405622489958</v>
      </c>
      <c r="J8" s="2817">
        <f t="shared" si="0"/>
        <v>34927.359999999993</v>
      </c>
      <c r="K8" s="2053">
        <v>2.4900000000000002</v>
      </c>
      <c r="L8" s="2818">
        <f t="shared" si="1"/>
        <v>86969.126399999994</v>
      </c>
      <c r="M8" s="281"/>
      <c r="N8" s="281"/>
      <c r="O8" s="281"/>
      <c r="P8" s="725" t="s">
        <v>169</v>
      </c>
      <c r="Q8" s="1179">
        <f>'[13]Master Look Up'!O11</f>
        <v>34927.359999999993</v>
      </c>
      <c r="R8" s="673" t="str">
        <f>'[13]Master Look Up'!P11</f>
        <v>BLS 2020 Direct Care I</v>
      </c>
      <c r="S8" s="673"/>
      <c r="T8" s="673"/>
      <c r="U8" s="673"/>
      <c r="V8" s="726"/>
      <c r="W8" s="281"/>
      <c r="X8" s="2824" t="s">
        <v>85</v>
      </c>
      <c r="Y8" s="2825">
        <v>228.57142857142856</v>
      </c>
      <c r="Z8" s="2826">
        <f>Q6</f>
        <v>69600</v>
      </c>
      <c r="AA8" s="2827">
        <v>0.14000000000000001</v>
      </c>
      <c r="AB8" s="2828">
        <f>Z8*AA8</f>
        <v>9744.0000000000018</v>
      </c>
    </row>
    <row r="9" spans="1:28">
      <c r="A9" s="313"/>
      <c r="B9" s="2059" t="s">
        <v>634</v>
      </c>
      <c r="C9" s="2057">
        <v>1066.6666666666667</v>
      </c>
      <c r="D9" s="2058">
        <v>29820.716213693202</v>
      </c>
      <c r="E9" s="2050">
        <v>0.03</v>
      </c>
      <c r="F9" s="2823">
        <v>894.62148641079602</v>
      </c>
      <c r="H9" s="2060" t="s">
        <v>634</v>
      </c>
      <c r="I9" s="2061">
        <v>1066.6666666666667</v>
      </c>
      <c r="J9" s="2817">
        <f>Q10</f>
        <v>34927.359999999993</v>
      </c>
      <c r="K9" s="2053">
        <v>0.03</v>
      </c>
      <c r="L9" s="2829">
        <f t="shared" si="1"/>
        <v>1047.8207999999997</v>
      </c>
      <c r="M9" s="281"/>
      <c r="N9" s="281"/>
      <c r="O9" s="281"/>
      <c r="P9" s="725" t="s">
        <v>635</v>
      </c>
      <c r="Q9" s="1179">
        <f>'[13]Master Look Up'!O12</f>
        <v>45210.880000000005</v>
      </c>
      <c r="R9" s="673" t="s">
        <v>636</v>
      </c>
      <c r="S9" s="673"/>
      <c r="T9" s="673"/>
      <c r="U9" s="673"/>
      <c r="V9" s="726"/>
      <c r="W9" s="281"/>
      <c r="X9" s="696" t="s">
        <v>632</v>
      </c>
      <c r="Y9" s="753">
        <v>246.15384615384613</v>
      </c>
      <c r="Z9" s="2830">
        <f>Q7</f>
        <v>54412.800000000003</v>
      </c>
      <c r="AA9" s="754">
        <v>0.13</v>
      </c>
      <c r="AB9" s="2831">
        <f t="shared" ref="AB9:AB12" si="2">Z9*AA9</f>
        <v>7073.6640000000007</v>
      </c>
    </row>
    <row r="10" spans="1:28" ht="15" thickBot="1">
      <c r="A10" s="313"/>
      <c r="B10" s="2062" t="s">
        <v>266</v>
      </c>
      <c r="C10" s="2063"/>
      <c r="D10" s="2063"/>
      <c r="E10" s="2064">
        <v>2.79</v>
      </c>
      <c r="F10" s="2065">
        <v>134766.80428960806</v>
      </c>
      <c r="H10" s="2066" t="s">
        <v>266</v>
      </c>
      <c r="I10" s="2067"/>
      <c r="J10" s="2067"/>
      <c r="K10" s="2068">
        <f>SUM(K6:K9)</f>
        <v>2.79</v>
      </c>
      <c r="L10" s="2069">
        <f>SUM(L6:L9)</f>
        <v>104834.6112</v>
      </c>
      <c r="M10" s="281"/>
      <c r="N10" s="281"/>
      <c r="O10" s="281"/>
      <c r="P10" s="725" t="s">
        <v>615</v>
      </c>
      <c r="Q10" s="1179">
        <f>'[13]Master Look Up'!O13</f>
        <v>34927.359999999993</v>
      </c>
      <c r="R10" s="673" t="str">
        <f>'[13]Master Look Up'!P13</f>
        <v>BLS 2020 Direct Care I</v>
      </c>
      <c r="S10" s="673"/>
      <c r="T10" s="673"/>
      <c r="U10" s="673"/>
      <c r="V10" s="726"/>
      <c r="W10" s="281"/>
      <c r="X10" s="696" t="s">
        <v>633</v>
      </c>
      <c r="Y10" s="753">
        <v>12.851405622489958</v>
      </c>
      <c r="Z10" s="2830">
        <f>Q8</f>
        <v>34927.359999999993</v>
      </c>
      <c r="AA10" s="754">
        <v>1.49</v>
      </c>
      <c r="AB10" s="2831">
        <f t="shared" si="2"/>
        <v>52041.766399999993</v>
      </c>
    </row>
    <row r="11" spans="1:28">
      <c r="A11" s="313"/>
      <c r="B11" s="2070"/>
      <c r="C11" s="2071" t="s">
        <v>339</v>
      </c>
      <c r="D11" s="2072"/>
      <c r="E11" s="2073"/>
      <c r="F11" s="2074"/>
      <c r="H11" s="2075"/>
      <c r="I11" s="2076"/>
      <c r="J11" s="2077"/>
      <c r="K11" s="2078"/>
      <c r="L11" s="2079"/>
      <c r="M11" s="281"/>
      <c r="N11" s="281"/>
      <c r="O11" s="281"/>
      <c r="P11" s="2812" t="s">
        <v>177</v>
      </c>
      <c r="Q11" s="777"/>
      <c r="R11" s="777"/>
      <c r="S11" s="777"/>
      <c r="T11" s="777"/>
      <c r="U11" s="777"/>
      <c r="V11" s="2813"/>
      <c r="W11" s="281"/>
      <c r="X11" s="696" t="s">
        <v>635</v>
      </c>
      <c r="Y11" s="753"/>
      <c r="Z11" s="2830">
        <f>Q9</f>
        <v>45210.880000000005</v>
      </c>
      <c r="AA11" s="753">
        <v>1</v>
      </c>
      <c r="AB11" s="2831">
        <f t="shared" si="2"/>
        <v>45210.880000000005</v>
      </c>
    </row>
    <row r="12" spans="1:28">
      <c r="A12" s="313"/>
      <c r="B12" s="2080" t="s">
        <v>183</v>
      </c>
      <c r="C12" s="2832">
        <v>0.19625158794108921</v>
      </c>
      <c r="D12" s="2833"/>
      <c r="E12" s="2834"/>
      <c r="F12" s="2081">
        <v>26448.199343581575</v>
      </c>
      <c r="H12" s="2082" t="s">
        <v>183</v>
      </c>
      <c r="I12" s="2835">
        <f>Q14</f>
        <v>0.224</v>
      </c>
      <c r="J12" s="2836"/>
      <c r="K12" s="2837"/>
      <c r="L12" s="2083">
        <f>I12*L10</f>
        <v>23482.952908800002</v>
      </c>
      <c r="M12" s="281"/>
      <c r="N12" s="281"/>
      <c r="O12" s="281"/>
      <c r="P12" s="696" t="s">
        <v>637</v>
      </c>
      <c r="Q12" s="1283">
        <f>'[13]Master Look Up'!F11</f>
        <v>1953.5170393964802</v>
      </c>
      <c r="R12" s="754" t="s">
        <v>180</v>
      </c>
      <c r="S12" s="754"/>
      <c r="T12" s="754"/>
      <c r="U12" s="754"/>
      <c r="V12" s="755"/>
      <c r="W12" s="281"/>
      <c r="X12" s="795" t="s">
        <v>634</v>
      </c>
      <c r="Y12" s="2838">
        <v>1066.6666666666667</v>
      </c>
      <c r="Z12" s="2839">
        <f>Q10</f>
        <v>34927.359999999993</v>
      </c>
      <c r="AA12" s="1109">
        <v>0.03</v>
      </c>
      <c r="AB12" s="2840">
        <f t="shared" si="2"/>
        <v>1047.8207999999997</v>
      </c>
    </row>
    <row r="13" spans="1:28" ht="15" thickBot="1">
      <c r="A13" s="313"/>
      <c r="B13" s="2062" t="s">
        <v>225</v>
      </c>
      <c r="C13" s="2841"/>
      <c r="D13" s="2842"/>
      <c r="E13" s="2843"/>
      <c r="F13" s="2844">
        <v>161215.00363318963</v>
      </c>
      <c r="H13" s="2066" t="s">
        <v>225</v>
      </c>
      <c r="I13" s="2845"/>
      <c r="J13" s="2846"/>
      <c r="K13" s="2847"/>
      <c r="L13" s="2848">
        <f>L12+L10</f>
        <v>128317.5641088</v>
      </c>
      <c r="M13" s="281"/>
      <c r="N13" s="281"/>
      <c r="O13" s="281"/>
      <c r="P13" s="1122"/>
      <c r="Q13" s="2849"/>
      <c r="R13" s="2849"/>
      <c r="S13" s="2849"/>
      <c r="T13" s="2849"/>
      <c r="U13" s="2849"/>
      <c r="V13" s="2850"/>
      <c r="W13" s="281"/>
      <c r="X13" s="696" t="s">
        <v>266</v>
      </c>
      <c r="Y13" s="754"/>
      <c r="Z13" s="754"/>
      <c r="AA13" s="754">
        <f>SUM(AA8:AA12)</f>
        <v>2.7899999999999996</v>
      </c>
      <c r="AB13" s="2831">
        <f>SUM(AB8:AB12)</f>
        <v>115118.1312</v>
      </c>
    </row>
    <row r="14" spans="1:28">
      <c r="A14" s="313"/>
      <c r="B14" s="2080"/>
      <c r="C14" s="2084"/>
      <c r="D14" s="2085"/>
      <c r="E14" s="2086"/>
      <c r="F14" s="2074"/>
      <c r="H14" s="2051"/>
      <c r="I14" s="2087"/>
      <c r="J14" s="2088"/>
      <c r="K14" s="2089"/>
      <c r="L14" s="2079"/>
      <c r="M14" s="281"/>
      <c r="N14" s="281"/>
      <c r="O14" s="281"/>
      <c r="P14" s="2824" t="s">
        <v>286</v>
      </c>
      <c r="Q14" s="2851">
        <f>'[13]Master Look Up'!D18</f>
        <v>0.224</v>
      </c>
      <c r="R14" s="1311" t="s">
        <v>143</v>
      </c>
      <c r="S14" s="2827"/>
      <c r="T14" s="2827"/>
      <c r="U14" s="2827"/>
      <c r="V14" s="2852"/>
      <c r="W14" s="281"/>
      <c r="X14" s="795" t="s">
        <v>183</v>
      </c>
      <c r="Y14" s="2853">
        <f>Q14</f>
        <v>0.224</v>
      </c>
      <c r="Z14" s="1109"/>
      <c r="AA14" s="1109"/>
      <c r="AB14" s="2840">
        <f>Y14*AB13</f>
        <v>25786.461388800002</v>
      </c>
    </row>
    <row r="15" spans="1:28">
      <c r="A15" s="313"/>
      <c r="B15" s="2080" t="s">
        <v>638</v>
      </c>
      <c r="C15" s="2854">
        <v>7.0167661057440697E-2</v>
      </c>
      <c r="D15" s="2085"/>
      <c r="E15" s="2086"/>
      <c r="F15" s="2081">
        <v>9456.2714451876636</v>
      </c>
      <c r="H15" s="2051" t="s">
        <v>638</v>
      </c>
      <c r="I15" s="2855">
        <v>7.0167661057440697E-2</v>
      </c>
      <c r="J15" s="1283"/>
      <c r="K15" s="2089"/>
      <c r="L15" s="2083">
        <f>I15*L13</f>
        <v>9003.7433461026958</v>
      </c>
      <c r="M15" s="281"/>
      <c r="N15" s="281"/>
      <c r="O15" s="281"/>
      <c r="P15" s="696" t="s">
        <v>62</v>
      </c>
      <c r="Q15" s="721">
        <f>'[13]Master Look Up'!D23</f>
        <v>0.12</v>
      </c>
      <c r="R15" s="755" t="s">
        <v>151</v>
      </c>
      <c r="S15" s="754"/>
      <c r="T15" s="754"/>
      <c r="U15" s="754"/>
      <c r="V15" s="755"/>
      <c r="W15" s="281"/>
      <c r="X15" s="756" t="s">
        <v>225</v>
      </c>
      <c r="Y15" s="758"/>
      <c r="Z15" s="758"/>
      <c r="AA15" s="758"/>
      <c r="AB15" s="2856">
        <f>SUM(AB13:AB14)</f>
        <v>140904.59258880001</v>
      </c>
    </row>
    <row r="16" spans="1:28">
      <c r="A16" s="313"/>
      <c r="B16" s="2080"/>
      <c r="C16" s="2857"/>
      <c r="D16" s="2858"/>
      <c r="E16" s="2858"/>
      <c r="F16" s="2859"/>
      <c r="H16" s="2051"/>
      <c r="I16" s="2860"/>
      <c r="J16" s="2861"/>
      <c r="K16" s="2861"/>
      <c r="L16" s="2862"/>
      <c r="M16" s="281"/>
      <c r="N16" s="281"/>
      <c r="O16" s="281"/>
      <c r="P16" s="696" t="s">
        <v>395</v>
      </c>
      <c r="Q16" s="721">
        <v>3.7000000000000002E-3</v>
      </c>
      <c r="R16" s="754"/>
      <c r="S16" s="754"/>
      <c r="T16" s="754"/>
      <c r="U16" s="754"/>
      <c r="V16" s="755"/>
      <c r="W16" s="281"/>
      <c r="X16" s="696"/>
      <c r="Y16" s="754"/>
      <c r="Z16" s="754"/>
      <c r="AA16" s="754"/>
      <c r="AB16" s="2831"/>
    </row>
    <row r="17" spans="1:29" ht="15" thickBot="1">
      <c r="A17" s="313"/>
      <c r="B17" s="2863"/>
      <c r="C17" s="2864"/>
      <c r="D17" s="2865"/>
      <c r="E17" s="2866"/>
      <c r="F17" s="2867"/>
      <c r="H17" s="2868"/>
      <c r="I17" s="2869"/>
      <c r="J17" s="2870"/>
      <c r="K17" s="2871"/>
      <c r="L17" s="2872"/>
      <c r="M17" s="281"/>
      <c r="N17" s="281"/>
      <c r="O17" s="281"/>
      <c r="P17" s="1122" t="s">
        <v>639</v>
      </c>
      <c r="Q17" s="1917">
        <f>'[13]Master Look Up'!D26</f>
        <v>1.0633805350099574E-2</v>
      </c>
      <c r="R17" s="2849" t="s">
        <v>153</v>
      </c>
      <c r="S17" s="2849"/>
      <c r="T17" s="2849"/>
      <c r="U17" s="2849"/>
      <c r="V17" s="2850"/>
      <c r="W17" s="281"/>
      <c r="X17" s="696" t="s">
        <v>637</v>
      </c>
      <c r="Y17" s="1283">
        <f>Q12</f>
        <v>1953.5170393964802</v>
      </c>
      <c r="Z17" s="754"/>
      <c r="AA17" s="754"/>
      <c r="AB17" s="2831">
        <f>Y17*AA13</f>
        <v>5450.312539916179</v>
      </c>
    </row>
    <row r="18" spans="1:29" ht="15" thickBot="1">
      <c r="A18" s="313"/>
      <c r="B18" s="2090" t="s">
        <v>640</v>
      </c>
      <c r="C18" s="2091"/>
      <c r="D18" s="2873"/>
      <c r="E18" s="2874"/>
      <c r="F18" s="2875">
        <v>170671.27507837728</v>
      </c>
      <c r="H18" s="2092" t="s">
        <v>640</v>
      </c>
      <c r="I18" s="2093"/>
      <c r="J18" s="2876"/>
      <c r="K18" s="2877"/>
      <c r="L18" s="2878">
        <f>L15+L13</f>
        <v>137321.30745490268</v>
      </c>
      <c r="M18" s="281"/>
      <c r="N18" s="281"/>
      <c r="O18" s="281"/>
      <c r="P18" s="2879"/>
      <c r="Q18" s="281"/>
      <c r="R18" s="281"/>
      <c r="S18" s="281"/>
      <c r="T18" s="281"/>
      <c r="U18" s="281"/>
      <c r="V18" s="281"/>
      <c r="W18" s="281"/>
      <c r="X18" s="696"/>
      <c r="Y18" s="754"/>
      <c r="Z18" s="754"/>
      <c r="AA18" s="754"/>
      <c r="AB18" s="2831"/>
    </row>
    <row r="19" spans="1:29" ht="15" thickTop="1">
      <c r="A19" s="313"/>
      <c r="B19" s="2080" t="s">
        <v>347</v>
      </c>
      <c r="C19" s="2094">
        <v>0.11101144706043763</v>
      </c>
      <c r="D19" s="2086"/>
      <c r="E19" s="2880"/>
      <c r="F19" s="2074">
        <v>14960.657959900183</v>
      </c>
      <c r="H19" s="2051" t="s">
        <v>347</v>
      </c>
      <c r="I19" s="2095">
        <f>Q15</f>
        <v>0.12</v>
      </c>
      <c r="J19" s="2881"/>
      <c r="K19" s="2882"/>
      <c r="L19" s="2079">
        <f>I19*L18</f>
        <v>16478.556894588321</v>
      </c>
      <c r="M19" s="281"/>
      <c r="N19" s="281"/>
      <c r="O19" s="281"/>
      <c r="P19" s="2879"/>
      <c r="Q19" s="281"/>
      <c r="R19" s="281"/>
      <c r="S19" s="281"/>
      <c r="T19" s="281"/>
      <c r="U19" s="281"/>
      <c r="V19" s="281"/>
      <c r="W19" s="281"/>
      <c r="X19" s="2883" t="s">
        <v>640</v>
      </c>
      <c r="Y19" s="2224"/>
      <c r="Z19" s="2224"/>
      <c r="AA19" s="2224"/>
      <c r="AB19" s="2884">
        <f>SUM(AB15:AB18)</f>
        <v>146354.90512871617</v>
      </c>
    </row>
    <row r="20" spans="1:29">
      <c r="A20" s="313"/>
      <c r="B20" s="2080" t="s">
        <v>641</v>
      </c>
      <c r="C20" s="2094"/>
      <c r="D20" s="2086"/>
      <c r="E20" s="2880"/>
      <c r="F20" s="2885">
        <v>185631.93303827746</v>
      </c>
      <c r="H20" s="2051" t="str">
        <f>P16</f>
        <v>PFMLA Trust Contribution</v>
      </c>
      <c r="I20" s="2886">
        <f>Q16</f>
        <v>3.7000000000000002E-3</v>
      </c>
      <c r="J20" s="2881"/>
      <c r="K20" s="2882"/>
      <c r="L20" s="2079">
        <f>I20*L10</f>
        <v>387.88806144</v>
      </c>
      <c r="M20" s="281"/>
      <c r="N20" s="281"/>
      <c r="O20" s="281"/>
      <c r="P20" s="2879"/>
      <c r="Q20" s="281"/>
      <c r="R20" s="281"/>
      <c r="S20" s="281"/>
      <c r="T20" s="281"/>
      <c r="U20" s="281"/>
      <c r="V20" s="281"/>
      <c r="W20" s="281"/>
      <c r="X20" s="696" t="s">
        <v>347</v>
      </c>
      <c r="Y20" s="2227">
        <f>Q15</f>
        <v>0.12</v>
      </c>
      <c r="Z20" s="754"/>
      <c r="AA20" s="754"/>
      <c r="AB20" s="2831">
        <f>Y20*AB19</f>
        <v>17562.58861544594</v>
      </c>
    </row>
    <row r="21" spans="1:29" ht="15" thickBot="1">
      <c r="A21" s="313"/>
      <c r="B21" s="2863" t="s">
        <v>642</v>
      </c>
      <c r="C21" s="2098">
        <v>4.4640068153077195E-2</v>
      </c>
      <c r="D21" s="2086"/>
      <c r="E21" s="2880"/>
      <c r="F21" s="2074">
        <v>193918.55518049363</v>
      </c>
      <c r="H21" s="2051" t="s">
        <v>291</v>
      </c>
      <c r="I21" s="2095"/>
      <c r="J21" s="2881"/>
      <c r="K21" s="2882"/>
      <c r="L21" s="2887">
        <f>SUM(L18:L20)</f>
        <v>154187.75241093099</v>
      </c>
      <c r="M21" s="281"/>
      <c r="N21" s="281"/>
      <c r="O21" s="281"/>
      <c r="P21" s="2879"/>
      <c r="Q21" s="1934"/>
      <c r="R21" s="281"/>
      <c r="S21" s="281"/>
      <c r="T21" s="281"/>
      <c r="U21" s="281"/>
      <c r="V21" s="281"/>
      <c r="W21" s="281"/>
      <c r="X21" s="1122" t="s">
        <v>395</v>
      </c>
      <c r="Y21" s="2888">
        <f>Q16</f>
        <v>3.7000000000000002E-3</v>
      </c>
      <c r="Z21" s="2849"/>
      <c r="AA21" s="2849"/>
      <c r="AB21" s="2889">
        <f>Y21*AB19</f>
        <v>541.51314897624991</v>
      </c>
    </row>
    <row r="22" spans="1:29" ht="15" hidden="1" thickTop="1">
      <c r="A22" s="313"/>
      <c r="B22" s="2890" t="s">
        <v>643</v>
      </c>
      <c r="C22" s="2099"/>
      <c r="D22" s="2099"/>
      <c r="E22" s="2099"/>
      <c r="F22" s="2891">
        <v>16.602616025727194</v>
      </c>
      <c r="G22" s="2892"/>
      <c r="H22" s="2893" t="s">
        <v>643</v>
      </c>
      <c r="I22" s="2894">
        <f>365*33</f>
        <v>12045</v>
      </c>
      <c r="J22" s="2100"/>
      <c r="K22" s="2100"/>
      <c r="L22" s="2895">
        <f>L21/I22</f>
        <v>12.80097570867007</v>
      </c>
      <c r="M22" s="281"/>
      <c r="N22" s="281"/>
      <c r="O22" s="1412"/>
      <c r="P22" s="281"/>
      <c r="Q22" s="1934"/>
      <c r="R22" s="281"/>
      <c r="S22" s="281"/>
      <c r="T22" s="281"/>
      <c r="U22" s="281"/>
      <c r="V22" s="281"/>
      <c r="W22" s="281"/>
      <c r="X22" s="696" t="s">
        <v>291</v>
      </c>
      <c r="Y22" s="754"/>
      <c r="Z22" s="754"/>
      <c r="AA22" s="754"/>
      <c r="AB22" s="2896">
        <f>SUM(AB19:AB21)</f>
        <v>164459.00689313837</v>
      </c>
    </row>
    <row r="23" spans="1:29" ht="15.75" customHeight="1" thickBot="1">
      <c r="A23" s="313"/>
      <c r="B23" s="2897" t="s">
        <v>485</v>
      </c>
      <c r="C23" s="2898"/>
      <c r="D23" s="2898"/>
      <c r="E23" s="2898"/>
      <c r="F23" s="2102">
        <v>32</v>
      </c>
      <c r="H23" s="2899" t="s">
        <v>485</v>
      </c>
      <c r="I23" s="2900"/>
      <c r="J23" s="2900"/>
      <c r="K23" s="2900"/>
      <c r="L23" s="2103">
        <v>32</v>
      </c>
      <c r="M23" s="281"/>
      <c r="N23" s="281"/>
      <c r="O23" s="281"/>
      <c r="P23" s="281"/>
      <c r="Q23" s="1934"/>
      <c r="R23" s="281"/>
      <c r="S23" s="281"/>
      <c r="T23" s="281"/>
      <c r="U23" s="281"/>
      <c r="V23" s="281"/>
      <c r="W23" s="281"/>
      <c r="X23" s="1122" t="s">
        <v>644</v>
      </c>
      <c r="Y23" s="2849"/>
      <c r="Z23" s="2849"/>
      <c r="AA23" s="2849"/>
      <c r="AB23" s="2901">
        <f>AB19+AB20+AB21</f>
        <v>164459.00689313837</v>
      </c>
    </row>
    <row r="24" spans="1:29" ht="15" thickBot="1">
      <c r="A24" s="313"/>
      <c r="B24" s="2104" t="s">
        <v>645</v>
      </c>
      <c r="C24" s="2105"/>
      <c r="D24" s="2105"/>
      <c r="E24" s="2106">
        <f>'[14]Parent Skill Dev Group'!E26</f>
        <v>2.9824052590873982E-2</v>
      </c>
      <c r="F24" s="2902">
        <f>F22*(E24+1)</f>
        <v>17.097773319224569</v>
      </c>
      <c r="H24" s="1198" t="s">
        <v>646</v>
      </c>
      <c r="I24" s="1200"/>
      <c r="J24" s="2107">
        <f>Q17</f>
        <v>1.0633805350099574E-2</v>
      </c>
      <c r="K24" s="2107"/>
      <c r="L24" s="2108">
        <f>L22*(1+J24)</f>
        <v>12.93709879264742</v>
      </c>
      <c r="M24" s="281"/>
      <c r="N24" s="281"/>
      <c r="O24" s="1412"/>
      <c r="P24" s="281"/>
      <c r="Q24" s="1934"/>
      <c r="R24" s="281"/>
      <c r="S24" s="281"/>
      <c r="T24" s="281"/>
      <c r="U24" s="281"/>
      <c r="V24" s="281"/>
      <c r="W24" s="281"/>
      <c r="X24" s="1314" t="s">
        <v>643</v>
      </c>
      <c r="Y24" s="1316">
        <v>9000</v>
      </c>
      <c r="Z24" s="1316"/>
      <c r="AA24" s="1316"/>
      <c r="AB24" s="2903">
        <f>AB23/Y24</f>
        <v>18.273222988126484</v>
      </c>
    </row>
    <row r="25" spans="1:29">
      <c r="A25" s="313"/>
      <c r="B25" s="2104" t="s">
        <v>647</v>
      </c>
      <c r="C25" s="2109"/>
      <c r="D25" s="2110">
        <f>F25/F24</f>
        <v>1.027235921972764</v>
      </c>
      <c r="E25" s="2106">
        <f>'[14]Parent Skill Dev Group'!E27</f>
        <v>2.7235921972764018E-2</v>
      </c>
      <c r="F25" s="2904">
        <f>F24*(E25+1)</f>
        <v>17.563446939254977</v>
      </c>
      <c r="H25" s="754"/>
      <c r="I25" s="754"/>
      <c r="J25" s="754"/>
      <c r="K25" s="754"/>
      <c r="L25" s="2254"/>
      <c r="M25" s="281"/>
      <c r="N25" s="281"/>
      <c r="O25" s="2905"/>
      <c r="P25" s="281"/>
      <c r="Q25" s="1934"/>
      <c r="R25" s="281"/>
      <c r="S25" s="281"/>
      <c r="T25" s="281"/>
      <c r="U25" s="281"/>
      <c r="V25" s="281"/>
      <c r="W25" s="281"/>
      <c r="X25" s="696" t="s">
        <v>485</v>
      </c>
      <c r="Y25" s="754"/>
      <c r="Z25" s="754"/>
      <c r="AA25" s="754"/>
      <c r="AB25" s="755">
        <v>32</v>
      </c>
    </row>
    <row r="26" spans="1:29" ht="15" thickBot="1">
      <c r="A26" s="313"/>
      <c r="B26" s="313"/>
      <c r="C26" s="313"/>
      <c r="D26" s="313"/>
      <c r="E26" s="313"/>
      <c r="F26" s="313"/>
      <c r="H26" s="754"/>
      <c r="I26" s="754"/>
      <c r="J26" s="754"/>
      <c r="K26" s="754"/>
      <c r="L26" s="754"/>
      <c r="M26" s="281"/>
      <c r="N26" s="281"/>
      <c r="O26" s="2905"/>
      <c r="P26" s="281"/>
      <c r="Q26" s="281"/>
      <c r="R26" s="281"/>
      <c r="S26" s="281"/>
      <c r="T26" s="281"/>
      <c r="U26" s="281"/>
      <c r="V26" s="281"/>
      <c r="W26" s="281"/>
      <c r="X26" s="1122" t="s">
        <v>648</v>
      </c>
      <c r="Y26" s="2888">
        <f>Q17</f>
        <v>1.0633805350099574E-2</v>
      </c>
      <c r="Z26" s="520"/>
      <c r="AA26" s="2849"/>
      <c r="AB26" s="2906">
        <f>(Y26*AB24)+AB24</f>
        <v>18.467536884501186</v>
      </c>
      <c r="AC26" s="1950"/>
    </row>
    <row r="27" spans="1:29">
      <c r="A27" s="313"/>
      <c r="B27" s="313"/>
      <c r="C27" s="313"/>
      <c r="D27" s="313"/>
      <c r="E27" s="313"/>
      <c r="F27" s="313"/>
      <c r="H27" s="281"/>
      <c r="I27" s="281"/>
      <c r="J27" s="281"/>
      <c r="K27" s="281"/>
      <c r="L27" s="281"/>
      <c r="M27" s="281"/>
      <c r="N27" s="281"/>
      <c r="O27" s="281"/>
      <c r="W27" s="281"/>
      <c r="AC27" s="491"/>
    </row>
    <row r="28" spans="1:29">
      <c r="A28" s="313"/>
      <c r="B28" s="313"/>
      <c r="C28" s="313"/>
      <c r="D28" s="313"/>
      <c r="E28" s="313"/>
      <c r="F28" s="313"/>
      <c r="H28" s="2796"/>
      <c r="M28" s="302"/>
    </row>
    <row r="29" spans="1:29">
      <c r="A29" s="313"/>
      <c r="B29" s="313"/>
      <c r="C29" s="313"/>
      <c r="D29" s="313"/>
      <c r="E29" s="313"/>
      <c r="F29" s="313"/>
      <c r="M29" s="302"/>
    </row>
    <row r="30" spans="1:29">
      <c r="A30" s="313"/>
      <c r="B30" s="313"/>
      <c r="C30" s="313"/>
      <c r="D30" s="313"/>
      <c r="E30" s="313"/>
      <c r="F30" s="313"/>
      <c r="M30" s="302"/>
    </row>
    <row r="31" spans="1:29">
      <c r="A31" s="313"/>
      <c r="B31" s="313"/>
      <c r="C31" s="313"/>
      <c r="D31" s="313"/>
      <c r="E31" s="313"/>
      <c r="F31" s="313"/>
      <c r="M31" s="302"/>
    </row>
    <row r="32" spans="1:29">
      <c r="A32" s="313"/>
      <c r="B32" s="313"/>
      <c r="C32" s="313"/>
      <c r="D32" s="313"/>
      <c r="E32" s="313"/>
      <c r="F32" s="313"/>
      <c r="M32" s="302"/>
    </row>
    <row r="33" spans="1:13">
      <c r="A33" s="313"/>
      <c r="B33" s="313"/>
      <c r="C33" s="313"/>
      <c r="D33" s="313"/>
      <c r="E33" s="313"/>
      <c r="F33" s="313"/>
      <c r="M33" s="302"/>
    </row>
    <row r="34" spans="1:13">
      <c r="A34" s="313"/>
      <c r="B34" s="313"/>
      <c r="C34" s="313"/>
      <c r="D34" s="313"/>
      <c r="E34" s="313"/>
      <c r="F34" s="313"/>
      <c r="M34" s="302"/>
    </row>
    <row r="35" spans="1:13">
      <c r="A35" s="313"/>
      <c r="B35" s="313"/>
      <c r="C35" s="313"/>
      <c r="D35" s="313"/>
      <c r="E35" s="313"/>
      <c r="F35" s="313"/>
    </row>
  </sheetData>
  <mergeCells count="4">
    <mergeCell ref="P4:V4"/>
    <mergeCell ref="P5:V5"/>
    <mergeCell ref="X6:AB6"/>
    <mergeCell ref="P11:V11"/>
  </mergeCells>
  <pageMargins left="0.7" right="0.7" top="0.75" bottom="0.75" header="0.3" footer="0.3"/>
  <pageSetup scale="74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74"/>
  <sheetViews>
    <sheetView topLeftCell="G4" zoomScale="85" zoomScaleNormal="85" workbookViewId="0">
      <selection activeCell="Y34" sqref="Y34"/>
    </sheetView>
  </sheetViews>
  <sheetFormatPr defaultRowHeight="14.4"/>
  <cols>
    <col min="1" max="1" width="1.6640625" style="313" hidden="1" customWidth="1"/>
    <col min="2" max="2" width="25.5546875" style="269" hidden="1" customWidth="1"/>
    <col min="3" max="3" width="17.109375" style="269" hidden="1" customWidth="1"/>
    <col min="4" max="4" width="14" style="269" hidden="1" customWidth="1"/>
    <col min="5" max="5" width="13.6640625" style="269" hidden="1" customWidth="1"/>
    <col min="6" max="6" width="16.88671875" style="269" hidden="1" customWidth="1"/>
    <col min="7" max="7" width="8" style="269" customWidth="1"/>
    <col min="8" max="9" width="16.88671875" style="269" customWidth="1"/>
    <col min="10" max="10" width="14.44140625" style="269" customWidth="1"/>
    <col min="11" max="11" width="20.88671875" style="269" customWidth="1"/>
    <col min="12" max="12" width="16.88671875" style="269" customWidth="1"/>
    <col min="13" max="14" width="16.88671875" style="269" hidden="1" customWidth="1"/>
    <col min="15" max="15" width="10.33203125" style="269" hidden="1" customWidth="1"/>
    <col min="16" max="16" width="32.33203125" style="269" hidden="1" customWidth="1"/>
    <col min="17" max="17" width="0" style="269" hidden="1" customWidth="1"/>
    <col min="18" max="18" width="12.109375" style="269" hidden="1" customWidth="1"/>
    <col min="19" max="19" width="10.109375" style="269" hidden="1" customWidth="1"/>
    <col min="20" max="20" width="12.6640625" style="269" hidden="1" customWidth="1"/>
    <col min="21" max="21" width="10.33203125" style="269" hidden="1" customWidth="1"/>
    <col min="22" max="22" width="8.88671875" style="269"/>
    <col min="23" max="23" width="36" style="269" customWidth="1"/>
    <col min="24" max="24" width="12.33203125" style="269" bestFit="1" customWidth="1"/>
    <col min="25" max="265" width="8.88671875" style="269"/>
    <col min="266" max="266" width="25.5546875" style="269" customWidth="1"/>
    <col min="267" max="267" width="17.109375" style="269" customWidth="1"/>
    <col min="268" max="268" width="14" style="269" customWidth="1"/>
    <col min="269" max="269" width="13.6640625" style="269" customWidth="1"/>
    <col min="270" max="270" width="16.88671875" style="269" customWidth="1"/>
    <col min="271" max="521" width="8.88671875" style="269"/>
    <col min="522" max="522" width="25.5546875" style="269" customWidth="1"/>
    <col min="523" max="523" width="17.109375" style="269" customWidth="1"/>
    <col min="524" max="524" width="14" style="269" customWidth="1"/>
    <col min="525" max="525" width="13.6640625" style="269" customWidth="1"/>
    <col min="526" max="526" width="16.88671875" style="269" customWidth="1"/>
    <col min="527" max="777" width="8.88671875" style="269"/>
    <col min="778" max="778" width="25.5546875" style="269" customWidth="1"/>
    <col min="779" max="779" width="17.109375" style="269" customWidth="1"/>
    <col min="780" max="780" width="14" style="269" customWidth="1"/>
    <col min="781" max="781" width="13.6640625" style="269" customWidth="1"/>
    <col min="782" max="782" width="16.88671875" style="269" customWidth="1"/>
    <col min="783" max="1033" width="8.88671875" style="269"/>
    <col min="1034" max="1034" width="25.5546875" style="269" customWidth="1"/>
    <col min="1035" max="1035" width="17.109375" style="269" customWidth="1"/>
    <col min="1036" max="1036" width="14" style="269" customWidth="1"/>
    <col min="1037" max="1037" width="13.6640625" style="269" customWidth="1"/>
    <col min="1038" max="1038" width="16.88671875" style="269" customWidth="1"/>
    <col min="1039" max="1289" width="8.88671875" style="269"/>
    <col min="1290" max="1290" width="25.5546875" style="269" customWidth="1"/>
    <col min="1291" max="1291" width="17.109375" style="269" customWidth="1"/>
    <col min="1292" max="1292" width="14" style="269" customWidth="1"/>
    <col min="1293" max="1293" width="13.6640625" style="269" customWidth="1"/>
    <col min="1294" max="1294" width="16.88671875" style="269" customWidth="1"/>
    <col min="1295" max="1545" width="8.88671875" style="269"/>
    <col min="1546" max="1546" width="25.5546875" style="269" customWidth="1"/>
    <col min="1547" max="1547" width="17.109375" style="269" customWidth="1"/>
    <col min="1548" max="1548" width="14" style="269" customWidth="1"/>
    <col min="1549" max="1549" width="13.6640625" style="269" customWidth="1"/>
    <col min="1550" max="1550" width="16.88671875" style="269" customWidth="1"/>
    <col min="1551" max="1801" width="8.88671875" style="269"/>
    <col min="1802" max="1802" width="25.5546875" style="269" customWidth="1"/>
    <col min="1803" max="1803" width="17.109375" style="269" customWidth="1"/>
    <col min="1804" max="1804" width="14" style="269" customWidth="1"/>
    <col min="1805" max="1805" width="13.6640625" style="269" customWidth="1"/>
    <col min="1806" max="1806" width="16.88671875" style="269" customWidth="1"/>
    <col min="1807" max="2057" width="8.88671875" style="269"/>
    <col min="2058" max="2058" width="25.5546875" style="269" customWidth="1"/>
    <col min="2059" max="2059" width="17.109375" style="269" customWidth="1"/>
    <col min="2060" max="2060" width="14" style="269" customWidth="1"/>
    <col min="2061" max="2061" width="13.6640625" style="269" customWidth="1"/>
    <col min="2062" max="2062" width="16.88671875" style="269" customWidth="1"/>
    <col min="2063" max="2313" width="8.88671875" style="269"/>
    <col min="2314" max="2314" width="25.5546875" style="269" customWidth="1"/>
    <col min="2315" max="2315" width="17.109375" style="269" customWidth="1"/>
    <col min="2316" max="2316" width="14" style="269" customWidth="1"/>
    <col min="2317" max="2317" width="13.6640625" style="269" customWidth="1"/>
    <col min="2318" max="2318" width="16.88671875" style="269" customWidth="1"/>
    <col min="2319" max="2569" width="8.88671875" style="269"/>
    <col min="2570" max="2570" width="25.5546875" style="269" customWidth="1"/>
    <col min="2571" max="2571" width="17.109375" style="269" customWidth="1"/>
    <col min="2572" max="2572" width="14" style="269" customWidth="1"/>
    <col min="2573" max="2573" width="13.6640625" style="269" customWidth="1"/>
    <col min="2574" max="2574" width="16.88671875" style="269" customWidth="1"/>
    <col min="2575" max="2825" width="8.88671875" style="269"/>
    <col min="2826" max="2826" width="25.5546875" style="269" customWidth="1"/>
    <col min="2827" max="2827" width="17.109375" style="269" customWidth="1"/>
    <col min="2828" max="2828" width="14" style="269" customWidth="1"/>
    <col min="2829" max="2829" width="13.6640625" style="269" customWidth="1"/>
    <col min="2830" max="2830" width="16.88671875" style="269" customWidth="1"/>
    <col min="2831" max="3081" width="8.88671875" style="269"/>
    <col min="3082" max="3082" width="25.5546875" style="269" customWidth="1"/>
    <col min="3083" max="3083" width="17.109375" style="269" customWidth="1"/>
    <col min="3084" max="3084" width="14" style="269" customWidth="1"/>
    <col min="3085" max="3085" width="13.6640625" style="269" customWidth="1"/>
    <col min="3086" max="3086" width="16.88671875" style="269" customWidth="1"/>
    <col min="3087" max="3337" width="8.88671875" style="269"/>
    <col min="3338" max="3338" width="25.5546875" style="269" customWidth="1"/>
    <col min="3339" max="3339" width="17.109375" style="269" customWidth="1"/>
    <col min="3340" max="3340" width="14" style="269" customWidth="1"/>
    <col min="3341" max="3341" width="13.6640625" style="269" customWidth="1"/>
    <col min="3342" max="3342" width="16.88671875" style="269" customWidth="1"/>
    <col min="3343" max="3593" width="8.88671875" style="269"/>
    <col min="3594" max="3594" width="25.5546875" style="269" customWidth="1"/>
    <col min="3595" max="3595" width="17.109375" style="269" customWidth="1"/>
    <col min="3596" max="3596" width="14" style="269" customWidth="1"/>
    <col min="3597" max="3597" width="13.6640625" style="269" customWidth="1"/>
    <col min="3598" max="3598" width="16.88671875" style="269" customWidth="1"/>
    <col min="3599" max="3849" width="8.88671875" style="269"/>
    <col min="3850" max="3850" width="25.5546875" style="269" customWidth="1"/>
    <col min="3851" max="3851" width="17.109375" style="269" customWidth="1"/>
    <col min="3852" max="3852" width="14" style="269" customWidth="1"/>
    <col min="3853" max="3853" width="13.6640625" style="269" customWidth="1"/>
    <col min="3854" max="3854" width="16.88671875" style="269" customWidth="1"/>
    <col min="3855" max="4105" width="8.88671875" style="269"/>
    <col min="4106" max="4106" width="25.5546875" style="269" customWidth="1"/>
    <col min="4107" max="4107" width="17.109375" style="269" customWidth="1"/>
    <col min="4108" max="4108" width="14" style="269" customWidth="1"/>
    <col min="4109" max="4109" width="13.6640625" style="269" customWidth="1"/>
    <col min="4110" max="4110" width="16.88671875" style="269" customWidth="1"/>
    <col min="4111" max="4361" width="8.88671875" style="269"/>
    <col min="4362" max="4362" width="25.5546875" style="269" customWidth="1"/>
    <col min="4363" max="4363" width="17.109375" style="269" customWidth="1"/>
    <col min="4364" max="4364" width="14" style="269" customWidth="1"/>
    <col min="4365" max="4365" width="13.6640625" style="269" customWidth="1"/>
    <col min="4366" max="4366" width="16.88671875" style="269" customWidth="1"/>
    <col min="4367" max="4617" width="8.88671875" style="269"/>
    <col min="4618" max="4618" width="25.5546875" style="269" customWidth="1"/>
    <col min="4619" max="4619" width="17.109375" style="269" customWidth="1"/>
    <col min="4620" max="4620" width="14" style="269" customWidth="1"/>
    <col min="4621" max="4621" width="13.6640625" style="269" customWidth="1"/>
    <col min="4622" max="4622" width="16.88671875" style="269" customWidth="1"/>
    <col min="4623" max="4873" width="8.88671875" style="269"/>
    <col min="4874" max="4874" width="25.5546875" style="269" customWidth="1"/>
    <col min="4875" max="4875" width="17.109375" style="269" customWidth="1"/>
    <col min="4876" max="4876" width="14" style="269" customWidth="1"/>
    <col min="4877" max="4877" width="13.6640625" style="269" customWidth="1"/>
    <col min="4878" max="4878" width="16.88671875" style="269" customWidth="1"/>
    <col min="4879" max="5129" width="8.88671875" style="269"/>
    <col min="5130" max="5130" width="25.5546875" style="269" customWidth="1"/>
    <col min="5131" max="5131" width="17.109375" style="269" customWidth="1"/>
    <col min="5132" max="5132" width="14" style="269" customWidth="1"/>
    <col min="5133" max="5133" width="13.6640625" style="269" customWidth="1"/>
    <col min="5134" max="5134" width="16.88671875" style="269" customWidth="1"/>
    <col min="5135" max="5385" width="8.88671875" style="269"/>
    <col min="5386" max="5386" width="25.5546875" style="269" customWidth="1"/>
    <col min="5387" max="5387" width="17.109375" style="269" customWidth="1"/>
    <col min="5388" max="5388" width="14" style="269" customWidth="1"/>
    <col min="5389" max="5389" width="13.6640625" style="269" customWidth="1"/>
    <col min="5390" max="5390" width="16.88671875" style="269" customWidth="1"/>
    <col min="5391" max="5641" width="8.88671875" style="269"/>
    <col min="5642" max="5642" width="25.5546875" style="269" customWidth="1"/>
    <col min="5643" max="5643" width="17.109375" style="269" customWidth="1"/>
    <col min="5644" max="5644" width="14" style="269" customWidth="1"/>
    <col min="5645" max="5645" width="13.6640625" style="269" customWidth="1"/>
    <col min="5646" max="5646" width="16.88671875" style="269" customWidth="1"/>
    <col min="5647" max="5897" width="8.88671875" style="269"/>
    <col min="5898" max="5898" width="25.5546875" style="269" customWidth="1"/>
    <col min="5899" max="5899" width="17.109375" style="269" customWidth="1"/>
    <col min="5900" max="5900" width="14" style="269" customWidth="1"/>
    <col min="5901" max="5901" width="13.6640625" style="269" customWidth="1"/>
    <col min="5902" max="5902" width="16.88671875" style="269" customWidth="1"/>
    <col min="5903" max="6153" width="8.88671875" style="269"/>
    <col min="6154" max="6154" width="25.5546875" style="269" customWidth="1"/>
    <col min="6155" max="6155" width="17.109375" style="269" customWidth="1"/>
    <col min="6156" max="6156" width="14" style="269" customWidth="1"/>
    <col min="6157" max="6157" width="13.6640625" style="269" customWidth="1"/>
    <col min="6158" max="6158" width="16.88671875" style="269" customWidth="1"/>
    <col min="6159" max="6409" width="8.88671875" style="269"/>
    <col min="6410" max="6410" width="25.5546875" style="269" customWidth="1"/>
    <col min="6411" max="6411" width="17.109375" style="269" customWidth="1"/>
    <col min="6412" max="6412" width="14" style="269" customWidth="1"/>
    <col min="6413" max="6413" width="13.6640625" style="269" customWidth="1"/>
    <col min="6414" max="6414" width="16.88671875" style="269" customWidth="1"/>
    <col min="6415" max="6665" width="8.88671875" style="269"/>
    <col min="6666" max="6666" width="25.5546875" style="269" customWidth="1"/>
    <col min="6667" max="6667" width="17.109375" style="269" customWidth="1"/>
    <col min="6668" max="6668" width="14" style="269" customWidth="1"/>
    <col min="6669" max="6669" width="13.6640625" style="269" customWidth="1"/>
    <col min="6670" max="6670" width="16.88671875" style="269" customWidth="1"/>
    <col min="6671" max="6921" width="8.88671875" style="269"/>
    <col min="6922" max="6922" width="25.5546875" style="269" customWidth="1"/>
    <col min="6923" max="6923" width="17.109375" style="269" customWidth="1"/>
    <col min="6924" max="6924" width="14" style="269" customWidth="1"/>
    <col min="6925" max="6925" width="13.6640625" style="269" customWidth="1"/>
    <col min="6926" max="6926" width="16.88671875" style="269" customWidth="1"/>
    <col min="6927" max="7177" width="8.88671875" style="269"/>
    <col min="7178" max="7178" width="25.5546875" style="269" customWidth="1"/>
    <col min="7179" max="7179" width="17.109375" style="269" customWidth="1"/>
    <col min="7180" max="7180" width="14" style="269" customWidth="1"/>
    <col min="7181" max="7181" width="13.6640625" style="269" customWidth="1"/>
    <col min="7182" max="7182" width="16.88671875" style="269" customWidth="1"/>
    <col min="7183" max="7433" width="8.88671875" style="269"/>
    <col min="7434" max="7434" width="25.5546875" style="269" customWidth="1"/>
    <col min="7435" max="7435" width="17.109375" style="269" customWidth="1"/>
    <col min="7436" max="7436" width="14" style="269" customWidth="1"/>
    <col min="7437" max="7437" width="13.6640625" style="269" customWidth="1"/>
    <col min="7438" max="7438" width="16.88671875" style="269" customWidth="1"/>
    <col min="7439" max="7689" width="8.88671875" style="269"/>
    <col min="7690" max="7690" width="25.5546875" style="269" customWidth="1"/>
    <col min="7691" max="7691" width="17.109375" style="269" customWidth="1"/>
    <col min="7692" max="7692" width="14" style="269" customWidth="1"/>
    <col min="7693" max="7693" width="13.6640625" style="269" customWidth="1"/>
    <col min="7694" max="7694" width="16.88671875" style="269" customWidth="1"/>
    <col min="7695" max="7945" width="8.88671875" style="269"/>
    <col min="7946" max="7946" width="25.5546875" style="269" customWidth="1"/>
    <col min="7947" max="7947" width="17.109375" style="269" customWidth="1"/>
    <col min="7948" max="7948" width="14" style="269" customWidth="1"/>
    <col min="7949" max="7949" width="13.6640625" style="269" customWidth="1"/>
    <col min="7950" max="7950" width="16.88671875" style="269" customWidth="1"/>
    <col min="7951" max="8201" width="8.88671875" style="269"/>
    <col min="8202" max="8202" width="25.5546875" style="269" customWidth="1"/>
    <col min="8203" max="8203" width="17.109375" style="269" customWidth="1"/>
    <col min="8204" max="8204" width="14" style="269" customWidth="1"/>
    <col min="8205" max="8205" width="13.6640625" style="269" customWidth="1"/>
    <col min="8206" max="8206" width="16.88671875" style="269" customWidth="1"/>
    <col min="8207" max="8457" width="8.88671875" style="269"/>
    <col min="8458" max="8458" width="25.5546875" style="269" customWidth="1"/>
    <col min="8459" max="8459" width="17.109375" style="269" customWidth="1"/>
    <col min="8460" max="8460" width="14" style="269" customWidth="1"/>
    <col min="8461" max="8461" width="13.6640625" style="269" customWidth="1"/>
    <col min="8462" max="8462" width="16.88671875" style="269" customWidth="1"/>
    <col min="8463" max="8713" width="8.88671875" style="269"/>
    <col min="8714" max="8714" width="25.5546875" style="269" customWidth="1"/>
    <col min="8715" max="8715" width="17.109375" style="269" customWidth="1"/>
    <col min="8716" max="8716" width="14" style="269" customWidth="1"/>
    <col min="8717" max="8717" width="13.6640625" style="269" customWidth="1"/>
    <col min="8718" max="8718" width="16.88671875" style="269" customWidth="1"/>
    <col min="8719" max="8969" width="8.88671875" style="269"/>
    <col min="8970" max="8970" width="25.5546875" style="269" customWidth="1"/>
    <col min="8971" max="8971" width="17.109375" style="269" customWidth="1"/>
    <col min="8972" max="8972" width="14" style="269" customWidth="1"/>
    <col min="8973" max="8973" width="13.6640625" style="269" customWidth="1"/>
    <col min="8974" max="8974" width="16.88671875" style="269" customWidth="1"/>
    <col min="8975" max="9225" width="8.88671875" style="269"/>
    <col min="9226" max="9226" width="25.5546875" style="269" customWidth="1"/>
    <col min="9227" max="9227" width="17.109375" style="269" customWidth="1"/>
    <col min="9228" max="9228" width="14" style="269" customWidth="1"/>
    <col min="9229" max="9229" width="13.6640625" style="269" customWidth="1"/>
    <col min="9230" max="9230" width="16.88671875" style="269" customWidth="1"/>
    <col min="9231" max="9481" width="8.88671875" style="269"/>
    <col min="9482" max="9482" width="25.5546875" style="269" customWidth="1"/>
    <col min="9483" max="9483" width="17.109375" style="269" customWidth="1"/>
    <col min="9484" max="9484" width="14" style="269" customWidth="1"/>
    <col min="9485" max="9485" width="13.6640625" style="269" customWidth="1"/>
    <col min="9486" max="9486" width="16.88671875" style="269" customWidth="1"/>
    <col min="9487" max="9737" width="8.88671875" style="269"/>
    <col min="9738" max="9738" width="25.5546875" style="269" customWidth="1"/>
    <col min="9739" max="9739" width="17.109375" style="269" customWidth="1"/>
    <col min="9740" max="9740" width="14" style="269" customWidth="1"/>
    <col min="9741" max="9741" width="13.6640625" style="269" customWidth="1"/>
    <col min="9742" max="9742" width="16.88671875" style="269" customWidth="1"/>
    <col min="9743" max="9993" width="8.88671875" style="269"/>
    <col min="9994" max="9994" width="25.5546875" style="269" customWidth="1"/>
    <col min="9995" max="9995" width="17.109375" style="269" customWidth="1"/>
    <col min="9996" max="9996" width="14" style="269" customWidth="1"/>
    <col min="9997" max="9997" width="13.6640625" style="269" customWidth="1"/>
    <col min="9998" max="9998" width="16.88671875" style="269" customWidth="1"/>
    <col min="9999" max="10249" width="8.88671875" style="269"/>
    <col min="10250" max="10250" width="25.5546875" style="269" customWidth="1"/>
    <col min="10251" max="10251" width="17.109375" style="269" customWidth="1"/>
    <col min="10252" max="10252" width="14" style="269" customWidth="1"/>
    <col min="10253" max="10253" width="13.6640625" style="269" customWidth="1"/>
    <col min="10254" max="10254" width="16.88671875" style="269" customWidth="1"/>
    <col min="10255" max="10505" width="8.88671875" style="269"/>
    <col min="10506" max="10506" width="25.5546875" style="269" customWidth="1"/>
    <col min="10507" max="10507" width="17.109375" style="269" customWidth="1"/>
    <col min="10508" max="10508" width="14" style="269" customWidth="1"/>
    <col min="10509" max="10509" width="13.6640625" style="269" customWidth="1"/>
    <col min="10510" max="10510" width="16.88671875" style="269" customWidth="1"/>
    <col min="10511" max="10761" width="8.88671875" style="269"/>
    <col min="10762" max="10762" width="25.5546875" style="269" customWidth="1"/>
    <col min="10763" max="10763" width="17.109375" style="269" customWidth="1"/>
    <col min="10764" max="10764" width="14" style="269" customWidth="1"/>
    <col min="10765" max="10765" width="13.6640625" style="269" customWidth="1"/>
    <col min="10766" max="10766" width="16.88671875" style="269" customWidth="1"/>
    <col min="10767" max="11017" width="8.88671875" style="269"/>
    <col min="11018" max="11018" width="25.5546875" style="269" customWidth="1"/>
    <col min="11019" max="11019" width="17.109375" style="269" customWidth="1"/>
    <col min="11020" max="11020" width="14" style="269" customWidth="1"/>
    <col min="11021" max="11021" width="13.6640625" style="269" customWidth="1"/>
    <col min="11022" max="11022" width="16.88671875" style="269" customWidth="1"/>
    <col min="11023" max="11273" width="8.88671875" style="269"/>
    <col min="11274" max="11274" width="25.5546875" style="269" customWidth="1"/>
    <col min="11275" max="11275" width="17.109375" style="269" customWidth="1"/>
    <col min="11276" max="11276" width="14" style="269" customWidth="1"/>
    <col min="11277" max="11277" width="13.6640625" style="269" customWidth="1"/>
    <col min="11278" max="11278" width="16.88671875" style="269" customWidth="1"/>
    <col min="11279" max="11529" width="8.88671875" style="269"/>
    <col min="11530" max="11530" width="25.5546875" style="269" customWidth="1"/>
    <col min="11531" max="11531" width="17.109375" style="269" customWidth="1"/>
    <col min="11532" max="11532" width="14" style="269" customWidth="1"/>
    <col min="11533" max="11533" width="13.6640625" style="269" customWidth="1"/>
    <col min="11534" max="11534" width="16.88671875" style="269" customWidth="1"/>
    <col min="11535" max="11785" width="8.88671875" style="269"/>
    <col min="11786" max="11786" width="25.5546875" style="269" customWidth="1"/>
    <col min="11787" max="11787" width="17.109375" style="269" customWidth="1"/>
    <col min="11788" max="11788" width="14" style="269" customWidth="1"/>
    <col min="11789" max="11789" width="13.6640625" style="269" customWidth="1"/>
    <col min="11790" max="11790" width="16.88671875" style="269" customWidth="1"/>
    <col min="11791" max="12041" width="8.88671875" style="269"/>
    <col min="12042" max="12042" width="25.5546875" style="269" customWidth="1"/>
    <col min="12043" max="12043" width="17.109375" style="269" customWidth="1"/>
    <col min="12044" max="12044" width="14" style="269" customWidth="1"/>
    <col min="12045" max="12045" width="13.6640625" style="269" customWidth="1"/>
    <col min="12046" max="12046" width="16.88671875" style="269" customWidth="1"/>
    <col min="12047" max="12297" width="8.88671875" style="269"/>
    <col min="12298" max="12298" width="25.5546875" style="269" customWidth="1"/>
    <col min="12299" max="12299" width="17.109375" style="269" customWidth="1"/>
    <col min="12300" max="12300" width="14" style="269" customWidth="1"/>
    <col min="12301" max="12301" width="13.6640625" style="269" customWidth="1"/>
    <col min="12302" max="12302" width="16.88671875" style="269" customWidth="1"/>
    <col min="12303" max="12553" width="8.88671875" style="269"/>
    <col min="12554" max="12554" width="25.5546875" style="269" customWidth="1"/>
    <col min="12555" max="12555" width="17.109375" style="269" customWidth="1"/>
    <col min="12556" max="12556" width="14" style="269" customWidth="1"/>
    <col min="12557" max="12557" width="13.6640625" style="269" customWidth="1"/>
    <col min="12558" max="12558" width="16.88671875" style="269" customWidth="1"/>
    <col min="12559" max="12809" width="8.88671875" style="269"/>
    <col min="12810" max="12810" width="25.5546875" style="269" customWidth="1"/>
    <col min="12811" max="12811" width="17.109375" style="269" customWidth="1"/>
    <col min="12812" max="12812" width="14" style="269" customWidth="1"/>
    <col min="12813" max="12813" width="13.6640625" style="269" customWidth="1"/>
    <col min="12814" max="12814" width="16.88671875" style="269" customWidth="1"/>
    <col min="12815" max="13065" width="8.88671875" style="269"/>
    <col min="13066" max="13066" width="25.5546875" style="269" customWidth="1"/>
    <col min="13067" max="13067" width="17.109375" style="269" customWidth="1"/>
    <col min="13068" max="13068" width="14" style="269" customWidth="1"/>
    <col min="13069" max="13069" width="13.6640625" style="269" customWidth="1"/>
    <col min="13070" max="13070" width="16.88671875" style="269" customWidth="1"/>
    <col min="13071" max="13321" width="8.88671875" style="269"/>
    <col min="13322" max="13322" width="25.5546875" style="269" customWidth="1"/>
    <col min="13323" max="13323" width="17.109375" style="269" customWidth="1"/>
    <col min="13324" max="13324" width="14" style="269" customWidth="1"/>
    <col min="13325" max="13325" width="13.6640625" style="269" customWidth="1"/>
    <col min="13326" max="13326" width="16.88671875" style="269" customWidth="1"/>
    <col min="13327" max="13577" width="8.88671875" style="269"/>
    <col min="13578" max="13578" width="25.5546875" style="269" customWidth="1"/>
    <col min="13579" max="13579" width="17.109375" style="269" customWidth="1"/>
    <col min="13580" max="13580" width="14" style="269" customWidth="1"/>
    <col min="13581" max="13581" width="13.6640625" style="269" customWidth="1"/>
    <col min="13582" max="13582" width="16.88671875" style="269" customWidth="1"/>
    <col min="13583" max="13833" width="8.88671875" style="269"/>
    <col min="13834" max="13834" width="25.5546875" style="269" customWidth="1"/>
    <col min="13835" max="13835" width="17.109375" style="269" customWidth="1"/>
    <col min="13836" max="13836" width="14" style="269" customWidth="1"/>
    <col min="13837" max="13837" width="13.6640625" style="269" customWidth="1"/>
    <col min="13838" max="13838" width="16.88671875" style="269" customWidth="1"/>
    <col min="13839" max="14089" width="8.88671875" style="269"/>
    <col min="14090" max="14090" width="25.5546875" style="269" customWidth="1"/>
    <col min="14091" max="14091" width="17.109375" style="269" customWidth="1"/>
    <col min="14092" max="14092" width="14" style="269" customWidth="1"/>
    <col min="14093" max="14093" width="13.6640625" style="269" customWidth="1"/>
    <col min="14094" max="14094" width="16.88671875" style="269" customWidth="1"/>
    <col min="14095" max="14345" width="8.88671875" style="269"/>
    <col min="14346" max="14346" width="25.5546875" style="269" customWidth="1"/>
    <col min="14347" max="14347" width="17.109375" style="269" customWidth="1"/>
    <col min="14348" max="14348" width="14" style="269" customWidth="1"/>
    <col min="14349" max="14349" width="13.6640625" style="269" customWidth="1"/>
    <col min="14350" max="14350" width="16.88671875" style="269" customWidth="1"/>
    <col min="14351" max="14601" width="8.88671875" style="269"/>
    <col min="14602" max="14602" width="25.5546875" style="269" customWidth="1"/>
    <col min="14603" max="14603" width="17.109375" style="269" customWidth="1"/>
    <col min="14604" max="14604" width="14" style="269" customWidth="1"/>
    <col min="14605" max="14605" width="13.6640625" style="269" customWidth="1"/>
    <col min="14606" max="14606" width="16.88671875" style="269" customWidth="1"/>
    <col min="14607" max="14857" width="8.88671875" style="269"/>
    <col min="14858" max="14858" width="25.5546875" style="269" customWidth="1"/>
    <col min="14859" max="14859" width="17.109375" style="269" customWidth="1"/>
    <col min="14860" max="14860" width="14" style="269" customWidth="1"/>
    <col min="14861" max="14861" width="13.6640625" style="269" customWidth="1"/>
    <col min="14862" max="14862" width="16.88671875" style="269" customWidth="1"/>
    <col min="14863" max="15113" width="8.88671875" style="269"/>
    <col min="15114" max="15114" width="25.5546875" style="269" customWidth="1"/>
    <col min="15115" max="15115" width="17.109375" style="269" customWidth="1"/>
    <col min="15116" max="15116" width="14" style="269" customWidth="1"/>
    <col min="15117" max="15117" width="13.6640625" style="269" customWidth="1"/>
    <col min="15118" max="15118" width="16.88671875" style="269" customWidth="1"/>
    <col min="15119" max="15369" width="8.88671875" style="269"/>
    <col min="15370" max="15370" width="25.5546875" style="269" customWidth="1"/>
    <col min="15371" max="15371" width="17.109375" style="269" customWidth="1"/>
    <col min="15372" max="15372" width="14" style="269" customWidth="1"/>
    <col min="15373" max="15373" width="13.6640625" style="269" customWidth="1"/>
    <col min="15374" max="15374" width="16.88671875" style="269" customWidth="1"/>
    <col min="15375" max="15625" width="8.88671875" style="269"/>
    <col min="15626" max="15626" width="25.5546875" style="269" customWidth="1"/>
    <col min="15627" max="15627" width="17.109375" style="269" customWidth="1"/>
    <col min="15628" max="15628" width="14" style="269" customWidth="1"/>
    <col min="15629" max="15629" width="13.6640625" style="269" customWidth="1"/>
    <col min="15630" max="15630" width="16.88671875" style="269" customWidth="1"/>
    <col min="15631" max="15881" width="8.88671875" style="269"/>
    <col min="15882" max="15882" width="25.5546875" style="269" customWidth="1"/>
    <col min="15883" max="15883" width="17.109375" style="269" customWidth="1"/>
    <col min="15884" max="15884" width="14" style="269" customWidth="1"/>
    <col min="15885" max="15885" width="13.6640625" style="269" customWidth="1"/>
    <col min="15886" max="15886" width="16.88671875" style="269" customWidth="1"/>
    <col min="15887" max="16137" width="8.88671875" style="269"/>
    <col min="16138" max="16138" width="25.5546875" style="269" customWidth="1"/>
    <col min="16139" max="16139" width="17.109375" style="269" customWidth="1"/>
    <col min="16140" max="16140" width="14" style="269" customWidth="1"/>
    <col min="16141" max="16141" width="13.6640625" style="269" customWidth="1"/>
    <col min="16142" max="16142" width="16.88671875" style="269" customWidth="1"/>
    <col min="16143" max="16384" width="8.88671875" style="269"/>
  </cols>
  <sheetData>
    <row r="1" spans="2:29">
      <c r="B1" s="2112" t="s">
        <v>649</v>
      </c>
      <c r="C1" s="2112"/>
      <c r="D1" s="2805"/>
      <c r="E1" s="2805"/>
      <c r="F1" s="2805"/>
      <c r="G1" s="313"/>
      <c r="H1" s="313"/>
      <c r="I1" s="313"/>
      <c r="J1" s="313"/>
      <c r="K1" s="313"/>
      <c r="L1" s="313"/>
      <c r="M1" s="313"/>
      <c r="N1" s="313"/>
      <c r="P1" s="2039" t="s">
        <v>649</v>
      </c>
    </row>
    <row r="2" spans="2:29" ht="15" thickBot="1">
      <c r="B2" s="2805" t="s">
        <v>650</v>
      </c>
      <c r="C2" s="2805"/>
      <c r="D2" s="2805"/>
      <c r="E2" s="2805"/>
      <c r="F2" s="2805"/>
      <c r="G2" s="313"/>
      <c r="H2" s="2806">
        <v>44342</v>
      </c>
      <c r="I2" s="660"/>
      <c r="J2" s="660"/>
      <c r="K2" s="660"/>
      <c r="L2" s="660"/>
      <c r="M2" s="313"/>
      <c r="N2" s="313"/>
      <c r="P2" s="269" t="s">
        <v>650</v>
      </c>
    </row>
    <row r="3" spans="2:29" ht="16.2" thickBot="1">
      <c r="B3" s="2805"/>
      <c r="C3" s="2805"/>
      <c r="D3" s="2805"/>
      <c r="E3" s="2805"/>
      <c r="F3" s="2805"/>
      <c r="G3" s="313"/>
      <c r="H3" s="2907" t="s">
        <v>649</v>
      </c>
      <c r="I3" s="2908"/>
      <c r="J3" s="2908"/>
      <c r="K3" s="2908"/>
      <c r="L3" s="2909"/>
      <c r="M3" s="313"/>
      <c r="N3" s="313"/>
      <c r="W3" s="2910" t="s">
        <v>389</v>
      </c>
      <c r="X3" s="2911"/>
      <c r="Y3" s="2911"/>
      <c r="Z3" s="2911"/>
      <c r="AA3" s="2911"/>
      <c r="AB3" s="2911"/>
      <c r="AC3" s="2912"/>
    </row>
    <row r="4" spans="2:29" ht="15" thickBot="1">
      <c r="B4" s="2113" t="s">
        <v>651</v>
      </c>
      <c r="C4" s="2114"/>
      <c r="D4" s="2114"/>
      <c r="E4" s="2114"/>
      <c r="F4" s="2115"/>
      <c r="G4" s="2116"/>
      <c r="H4" s="2117" t="s">
        <v>651</v>
      </c>
      <c r="I4" s="2118"/>
      <c r="J4" s="2118">
        <v>11</v>
      </c>
      <c r="K4" s="2118"/>
      <c r="L4" s="2119"/>
      <c r="M4" s="2116"/>
      <c r="N4" s="2116"/>
      <c r="P4" s="2120" t="s">
        <v>652</v>
      </c>
      <c r="Q4" s="2121">
        <v>15</v>
      </c>
      <c r="R4" s="2913" t="s">
        <v>653</v>
      </c>
      <c r="S4" s="2914"/>
      <c r="T4" s="2915">
        <v>12</v>
      </c>
      <c r="U4" s="269">
        <f>T4*Q4</f>
        <v>180</v>
      </c>
      <c r="W4" s="2916" t="s">
        <v>391</v>
      </c>
      <c r="X4" s="2917"/>
      <c r="Y4" s="2917"/>
      <c r="Z4" s="2917"/>
      <c r="AA4" s="2917"/>
      <c r="AB4" s="2917"/>
      <c r="AC4" s="2918"/>
    </row>
    <row r="5" spans="2:29" ht="15" thickBot="1">
      <c r="B5" s="2122"/>
      <c r="C5" s="2123"/>
      <c r="D5" s="2123"/>
      <c r="E5" s="2123"/>
      <c r="F5" s="2124"/>
      <c r="G5" s="2116"/>
      <c r="H5" s="2016"/>
      <c r="I5" s="2035"/>
      <c r="J5" s="2035"/>
      <c r="K5" s="2035"/>
      <c r="L5" s="2125"/>
      <c r="M5" s="2116"/>
      <c r="N5" s="2116"/>
      <c r="P5" s="2126"/>
      <c r="Q5" s="2127"/>
      <c r="R5" s="350"/>
      <c r="S5" s="350"/>
      <c r="T5" s="2744"/>
      <c r="W5" s="349" t="s">
        <v>654</v>
      </c>
      <c r="X5" s="2919">
        <f>'[13]Master Look Up'!O14</f>
        <v>69600</v>
      </c>
      <c r="Y5" s="302" t="s">
        <v>655</v>
      </c>
      <c r="Z5" s="331"/>
      <c r="AA5" s="331"/>
      <c r="AB5" s="331"/>
      <c r="AC5" s="2920"/>
    </row>
    <row r="6" spans="2:29" ht="15" thickBot="1">
      <c r="B6" s="2122"/>
      <c r="C6" s="2123"/>
      <c r="D6" s="2128" t="s">
        <v>215</v>
      </c>
      <c r="E6" s="2128" t="s">
        <v>216</v>
      </c>
      <c r="F6" s="2129" t="s">
        <v>217</v>
      </c>
      <c r="G6" s="2130"/>
      <c r="H6" s="2131"/>
      <c r="I6" s="2132"/>
      <c r="J6" s="2132" t="s">
        <v>215</v>
      </c>
      <c r="K6" s="2133" t="s">
        <v>216</v>
      </c>
      <c r="L6" s="2134" t="s">
        <v>217</v>
      </c>
      <c r="M6" s="2130"/>
      <c r="N6" s="2130"/>
      <c r="P6" s="349"/>
      <c r="Q6" s="2127"/>
      <c r="R6" s="2135" t="s">
        <v>215</v>
      </c>
      <c r="S6" s="2135" t="s">
        <v>216</v>
      </c>
      <c r="T6" s="2136" t="s">
        <v>217</v>
      </c>
      <c r="W6" s="349" t="s">
        <v>81</v>
      </c>
      <c r="X6" s="2919">
        <f>'[13]Master Look Up'!O10</f>
        <v>54412.800000000003</v>
      </c>
      <c r="Y6" s="302" t="s">
        <v>656</v>
      </c>
      <c r="Z6" s="331"/>
      <c r="AA6" s="331"/>
      <c r="AB6" s="331"/>
      <c r="AC6" s="2920"/>
    </row>
    <row r="7" spans="2:29">
      <c r="B7" s="2122" t="s">
        <v>657</v>
      </c>
      <c r="C7" s="2123"/>
      <c r="D7" s="2137">
        <f>'[15]Model Budgets-Groups- Specialty'!D9</f>
        <v>52564.428772849235</v>
      </c>
      <c r="E7" s="2123">
        <f>'[15]Model Budgets-Groups- Specialty'!E9</f>
        <v>0.01</v>
      </c>
      <c r="F7" s="2138">
        <f>'[15]Model Budgets-Groups- Specialty'!F9</f>
        <v>525.64428772849237</v>
      </c>
      <c r="G7" s="2139"/>
      <c r="H7" s="2140" t="str">
        <f>W5</f>
        <v>Management</v>
      </c>
      <c r="I7" s="2141"/>
      <c r="J7" s="2141">
        <f>X5</f>
        <v>69600</v>
      </c>
      <c r="K7" s="2142">
        <f>E7</f>
        <v>0.01</v>
      </c>
      <c r="L7" s="2143">
        <f>K7*J7</f>
        <v>696</v>
      </c>
      <c r="M7" s="2139"/>
      <c r="N7" s="2139"/>
      <c r="P7" s="349" t="s">
        <v>658</v>
      </c>
      <c r="Q7" s="2127"/>
      <c r="R7" s="2144">
        <f>X5</f>
        <v>69600</v>
      </c>
      <c r="S7" s="2127">
        <v>0.01</v>
      </c>
      <c r="T7" s="2145">
        <f>R7*S7</f>
        <v>696</v>
      </c>
      <c r="W7" s="349" t="str">
        <f>B8</f>
        <v>Direct care</v>
      </c>
      <c r="X7" s="2919">
        <f>'[13]Master Look Up'!O12</f>
        <v>45210.880000000005</v>
      </c>
      <c r="Y7" s="302" t="s">
        <v>659</v>
      </c>
      <c r="Z7" s="331"/>
      <c r="AA7" s="331"/>
      <c r="AB7" s="331"/>
      <c r="AC7" s="2920"/>
    </row>
    <row r="8" spans="2:29">
      <c r="B8" s="2122" t="s">
        <v>660</v>
      </c>
      <c r="C8" s="2123"/>
      <c r="D8" s="2137">
        <f>'[15]Model Budgets-Groups- Specialty'!D10</f>
        <v>47000</v>
      </c>
      <c r="E8" s="2123">
        <f>'[15]Model Budgets-Groups- Specialty'!E10</f>
        <v>0.19</v>
      </c>
      <c r="F8" s="2138">
        <f>'[15]Model Budgets-Groups- Specialty'!F10</f>
        <v>8930</v>
      </c>
      <c r="G8" s="2139"/>
      <c r="H8" s="2140" t="s">
        <v>81</v>
      </c>
      <c r="I8" s="2141"/>
      <c r="J8" s="2141">
        <f>X6</f>
        <v>54412.800000000003</v>
      </c>
      <c r="K8" s="2142">
        <v>0.09</v>
      </c>
      <c r="L8" s="2143">
        <f>K8*J8</f>
        <v>4897.152</v>
      </c>
      <c r="M8" s="2139"/>
      <c r="N8" s="2139"/>
      <c r="P8" s="349"/>
      <c r="Q8" s="2127"/>
      <c r="R8" s="2144"/>
      <c r="S8" s="2127"/>
      <c r="T8" s="2145"/>
      <c r="W8" s="2921" t="s">
        <v>177</v>
      </c>
      <c r="X8" s="2922"/>
      <c r="Y8" s="2922"/>
      <c r="Z8" s="2922"/>
      <c r="AA8" s="2922"/>
      <c r="AB8" s="2922"/>
      <c r="AC8" s="2923"/>
    </row>
    <row r="9" spans="2:29" ht="15" thickBot="1">
      <c r="B9" s="2146" t="s">
        <v>661</v>
      </c>
      <c r="C9" s="2109"/>
      <c r="D9" s="2109"/>
      <c r="E9" s="2147">
        <f>'[15]Model Budgets-Groups- Specialty'!E11</f>
        <v>0.2</v>
      </c>
      <c r="F9" s="2148">
        <f>'[15]Model Budgets-Groups- Specialty'!F11</f>
        <v>9455.6442877284917</v>
      </c>
      <c r="G9" s="2139"/>
      <c r="H9" s="2140" t="str">
        <f>W7</f>
        <v>Direct care</v>
      </c>
      <c r="I9" s="2141"/>
      <c r="J9" s="2141">
        <f>X7</f>
        <v>45210.880000000005</v>
      </c>
      <c r="K9" s="2142">
        <v>0.1</v>
      </c>
      <c r="L9" s="2143">
        <f>K9*J9</f>
        <v>4521.0880000000006</v>
      </c>
      <c r="M9" s="2139"/>
      <c r="N9" s="2139"/>
      <c r="P9" s="349" t="s">
        <v>662</v>
      </c>
      <c r="Q9" s="2127"/>
      <c r="R9" s="2144">
        <f>X7</f>
        <v>45210.880000000005</v>
      </c>
      <c r="S9" s="2127">
        <v>0.19</v>
      </c>
      <c r="T9" s="2149">
        <f>R9*S9</f>
        <v>8590.0672000000013</v>
      </c>
      <c r="W9" s="349" t="s">
        <v>73</v>
      </c>
      <c r="X9" s="1683">
        <f>'[13]Master Look Up'!F4</f>
        <v>5963.9694954316819</v>
      </c>
      <c r="Y9" s="302" t="s">
        <v>180</v>
      </c>
      <c r="Z9" s="331"/>
      <c r="AA9" s="331"/>
      <c r="AB9" s="331"/>
      <c r="AC9" s="2920"/>
    </row>
    <row r="10" spans="2:29" ht="15" thickBot="1">
      <c r="B10" s="2122"/>
      <c r="C10" s="2123"/>
      <c r="D10" s="2123"/>
      <c r="E10" s="2123"/>
      <c r="F10" s="2124"/>
      <c r="G10" s="2139"/>
      <c r="H10" s="2150" t="s">
        <v>661</v>
      </c>
      <c r="I10" s="2151"/>
      <c r="J10" s="2151"/>
      <c r="K10" s="2133">
        <v>0.2</v>
      </c>
      <c r="L10" s="2152">
        <f>SUM(L7:L9)</f>
        <v>10114.240000000002</v>
      </c>
      <c r="M10" s="2139"/>
      <c r="N10" s="2139"/>
      <c r="O10" s="270">
        <f>T10</f>
        <v>9286.0672000000013</v>
      </c>
      <c r="P10" s="2153" t="s">
        <v>661</v>
      </c>
      <c r="Q10" s="2154"/>
      <c r="R10" s="2154"/>
      <c r="S10" s="2155">
        <v>0.2</v>
      </c>
      <c r="T10" s="2156">
        <f>SUM(T7:T9)</f>
        <v>9286.0672000000013</v>
      </c>
      <c r="W10" s="349" t="s">
        <v>84</v>
      </c>
      <c r="X10" s="1683">
        <f>'[13]Master Look Up'!F5</f>
        <v>159.61973086509079</v>
      </c>
      <c r="Y10" s="302" t="s">
        <v>180</v>
      </c>
      <c r="Z10" s="350"/>
      <c r="AA10" s="350"/>
      <c r="AB10" s="350"/>
      <c r="AC10" s="2744"/>
    </row>
    <row r="11" spans="2:29">
      <c r="B11" s="2122" t="s">
        <v>224</v>
      </c>
      <c r="C11" s="2123"/>
      <c r="D11" s="2123"/>
      <c r="E11" s="2123"/>
      <c r="F11" s="2124"/>
      <c r="G11" s="2116"/>
      <c r="H11" s="2016"/>
      <c r="I11" s="2035"/>
      <c r="J11" s="2035"/>
      <c r="K11" s="2142"/>
      <c r="L11" s="2125"/>
      <c r="M11" s="2116"/>
      <c r="N11" s="2116"/>
      <c r="P11" s="2157"/>
      <c r="Q11" s="2127"/>
      <c r="R11" s="2127"/>
      <c r="S11" s="2127"/>
      <c r="T11" s="2158"/>
      <c r="W11" s="349" t="s">
        <v>88</v>
      </c>
      <c r="X11" s="1683">
        <f>'[13]Master Look Up'!F6</f>
        <v>1056.8783932396871</v>
      </c>
      <c r="Y11" s="302" t="s">
        <v>180</v>
      </c>
      <c r="Z11" s="350"/>
      <c r="AA11" s="350"/>
      <c r="AB11" s="350"/>
      <c r="AC11" s="2744"/>
    </row>
    <row r="12" spans="2:29">
      <c r="B12" s="2122" t="s">
        <v>663</v>
      </c>
      <c r="C12" s="2123"/>
      <c r="D12" s="2159">
        <f>'[15]Model Budgets-Groups- Specialty'!D14</f>
        <v>0.21590826871491237</v>
      </c>
      <c r="E12" s="2159"/>
      <c r="F12" s="2138">
        <f>'[15]Model Budgets-Groups- Specialty'!F14</f>
        <v>2041.5517877475093</v>
      </c>
      <c r="G12" s="2116"/>
      <c r="H12" s="2016" t="s">
        <v>224</v>
      </c>
      <c r="I12" s="2035"/>
      <c r="J12" s="2035"/>
      <c r="K12" s="2142"/>
      <c r="L12" s="2125"/>
      <c r="M12" s="2116"/>
      <c r="N12" s="2116"/>
      <c r="P12" s="2157" t="s">
        <v>224</v>
      </c>
      <c r="Q12" s="2127"/>
      <c r="R12" s="2127"/>
      <c r="S12" s="2127"/>
      <c r="T12" s="2158"/>
      <c r="W12" s="349" t="s">
        <v>92</v>
      </c>
      <c r="X12" s="1683">
        <f>'[13]Master Look Up'!F7</f>
        <v>659.46971027355744</v>
      </c>
      <c r="Y12" s="302" t="s">
        <v>180</v>
      </c>
      <c r="Z12" s="350"/>
      <c r="AA12" s="350"/>
      <c r="AB12" s="350"/>
      <c r="AC12" s="2744"/>
    </row>
    <row r="13" spans="2:29" ht="15" thickBot="1">
      <c r="B13" s="2146" t="s">
        <v>225</v>
      </c>
      <c r="C13" s="2109"/>
      <c r="D13" s="2109"/>
      <c r="E13" s="2109"/>
      <c r="F13" s="2148">
        <f>'[15]Model Budgets-Groups- Specialty'!$F$15</f>
        <v>11497.196075476</v>
      </c>
      <c r="G13" s="2139"/>
      <c r="H13" s="2140" t="s">
        <v>663</v>
      </c>
      <c r="I13" s="2141"/>
      <c r="J13" s="2160">
        <f>X18</f>
        <v>0.224</v>
      </c>
      <c r="K13" s="2142"/>
      <c r="L13" s="2143">
        <f>J13*L10</f>
        <v>2265.5897600000003</v>
      </c>
      <c r="M13" s="2139"/>
      <c r="N13" s="2139"/>
      <c r="O13" s="494">
        <f>T13</f>
        <v>2080.0790528000002</v>
      </c>
      <c r="P13" s="2157" t="s">
        <v>663</v>
      </c>
      <c r="Q13" s="2127"/>
      <c r="R13" s="2161">
        <f>X18</f>
        <v>0.224</v>
      </c>
      <c r="S13" s="2161"/>
      <c r="T13" s="2145">
        <f>R13*T10</f>
        <v>2080.0790528000002</v>
      </c>
      <c r="W13" s="349" t="s">
        <v>94</v>
      </c>
      <c r="X13" s="1683">
        <f>'[13]Master Look Up'!F8</f>
        <v>474.11060420697481</v>
      </c>
      <c r="Y13" s="302" t="s">
        <v>180</v>
      </c>
      <c r="Z13" s="350"/>
      <c r="AA13" s="350"/>
      <c r="AB13" s="350"/>
      <c r="AC13" s="2744"/>
    </row>
    <row r="14" spans="2:29" ht="15" thickBot="1">
      <c r="B14" s="2122"/>
      <c r="C14" s="2123"/>
      <c r="D14" s="2123" t="s">
        <v>664</v>
      </c>
      <c r="E14" s="2162" t="s">
        <v>665</v>
      </c>
      <c r="F14" s="2124"/>
      <c r="G14" s="2139"/>
      <c r="H14" s="2150" t="s">
        <v>225</v>
      </c>
      <c r="I14" s="2151"/>
      <c r="J14" s="2151"/>
      <c r="K14" s="2133"/>
      <c r="L14" s="2152">
        <f>SUM(L10:L13)</f>
        <v>12379.829760000002</v>
      </c>
      <c r="M14" s="2139"/>
      <c r="N14" s="2139"/>
      <c r="O14" s="270">
        <f>SUM(O10:O13)</f>
        <v>11366.146252800001</v>
      </c>
      <c r="P14" s="2153" t="s">
        <v>225</v>
      </c>
      <c r="Q14" s="2154"/>
      <c r="R14" s="2154"/>
      <c r="S14" s="2154"/>
      <c r="T14" s="2156">
        <f>T13+T10</f>
        <v>11366.146252800001</v>
      </c>
      <c r="W14" s="349" t="s">
        <v>109</v>
      </c>
      <c r="X14" s="1683">
        <f>'[13]Master Look Up'!F236</f>
        <v>1733.9343036087084</v>
      </c>
      <c r="Y14" s="302" t="s">
        <v>180</v>
      </c>
      <c r="Z14" s="350"/>
      <c r="AA14" s="350"/>
      <c r="AB14" s="350"/>
      <c r="AC14" s="2744"/>
    </row>
    <row r="15" spans="2:29">
      <c r="B15" s="2122" t="s">
        <v>666</v>
      </c>
      <c r="C15" s="2123"/>
      <c r="D15" s="2123">
        <f>'[15]Model Budgets-Groups- Specialty'!$D$17</f>
        <v>940</v>
      </c>
      <c r="E15" s="2123">
        <f>'[15]Model Budgets-Groups- Specialty'!$E$17</f>
        <v>5</v>
      </c>
      <c r="F15" s="2138">
        <f>'[16]Model Budgets-Groups- Specialty'!$F$17</f>
        <v>4700</v>
      </c>
      <c r="G15" s="2116"/>
      <c r="H15" s="2163"/>
      <c r="I15" s="2164"/>
      <c r="J15" s="2165"/>
      <c r="K15" s="2166"/>
      <c r="L15" s="2167"/>
      <c r="M15" s="2116"/>
      <c r="N15" s="2116"/>
      <c r="P15" s="2157"/>
      <c r="Q15" s="2127"/>
      <c r="R15" s="2127"/>
      <c r="S15" s="2168"/>
      <c r="T15" s="2158"/>
      <c r="W15" s="349" t="s">
        <v>125</v>
      </c>
      <c r="X15" s="1683">
        <f>'[13]Master Look Up'!F12</f>
        <v>1347.3502436316674</v>
      </c>
      <c r="Y15" s="302" t="s">
        <v>180</v>
      </c>
      <c r="Z15" s="350"/>
      <c r="AA15" s="350"/>
      <c r="AB15" s="350"/>
      <c r="AC15" s="2744"/>
    </row>
    <row r="16" spans="2:29">
      <c r="B16" s="2122"/>
      <c r="C16" s="2123"/>
      <c r="D16" s="2123"/>
      <c r="E16" s="2123"/>
      <c r="F16" s="2124"/>
      <c r="G16" s="2139"/>
      <c r="H16" s="2140" t="s">
        <v>73</v>
      </c>
      <c r="I16" s="2141"/>
      <c r="J16" s="2141"/>
      <c r="K16" s="2142"/>
      <c r="L16" s="2143">
        <f>X9</f>
        <v>5963.9694954316819</v>
      </c>
      <c r="M16" s="2139"/>
      <c r="N16" s="2139"/>
      <c r="P16" s="2157" t="s">
        <v>667</v>
      </c>
      <c r="Q16" s="2127"/>
      <c r="R16" s="2169">
        <f>X56</f>
        <v>553.31333333333339</v>
      </c>
      <c r="S16" s="2127">
        <v>9</v>
      </c>
      <c r="T16" s="2149">
        <f>S16*R16</f>
        <v>4979.8200000000006</v>
      </c>
      <c r="W16" s="349"/>
      <c r="X16" s="1683"/>
      <c r="Y16" s="302"/>
      <c r="Z16" s="350"/>
      <c r="AA16" s="350"/>
      <c r="AB16" s="350"/>
      <c r="AC16" s="2744"/>
    </row>
    <row r="17" spans="2:29">
      <c r="B17" s="2924" t="s">
        <v>668</v>
      </c>
      <c r="C17" s="2123"/>
      <c r="D17" s="2123" t="str">
        <f>'[15]Model Budgets-Groups- Specialty'!D19</f>
        <v>Standard/session</v>
      </c>
      <c r="E17" s="2123"/>
      <c r="F17" s="2138">
        <f>'[15]Model Budgets-Groups- Specialty'!$F$19</f>
        <v>1487.8947368421054</v>
      </c>
      <c r="G17" s="2116"/>
      <c r="H17" s="2016" t="s">
        <v>84</v>
      </c>
      <c r="I17" s="2035"/>
      <c r="J17" s="2035"/>
      <c r="K17" s="2142"/>
      <c r="L17" s="2143">
        <f t="shared" ref="L17:L22" si="0">X10</f>
        <v>159.61973086509079</v>
      </c>
      <c r="M17" s="2116"/>
      <c r="N17" s="2116"/>
      <c r="P17" s="2157" t="str">
        <f>W10</f>
        <v>Staff Training 204</v>
      </c>
      <c r="Q17" s="2127"/>
      <c r="R17" s="2170">
        <f>X10</f>
        <v>159.61973086509079</v>
      </c>
      <c r="S17" s="2127"/>
      <c r="T17" s="2149">
        <f>R17*X52</f>
        <v>2394.2959629763618</v>
      </c>
      <c r="W17" s="349"/>
      <c r="X17" s="351"/>
      <c r="Y17" s="350"/>
      <c r="Z17" s="350"/>
      <c r="AA17" s="350"/>
      <c r="AB17" s="350"/>
      <c r="AC17" s="2744"/>
    </row>
    <row r="18" spans="2:29">
      <c r="B18" s="2122"/>
      <c r="C18" s="2123"/>
      <c r="D18" s="2171">
        <f>'[15]Model Budgets-Groups- Specialty'!D20</f>
        <v>99.192982456140356</v>
      </c>
      <c r="E18" s="2123"/>
      <c r="F18" s="2124"/>
      <c r="G18" s="2139"/>
      <c r="H18" s="2140" t="s">
        <v>88</v>
      </c>
      <c r="I18" s="2141"/>
      <c r="J18" s="2172"/>
      <c r="K18" s="2142"/>
      <c r="L18" s="2143">
        <f t="shared" si="0"/>
        <v>1056.8783932396871</v>
      </c>
      <c r="M18" s="2139"/>
      <c r="N18" s="2139"/>
      <c r="P18" s="2157" t="s">
        <v>669</v>
      </c>
      <c r="Q18" s="2127"/>
      <c r="R18" s="2173">
        <f>X11</f>
        <v>1056.8783932396871</v>
      </c>
      <c r="S18" s="2127"/>
      <c r="T18" s="2149">
        <f>(R18*X50)*X52</f>
        <v>158531.75898595306</v>
      </c>
      <c r="W18" s="349" t="s">
        <v>286</v>
      </c>
      <c r="X18" s="351">
        <f>'[13]Master Look Up'!D18</f>
        <v>0.224</v>
      </c>
      <c r="Y18" s="1311" t="s">
        <v>143</v>
      </c>
      <c r="Z18" s="350"/>
      <c r="AA18" s="350"/>
      <c r="AB18" s="350"/>
      <c r="AC18" s="2744"/>
    </row>
    <row r="19" spans="2:29" ht="15" thickBot="1">
      <c r="B19" s="2122" t="s">
        <v>669</v>
      </c>
      <c r="C19" s="2123"/>
      <c r="D19" s="2123"/>
      <c r="E19" s="2123"/>
      <c r="F19" s="2925">
        <v>3187</v>
      </c>
      <c r="G19" s="2116"/>
      <c r="H19" s="2926" t="s">
        <v>92</v>
      </c>
      <c r="I19" s="2927"/>
      <c r="J19" s="2927"/>
      <c r="K19" s="2142"/>
      <c r="L19" s="2143">
        <f t="shared" si="0"/>
        <v>659.46971027355744</v>
      </c>
      <c r="M19" s="2116"/>
      <c r="N19" s="2116"/>
      <c r="P19" s="2157" t="s">
        <v>670</v>
      </c>
      <c r="Q19" s="2127"/>
      <c r="R19" s="2174"/>
      <c r="S19" s="2127"/>
      <c r="T19" s="2149">
        <f>X12</f>
        <v>659.46971027355744</v>
      </c>
      <c r="W19" s="349" t="s">
        <v>62</v>
      </c>
      <c r="X19" s="351">
        <f>'[13]Master Look Up'!D23</f>
        <v>0.12</v>
      </c>
      <c r="Y19" s="755" t="s">
        <v>151</v>
      </c>
      <c r="Z19" s="350"/>
      <c r="AA19" s="350"/>
      <c r="AB19" s="350"/>
      <c r="AC19" s="2744"/>
    </row>
    <row r="20" spans="2:29" ht="15" thickBot="1">
      <c r="B20" s="2122" t="s">
        <v>671</v>
      </c>
      <c r="C20" s="2123"/>
      <c r="D20" s="2123"/>
      <c r="E20" s="2123"/>
      <c r="F20" s="2138">
        <f>'[15]Model Budgets-Groups- Specialty'!$F$23</f>
        <v>1750</v>
      </c>
      <c r="G20" s="2928"/>
      <c r="H20" s="2140" t="s">
        <v>94</v>
      </c>
      <c r="I20" s="2141"/>
      <c r="J20" s="2141"/>
      <c r="K20" s="2142"/>
      <c r="L20" s="2143">
        <f t="shared" si="0"/>
        <v>474.11060420697481</v>
      </c>
      <c r="M20" s="2928"/>
      <c r="N20" s="2928"/>
      <c r="P20" s="2157" t="s">
        <v>672</v>
      </c>
      <c r="Q20" s="2127"/>
      <c r="R20" s="2173">
        <f>X13</f>
        <v>474.11060420697481</v>
      </c>
      <c r="S20" s="2127"/>
      <c r="T20" s="2149">
        <f>(R20*X52)</f>
        <v>7111.659063104622</v>
      </c>
      <c r="U20" s="494"/>
      <c r="V20" s="494"/>
      <c r="W20" s="2929" t="s">
        <v>395</v>
      </c>
      <c r="X20" s="2930">
        <v>3.7000000000000002E-3</v>
      </c>
      <c r="Y20" s="2756"/>
      <c r="Z20" s="2756"/>
      <c r="AA20" s="2756"/>
      <c r="AB20" s="2756"/>
      <c r="AC20" s="2757"/>
    </row>
    <row r="21" spans="2:29" ht="15" thickBot="1">
      <c r="B21" s="2122" t="s">
        <v>672</v>
      </c>
      <c r="C21" s="2123"/>
      <c r="D21" s="2171">
        <f>'[15]Model Budgets-Groups- Specialty'!$D$24</f>
        <v>44.322599999999994</v>
      </c>
      <c r="E21" s="2123"/>
      <c r="F21" s="2138">
        <f>'[15]Model Budgets-Groups- Specialty'!$F$24</f>
        <v>664.83899999999994</v>
      </c>
      <c r="G21" s="2139"/>
      <c r="H21" s="2140" t="s">
        <v>109</v>
      </c>
      <c r="I21" s="2141"/>
      <c r="J21" s="2175"/>
      <c r="K21" s="2142"/>
      <c r="L21" s="2143">
        <f t="shared" si="0"/>
        <v>1733.9343036087084</v>
      </c>
      <c r="M21" s="2139"/>
      <c r="N21" s="2139"/>
      <c r="P21" s="2157" t="s">
        <v>673</v>
      </c>
      <c r="Q21" s="2127"/>
      <c r="R21" s="2173">
        <f>X14</f>
        <v>1733.9343036087084</v>
      </c>
      <c r="S21" s="2127"/>
      <c r="T21" s="2149">
        <f>R21*15</f>
        <v>26009.014554130626</v>
      </c>
      <c r="U21" s="494">
        <v>15859</v>
      </c>
      <c r="V21" s="494"/>
      <c r="W21" s="2929" t="s">
        <v>674</v>
      </c>
      <c r="X21" s="2930">
        <f>'[13]Master Look Up'!D26</f>
        <v>1.0633805350099574E-2</v>
      </c>
      <c r="Y21" s="2756" t="s">
        <v>153</v>
      </c>
      <c r="Z21" s="2756"/>
      <c r="AA21" s="2756"/>
      <c r="AB21" s="2756"/>
      <c r="AC21" s="2757"/>
    </row>
    <row r="22" spans="2:29">
      <c r="B22" s="2122" t="s">
        <v>673</v>
      </c>
      <c r="C22" s="2123"/>
      <c r="D22" s="2123"/>
      <c r="E22" s="2123"/>
      <c r="F22" s="2138">
        <f>'[15]Model Budgets-Groups- Specialty'!$F$25</f>
        <v>4500</v>
      </c>
      <c r="G22" s="2139"/>
      <c r="H22" s="2140" t="s">
        <v>125</v>
      </c>
      <c r="I22" s="2141"/>
      <c r="J22" s="2141"/>
      <c r="K22" s="2142"/>
      <c r="L22" s="2143">
        <f t="shared" si="0"/>
        <v>1347.3502436316674</v>
      </c>
      <c r="M22" s="2139"/>
      <c r="N22" s="2139"/>
      <c r="P22" s="2157"/>
      <c r="Q22" s="2127"/>
      <c r="R22" s="2174"/>
      <c r="S22" s="2127"/>
      <c r="T22" s="2149"/>
      <c r="U22" s="494"/>
      <c r="V22" s="494"/>
    </row>
    <row r="23" spans="2:29" ht="15" thickBot="1">
      <c r="B23" s="2122"/>
      <c r="C23" s="2123"/>
      <c r="D23" s="2123"/>
      <c r="E23" s="2123"/>
      <c r="F23" s="2124"/>
      <c r="G23" s="2139"/>
      <c r="H23" s="2016"/>
      <c r="I23" s="2035"/>
      <c r="J23" s="2035"/>
      <c r="K23" s="2142"/>
      <c r="L23" s="2125"/>
      <c r="M23" s="2139"/>
      <c r="N23" s="2139"/>
      <c r="P23" s="2157"/>
      <c r="Q23" s="2127"/>
      <c r="R23" s="2127"/>
      <c r="S23" s="2127"/>
      <c r="T23" s="2149"/>
      <c r="U23" s="494">
        <f>T20/U4</f>
        <v>39.509217017247899</v>
      </c>
      <c r="V23" s="270"/>
    </row>
    <row r="24" spans="2:29" ht="15" thickBot="1">
      <c r="B24" s="2146" t="s">
        <v>675</v>
      </c>
      <c r="C24" s="2109"/>
      <c r="D24" s="2109"/>
      <c r="E24" s="2109"/>
      <c r="F24" s="2176">
        <f>'[15]Model Budgets-Groups- Specialty'!F27</f>
        <v>27786.929812318107</v>
      </c>
      <c r="G24" s="2116"/>
      <c r="H24" s="2150" t="s">
        <v>340</v>
      </c>
      <c r="I24" s="804"/>
      <c r="J24" s="804"/>
      <c r="K24" s="804"/>
      <c r="L24" s="2931">
        <f>SUM(L16:L23)</f>
        <v>11395.332481257366</v>
      </c>
      <c r="M24" s="2116"/>
      <c r="N24" s="2116"/>
      <c r="O24" s="270">
        <f>F15+F17+F19+F20+F21+F22</f>
        <v>16289.733736842105</v>
      </c>
      <c r="P24" s="2157"/>
      <c r="Q24" s="2127"/>
      <c r="R24" s="2127"/>
      <c r="S24" s="2127"/>
      <c r="T24" s="2158"/>
      <c r="U24" s="269">
        <f>U4*7.09</f>
        <v>1276.2</v>
      </c>
    </row>
    <row r="25" spans="2:29" ht="15" thickBot="1">
      <c r="B25" s="2122" t="s">
        <v>432</v>
      </c>
      <c r="C25" s="2123"/>
      <c r="D25" s="2177">
        <f>F25/F24</f>
        <v>0.11306220647863946</v>
      </c>
      <c r="E25" s="2123"/>
      <c r="F25" s="2178">
        <f>'[15]Model Budgets-Groups- Specialty'!F28</f>
        <v>3141.6515958477721</v>
      </c>
      <c r="G25" s="2179"/>
      <c r="H25" s="2180" t="s">
        <v>675</v>
      </c>
      <c r="I25" s="2181"/>
      <c r="J25" s="2181"/>
      <c r="K25" s="2182"/>
      <c r="L25" s="2183">
        <f>L24+L14</f>
        <v>23775.162241257371</v>
      </c>
      <c r="M25" s="2179"/>
      <c r="N25" s="2179"/>
      <c r="O25" s="270">
        <f>O24+O14</f>
        <v>27655.879989642104</v>
      </c>
      <c r="P25" s="2153" t="s">
        <v>675</v>
      </c>
      <c r="Q25" s="2154"/>
      <c r="R25" s="2154"/>
      <c r="S25" s="2154"/>
      <c r="T25" s="2184">
        <f>SUM(T14:T24)</f>
        <v>211052.16452923825</v>
      </c>
    </row>
    <row r="26" spans="2:29">
      <c r="B26" s="2122" t="s">
        <v>676</v>
      </c>
      <c r="C26" s="2123"/>
      <c r="D26" s="2123"/>
      <c r="E26" s="2123"/>
      <c r="F26" s="2178">
        <f>'[15]Model Budgets-Groups- Specialty'!F29</f>
        <v>30928.581408165879</v>
      </c>
      <c r="G26" s="2179"/>
      <c r="H26" s="2185" t="s">
        <v>432</v>
      </c>
      <c r="I26" s="2175"/>
      <c r="J26" s="2160">
        <f>X19</f>
        <v>0.12</v>
      </c>
      <c r="K26" s="2142"/>
      <c r="L26" s="2143">
        <f>J26*L25</f>
        <v>2853.0194689508844</v>
      </c>
      <c r="M26" s="2179"/>
      <c r="N26" s="2179"/>
      <c r="O26" s="270">
        <f>D25*O25</f>
        <v>3126.8348137373887</v>
      </c>
      <c r="P26" s="2157" t="s">
        <v>432</v>
      </c>
      <c r="Q26" s="2127"/>
      <c r="R26" s="2186">
        <f>D25</f>
        <v>0.11306220647863946</v>
      </c>
      <c r="S26" s="2127"/>
      <c r="T26" s="2145">
        <f>R26*T25</f>
        <v>23862.023403768522</v>
      </c>
    </row>
    <row r="27" spans="2:29">
      <c r="B27" s="2122" t="s">
        <v>677</v>
      </c>
      <c r="C27" s="2123"/>
      <c r="D27" s="2805"/>
      <c r="E27" s="2932">
        <v>4.4599999999999973E-2</v>
      </c>
      <c r="F27" s="2178">
        <f>'[15]Model Budgets-Groups- Specialty'!F30</f>
        <v>32307.996138970077</v>
      </c>
      <c r="G27" s="2179"/>
      <c r="H27" s="2933" t="s">
        <v>395</v>
      </c>
      <c r="I27" s="2224"/>
      <c r="J27" s="2934">
        <f>X20</f>
        <v>3.7000000000000002E-3</v>
      </c>
      <c r="K27" s="2224"/>
      <c r="L27" s="2935">
        <f>J27*L10</f>
        <v>37.422688000000008</v>
      </c>
      <c r="M27" s="2179"/>
      <c r="N27" s="2179"/>
      <c r="O27" s="494">
        <f>T10*R27</f>
        <v>58.502223360000009</v>
      </c>
      <c r="P27" s="952" t="s">
        <v>395</v>
      </c>
      <c r="Q27" s="2127"/>
      <c r="R27" s="2936">
        <v>6.3E-3</v>
      </c>
      <c r="S27" s="2127"/>
      <c r="T27" s="2145">
        <f>R27*T10</f>
        <v>58.502223360000009</v>
      </c>
    </row>
    <row r="28" spans="2:29">
      <c r="B28" s="2146" t="s">
        <v>678</v>
      </c>
      <c r="C28" s="2105"/>
      <c r="D28" s="2105"/>
      <c r="E28" s="2105"/>
      <c r="F28" s="2187">
        <f>'[15]Model Budgets-Groups- Specialty'!F31</f>
        <v>2153.8664092646718</v>
      </c>
      <c r="G28" s="2179"/>
      <c r="H28" s="2188" t="s">
        <v>676</v>
      </c>
      <c r="I28" s="2189"/>
      <c r="J28" s="2189"/>
      <c r="K28" s="2190"/>
      <c r="L28" s="2191">
        <f>SUM(L25:L27)</f>
        <v>26665.604398208256</v>
      </c>
      <c r="M28" s="2179"/>
      <c r="N28" s="2179"/>
      <c r="O28" s="270">
        <f>SUM(O25:O27)</f>
        <v>30841.217026739494</v>
      </c>
      <c r="P28" s="2157" t="s">
        <v>676</v>
      </c>
      <c r="Q28" s="2127"/>
      <c r="R28" s="2127"/>
      <c r="S28" s="2127"/>
      <c r="T28" s="2145">
        <f>SUM(T25:T27)</f>
        <v>234972.69015636676</v>
      </c>
    </row>
    <row r="29" spans="2:29">
      <c r="B29" s="2104" t="s">
        <v>645</v>
      </c>
      <c r="C29" s="2109"/>
      <c r="D29" s="2109"/>
      <c r="E29" s="2106">
        <f>[17]Sheet1!N1</f>
        <v>2.9824052590873982E-2</v>
      </c>
      <c r="F29" s="2192">
        <f>F28*(E29+1)+0.01</f>
        <v>2218.1134343282984</v>
      </c>
      <c r="G29" s="2193"/>
      <c r="H29" s="2185" t="s">
        <v>677</v>
      </c>
      <c r="I29" s="2175"/>
      <c r="J29" s="2160">
        <f>X21</f>
        <v>1.0633805350099574E-2</v>
      </c>
      <c r="K29" s="2175"/>
      <c r="L29" s="2143">
        <f>L28*(1+J29)</f>
        <v>26949.161244921561</v>
      </c>
      <c r="M29" s="2193"/>
      <c r="N29" s="2193"/>
      <c r="O29" s="494">
        <f>(O28*S33)+O28</f>
        <v>31035.516694007954</v>
      </c>
      <c r="P29" s="2157" t="s">
        <v>677</v>
      </c>
      <c r="Q29" s="2127"/>
      <c r="R29" s="2127"/>
      <c r="S29" s="2127"/>
      <c r="T29" s="2145">
        <f>T28+(T28*S33)</f>
        <v>236453.01810435188</v>
      </c>
    </row>
    <row r="30" spans="2:29" ht="15" thickBot="1">
      <c r="B30" s="2104" t="s">
        <v>647</v>
      </c>
      <c r="C30" s="2109"/>
      <c r="D30" s="2109"/>
      <c r="E30" s="2106">
        <f>'[18]CAF Spring17'!BK27</f>
        <v>2.7235921972764018E-2</v>
      </c>
      <c r="F30" s="2187">
        <f>F29*(E30+1)-0.01</f>
        <v>2278.5157987524035</v>
      </c>
      <c r="G30" s="2179"/>
      <c r="H30" s="2194" t="s">
        <v>678</v>
      </c>
      <c r="I30" s="2195"/>
      <c r="J30" s="2195"/>
      <c r="K30" s="2195"/>
      <c r="L30" s="2023">
        <f>L29/J4</f>
        <v>2449.9237495383236</v>
      </c>
      <c r="M30" s="2179"/>
      <c r="N30" s="2179"/>
      <c r="O30" s="494">
        <f>O29/15</f>
        <v>2069.0344462671969</v>
      </c>
      <c r="P30" s="2153" t="s">
        <v>678</v>
      </c>
      <c r="Q30" s="2196"/>
      <c r="R30" s="2196"/>
      <c r="S30" s="2196"/>
      <c r="T30" s="2197">
        <f>T29/15</f>
        <v>15763.534540290126</v>
      </c>
      <c r="V30" s="491"/>
    </row>
    <row r="31" spans="2:29">
      <c r="B31" s="2805"/>
      <c r="C31" s="2805"/>
      <c r="D31" s="2805"/>
      <c r="E31" s="2805"/>
      <c r="F31" s="2805"/>
      <c r="G31" s="2193"/>
      <c r="H31" s="2179"/>
      <c r="I31" s="2179"/>
      <c r="J31" s="2179"/>
      <c r="K31" s="2179"/>
      <c r="L31" s="2179"/>
      <c r="M31" s="2193"/>
      <c r="N31" s="2193"/>
      <c r="P31" s="2198" t="s">
        <v>645</v>
      </c>
      <c r="Q31" s="2199"/>
      <c r="R31" s="2199"/>
      <c r="S31" s="2200">
        <v>2.9824052590873982E-2</v>
      </c>
      <c r="T31" s="2201">
        <v>2218.1134343282984</v>
      </c>
    </row>
    <row r="32" spans="2:29" ht="15" thickBot="1">
      <c r="G32" s="313"/>
      <c r="H32" s="2193"/>
      <c r="I32" s="2193"/>
      <c r="J32" s="2193"/>
      <c r="K32" s="2193"/>
      <c r="L32" s="2193"/>
      <c r="M32" s="313"/>
      <c r="N32" s="313"/>
      <c r="P32" s="2202" t="s">
        <v>647</v>
      </c>
      <c r="Q32" s="2199"/>
      <c r="R32" s="2203"/>
      <c r="S32" s="2204">
        <v>2.7235921972764018E-2</v>
      </c>
      <c r="T32" s="2205">
        <v>2278.5157987524035</v>
      </c>
    </row>
    <row r="33" spans="2:20" ht="15" thickBot="1">
      <c r="F33" s="494"/>
      <c r="G33" s="494"/>
      <c r="H33" s="494"/>
      <c r="I33" s="494"/>
      <c r="J33" s="494"/>
      <c r="K33" s="494"/>
      <c r="L33" s="494"/>
      <c r="P33" s="2206" t="s">
        <v>679</v>
      </c>
      <c r="Q33" s="2207"/>
      <c r="R33" s="2208"/>
      <c r="S33" s="2209">
        <f>'[19]Aut-FamSupCtrs'!V12</f>
        <v>6.3E-3</v>
      </c>
      <c r="T33" s="2210">
        <f>T30</f>
        <v>15763.534540290126</v>
      </c>
    </row>
    <row r="34" spans="2:20" ht="15" thickBot="1">
      <c r="D34" s="494"/>
      <c r="G34" s="494"/>
      <c r="H34" s="2937" t="s">
        <v>680</v>
      </c>
      <c r="I34" s="2938"/>
      <c r="J34" s="2939" t="s">
        <v>234</v>
      </c>
      <c r="K34" s="2940" t="s">
        <v>681</v>
      </c>
      <c r="M34" s="494"/>
      <c r="N34" s="494"/>
      <c r="Q34" s="2211"/>
    </row>
    <row r="35" spans="2:20">
      <c r="D35" s="494"/>
      <c r="F35" s="2941"/>
      <c r="H35" s="2942" t="s">
        <v>682</v>
      </c>
      <c r="I35" s="2943"/>
      <c r="J35" s="2944">
        <v>134.63</v>
      </c>
      <c r="K35" s="2945">
        <f>J35*(X21+1)</f>
        <v>136.0616292142839</v>
      </c>
      <c r="L35" s="2941"/>
      <c r="Q35" s="2127"/>
    </row>
    <row r="36" spans="2:20">
      <c r="D36" s="494"/>
      <c r="F36" s="494"/>
      <c r="G36" s="2941"/>
      <c r="I36" s="2941"/>
      <c r="J36" s="2941"/>
      <c r="L36" s="491"/>
      <c r="M36" s="2127"/>
    </row>
    <row r="37" spans="2:20">
      <c r="D37" s="494"/>
      <c r="Q37" s="2127"/>
    </row>
    <row r="38" spans="2:20">
      <c r="D38" s="494"/>
      <c r="Q38" s="2127"/>
    </row>
    <row r="39" spans="2:20">
      <c r="D39" s="494"/>
      <c r="E39" s="494"/>
      <c r="Q39" s="2127"/>
    </row>
    <row r="40" spans="2:20">
      <c r="Q40" s="2127"/>
    </row>
    <row r="41" spans="2:20">
      <c r="D41" s="494"/>
      <c r="Q41" s="2127"/>
    </row>
    <row r="42" spans="2:20">
      <c r="Q42" s="2127"/>
    </row>
    <row r="43" spans="2:20">
      <c r="H43" s="313"/>
      <c r="I43" s="313"/>
      <c r="J43" s="313"/>
      <c r="K43" s="313"/>
      <c r="Q43" s="2127"/>
    </row>
    <row r="44" spans="2:20">
      <c r="H44" s="313"/>
      <c r="I44" s="313"/>
      <c r="J44" s="313"/>
      <c r="K44" s="313"/>
      <c r="Q44" s="2127"/>
    </row>
    <row r="45" spans="2:20">
      <c r="B45" s="313"/>
      <c r="C45" s="313"/>
      <c r="D45" s="313"/>
      <c r="E45" s="313"/>
      <c r="F45" s="313"/>
      <c r="H45" s="313"/>
      <c r="I45" s="313"/>
      <c r="J45" s="313"/>
      <c r="K45" s="313"/>
      <c r="Q45" s="2127"/>
    </row>
    <row r="46" spans="2:20"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Q46" s="2127"/>
    </row>
    <row r="47" spans="2:20">
      <c r="B47" s="313"/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Q47" s="2127"/>
    </row>
    <row r="48" spans="2:20"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Q48" s="2127"/>
    </row>
    <row r="49" spans="2:29" ht="15" hidden="1" thickBot="1"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Q49" s="2127"/>
    </row>
    <row r="50" spans="2:29" hidden="1"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Q50" s="2127"/>
      <c r="W50" s="2735" t="s">
        <v>683</v>
      </c>
      <c r="X50" s="2946">
        <v>10</v>
      </c>
      <c r="Y50" s="2946" t="s">
        <v>684</v>
      </c>
      <c r="Z50" s="2946"/>
      <c r="AA50" s="2946"/>
      <c r="AB50" s="2946"/>
      <c r="AC50" s="2947"/>
    </row>
    <row r="51" spans="2:29" ht="76.95" hidden="1" customHeight="1">
      <c r="B51" s="2130"/>
      <c r="C51" s="2212"/>
      <c r="D51" s="2948"/>
      <c r="E51" s="2948"/>
      <c r="F51" s="313"/>
      <c r="G51" s="313"/>
      <c r="H51" s="313"/>
      <c r="I51" s="313"/>
      <c r="J51" s="313"/>
      <c r="K51" s="313"/>
      <c r="L51" s="313"/>
      <c r="Q51" s="2127"/>
      <c r="W51" s="349" t="s">
        <v>685</v>
      </c>
      <c r="X51" s="350">
        <v>12</v>
      </c>
      <c r="Y51" s="350" t="s">
        <v>684</v>
      </c>
      <c r="Z51" s="350"/>
      <c r="AA51" s="350"/>
      <c r="AB51" s="350"/>
      <c r="AC51" s="2744"/>
    </row>
    <row r="52" spans="2:29" ht="15" hidden="1" thickBot="1">
      <c r="B52" s="2116"/>
      <c r="C52" s="2213"/>
      <c r="D52" s="2949"/>
      <c r="E52" s="496"/>
      <c r="F52" s="313"/>
      <c r="G52" s="313"/>
      <c r="L52" s="313"/>
      <c r="M52" s="2805"/>
      <c r="N52" s="2805"/>
      <c r="P52" s="2130" t="s">
        <v>686</v>
      </c>
      <c r="Q52" s="2214" t="s">
        <v>687</v>
      </c>
      <c r="R52" s="391">
        <v>2015</v>
      </c>
      <c r="S52" s="391">
        <v>2018</v>
      </c>
      <c r="T52" s="2130">
        <v>2020</v>
      </c>
      <c r="W52" s="877" t="s">
        <v>688</v>
      </c>
      <c r="X52" s="520">
        <v>15</v>
      </c>
      <c r="Y52" s="520" t="s">
        <v>684</v>
      </c>
      <c r="Z52" s="520"/>
      <c r="AA52" s="520"/>
      <c r="AB52" s="520"/>
      <c r="AC52" s="2950"/>
    </row>
    <row r="53" spans="2:29" hidden="1">
      <c r="B53" s="2951"/>
      <c r="C53" s="313"/>
      <c r="D53" s="313"/>
      <c r="E53" s="313"/>
      <c r="F53" s="313"/>
      <c r="G53" s="313"/>
      <c r="L53" s="313"/>
      <c r="M53" s="2805"/>
      <c r="N53" s="2805"/>
      <c r="P53" s="269" t="s">
        <v>689</v>
      </c>
      <c r="Q53" s="1463">
        <v>125</v>
      </c>
      <c r="R53" s="1463">
        <v>128.72499999999999</v>
      </c>
      <c r="S53" s="1463">
        <v>132.23094405594404</v>
      </c>
      <c r="T53" s="1463">
        <f>(S53*S33)+S53</f>
        <v>133.06399900349649</v>
      </c>
      <c r="X53" s="302"/>
    </row>
    <row r="54" spans="2:29" ht="84.75" hidden="1" customHeight="1">
      <c r="B54" s="2796"/>
      <c r="G54" s="313"/>
      <c r="L54" s="313"/>
      <c r="M54" s="2805"/>
      <c r="N54" s="2805"/>
      <c r="P54" s="2796" t="s">
        <v>690</v>
      </c>
    </row>
    <row r="55" spans="2:29" hidden="1">
      <c r="X55" s="428">
        <v>8299.7000000000007</v>
      </c>
      <c r="Y55" s="269" t="s">
        <v>691</v>
      </c>
    </row>
    <row r="56" spans="2:29" hidden="1">
      <c r="X56" s="428">
        <f>X55/X52</f>
        <v>553.31333333333339</v>
      </c>
      <c r="Y56" s="269" t="s">
        <v>692</v>
      </c>
    </row>
    <row r="57" spans="2:29" hidden="1">
      <c r="X57" s="2952">
        <f>X56*9</f>
        <v>4979.8200000000006</v>
      </c>
      <c r="Y57" s="2953" t="s">
        <v>693</v>
      </c>
      <c r="Z57" s="2953"/>
      <c r="AA57" s="2953"/>
      <c r="AB57" s="2953"/>
    </row>
    <row r="58" spans="2:29" hidden="1"/>
    <row r="59" spans="2:29" hidden="1">
      <c r="X59" s="428">
        <v>3716</v>
      </c>
      <c r="Y59" s="269" t="s">
        <v>694</v>
      </c>
    </row>
    <row r="60" spans="2:29" hidden="1">
      <c r="X60" s="428">
        <f>X59/X50</f>
        <v>371.6</v>
      </c>
      <c r="Y60" s="269" t="s">
        <v>695</v>
      </c>
    </row>
    <row r="61" spans="2:29" hidden="1"/>
    <row r="62" spans="2:29" hidden="1">
      <c r="X62" s="428">
        <v>1025</v>
      </c>
      <c r="Y62" s="269" t="s">
        <v>696</v>
      </c>
    </row>
    <row r="63" spans="2:29" hidden="1">
      <c r="X63" s="1312">
        <f>X62/X52</f>
        <v>68.333333333333329</v>
      </c>
      <c r="Y63" s="269" t="s">
        <v>697</v>
      </c>
    </row>
    <row r="64" spans="2:29" hidden="1">
      <c r="X64" s="1312">
        <f>X63/X50</f>
        <v>6.833333333333333</v>
      </c>
      <c r="Y64" s="269" t="s">
        <v>698</v>
      </c>
    </row>
    <row r="65" spans="24:25" hidden="1"/>
    <row r="66" spans="24:25" hidden="1">
      <c r="X66" s="1463">
        <v>1898</v>
      </c>
      <c r="Y66" s="269" t="s">
        <v>699</v>
      </c>
    </row>
    <row r="67" spans="24:25" hidden="1"/>
    <row r="68" spans="24:25" hidden="1">
      <c r="X68" s="1463">
        <v>44.32</v>
      </c>
      <c r="Y68" s="269" t="s">
        <v>700</v>
      </c>
    </row>
    <row r="69" spans="24:25" hidden="1">
      <c r="X69" s="1463"/>
    </row>
    <row r="70" spans="24:25" hidden="1">
      <c r="X70" s="1463">
        <v>3371.64</v>
      </c>
      <c r="Y70" s="269" t="s">
        <v>701</v>
      </c>
    </row>
    <row r="71" spans="24:25" hidden="1">
      <c r="X71" s="1463">
        <f>X70/X50</f>
        <v>337.16399999999999</v>
      </c>
    </row>
    <row r="72" spans="24:25" hidden="1"/>
    <row r="73" spans="24:25" hidden="1"/>
    <row r="74" spans="24:25" hidden="1"/>
  </sheetData>
  <mergeCells count="4">
    <mergeCell ref="H3:L3"/>
    <mergeCell ref="W3:AC3"/>
    <mergeCell ref="W4:AC4"/>
    <mergeCell ref="W8:AC8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7"/>
  <sheetViews>
    <sheetView zoomScale="90" zoomScaleNormal="90" workbookViewId="0">
      <selection activeCell="W17" sqref="W17"/>
    </sheetView>
  </sheetViews>
  <sheetFormatPr defaultRowHeight="14.4"/>
  <cols>
    <col min="2" max="2" width="4" bestFit="1" customWidth="1"/>
    <col min="3" max="3" width="40.6640625" customWidth="1"/>
    <col min="4" max="4" width="21.88671875" customWidth="1"/>
    <col min="5" max="5" width="13.21875" customWidth="1"/>
    <col min="6" max="6" width="8.33203125" style="57" customWidth="1"/>
    <col min="7" max="7" width="3.5546875" customWidth="1"/>
    <col min="8" max="8" width="6.109375" bestFit="1" customWidth="1"/>
    <col min="9" max="9" width="22" bestFit="1" customWidth="1"/>
    <col min="10" max="10" width="23.109375" bestFit="1" customWidth="1"/>
    <col min="11" max="11" width="11.5546875" hidden="1" customWidth="1"/>
    <col min="12" max="12" width="36.6640625" hidden="1" customWidth="1"/>
    <col min="13" max="13" width="9.6640625" hidden="1" customWidth="1"/>
    <col min="14" max="14" width="12.33203125" bestFit="1" customWidth="1"/>
    <col min="15" max="15" width="15.44140625" customWidth="1"/>
  </cols>
  <sheetData>
    <row r="1" spans="2:17">
      <c r="H1" s="58">
        <v>1.8100000000000002E-2</v>
      </c>
    </row>
    <row r="2" spans="2:17" ht="15" thickBot="1"/>
    <row r="3" spans="2:17" ht="15" thickBot="1">
      <c r="B3" s="59" t="s">
        <v>65</v>
      </c>
      <c r="C3" s="60"/>
      <c r="D3" s="60" t="s">
        <v>66</v>
      </c>
      <c r="E3" s="61" t="s">
        <v>67</v>
      </c>
      <c r="F3" s="62"/>
      <c r="G3" s="63"/>
      <c r="I3" s="64" t="s">
        <v>68</v>
      </c>
      <c r="J3" s="65"/>
      <c r="K3" s="66"/>
      <c r="L3" s="65"/>
      <c r="M3" s="67" t="s">
        <v>69</v>
      </c>
      <c r="N3" s="68" t="s">
        <v>70</v>
      </c>
      <c r="O3" s="69" t="s">
        <v>71</v>
      </c>
      <c r="P3" s="69"/>
      <c r="Q3" s="69"/>
    </row>
    <row r="4" spans="2:17">
      <c r="B4" s="70" t="s">
        <v>72</v>
      </c>
      <c r="C4" s="71" t="s">
        <v>73</v>
      </c>
      <c r="D4" s="72">
        <v>5155.4902174195804</v>
      </c>
      <c r="E4" s="73">
        <v>5963.9694954316819</v>
      </c>
      <c r="F4" s="74"/>
      <c r="I4" s="75" t="s">
        <v>74</v>
      </c>
      <c r="J4" s="71" t="s">
        <v>75</v>
      </c>
      <c r="K4" s="76">
        <v>31200</v>
      </c>
      <c r="L4" s="71" t="s">
        <v>76</v>
      </c>
      <c r="M4" s="77">
        <f t="shared" ref="M4:M29" si="0">K4*(1+$H$1)</f>
        <v>31764.720000000001</v>
      </c>
      <c r="N4" s="78">
        <f>Chart!C6</f>
        <v>34927.359999999993</v>
      </c>
      <c r="O4" s="71" t="s">
        <v>77</v>
      </c>
      <c r="P4" s="71"/>
      <c r="Q4" s="71"/>
    </row>
    <row r="5" spans="2:17">
      <c r="B5" s="70" t="s">
        <v>78</v>
      </c>
      <c r="C5" s="71" t="s">
        <v>79</v>
      </c>
      <c r="D5" s="72">
        <v>10468.742100319956</v>
      </c>
      <c r="E5" s="73">
        <v>19030.16756708255</v>
      </c>
      <c r="F5" s="74"/>
      <c r="I5" s="75" t="s">
        <v>80</v>
      </c>
      <c r="J5" s="71" t="s">
        <v>81</v>
      </c>
      <c r="K5" s="76">
        <v>43803</v>
      </c>
      <c r="L5" s="71" t="s">
        <v>76</v>
      </c>
      <c r="M5" s="77">
        <f t="shared" si="0"/>
        <v>44595.834300000002</v>
      </c>
      <c r="N5" s="78">
        <f>Chart!C12</f>
        <v>45375.199999999997</v>
      </c>
      <c r="O5" s="71" t="s">
        <v>82</v>
      </c>
      <c r="P5" s="71"/>
      <c r="Q5" s="71"/>
    </row>
    <row r="6" spans="2:17">
      <c r="B6" s="79" t="s">
        <v>83</v>
      </c>
      <c r="C6" s="71" t="s">
        <v>84</v>
      </c>
      <c r="D6" s="72">
        <v>178.16741415351552</v>
      </c>
      <c r="E6" s="73">
        <v>159.61973086509079</v>
      </c>
      <c r="F6" s="74"/>
      <c r="I6" s="75" t="s">
        <v>80</v>
      </c>
      <c r="J6" s="71" t="s">
        <v>85</v>
      </c>
      <c r="K6" s="76">
        <v>55383</v>
      </c>
      <c r="L6" s="71" t="s">
        <v>76</v>
      </c>
      <c r="M6" s="77">
        <f t="shared" si="0"/>
        <v>56385.4323</v>
      </c>
      <c r="N6" s="78">
        <f>Chart!C18</f>
        <v>69600</v>
      </c>
      <c r="O6" s="71" t="s">
        <v>86</v>
      </c>
      <c r="P6" s="71"/>
      <c r="Q6" s="71"/>
    </row>
    <row r="7" spans="2:17">
      <c r="B7" s="79" t="s">
        <v>87</v>
      </c>
      <c r="C7" s="71" t="s">
        <v>88</v>
      </c>
      <c r="D7" s="72">
        <v>1410.7821990248415</v>
      </c>
      <c r="E7" s="73">
        <v>1056.8783932396871</v>
      </c>
      <c r="F7" s="74"/>
      <c r="I7" s="75" t="s">
        <v>89</v>
      </c>
      <c r="J7" s="71" t="s">
        <v>90</v>
      </c>
      <c r="K7" s="76">
        <v>43805</v>
      </c>
      <c r="L7" s="71" t="s">
        <v>76</v>
      </c>
      <c r="M7" s="77">
        <f t="shared" si="0"/>
        <v>44597.870499999997</v>
      </c>
      <c r="N7" s="78">
        <f>Chart!C12</f>
        <v>45375.199999999997</v>
      </c>
      <c r="O7" s="71" t="s">
        <v>82</v>
      </c>
      <c r="P7" s="71"/>
      <c r="Q7" s="71"/>
    </row>
    <row r="8" spans="2:17">
      <c r="B8" s="79" t="s">
        <v>91</v>
      </c>
      <c r="C8" s="71" t="s">
        <v>92</v>
      </c>
      <c r="D8" s="72">
        <v>654.42852569297247</v>
      </c>
      <c r="E8" s="73">
        <v>659.46971027355744</v>
      </c>
      <c r="F8" s="74"/>
      <c r="I8" s="75" t="s">
        <v>89</v>
      </c>
      <c r="J8" s="71" t="s">
        <v>85</v>
      </c>
      <c r="K8" s="76">
        <v>55383</v>
      </c>
      <c r="L8" s="71" t="s">
        <v>76</v>
      </c>
      <c r="M8" s="77">
        <f t="shared" si="0"/>
        <v>56385.4323</v>
      </c>
      <c r="N8" s="78">
        <f>Chart!C18</f>
        <v>69600</v>
      </c>
      <c r="O8" s="71" t="s">
        <v>86</v>
      </c>
      <c r="P8" s="71"/>
      <c r="Q8" s="71"/>
    </row>
    <row r="9" spans="2:17">
      <c r="B9" s="70" t="s">
        <v>93</v>
      </c>
      <c r="C9" s="71" t="s">
        <v>94</v>
      </c>
      <c r="D9" s="72">
        <v>596.88798545698035</v>
      </c>
      <c r="E9" s="73">
        <v>474.11060420697481</v>
      </c>
      <c r="F9" s="74"/>
      <c r="I9" s="75" t="s">
        <v>89</v>
      </c>
      <c r="J9" s="57" t="s">
        <v>95</v>
      </c>
      <c r="K9" s="80">
        <v>31200</v>
      </c>
      <c r="L9" s="71" t="s">
        <v>96</v>
      </c>
      <c r="M9" s="77">
        <f t="shared" si="0"/>
        <v>31764.720000000001</v>
      </c>
      <c r="N9" s="78">
        <f>Chart!C6</f>
        <v>34927.359999999993</v>
      </c>
      <c r="O9" s="71" t="s">
        <v>77</v>
      </c>
      <c r="P9" s="71"/>
      <c r="Q9" s="71"/>
    </row>
    <row r="10" spans="2:17">
      <c r="B10" s="70" t="s">
        <v>97</v>
      </c>
      <c r="C10" s="71" t="s">
        <v>98</v>
      </c>
      <c r="D10" s="72">
        <v>598.37895848380174</v>
      </c>
      <c r="E10" s="73">
        <v>794.38064007837045</v>
      </c>
      <c r="F10" s="74"/>
      <c r="I10" s="75" t="s">
        <v>99</v>
      </c>
      <c r="J10" s="71" t="s">
        <v>100</v>
      </c>
      <c r="K10" s="76">
        <v>48426.278050541601</v>
      </c>
      <c r="L10" s="71" t="s">
        <v>76</v>
      </c>
      <c r="M10" s="77">
        <f t="shared" si="0"/>
        <v>49302.793683256401</v>
      </c>
      <c r="N10" s="81">
        <f>M10</f>
        <v>49302.793683256401</v>
      </c>
      <c r="O10" s="71" t="s">
        <v>101</v>
      </c>
      <c r="P10" s="71"/>
      <c r="Q10" s="71"/>
    </row>
    <row r="11" spans="2:17">
      <c r="B11" s="70" t="s">
        <v>102</v>
      </c>
      <c r="C11" s="71" t="s">
        <v>103</v>
      </c>
      <c r="D11" s="72">
        <v>623.33791443422899</v>
      </c>
      <c r="E11" s="73">
        <v>1160.45426260112</v>
      </c>
      <c r="F11" s="74"/>
      <c r="I11" s="75" t="s">
        <v>99</v>
      </c>
      <c r="J11" s="71" t="s">
        <v>104</v>
      </c>
      <c r="K11" s="76">
        <v>86225.376123673603</v>
      </c>
      <c r="L11" s="71" t="s">
        <v>76</v>
      </c>
      <c r="M11" s="77">
        <f t="shared" si="0"/>
        <v>87786.055431512097</v>
      </c>
      <c r="N11" s="81">
        <f>M11</f>
        <v>87786.055431512097</v>
      </c>
      <c r="O11" s="71" t="s">
        <v>101</v>
      </c>
      <c r="P11" s="71"/>
      <c r="Q11" s="71"/>
    </row>
    <row r="12" spans="2:17">
      <c r="B12" s="70" t="s">
        <v>105</v>
      </c>
      <c r="C12" s="71" t="s">
        <v>106</v>
      </c>
      <c r="D12" s="72">
        <v>124.41845959415669</v>
      </c>
      <c r="E12" s="73">
        <v>360.01736555263551</v>
      </c>
      <c r="F12" s="74"/>
      <c r="I12" s="75" t="s">
        <v>99</v>
      </c>
      <c r="J12" s="71" t="s">
        <v>107</v>
      </c>
      <c r="K12" s="76">
        <v>61544.592876308947</v>
      </c>
      <c r="L12" s="71" t="s">
        <v>76</v>
      </c>
      <c r="M12" s="77">
        <f t="shared" si="0"/>
        <v>62658.550007370141</v>
      </c>
      <c r="N12" s="81">
        <f>M12</f>
        <v>62658.550007370141</v>
      </c>
      <c r="O12" s="71" t="s">
        <v>101</v>
      </c>
      <c r="P12" s="71"/>
      <c r="Q12" s="71"/>
    </row>
    <row r="13" spans="2:17">
      <c r="B13" s="70" t="s">
        <v>108</v>
      </c>
      <c r="C13" s="71" t="s">
        <v>109</v>
      </c>
      <c r="D13" s="72">
        <v>352.76328618725654</v>
      </c>
      <c r="E13" s="73">
        <v>1733.9343036087084</v>
      </c>
      <c r="F13" s="74"/>
      <c r="I13" s="75" t="s">
        <v>110</v>
      </c>
      <c r="J13" s="71" t="s">
        <v>111</v>
      </c>
      <c r="K13" s="76">
        <v>31200</v>
      </c>
      <c r="L13" s="71" t="s">
        <v>76</v>
      </c>
      <c r="M13" s="77">
        <f t="shared" si="0"/>
        <v>31764.720000000001</v>
      </c>
      <c r="N13" s="78">
        <f>Chart!C6</f>
        <v>34927.359999999993</v>
      </c>
      <c r="O13" s="71" t="s">
        <v>112</v>
      </c>
      <c r="P13" s="71"/>
      <c r="Q13" s="71"/>
    </row>
    <row r="14" spans="2:17">
      <c r="B14" s="70" t="s">
        <v>113</v>
      </c>
      <c r="C14" s="71" t="s">
        <v>114</v>
      </c>
      <c r="D14" s="72">
        <v>2679.7882784402441</v>
      </c>
      <c r="E14" s="73">
        <v>1953.5170393964802</v>
      </c>
      <c r="F14" s="74"/>
      <c r="I14" s="75" t="s">
        <v>110</v>
      </c>
      <c r="J14" s="71" t="s">
        <v>85</v>
      </c>
      <c r="K14" s="76">
        <v>55383</v>
      </c>
      <c r="L14" s="71" t="s">
        <v>76</v>
      </c>
      <c r="M14" s="77">
        <f t="shared" si="0"/>
        <v>56385.4323</v>
      </c>
      <c r="N14" s="78">
        <f>Chart!C18</f>
        <v>69600</v>
      </c>
      <c r="O14" s="71" t="s">
        <v>86</v>
      </c>
      <c r="P14" s="71"/>
      <c r="Q14" s="71"/>
    </row>
    <row r="15" spans="2:17">
      <c r="B15" s="70" t="s">
        <v>115</v>
      </c>
      <c r="C15" s="71" t="s">
        <v>116</v>
      </c>
      <c r="D15" s="72">
        <v>3381.6042463134904</v>
      </c>
      <c r="E15" s="73">
        <v>8800.0556870388427</v>
      </c>
      <c r="F15" s="74"/>
      <c r="I15" s="75" t="s">
        <v>110</v>
      </c>
      <c r="J15" s="57" t="s">
        <v>117</v>
      </c>
      <c r="K15" s="76">
        <v>40107</v>
      </c>
      <c r="L15" s="71" t="s">
        <v>118</v>
      </c>
      <c r="M15" s="77">
        <f t="shared" si="0"/>
        <v>40832.936699999998</v>
      </c>
      <c r="N15" s="78">
        <f>Chart!C12</f>
        <v>45375.199999999997</v>
      </c>
      <c r="O15" s="71" t="s">
        <v>119</v>
      </c>
      <c r="P15" s="71"/>
      <c r="Q15" s="71"/>
    </row>
    <row r="16" spans="2:17">
      <c r="B16" s="70" t="s">
        <v>120</v>
      </c>
      <c r="C16" s="71" t="s">
        <v>121</v>
      </c>
      <c r="D16" s="72">
        <v>92</v>
      </c>
      <c r="E16" s="73"/>
      <c r="F16" s="74"/>
      <c r="I16" s="75" t="s">
        <v>110</v>
      </c>
      <c r="J16" s="57" t="s">
        <v>122</v>
      </c>
      <c r="K16" s="76">
        <v>34218</v>
      </c>
      <c r="L16" s="71" t="s">
        <v>123</v>
      </c>
      <c r="M16" s="77">
        <f t="shared" si="0"/>
        <v>34837.345800000003</v>
      </c>
      <c r="N16" s="78">
        <f>Chart!C6</f>
        <v>34927.359999999993</v>
      </c>
      <c r="O16" s="71" t="s">
        <v>112</v>
      </c>
      <c r="P16" s="71"/>
      <c r="Q16" s="71"/>
    </row>
    <row r="17" spans="2:17">
      <c r="B17" s="70" t="s">
        <v>124</v>
      </c>
      <c r="C17" s="71" t="s">
        <v>125</v>
      </c>
      <c r="D17" s="72">
        <v>799.70498223424943</v>
      </c>
      <c r="E17" s="73">
        <v>1347.3502436316674</v>
      </c>
      <c r="F17" s="74"/>
      <c r="I17" s="75" t="s">
        <v>126</v>
      </c>
      <c r="J17" s="71" t="s">
        <v>127</v>
      </c>
      <c r="K17" s="76">
        <v>32853.059256532943</v>
      </c>
      <c r="L17" s="71" t="s">
        <v>76</v>
      </c>
      <c r="M17" s="77">
        <f t="shared" si="0"/>
        <v>33447.699629076189</v>
      </c>
      <c r="N17" s="78">
        <f>Chart!C6</f>
        <v>34927.359999999993</v>
      </c>
      <c r="O17" s="71" t="s">
        <v>112</v>
      </c>
      <c r="P17" s="71"/>
      <c r="Q17" s="71"/>
    </row>
    <row r="18" spans="2:17">
      <c r="B18" s="70" t="s">
        <v>128</v>
      </c>
      <c r="C18" s="71" t="s">
        <v>129</v>
      </c>
      <c r="D18" s="72">
        <v>1572.2963237683009</v>
      </c>
      <c r="E18" s="73">
        <v>2996.7173855870574</v>
      </c>
      <c r="F18" s="74"/>
      <c r="I18" s="75" t="s">
        <v>126</v>
      </c>
      <c r="J18" s="71" t="s">
        <v>85</v>
      </c>
      <c r="K18" s="76">
        <v>55383</v>
      </c>
      <c r="L18" s="71" t="s">
        <v>76</v>
      </c>
      <c r="M18" s="77">
        <f t="shared" si="0"/>
        <v>56385.4323</v>
      </c>
      <c r="N18" s="78">
        <f>Chart!C18</f>
        <v>69600</v>
      </c>
      <c r="O18" s="71" t="s">
        <v>86</v>
      </c>
      <c r="P18" s="71"/>
      <c r="Q18" s="71"/>
    </row>
    <row r="19" spans="2:17" ht="15" thickBot="1">
      <c r="B19" s="82" t="s">
        <v>130</v>
      </c>
      <c r="C19" s="83" t="s">
        <v>131</v>
      </c>
      <c r="D19" s="84">
        <v>8295.8372684852438</v>
      </c>
      <c r="E19" s="85">
        <v>12619.980532849366</v>
      </c>
      <c r="F19" s="74"/>
      <c r="I19" s="75" t="s">
        <v>132</v>
      </c>
      <c r="J19" s="71" t="s">
        <v>85</v>
      </c>
      <c r="K19" s="76">
        <v>55383</v>
      </c>
      <c r="L19" s="71" t="s">
        <v>133</v>
      </c>
      <c r="M19" s="77">
        <f t="shared" si="0"/>
        <v>56385.4323</v>
      </c>
      <c r="N19" s="78">
        <f>Chart!C18</f>
        <v>69600</v>
      </c>
      <c r="O19" s="71" t="s">
        <v>86</v>
      </c>
      <c r="P19" s="71"/>
      <c r="Q19" s="71"/>
    </row>
    <row r="20" spans="2:17">
      <c r="I20" s="75" t="s">
        <v>132</v>
      </c>
      <c r="J20" s="71" t="s">
        <v>134</v>
      </c>
      <c r="K20" s="76">
        <v>45000</v>
      </c>
      <c r="L20" s="71" t="s">
        <v>123</v>
      </c>
      <c r="M20" s="77">
        <f t="shared" si="0"/>
        <v>45814.5</v>
      </c>
      <c r="N20" s="86">
        <f>Chart!C8</f>
        <v>45210.880000000005</v>
      </c>
      <c r="O20" s="71" t="s">
        <v>135</v>
      </c>
      <c r="P20" s="71"/>
      <c r="Q20" s="71"/>
    </row>
    <row r="21" spans="2:17" ht="15" thickBot="1">
      <c r="I21" s="75" t="s">
        <v>136</v>
      </c>
      <c r="J21" s="71" t="s">
        <v>117</v>
      </c>
      <c r="K21" s="76">
        <v>40107</v>
      </c>
      <c r="L21" s="71" t="s">
        <v>76</v>
      </c>
      <c r="M21" s="77">
        <f t="shared" si="0"/>
        <v>40832.936699999998</v>
      </c>
      <c r="N21" s="78">
        <f>Chart!C12</f>
        <v>45375.199999999997</v>
      </c>
      <c r="O21" s="71" t="s">
        <v>119</v>
      </c>
      <c r="P21" s="71"/>
      <c r="Q21" s="71"/>
    </row>
    <row r="22" spans="2:17" ht="15" thickBot="1">
      <c r="C22" s="87" t="s">
        <v>137</v>
      </c>
      <c r="D22" s="88"/>
      <c r="I22" s="75" t="s">
        <v>136</v>
      </c>
      <c r="J22" s="71" t="s">
        <v>85</v>
      </c>
      <c r="K22" s="76">
        <v>55383</v>
      </c>
      <c r="L22" s="71" t="s">
        <v>76</v>
      </c>
      <c r="M22" s="77">
        <f t="shared" si="0"/>
        <v>56385.4323</v>
      </c>
      <c r="N22" s="78">
        <f>Chart!C18</f>
        <v>69600</v>
      </c>
      <c r="O22" s="71" t="s">
        <v>86</v>
      </c>
      <c r="P22" s="71"/>
      <c r="Q22" s="71"/>
    </row>
    <row r="23" spans="2:17">
      <c r="C23" s="89" t="s">
        <v>138</v>
      </c>
      <c r="D23" s="90">
        <v>0.18959999999999999</v>
      </c>
      <c r="I23" s="75" t="s">
        <v>139</v>
      </c>
      <c r="J23" s="71" t="s">
        <v>117</v>
      </c>
      <c r="K23" s="76">
        <v>40107</v>
      </c>
      <c r="L23" s="71" t="s">
        <v>76</v>
      </c>
      <c r="M23" s="77">
        <f t="shared" si="0"/>
        <v>40832.936699999998</v>
      </c>
      <c r="N23" s="78">
        <f>Chart!C12</f>
        <v>45375.199999999997</v>
      </c>
      <c r="O23" s="71" t="s">
        <v>119</v>
      </c>
      <c r="P23" s="71"/>
      <c r="Q23" s="71"/>
    </row>
    <row r="24" spans="2:17">
      <c r="C24" s="91" t="s">
        <v>140</v>
      </c>
      <c r="D24" s="92">
        <v>0.2077</v>
      </c>
      <c r="I24" s="75" t="s">
        <v>141</v>
      </c>
      <c r="J24" s="93" t="s">
        <v>142</v>
      </c>
      <c r="K24" s="76">
        <v>47306.268678689732</v>
      </c>
      <c r="L24" s="71" t="s">
        <v>76</v>
      </c>
      <c r="M24" s="77">
        <f t="shared" si="0"/>
        <v>48162.512141774016</v>
      </c>
      <c r="N24" s="78">
        <f>N8</f>
        <v>69600</v>
      </c>
      <c r="O24" s="71" t="s">
        <v>86</v>
      </c>
      <c r="P24" s="71"/>
      <c r="Q24" s="71"/>
    </row>
    <row r="25" spans="2:17" ht="15" thickBot="1">
      <c r="C25" s="94" t="s">
        <v>143</v>
      </c>
      <c r="D25" s="95">
        <v>0.224</v>
      </c>
      <c r="I25" s="75" t="s">
        <v>141</v>
      </c>
      <c r="J25" s="93" t="s">
        <v>144</v>
      </c>
      <c r="K25" s="76">
        <v>62206.325726904674</v>
      </c>
      <c r="L25" s="71" t="s">
        <v>76</v>
      </c>
      <c r="M25" s="77">
        <f t="shared" si="0"/>
        <v>63332.26022256165</v>
      </c>
      <c r="N25" s="78">
        <f>Chart!C24</f>
        <v>90292.799999999988</v>
      </c>
      <c r="O25" s="71" t="s">
        <v>145</v>
      </c>
      <c r="P25" s="71"/>
      <c r="Q25" s="71"/>
    </row>
    <row r="26" spans="2:17" ht="15" thickBot="1">
      <c r="I26" s="75" t="s">
        <v>141</v>
      </c>
      <c r="J26" s="93" t="s">
        <v>146</v>
      </c>
      <c r="K26" s="76">
        <v>33306.070298122926</v>
      </c>
      <c r="L26" s="71" t="s">
        <v>76</v>
      </c>
      <c r="M26" s="77">
        <f t="shared" si="0"/>
        <v>33908.910170518953</v>
      </c>
      <c r="N26" s="78">
        <f>Chart!C6</f>
        <v>34927.359999999993</v>
      </c>
      <c r="O26" s="71" t="s">
        <v>112</v>
      </c>
      <c r="P26" s="71"/>
      <c r="Q26" s="71"/>
    </row>
    <row r="27" spans="2:17" ht="15" thickBot="1">
      <c r="C27" s="87" t="s">
        <v>147</v>
      </c>
      <c r="D27" s="88"/>
      <c r="I27" s="75" t="s">
        <v>141</v>
      </c>
      <c r="J27" s="96" t="s">
        <v>75</v>
      </c>
      <c r="K27" s="76">
        <v>31200</v>
      </c>
      <c r="L27" s="71" t="s">
        <v>76</v>
      </c>
      <c r="M27" s="97">
        <f t="shared" si="0"/>
        <v>31764.720000000001</v>
      </c>
      <c r="N27" s="78">
        <f>Chart!C6</f>
        <v>34927.359999999993</v>
      </c>
      <c r="O27" s="71" t="s">
        <v>112</v>
      </c>
      <c r="P27" s="71"/>
      <c r="Q27" s="71"/>
    </row>
    <row r="28" spans="2:17">
      <c r="C28" s="89" t="s">
        <v>138</v>
      </c>
      <c r="D28" s="90">
        <v>0.15129999999999999</v>
      </c>
      <c r="I28" s="75" t="s">
        <v>148</v>
      </c>
      <c r="J28" s="96" t="s">
        <v>85</v>
      </c>
      <c r="K28" s="76">
        <v>55383</v>
      </c>
      <c r="L28" s="71" t="s">
        <v>149</v>
      </c>
      <c r="M28" s="97">
        <f t="shared" si="0"/>
        <v>56385.4323</v>
      </c>
      <c r="N28" s="78">
        <f>Chart!C18</f>
        <v>69600</v>
      </c>
      <c r="O28" s="71" t="s">
        <v>86</v>
      </c>
      <c r="P28" s="71"/>
      <c r="Q28" s="71"/>
    </row>
    <row r="29" spans="2:17" ht="15" thickBot="1">
      <c r="C29" s="91" t="s">
        <v>140</v>
      </c>
      <c r="D29" s="92">
        <v>0.1391</v>
      </c>
      <c r="I29" s="98" t="s">
        <v>148</v>
      </c>
      <c r="J29" s="99" t="s">
        <v>117</v>
      </c>
      <c r="K29" s="100">
        <v>40107</v>
      </c>
      <c r="L29" s="101" t="s">
        <v>150</v>
      </c>
      <c r="M29" s="102">
        <f t="shared" si="0"/>
        <v>40832.936699999998</v>
      </c>
      <c r="N29" s="103">
        <f>Chart!C12</f>
        <v>45375.199999999997</v>
      </c>
      <c r="O29" s="101" t="s">
        <v>119</v>
      </c>
      <c r="P29" s="101"/>
      <c r="Q29" s="101"/>
    </row>
    <row r="30" spans="2:17" ht="15" thickBot="1">
      <c r="C30" s="94" t="s">
        <v>151</v>
      </c>
      <c r="D30" s="95">
        <v>0.12</v>
      </c>
    </row>
    <row r="31" spans="2:17" ht="15" thickBot="1">
      <c r="G31" s="71"/>
      <c r="H31" s="71"/>
      <c r="K31" s="104"/>
      <c r="N31" s="104"/>
    </row>
    <row r="32" spans="2:17">
      <c r="C32" s="87" t="s">
        <v>152</v>
      </c>
      <c r="D32" s="88"/>
      <c r="G32" s="71"/>
      <c r="H32" s="71"/>
      <c r="K32" s="105"/>
      <c r="N32" s="104"/>
    </row>
    <row r="33" spans="3:14" ht="15" thickBot="1">
      <c r="C33" s="106" t="s">
        <v>153</v>
      </c>
      <c r="D33" s="107">
        <f>'Spring 2021 CAF'!CD26</f>
        <v>1.0633805350099574E-2</v>
      </c>
      <c r="G33" s="108"/>
      <c r="H33" s="71"/>
      <c r="K33" s="105"/>
      <c r="N33" s="104"/>
    </row>
    <row r="34" spans="3:14">
      <c r="G34" s="71"/>
      <c r="H34" s="71"/>
    </row>
    <row r="35" spans="3:14">
      <c r="G35" s="71"/>
      <c r="H35" s="71"/>
    </row>
    <row r="36" spans="3:14">
      <c r="G36" s="71"/>
      <c r="H36" s="71"/>
    </row>
    <row r="37" spans="3:14">
      <c r="G37" s="71"/>
      <c r="H37" s="71"/>
    </row>
    <row r="38" spans="3:14">
      <c r="G38" s="71"/>
      <c r="H38" s="71"/>
    </row>
    <row r="39" spans="3:14">
      <c r="G39" s="71"/>
      <c r="H39" s="71"/>
    </row>
    <row r="40" spans="3:14">
      <c r="G40" s="71"/>
      <c r="H40" s="71"/>
    </row>
    <row r="41" spans="3:14">
      <c r="G41" s="71"/>
      <c r="H41" s="71"/>
    </row>
    <row r="42" spans="3:14">
      <c r="G42" s="71"/>
      <c r="H42" s="71"/>
    </row>
    <row r="43" spans="3:14">
      <c r="G43" s="71"/>
      <c r="H43" s="71"/>
    </row>
    <row r="44" spans="3:14">
      <c r="G44" s="71"/>
      <c r="H44" s="71"/>
    </row>
    <row r="45" spans="3:14">
      <c r="G45" s="71"/>
      <c r="H45" s="71"/>
    </row>
    <row r="46" spans="3:14">
      <c r="G46" s="71"/>
      <c r="H46" s="71"/>
    </row>
    <row r="47" spans="3:14">
      <c r="G47" s="71"/>
      <c r="H47" s="71"/>
    </row>
  </sheetData>
  <mergeCells count="4">
    <mergeCell ref="O3:Q3"/>
    <mergeCell ref="C22:D22"/>
    <mergeCell ref="C27:D27"/>
    <mergeCell ref="C32:D3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35"/>
  <sheetViews>
    <sheetView topLeftCell="A7" workbookViewId="0">
      <selection activeCell="P21" sqref="P21"/>
    </sheetView>
  </sheetViews>
  <sheetFormatPr defaultRowHeight="14.4"/>
  <cols>
    <col min="1" max="1" width="8.88671875" style="269"/>
    <col min="2" max="2" width="30.44140625" style="269" hidden="1" customWidth="1"/>
    <col min="3" max="5" width="8.88671875" style="269" hidden="1" customWidth="1"/>
    <col min="6" max="6" width="15.5546875" style="269" hidden="1" customWidth="1"/>
    <col min="7" max="7" width="4" style="313" customWidth="1"/>
    <col min="8" max="8" width="33.44140625" style="269" bestFit="1" customWidth="1"/>
    <col min="9" max="9" width="12.109375" style="269" customWidth="1"/>
    <col min="10" max="10" width="8.88671875" style="269"/>
    <col min="11" max="11" width="16.6640625" style="269" customWidth="1"/>
    <col min="12" max="12" width="8.77734375" style="269" customWidth="1"/>
    <col min="13" max="14" width="0" style="269" hidden="1" customWidth="1"/>
    <col min="15" max="15" width="26.109375" style="269" customWidth="1"/>
    <col min="16" max="16" width="15.6640625" style="269" bestFit="1" customWidth="1"/>
    <col min="17" max="256" width="8.88671875" style="269"/>
    <col min="257" max="257" width="30.44140625" style="269" customWidth="1"/>
    <col min="258" max="260" width="8.88671875" style="269"/>
    <col min="261" max="261" width="15.5546875" style="269" customWidth="1"/>
    <col min="262" max="512" width="8.88671875" style="269"/>
    <col min="513" max="513" width="30.44140625" style="269" customWidth="1"/>
    <col min="514" max="516" width="8.88671875" style="269"/>
    <col min="517" max="517" width="15.5546875" style="269" customWidth="1"/>
    <col min="518" max="768" width="8.88671875" style="269"/>
    <col min="769" max="769" width="30.44140625" style="269" customWidth="1"/>
    <col min="770" max="772" width="8.88671875" style="269"/>
    <col min="773" max="773" width="15.5546875" style="269" customWidth="1"/>
    <col min="774" max="1024" width="8.88671875" style="269"/>
    <col min="1025" max="1025" width="30.44140625" style="269" customWidth="1"/>
    <col min="1026" max="1028" width="8.88671875" style="269"/>
    <col min="1029" max="1029" width="15.5546875" style="269" customWidth="1"/>
    <col min="1030" max="1280" width="8.88671875" style="269"/>
    <col min="1281" max="1281" width="30.44140625" style="269" customWidth="1"/>
    <col min="1282" max="1284" width="8.88671875" style="269"/>
    <col min="1285" max="1285" width="15.5546875" style="269" customWidth="1"/>
    <col min="1286" max="1536" width="8.88671875" style="269"/>
    <col min="1537" max="1537" width="30.44140625" style="269" customWidth="1"/>
    <col min="1538" max="1540" width="8.88671875" style="269"/>
    <col min="1541" max="1541" width="15.5546875" style="269" customWidth="1"/>
    <col min="1542" max="1792" width="8.88671875" style="269"/>
    <col min="1793" max="1793" width="30.44140625" style="269" customWidth="1"/>
    <col min="1794" max="1796" width="8.88671875" style="269"/>
    <col min="1797" max="1797" width="15.5546875" style="269" customWidth="1"/>
    <col min="1798" max="2048" width="8.88671875" style="269"/>
    <col min="2049" max="2049" width="30.44140625" style="269" customWidth="1"/>
    <col min="2050" max="2052" width="8.88671875" style="269"/>
    <col min="2053" max="2053" width="15.5546875" style="269" customWidth="1"/>
    <col min="2054" max="2304" width="8.88671875" style="269"/>
    <col min="2305" max="2305" width="30.44140625" style="269" customWidth="1"/>
    <col min="2306" max="2308" width="8.88671875" style="269"/>
    <col min="2309" max="2309" width="15.5546875" style="269" customWidth="1"/>
    <col min="2310" max="2560" width="8.88671875" style="269"/>
    <col min="2561" max="2561" width="30.44140625" style="269" customWidth="1"/>
    <col min="2562" max="2564" width="8.88671875" style="269"/>
    <col min="2565" max="2565" width="15.5546875" style="269" customWidth="1"/>
    <col min="2566" max="2816" width="8.88671875" style="269"/>
    <col min="2817" max="2817" width="30.44140625" style="269" customWidth="1"/>
    <col min="2818" max="2820" width="8.88671875" style="269"/>
    <col min="2821" max="2821" width="15.5546875" style="269" customWidth="1"/>
    <col min="2822" max="3072" width="8.88671875" style="269"/>
    <col min="3073" max="3073" width="30.44140625" style="269" customWidth="1"/>
    <col min="3074" max="3076" width="8.88671875" style="269"/>
    <col min="3077" max="3077" width="15.5546875" style="269" customWidth="1"/>
    <col min="3078" max="3328" width="8.88671875" style="269"/>
    <col min="3329" max="3329" width="30.44140625" style="269" customWidth="1"/>
    <col min="3330" max="3332" width="8.88671875" style="269"/>
    <col min="3333" max="3333" width="15.5546875" style="269" customWidth="1"/>
    <col min="3334" max="3584" width="8.88671875" style="269"/>
    <col min="3585" max="3585" width="30.44140625" style="269" customWidth="1"/>
    <col min="3586" max="3588" width="8.88671875" style="269"/>
    <col min="3589" max="3589" width="15.5546875" style="269" customWidth="1"/>
    <col min="3590" max="3840" width="8.88671875" style="269"/>
    <col min="3841" max="3841" width="30.44140625" style="269" customWidth="1"/>
    <col min="3842" max="3844" width="8.88671875" style="269"/>
    <col min="3845" max="3845" width="15.5546875" style="269" customWidth="1"/>
    <col min="3846" max="4096" width="8.88671875" style="269"/>
    <col min="4097" max="4097" width="30.44140625" style="269" customWidth="1"/>
    <col min="4098" max="4100" width="8.88671875" style="269"/>
    <col min="4101" max="4101" width="15.5546875" style="269" customWidth="1"/>
    <col min="4102" max="4352" width="8.88671875" style="269"/>
    <col min="4353" max="4353" width="30.44140625" style="269" customWidth="1"/>
    <col min="4354" max="4356" width="8.88671875" style="269"/>
    <col min="4357" max="4357" width="15.5546875" style="269" customWidth="1"/>
    <col min="4358" max="4608" width="8.88671875" style="269"/>
    <col min="4609" max="4609" width="30.44140625" style="269" customWidth="1"/>
    <col min="4610" max="4612" width="8.88671875" style="269"/>
    <col min="4613" max="4613" width="15.5546875" style="269" customWidth="1"/>
    <col min="4614" max="4864" width="8.88671875" style="269"/>
    <col min="4865" max="4865" width="30.44140625" style="269" customWidth="1"/>
    <col min="4866" max="4868" width="8.88671875" style="269"/>
    <col min="4869" max="4869" width="15.5546875" style="269" customWidth="1"/>
    <col min="4870" max="5120" width="8.88671875" style="269"/>
    <col min="5121" max="5121" width="30.44140625" style="269" customWidth="1"/>
    <col min="5122" max="5124" width="8.88671875" style="269"/>
    <col min="5125" max="5125" width="15.5546875" style="269" customWidth="1"/>
    <col min="5126" max="5376" width="8.88671875" style="269"/>
    <col min="5377" max="5377" width="30.44140625" style="269" customWidth="1"/>
    <col min="5378" max="5380" width="8.88671875" style="269"/>
    <col min="5381" max="5381" width="15.5546875" style="269" customWidth="1"/>
    <col min="5382" max="5632" width="8.88671875" style="269"/>
    <col min="5633" max="5633" width="30.44140625" style="269" customWidth="1"/>
    <col min="5634" max="5636" width="8.88671875" style="269"/>
    <col min="5637" max="5637" width="15.5546875" style="269" customWidth="1"/>
    <col min="5638" max="5888" width="8.88671875" style="269"/>
    <col min="5889" max="5889" width="30.44140625" style="269" customWidth="1"/>
    <col min="5890" max="5892" width="8.88671875" style="269"/>
    <col min="5893" max="5893" width="15.5546875" style="269" customWidth="1"/>
    <col min="5894" max="6144" width="8.88671875" style="269"/>
    <col min="6145" max="6145" width="30.44140625" style="269" customWidth="1"/>
    <col min="6146" max="6148" width="8.88671875" style="269"/>
    <col min="6149" max="6149" width="15.5546875" style="269" customWidth="1"/>
    <col min="6150" max="6400" width="8.88671875" style="269"/>
    <col min="6401" max="6401" width="30.44140625" style="269" customWidth="1"/>
    <col min="6402" max="6404" width="8.88671875" style="269"/>
    <col min="6405" max="6405" width="15.5546875" style="269" customWidth="1"/>
    <col min="6406" max="6656" width="8.88671875" style="269"/>
    <col min="6657" max="6657" width="30.44140625" style="269" customWidth="1"/>
    <col min="6658" max="6660" width="8.88671875" style="269"/>
    <col min="6661" max="6661" width="15.5546875" style="269" customWidth="1"/>
    <col min="6662" max="6912" width="8.88671875" style="269"/>
    <col min="6913" max="6913" width="30.44140625" style="269" customWidth="1"/>
    <col min="6914" max="6916" width="8.88671875" style="269"/>
    <col min="6917" max="6917" width="15.5546875" style="269" customWidth="1"/>
    <col min="6918" max="7168" width="8.88671875" style="269"/>
    <col min="7169" max="7169" width="30.44140625" style="269" customWidth="1"/>
    <col min="7170" max="7172" width="8.88671875" style="269"/>
    <col min="7173" max="7173" width="15.5546875" style="269" customWidth="1"/>
    <col min="7174" max="7424" width="8.88671875" style="269"/>
    <col min="7425" max="7425" width="30.44140625" style="269" customWidth="1"/>
    <col min="7426" max="7428" width="8.88671875" style="269"/>
    <col min="7429" max="7429" width="15.5546875" style="269" customWidth="1"/>
    <col min="7430" max="7680" width="8.88671875" style="269"/>
    <col min="7681" max="7681" width="30.44140625" style="269" customWidth="1"/>
    <col min="7682" max="7684" width="8.88671875" style="269"/>
    <col min="7685" max="7685" width="15.5546875" style="269" customWidth="1"/>
    <col min="7686" max="7936" width="8.88671875" style="269"/>
    <col min="7937" max="7937" width="30.44140625" style="269" customWidth="1"/>
    <col min="7938" max="7940" width="8.88671875" style="269"/>
    <col min="7941" max="7941" width="15.5546875" style="269" customWidth="1"/>
    <col min="7942" max="8192" width="8.88671875" style="269"/>
    <col min="8193" max="8193" width="30.44140625" style="269" customWidth="1"/>
    <col min="8194" max="8196" width="8.88671875" style="269"/>
    <col min="8197" max="8197" width="15.5546875" style="269" customWidth="1"/>
    <col min="8198" max="8448" width="8.88671875" style="269"/>
    <col min="8449" max="8449" width="30.44140625" style="269" customWidth="1"/>
    <col min="8450" max="8452" width="8.88671875" style="269"/>
    <col min="8453" max="8453" width="15.5546875" style="269" customWidth="1"/>
    <col min="8454" max="8704" width="8.88671875" style="269"/>
    <col min="8705" max="8705" width="30.44140625" style="269" customWidth="1"/>
    <col min="8706" max="8708" width="8.88671875" style="269"/>
    <col min="8709" max="8709" width="15.5546875" style="269" customWidth="1"/>
    <col min="8710" max="8960" width="8.88671875" style="269"/>
    <col min="8961" max="8961" width="30.44140625" style="269" customWidth="1"/>
    <col min="8962" max="8964" width="8.88671875" style="269"/>
    <col min="8965" max="8965" width="15.5546875" style="269" customWidth="1"/>
    <col min="8966" max="9216" width="8.88671875" style="269"/>
    <col min="9217" max="9217" width="30.44140625" style="269" customWidth="1"/>
    <col min="9218" max="9220" width="8.88671875" style="269"/>
    <col min="9221" max="9221" width="15.5546875" style="269" customWidth="1"/>
    <col min="9222" max="9472" width="8.88671875" style="269"/>
    <col min="9473" max="9473" width="30.44140625" style="269" customWidth="1"/>
    <col min="9474" max="9476" width="8.88671875" style="269"/>
    <col min="9477" max="9477" width="15.5546875" style="269" customWidth="1"/>
    <col min="9478" max="9728" width="8.88671875" style="269"/>
    <col min="9729" max="9729" width="30.44140625" style="269" customWidth="1"/>
    <col min="9730" max="9732" width="8.88671875" style="269"/>
    <col min="9733" max="9733" width="15.5546875" style="269" customWidth="1"/>
    <col min="9734" max="9984" width="8.88671875" style="269"/>
    <col min="9985" max="9985" width="30.44140625" style="269" customWidth="1"/>
    <col min="9986" max="9988" width="8.88671875" style="269"/>
    <col min="9989" max="9989" width="15.5546875" style="269" customWidth="1"/>
    <col min="9990" max="10240" width="8.88671875" style="269"/>
    <col min="10241" max="10241" width="30.44140625" style="269" customWidth="1"/>
    <col min="10242" max="10244" width="8.88671875" style="269"/>
    <col min="10245" max="10245" width="15.5546875" style="269" customWidth="1"/>
    <col min="10246" max="10496" width="8.88671875" style="269"/>
    <col min="10497" max="10497" width="30.44140625" style="269" customWidth="1"/>
    <col min="10498" max="10500" width="8.88671875" style="269"/>
    <col min="10501" max="10501" width="15.5546875" style="269" customWidth="1"/>
    <col min="10502" max="10752" width="8.88671875" style="269"/>
    <col min="10753" max="10753" width="30.44140625" style="269" customWidth="1"/>
    <col min="10754" max="10756" width="8.88671875" style="269"/>
    <col min="10757" max="10757" width="15.5546875" style="269" customWidth="1"/>
    <col min="10758" max="11008" width="8.88671875" style="269"/>
    <col min="11009" max="11009" width="30.44140625" style="269" customWidth="1"/>
    <col min="11010" max="11012" width="8.88671875" style="269"/>
    <col min="11013" max="11013" width="15.5546875" style="269" customWidth="1"/>
    <col min="11014" max="11264" width="8.88671875" style="269"/>
    <col min="11265" max="11265" width="30.44140625" style="269" customWidth="1"/>
    <col min="11266" max="11268" width="8.88671875" style="269"/>
    <col min="11269" max="11269" width="15.5546875" style="269" customWidth="1"/>
    <col min="11270" max="11520" width="8.88671875" style="269"/>
    <col min="11521" max="11521" width="30.44140625" style="269" customWidth="1"/>
    <col min="11522" max="11524" width="8.88671875" style="269"/>
    <col min="11525" max="11525" width="15.5546875" style="269" customWidth="1"/>
    <col min="11526" max="11776" width="8.88671875" style="269"/>
    <col min="11777" max="11777" width="30.44140625" style="269" customWidth="1"/>
    <col min="11778" max="11780" width="8.88671875" style="269"/>
    <col min="11781" max="11781" width="15.5546875" style="269" customWidth="1"/>
    <col min="11782" max="12032" width="8.88671875" style="269"/>
    <col min="12033" max="12033" width="30.44140625" style="269" customWidth="1"/>
    <col min="12034" max="12036" width="8.88671875" style="269"/>
    <col min="12037" max="12037" width="15.5546875" style="269" customWidth="1"/>
    <col min="12038" max="12288" width="8.88671875" style="269"/>
    <col min="12289" max="12289" width="30.44140625" style="269" customWidth="1"/>
    <col min="12290" max="12292" width="8.88671875" style="269"/>
    <col min="12293" max="12293" width="15.5546875" style="269" customWidth="1"/>
    <col min="12294" max="12544" width="8.88671875" style="269"/>
    <col min="12545" max="12545" width="30.44140625" style="269" customWidth="1"/>
    <col min="12546" max="12548" width="8.88671875" style="269"/>
    <col min="12549" max="12549" width="15.5546875" style="269" customWidth="1"/>
    <col min="12550" max="12800" width="8.88671875" style="269"/>
    <col min="12801" max="12801" width="30.44140625" style="269" customWidth="1"/>
    <col min="12802" max="12804" width="8.88671875" style="269"/>
    <col min="12805" max="12805" width="15.5546875" style="269" customWidth="1"/>
    <col min="12806" max="13056" width="8.88671875" style="269"/>
    <col min="13057" max="13057" width="30.44140625" style="269" customWidth="1"/>
    <col min="13058" max="13060" width="8.88671875" style="269"/>
    <col min="13061" max="13061" width="15.5546875" style="269" customWidth="1"/>
    <col min="13062" max="13312" width="8.88671875" style="269"/>
    <col min="13313" max="13313" width="30.44140625" style="269" customWidth="1"/>
    <col min="13314" max="13316" width="8.88671875" style="269"/>
    <col min="13317" max="13317" width="15.5546875" style="269" customWidth="1"/>
    <col min="13318" max="13568" width="8.88671875" style="269"/>
    <col min="13569" max="13569" width="30.44140625" style="269" customWidth="1"/>
    <col min="13570" max="13572" width="8.88671875" style="269"/>
    <col min="13573" max="13573" width="15.5546875" style="269" customWidth="1"/>
    <col min="13574" max="13824" width="8.88671875" style="269"/>
    <col min="13825" max="13825" width="30.44140625" style="269" customWidth="1"/>
    <col min="13826" max="13828" width="8.88671875" style="269"/>
    <col min="13829" max="13829" width="15.5546875" style="269" customWidth="1"/>
    <col min="13830" max="14080" width="8.88671875" style="269"/>
    <col min="14081" max="14081" width="30.44140625" style="269" customWidth="1"/>
    <col min="14082" max="14084" width="8.88671875" style="269"/>
    <col min="14085" max="14085" width="15.5546875" style="269" customWidth="1"/>
    <col min="14086" max="14336" width="8.88671875" style="269"/>
    <col min="14337" max="14337" width="30.44140625" style="269" customWidth="1"/>
    <col min="14338" max="14340" width="8.88671875" style="269"/>
    <col min="14341" max="14341" width="15.5546875" style="269" customWidth="1"/>
    <col min="14342" max="14592" width="8.88671875" style="269"/>
    <col min="14593" max="14593" width="30.44140625" style="269" customWidth="1"/>
    <col min="14594" max="14596" width="8.88671875" style="269"/>
    <col min="14597" max="14597" width="15.5546875" style="269" customWidth="1"/>
    <col min="14598" max="14848" width="8.88671875" style="269"/>
    <col min="14849" max="14849" width="30.44140625" style="269" customWidth="1"/>
    <col min="14850" max="14852" width="8.88671875" style="269"/>
    <col min="14853" max="14853" width="15.5546875" style="269" customWidth="1"/>
    <col min="14854" max="15104" width="8.88671875" style="269"/>
    <col min="15105" max="15105" width="30.44140625" style="269" customWidth="1"/>
    <col min="15106" max="15108" width="8.88671875" style="269"/>
    <col min="15109" max="15109" width="15.5546875" style="269" customWidth="1"/>
    <col min="15110" max="15360" width="8.88671875" style="269"/>
    <col min="15361" max="15361" width="30.44140625" style="269" customWidth="1"/>
    <col min="15362" max="15364" width="8.88671875" style="269"/>
    <col min="15365" max="15365" width="15.5546875" style="269" customWidth="1"/>
    <col min="15366" max="15616" width="8.88671875" style="269"/>
    <col min="15617" max="15617" width="30.44140625" style="269" customWidth="1"/>
    <col min="15618" max="15620" width="8.88671875" style="269"/>
    <col min="15621" max="15621" width="15.5546875" style="269" customWidth="1"/>
    <col min="15622" max="15872" width="8.88671875" style="269"/>
    <col min="15873" max="15873" width="30.44140625" style="269" customWidth="1"/>
    <col min="15874" max="15876" width="8.88671875" style="269"/>
    <col min="15877" max="15877" width="15.5546875" style="269" customWidth="1"/>
    <col min="15878" max="16128" width="8.88671875" style="269"/>
    <col min="16129" max="16129" width="30.44140625" style="269" customWidth="1"/>
    <col min="16130" max="16132" width="8.88671875" style="269"/>
    <col min="16133" max="16133" width="15.5546875" style="269" customWidth="1"/>
    <col min="16134" max="16384" width="8.88671875" style="269"/>
  </cols>
  <sheetData>
    <row r="1" spans="1:23">
      <c r="A1" s="313"/>
      <c r="B1" s="2112" t="s">
        <v>702</v>
      </c>
      <c r="C1" s="2112"/>
      <c r="D1" s="2805"/>
      <c r="E1" s="2805"/>
      <c r="F1" s="2805"/>
      <c r="H1" s="2215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</row>
    <row r="2" spans="1:23" ht="15" thickBot="1">
      <c r="A2" s="313"/>
      <c r="B2" s="2805" t="s">
        <v>650</v>
      </c>
      <c r="C2" s="2805"/>
      <c r="D2" s="2805"/>
      <c r="E2" s="2805"/>
      <c r="F2" s="2805"/>
      <c r="H2" s="2806"/>
      <c r="I2" s="281"/>
      <c r="J2" s="281"/>
      <c r="K2" s="281"/>
      <c r="L2" s="281"/>
      <c r="M2" s="281">
        <v>53993</v>
      </c>
      <c r="N2" s="281"/>
      <c r="O2" s="281"/>
      <c r="P2" s="281"/>
      <c r="Q2" s="281"/>
      <c r="R2" s="281"/>
      <c r="S2" s="281"/>
      <c r="T2" s="281"/>
      <c r="U2" s="281"/>
      <c r="V2" s="281"/>
      <c r="W2" s="281"/>
    </row>
    <row r="3" spans="1:23" ht="15" thickBot="1">
      <c r="A3" s="313"/>
      <c r="B3" s="2805"/>
      <c r="C3" s="2805"/>
      <c r="D3" s="2805"/>
      <c r="E3" s="2805"/>
      <c r="F3" s="2805"/>
      <c r="H3" s="2216" t="s">
        <v>702</v>
      </c>
      <c r="I3" s="2217"/>
      <c r="J3" s="2217"/>
      <c r="K3" s="2218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</row>
    <row r="4" spans="1:23" ht="15" thickBot="1">
      <c r="A4" s="313"/>
      <c r="B4" s="2113" t="s">
        <v>703</v>
      </c>
      <c r="C4" s="2114"/>
      <c r="D4" s="2114"/>
      <c r="E4" s="2114"/>
      <c r="F4" s="2115"/>
      <c r="G4" s="2116"/>
      <c r="H4" s="2219" t="s">
        <v>703</v>
      </c>
      <c r="I4" s="2827"/>
      <c r="J4" s="2827"/>
      <c r="K4" s="2852">
        <v>10</v>
      </c>
      <c r="L4" s="281"/>
      <c r="M4" s="281"/>
      <c r="N4" s="281"/>
      <c r="O4" s="1272" t="s">
        <v>389</v>
      </c>
      <c r="P4" s="1273"/>
      <c r="Q4" s="1273"/>
      <c r="R4" s="1273"/>
      <c r="S4" s="1273"/>
      <c r="T4" s="1273"/>
      <c r="U4" s="1274"/>
      <c r="V4" s="281"/>
      <c r="W4" s="281"/>
    </row>
    <row r="5" spans="1:23">
      <c r="A5" s="313"/>
      <c r="B5" s="2122"/>
      <c r="C5" s="2123"/>
      <c r="D5" s="2123"/>
      <c r="E5" s="2123"/>
      <c r="F5" s="2124"/>
      <c r="G5" s="2116"/>
      <c r="H5" s="756"/>
      <c r="I5" s="754"/>
      <c r="J5" s="754"/>
      <c r="K5" s="755"/>
      <c r="L5" s="281"/>
      <c r="M5" s="281"/>
      <c r="N5" s="281"/>
      <c r="O5" s="2954" t="s">
        <v>391</v>
      </c>
      <c r="P5" s="2955"/>
      <c r="Q5" s="2955"/>
      <c r="R5" s="2955"/>
      <c r="S5" s="2955"/>
      <c r="T5" s="2955"/>
      <c r="U5" s="2956"/>
      <c r="V5" s="281"/>
      <c r="W5" s="281"/>
    </row>
    <row r="6" spans="1:23">
      <c r="A6" s="313"/>
      <c r="B6" s="2122"/>
      <c r="C6" s="2123"/>
      <c r="D6" s="2128" t="s">
        <v>215</v>
      </c>
      <c r="E6" s="2128" t="s">
        <v>216</v>
      </c>
      <c r="F6" s="2129" t="s">
        <v>217</v>
      </c>
      <c r="G6" s="2130"/>
      <c r="H6" s="696"/>
      <c r="I6" s="2220" t="s">
        <v>215</v>
      </c>
      <c r="J6" s="2220" t="s">
        <v>216</v>
      </c>
      <c r="K6" s="2221" t="s">
        <v>217</v>
      </c>
      <c r="L6" s="281"/>
      <c r="M6" s="281"/>
      <c r="N6" s="281"/>
      <c r="O6" s="696" t="s">
        <v>654</v>
      </c>
      <c r="P6" s="1283">
        <f>'[13]Master Look Up'!O16</f>
        <v>69600</v>
      </c>
      <c r="Q6" s="754" t="str">
        <f>'Specialty Family Skills Group'!Y5</f>
        <v>BLS 2020</v>
      </c>
      <c r="R6" s="754"/>
      <c r="S6" s="754"/>
      <c r="T6" s="754"/>
      <c r="U6" s="755"/>
      <c r="V6" s="281"/>
      <c r="W6" s="281"/>
    </row>
    <row r="7" spans="1:23">
      <c r="A7" s="313"/>
      <c r="B7" s="2122" t="s">
        <v>654</v>
      </c>
      <c r="C7" s="2123"/>
      <c r="D7" s="2137">
        <f>52564</f>
        <v>52564</v>
      </c>
      <c r="E7" s="2123">
        <f>'[15]Model Budgets-Groups- Specialty'!E9</f>
        <v>0.01</v>
      </c>
      <c r="F7" s="2138">
        <f>'[15]Model Budgets-Groups- Specialty'!F9</f>
        <v>525.64428772849237</v>
      </c>
      <c r="G7" s="2139"/>
      <c r="H7" s="696" t="str">
        <f>O6</f>
        <v>Management</v>
      </c>
      <c r="I7" s="2222">
        <f>P6</f>
        <v>69600</v>
      </c>
      <c r="J7" s="754">
        <v>0.01</v>
      </c>
      <c r="K7" s="2223">
        <f>I7*J7</f>
        <v>696</v>
      </c>
      <c r="L7" s="281"/>
      <c r="M7" s="281"/>
      <c r="N7" s="281"/>
      <c r="O7" s="696" t="s">
        <v>81</v>
      </c>
      <c r="P7" s="1283">
        <f>'[13]Master Look Up'!O10</f>
        <v>54412.800000000003</v>
      </c>
      <c r="Q7" s="754" t="s">
        <v>656</v>
      </c>
      <c r="R7" s="754"/>
      <c r="S7" s="754"/>
      <c r="T7" s="754"/>
      <c r="U7" s="755"/>
      <c r="V7" s="281"/>
      <c r="W7" s="281"/>
    </row>
    <row r="8" spans="1:23" ht="15" thickBot="1">
      <c r="A8" s="313"/>
      <c r="B8" s="2122" t="s">
        <v>75</v>
      </c>
      <c r="C8" s="2123"/>
      <c r="D8" s="2137">
        <f>47000</f>
        <v>47000</v>
      </c>
      <c r="E8" s="2123">
        <f>'[15]Model Budgets-Groups- Specialty'!E10</f>
        <v>0.19</v>
      </c>
      <c r="F8" s="2138">
        <f>'[15]Model Budgets-Groups- Specialty'!F10</f>
        <v>8930</v>
      </c>
      <c r="G8" s="2139"/>
      <c r="H8" s="696" t="s">
        <v>81</v>
      </c>
      <c r="I8" s="2222">
        <f>P7</f>
        <v>54412.800000000003</v>
      </c>
      <c r="J8" s="754">
        <v>0.09</v>
      </c>
      <c r="K8" s="2223">
        <f>I8*J8</f>
        <v>4897.152</v>
      </c>
      <c r="L8" s="281"/>
      <c r="M8" s="281"/>
      <c r="N8" s="281"/>
      <c r="O8" s="696" t="s">
        <v>704</v>
      </c>
      <c r="P8" s="1283">
        <f>'[13]Master Look Up'!O21</f>
        <v>45210.880000000005</v>
      </c>
      <c r="Q8" s="754" t="s">
        <v>659</v>
      </c>
      <c r="R8" s="754"/>
      <c r="S8" s="754"/>
      <c r="T8" s="754"/>
      <c r="U8" s="755"/>
      <c r="V8" s="281"/>
      <c r="W8" s="281"/>
    </row>
    <row r="9" spans="1:23" ht="15" thickBot="1">
      <c r="A9" s="313"/>
      <c r="B9" s="2146" t="s">
        <v>661</v>
      </c>
      <c r="C9" s="2109"/>
      <c r="D9" s="2109"/>
      <c r="E9" s="2147">
        <f>'[15]Model Budgets-Groups- Specialty'!E11</f>
        <v>0.2</v>
      </c>
      <c r="F9" s="2148">
        <f>'[15]Model Budgets-Groups- Specialty'!F11</f>
        <v>9455.6442877284917</v>
      </c>
      <c r="G9" s="2139"/>
      <c r="H9" s="696" t="str">
        <f>O8</f>
        <v xml:space="preserve">Direct Care  </v>
      </c>
      <c r="I9" s="2222">
        <f>P8</f>
        <v>45210.880000000005</v>
      </c>
      <c r="J9" s="754">
        <v>0.1</v>
      </c>
      <c r="K9" s="2223">
        <f>I9*J9</f>
        <v>4521.0880000000006</v>
      </c>
      <c r="L9" s="281"/>
      <c r="M9" s="281"/>
      <c r="N9" s="281"/>
      <c r="O9" s="1279" t="s">
        <v>177</v>
      </c>
      <c r="P9" s="1280"/>
      <c r="Q9" s="1280"/>
      <c r="R9" s="1280"/>
      <c r="S9" s="1280"/>
      <c r="T9" s="1280"/>
      <c r="U9" s="1281"/>
      <c r="V9" s="281"/>
      <c r="W9" s="281"/>
    </row>
    <row r="10" spans="1:23">
      <c r="A10" s="313"/>
      <c r="B10" s="2122"/>
      <c r="C10" s="2123"/>
      <c r="D10" s="2123"/>
      <c r="E10" s="2123"/>
      <c r="F10" s="2124"/>
      <c r="G10" s="2116"/>
      <c r="H10" s="731" t="s">
        <v>661</v>
      </c>
      <c r="I10" s="2224"/>
      <c r="J10" s="2225">
        <v>0.2</v>
      </c>
      <c r="K10" s="2226">
        <f>SUM(K7:K9)</f>
        <v>10114.240000000002</v>
      </c>
      <c r="L10" s="281"/>
      <c r="M10" s="281"/>
      <c r="N10" s="281"/>
      <c r="O10" s="696" t="s">
        <v>286</v>
      </c>
      <c r="P10" s="721">
        <f>'[13]Master Look Up'!D18</f>
        <v>0.224</v>
      </c>
      <c r="Q10" s="1311" t="s">
        <v>143</v>
      </c>
      <c r="R10" s="754"/>
      <c r="S10" s="754"/>
      <c r="T10" s="754"/>
      <c r="U10" s="755"/>
      <c r="V10" s="281"/>
      <c r="W10" s="281"/>
    </row>
    <row r="11" spans="1:23">
      <c r="A11" s="313"/>
      <c r="B11" s="2122" t="s">
        <v>224</v>
      </c>
      <c r="C11" s="2123"/>
      <c r="D11" s="2123"/>
      <c r="E11" s="2123"/>
      <c r="F11" s="2124"/>
      <c r="G11" s="2116"/>
      <c r="H11" s="696"/>
      <c r="I11" s="754"/>
      <c r="J11" s="754"/>
      <c r="K11" s="755"/>
      <c r="L11" s="281"/>
      <c r="M11" s="281"/>
      <c r="N11" s="281"/>
      <c r="O11" s="696" t="s">
        <v>62</v>
      </c>
      <c r="P11" s="721">
        <f>'[13]Master Look Up'!D23</f>
        <v>0.12</v>
      </c>
      <c r="Q11" s="755" t="s">
        <v>151</v>
      </c>
      <c r="R11" s="754"/>
      <c r="S11" s="754"/>
      <c r="T11" s="754"/>
      <c r="U11" s="755"/>
      <c r="V11" s="281"/>
      <c r="W11" s="281"/>
    </row>
    <row r="12" spans="1:23">
      <c r="A12" s="313"/>
      <c r="B12" s="2122" t="s">
        <v>663</v>
      </c>
      <c r="C12" s="2123"/>
      <c r="D12" s="2159">
        <f>'[15]Model Budgets-Groups- Specialty'!D14</f>
        <v>0.21590826871491237</v>
      </c>
      <c r="E12" s="2159"/>
      <c r="F12" s="2138">
        <f>'[15]Model Budgets-Groups- Specialty'!F14</f>
        <v>2041.5517877475093</v>
      </c>
      <c r="G12" s="2139"/>
      <c r="H12" s="696"/>
      <c r="I12" s="754"/>
      <c r="J12" s="754"/>
      <c r="K12" s="755"/>
      <c r="L12" s="281"/>
      <c r="M12" s="281"/>
      <c r="N12" s="281"/>
      <c r="O12" s="1313" t="s">
        <v>705</v>
      </c>
      <c r="P12" s="1283">
        <f>'[13]Master Look Up'!F4</f>
        <v>5963.9694954316819</v>
      </c>
      <c r="Q12" s="754" t="s">
        <v>706</v>
      </c>
      <c r="R12" s="754"/>
      <c r="S12" s="754"/>
      <c r="T12" s="754"/>
      <c r="U12" s="755"/>
      <c r="V12" s="281"/>
      <c r="W12" s="281"/>
    </row>
    <row r="13" spans="1:23" ht="15" thickBot="1">
      <c r="A13" s="313"/>
      <c r="B13" s="2146" t="s">
        <v>225</v>
      </c>
      <c r="C13" s="2109"/>
      <c r="D13" s="2109"/>
      <c r="E13" s="2109"/>
      <c r="F13" s="2148">
        <f>'[15]Model Budgets-Groups- Specialty'!$F$15</f>
        <v>11497.196075476</v>
      </c>
      <c r="G13" s="2139"/>
      <c r="H13" s="696" t="s">
        <v>663</v>
      </c>
      <c r="I13" s="2227">
        <f>P10</f>
        <v>0.224</v>
      </c>
      <c r="J13" s="2228"/>
      <c r="K13" s="2223">
        <f>I13*K10</f>
        <v>2265.5897600000003</v>
      </c>
      <c r="L13" s="281"/>
      <c r="M13" s="281"/>
      <c r="N13" s="281"/>
      <c r="O13" s="696" t="str">
        <f>H17</f>
        <v>Curriculum</v>
      </c>
      <c r="P13" s="1283">
        <f>'[13]Master Look Up'!F12</f>
        <v>1347.3502436316674</v>
      </c>
      <c r="Q13" s="754" t="s">
        <v>707</v>
      </c>
      <c r="R13" s="754"/>
      <c r="S13" s="754"/>
      <c r="T13" s="754"/>
      <c r="U13" s="755"/>
      <c r="V13" s="281"/>
      <c r="W13" s="281"/>
    </row>
    <row r="14" spans="1:23" ht="15" thickBot="1">
      <c r="A14" s="313"/>
      <c r="B14" s="2122"/>
      <c r="C14" s="2123"/>
      <c r="D14" s="2123"/>
      <c r="E14" s="2123"/>
      <c r="F14" s="2124"/>
      <c r="G14" s="2116"/>
      <c r="H14" s="731" t="s">
        <v>225</v>
      </c>
      <c r="I14" s="2224"/>
      <c r="J14" s="2224"/>
      <c r="K14" s="2226">
        <f>SUM(K10:K13)</f>
        <v>12379.829760000002</v>
      </c>
      <c r="L14" s="281"/>
      <c r="M14" s="281"/>
      <c r="N14" s="281"/>
      <c r="O14" s="1314" t="s">
        <v>395</v>
      </c>
      <c r="P14" s="1315">
        <v>3.7399999999999998E-3</v>
      </c>
      <c r="Q14" s="1316"/>
      <c r="R14" s="1316"/>
      <c r="S14" s="1316"/>
      <c r="T14" s="1316"/>
      <c r="U14" s="1317"/>
      <c r="V14" s="281"/>
      <c r="W14" s="281"/>
    </row>
    <row r="15" spans="1:23" ht="15" thickBot="1">
      <c r="A15" s="313"/>
      <c r="B15" s="2924" t="s">
        <v>668</v>
      </c>
      <c r="C15" s="2123"/>
      <c r="D15" s="2123" t="str">
        <f>'[15]Model Budgets-Groups- Specialty'!D19</f>
        <v>Standard/session</v>
      </c>
      <c r="E15" s="2123"/>
      <c r="F15" s="2138">
        <f>'[15]MB-Groups -Family Skills Dev.'!$G$18</f>
        <v>1190.3157894736842</v>
      </c>
      <c r="G15" s="2139"/>
      <c r="H15" s="696"/>
      <c r="I15" s="754"/>
      <c r="J15" s="754"/>
      <c r="K15" s="755"/>
      <c r="L15" s="281"/>
      <c r="M15" s="281"/>
      <c r="N15" s="281"/>
      <c r="O15" s="1314" t="s">
        <v>674</v>
      </c>
      <c r="P15" s="1315">
        <f>'[13]Master Look Up'!D26</f>
        <v>1.0633805350099574E-2</v>
      </c>
      <c r="Q15" s="1316" t="s">
        <v>153</v>
      </c>
      <c r="R15" s="1316"/>
      <c r="S15" s="1316"/>
      <c r="T15" s="1316"/>
      <c r="U15" s="1317"/>
      <c r="V15" s="281"/>
      <c r="W15" s="281"/>
    </row>
    <row r="16" spans="1:23">
      <c r="A16" s="313"/>
      <c r="B16" s="2122"/>
      <c r="C16" s="2123"/>
      <c r="D16" s="2171">
        <f>'[15]Model Budgets-Groups- Specialty'!D20</f>
        <v>99.192982456140356</v>
      </c>
      <c r="E16" s="2123"/>
      <c r="F16" s="2124"/>
      <c r="G16" s="2179"/>
      <c r="H16" s="2229" t="s">
        <v>708</v>
      </c>
      <c r="I16" s="2222">
        <f>P12</f>
        <v>5963.9694954316819</v>
      </c>
      <c r="J16" s="754"/>
      <c r="K16" s="2223">
        <f>I16*J10</f>
        <v>1192.7938990863365</v>
      </c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</row>
    <row r="17" spans="1:23">
      <c r="A17" s="313"/>
      <c r="B17" s="2122" t="s">
        <v>671</v>
      </c>
      <c r="C17" s="2123"/>
      <c r="D17" s="2123"/>
      <c r="E17" s="2123"/>
      <c r="F17" s="2138">
        <f>'[15]MB-Groups -Family Skills Dev.'!$G$21</f>
        <v>1500</v>
      </c>
      <c r="G17" s="2139"/>
      <c r="H17" s="696" t="s">
        <v>671</v>
      </c>
      <c r="I17" s="754"/>
      <c r="J17" s="754"/>
      <c r="K17" s="2223">
        <f>P13</f>
        <v>1347.3502436316674</v>
      </c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</row>
    <row r="18" spans="1:23">
      <c r="A18" s="313"/>
      <c r="B18" s="2122"/>
      <c r="C18" s="2123"/>
      <c r="D18" s="2171"/>
      <c r="E18" s="2123"/>
      <c r="F18" s="2138"/>
      <c r="G18" s="2139"/>
      <c r="H18" s="696"/>
      <c r="I18" s="754"/>
      <c r="J18" s="754"/>
      <c r="K18" s="755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</row>
    <row r="19" spans="1:23">
      <c r="A19" s="313"/>
      <c r="B19" s="2122"/>
      <c r="C19" s="2123"/>
      <c r="D19" s="2123"/>
      <c r="E19" s="2123"/>
      <c r="F19" s="2138"/>
      <c r="G19" s="2139"/>
      <c r="H19" s="731" t="s">
        <v>675</v>
      </c>
      <c r="I19" s="2224"/>
      <c r="J19" s="2224"/>
      <c r="K19" s="2226">
        <f>SUM(K14:K18)</f>
        <v>14919.973902718006</v>
      </c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</row>
    <row r="20" spans="1:23">
      <c r="A20" s="313"/>
      <c r="B20" s="2122"/>
      <c r="C20" s="2123"/>
      <c r="D20" s="2123"/>
      <c r="E20" s="2123"/>
      <c r="F20" s="2124"/>
      <c r="G20" s="2116"/>
      <c r="H20" s="696" t="s">
        <v>432</v>
      </c>
      <c r="I20" s="2227">
        <f>P11</f>
        <v>0.12</v>
      </c>
      <c r="J20" s="754"/>
      <c r="K20" s="2223">
        <f>I20*K19</f>
        <v>1790.3968683261605</v>
      </c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</row>
    <row r="21" spans="1:23">
      <c r="A21" s="313"/>
      <c r="B21" s="2146" t="s">
        <v>675</v>
      </c>
      <c r="C21" s="2109"/>
      <c r="D21" s="2109"/>
      <c r="E21" s="2109"/>
      <c r="F21" s="2176">
        <f>'[15]MB-Groups -Family Skills Dev.'!$G$25</f>
        <v>14188.315789473683</v>
      </c>
      <c r="G21" s="2179"/>
      <c r="H21" s="696" t="str">
        <f>O14</f>
        <v>PFMLA Trust Contribution</v>
      </c>
      <c r="I21" s="2227">
        <f>P14</f>
        <v>3.7399999999999998E-3</v>
      </c>
      <c r="J21" s="754"/>
      <c r="K21" s="2255">
        <f>I21*K10</f>
        <v>37.827257600000003</v>
      </c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</row>
    <row r="22" spans="1:23">
      <c r="A22" s="313"/>
      <c r="B22" s="2122" t="s">
        <v>432</v>
      </c>
      <c r="C22" s="2123"/>
      <c r="D22" s="2159">
        <f>'[15]MB-Groups -Family Skills Dev.'!$E$26</f>
        <v>0.11306220647863946</v>
      </c>
      <c r="E22" s="2123"/>
      <c r="F22" s="2178">
        <f>'[15]MB-Groups -Family Skills Dev.'!$G$26</f>
        <v>1604.1622893736139</v>
      </c>
      <c r="G22" s="2179"/>
      <c r="H22" s="696" t="s">
        <v>709</v>
      </c>
      <c r="I22" s="2228"/>
      <c r="J22" s="754"/>
      <c r="K22" s="2223">
        <f>SUM(K19:K21)</f>
        <v>16748.198028644169</v>
      </c>
      <c r="L22" s="2957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</row>
    <row r="23" spans="1:23" ht="15" thickBot="1">
      <c r="A23" s="313"/>
      <c r="B23" s="2122" t="s">
        <v>676</v>
      </c>
      <c r="C23" s="2123"/>
      <c r="D23" s="2123"/>
      <c r="E23" s="2123"/>
      <c r="F23" s="2178">
        <f>'[15]MB-Groups -Family Skills Dev.'!$G$27</f>
        <v>15792.478078847296</v>
      </c>
      <c r="G23" s="2179"/>
      <c r="H23" s="2230" t="s">
        <v>678</v>
      </c>
      <c r="I23" s="2231"/>
      <c r="J23" s="2232"/>
      <c r="K23" s="2233">
        <f>K22/K4</f>
        <v>1674.8198028644169</v>
      </c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</row>
    <row r="24" spans="1:23" ht="15" thickBot="1">
      <c r="A24" s="313"/>
      <c r="B24" s="2122" t="s">
        <v>677</v>
      </c>
      <c r="C24" s="2123"/>
      <c r="D24" s="2123"/>
      <c r="E24" s="2234">
        <f>'[14]Specialty Family Skills Group'!E27</f>
        <v>4.4599999999999973E-2</v>
      </c>
      <c r="F24" s="2178">
        <f>'[15]MB-Groups -Family Skills Dev.'!$G$28</f>
        <v>16496.822601163887</v>
      </c>
      <c r="G24" s="2179"/>
      <c r="H24" s="1198" t="s">
        <v>710</v>
      </c>
      <c r="I24" s="1239">
        <f>P15</f>
        <v>1.0633805350099574E-2</v>
      </c>
      <c r="J24" s="2107"/>
      <c r="K24" s="2108">
        <f>K23*(1+I24)</f>
        <v>1692.6295106445693</v>
      </c>
      <c r="L24" s="1412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</row>
    <row r="25" spans="1:23">
      <c r="A25" s="313"/>
      <c r="B25" s="2235" t="s">
        <v>678</v>
      </c>
      <c r="C25" s="2105"/>
      <c r="D25" s="2236">
        <f>F25/F24</f>
        <v>8.3333333333333329E-2</v>
      </c>
      <c r="E25" s="2105"/>
      <c r="F25" s="2187">
        <f>'[15]MB-Groups -Family Skills Dev.'!$G$29</f>
        <v>1374.7352167636573</v>
      </c>
      <c r="G25" s="2237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</row>
    <row r="26" spans="1:23" ht="15" thickBot="1">
      <c r="A26" s="313"/>
      <c r="B26" s="2104" t="s">
        <v>645</v>
      </c>
      <c r="C26" s="2109"/>
      <c r="D26" s="2109"/>
      <c r="E26" s="2106">
        <f>[17]Sheet1!N1</f>
        <v>2.9824052590873982E-2</v>
      </c>
      <c r="F26" s="2238">
        <f>F25*(E26+1)</f>
        <v>1415.735392166943</v>
      </c>
      <c r="G26" s="2179"/>
      <c r="H26" s="754"/>
      <c r="I26" s="754"/>
      <c r="J26" s="754"/>
      <c r="K26" s="754"/>
      <c r="L26" s="754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</row>
    <row r="27" spans="1:23" ht="15" thickBot="1">
      <c r="A27" s="313"/>
      <c r="B27" s="2104" t="s">
        <v>647</v>
      </c>
      <c r="C27" s="2123"/>
      <c r="D27" s="2123"/>
      <c r="E27" s="2234">
        <f>'[18]CAF Spring17'!BK27</f>
        <v>2.7235921972764018E-2</v>
      </c>
      <c r="F27" s="2958">
        <f>F26*(E27+1)+0.01</f>
        <v>1454.3042508420824</v>
      </c>
      <c r="G27" s="2179"/>
      <c r="H27" s="758"/>
      <c r="I27" s="758"/>
      <c r="J27" s="2959"/>
      <c r="K27" s="2960"/>
      <c r="L27" s="754"/>
      <c r="M27" s="281"/>
      <c r="N27" s="281"/>
      <c r="O27" s="281"/>
      <c r="P27" s="281"/>
      <c r="Q27" s="281"/>
      <c r="R27" s="281"/>
      <c r="S27" s="281"/>
      <c r="T27" s="281"/>
      <c r="U27" s="281"/>
      <c r="V27" s="281"/>
    </row>
    <row r="28" spans="1:23">
      <c r="A28" s="302"/>
      <c r="B28" s="2961"/>
      <c r="C28" s="2116"/>
      <c r="D28" s="2116"/>
      <c r="E28" s="2962"/>
      <c r="F28" s="313"/>
      <c r="H28" s="182"/>
      <c r="I28" s="182"/>
      <c r="J28" s="2963"/>
      <c r="K28" s="632"/>
      <c r="L28" s="754"/>
      <c r="M28" s="281"/>
      <c r="N28" s="281"/>
      <c r="O28" s="281"/>
      <c r="P28" s="281"/>
      <c r="Q28" s="281"/>
      <c r="R28" s="281"/>
      <c r="S28" s="281"/>
      <c r="T28" s="281"/>
      <c r="U28" s="281"/>
    </row>
    <row r="29" spans="1:23">
      <c r="A29" s="313"/>
      <c r="B29" s="2130"/>
      <c r="C29" s="2212"/>
      <c r="D29" s="313"/>
      <c r="E29" s="2948"/>
      <c r="F29" s="2948"/>
      <c r="G29" s="2948"/>
      <c r="H29" s="182"/>
      <c r="I29" s="182"/>
      <c r="J29" s="2963"/>
      <c r="K29" s="632"/>
      <c r="L29" s="754"/>
      <c r="M29" s="281"/>
      <c r="N29" s="281"/>
      <c r="O29" s="281"/>
      <c r="P29" s="281"/>
      <c r="Q29" s="281"/>
      <c r="R29" s="281"/>
      <c r="S29" s="281"/>
      <c r="T29" s="281"/>
      <c r="U29" s="281"/>
    </row>
    <row r="30" spans="1:23">
      <c r="A30" s="313"/>
      <c r="B30" s="2116"/>
      <c r="C30" s="2213"/>
      <c r="D30" s="313"/>
      <c r="E30" s="313"/>
      <c r="F30" s="313"/>
      <c r="H30" s="182"/>
      <c r="I30" s="182"/>
      <c r="J30" s="2963"/>
      <c r="K30" s="632"/>
      <c r="L30" s="754"/>
      <c r="M30" s="281"/>
      <c r="N30" s="281"/>
      <c r="O30" s="281"/>
      <c r="P30" s="281"/>
      <c r="Q30" s="281"/>
      <c r="R30" s="281"/>
      <c r="S30" s="281"/>
      <c r="T30" s="281"/>
      <c r="U30" s="281"/>
    </row>
    <row r="31" spans="1:23">
      <c r="A31" s="313"/>
      <c r="B31" s="2239"/>
      <c r="C31" s="2240"/>
      <c r="D31" s="313"/>
      <c r="E31" s="496"/>
      <c r="F31" s="496"/>
      <c r="G31" s="496"/>
      <c r="H31" s="182"/>
      <c r="I31" s="182"/>
      <c r="J31" s="2963"/>
      <c r="K31" s="632"/>
      <c r="L31" s="754"/>
      <c r="M31" s="281"/>
      <c r="N31" s="281"/>
      <c r="O31" s="281"/>
      <c r="P31" s="281"/>
      <c r="Q31" s="281"/>
      <c r="R31" s="281"/>
      <c r="S31" s="281"/>
      <c r="T31" s="281"/>
      <c r="U31" s="281"/>
    </row>
    <row r="32" spans="1:23">
      <c r="A32" s="313"/>
      <c r="B32" s="2239"/>
      <c r="C32" s="2240"/>
      <c r="D32" s="313"/>
      <c r="E32" s="496"/>
      <c r="F32" s="496"/>
      <c r="G32" s="496"/>
      <c r="H32" s="182"/>
      <c r="I32" s="182"/>
      <c r="J32" s="2963"/>
      <c r="K32" s="632"/>
      <c r="L32" s="754"/>
      <c r="M32" s="281"/>
      <c r="N32" s="281"/>
      <c r="O32" s="281"/>
      <c r="P32" s="281"/>
      <c r="Q32" s="281"/>
      <c r="R32" s="281"/>
      <c r="S32" s="281"/>
      <c r="T32" s="281"/>
      <c r="U32" s="281"/>
    </row>
    <row r="33" spans="1:21">
      <c r="A33" s="313"/>
      <c r="B33" s="2239"/>
      <c r="C33" s="2240"/>
      <c r="D33" s="313"/>
      <c r="E33" s="496"/>
      <c r="F33" s="496"/>
      <c r="G33" s="496"/>
      <c r="H33" s="754"/>
      <c r="I33" s="754"/>
      <c r="J33" s="754"/>
      <c r="K33" s="754"/>
      <c r="L33" s="754"/>
      <c r="M33" s="281"/>
      <c r="N33" s="281"/>
      <c r="O33" s="281"/>
      <c r="P33" s="281"/>
      <c r="Q33" s="281"/>
      <c r="R33" s="281"/>
      <c r="S33" s="281"/>
      <c r="T33" s="281"/>
      <c r="U33" s="281"/>
    </row>
    <row r="34" spans="1:21">
      <c r="A34" s="313"/>
      <c r="B34" s="2239"/>
      <c r="C34" s="2240"/>
      <c r="D34" s="313"/>
      <c r="E34" s="496"/>
      <c r="F34" s="496"/>
      <c r="G34" s="496"/>
      <c r="H34" s="754"/>
      <c r="I34" s="754"/>
      <c r="J34" s="754"/>
      <c r="K34" s="754"/>
      <c r="L34" s="754"/>
      <c r="M34" s="281"/>
      <c r="N34" s="281"/>
      <c r="O34" s="281"/>
      <c r="P34" s="281"/>
      <c r="Q34" s="281"/>
      <c r="R34" s="281"/>
      <c r="S34" s="281"/>
      <c r="T34" s="281"/>
      <c r="U34" s="281"/>
    </row>
    <row r="35" spans="1:21">
      <c r="B35" s="2241"/>
      <c r="C35" s="2242"/>
      <c r="E35" s="494"/>
      <c r="F35" s="494"/>
      <c r="G35" s="496"/>
      <c r="H35" s="281"/>
      <c r="I35" s="281"/>
      <c r="J35" s="281"/>
      <c r="K35" s="281"/>
      <c r="L35" s="281"/>
      <c r="O35" s="281"/>
      <c r="P35" s="281"/>
      <c r="Q35" s="281"/>
      <c r="R35" s="281"/>
      <c r="S35" s="281"/>
      <c r="T35" s="281"/>
      <c r="U35" s="281"/>
    </row>
  </sheetData>
  <mergeCells count="4">
    <mergeCell ref="H3:K3"/>
    <mergeCell ref="O4:U4"/>
    <mergeCell ref="O5:U5"/>
    <mergeCell ref="O9:U9"/>
  </mergeCells>
  <pageMargins left="0.7" right="0.7" top="0.75" bottom="0.75" header="0.3" footer="0.3"/>
  <pageSetup scale="74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43"/>
  <sheetViews>
    <sheetView workbookViewId="0">
      <selection activeCell="P20" sqref="P20"/>
    </sheetView>
  </sheetViews>
  <sheetFormatPr defaultRowHeight="14.4"/>
  <cols>
    <col min="1" max="1" width="8.88671875" style="313"/>
    <col min="2" max="2" width="32" style="269" hidden="1" customWidth="1"/>
    <col min="3" max="3" width="0" style="269" hidden="1" customWidth="1"/>
    <col min="4" max="4" width="12.88671875" style="269" hidden="1" customWidth="1"/>
    <col min="5" max="5" width="13.5546875" style="269" hidden="1" customWidth="1"/>
    <col min="6" max="6" width="15.33203125" style="269" hidden="1" customWidth="1"/>
    <col min="7" max="7" width="8.88671875" style="269"/>
    <col min="8" max="8" width="32.33203125" style="269" customWidth="1"/>
    <col min="9" max="9" width="9.6640625" style="269" customWidth="1"/>
    <col min="10" max="10" width="8.88671875" style="269"/>
    <col min="11" max="11" width="16" style="269" customWidth="1"/>
    <col min="12" max="12" width="2" style="269" customWidth="1"/>
    <col min="13" max="13" width="8.88671875" style="269"/>
    <col min="14" max="14" width="24.33203125" style="269" customWidth="1"/>
    <col min="15" max="15" width="11.5546875" style="269" bestFit="1" customWidth="1"/>
    <col min="16" max="256" width="8.88671875" style="269"/>
    <col min="257" max="257" width="32" style="269" customWidth="1"/>
    <col min="258" max="258" width="8.88671875" style="269"/>
    <col min="259" max="259" width="12.88671875" style="269" customWidth="1"/>
    <col min="260" max="260" width="13.5546875" style="269" customWidth="1"/>
    <col min="261" max="261" width="15.33203125" style="269" customWidth="1"/>
    <col min="262" max="512" width="8.88671875" style="269"/>
    <col min="513" max="513" width="32" style="269" customWidth="1"/>
    <col min="514" max="514" width="8.88671875" style="269"/>
    <col min="515" max="515" width="12.88671875" style="269" customWidth="1"/>
    <col min="516" max="516" width="13.5546875" style="269" customWidth="1"/>
    <col min="517" max="517" width="15.33203125" style="269" customWidth="1"/>
    <col min="518" max="768" width="8.88671875" style="269"/>
    <col min="769" max="769" width="32" style="269" customWidth="1"/>
    <col min="770" max="770" width="8.88671875" style="269"/>
    <col min="771" max="771" width="12.88671875" style="269" customWidth="1"/>
    <col min="772" max="772" width="13.5546875" style="269" customWidth="1"/>
    <col min="773" max="773" width="15.33203125" style="269" customWidth="1"/>
    <col min="774" max="1024" width="8.88671875" style="269"/>
    <col min="1025" max="1025" width="32" style="269" customWidth="1"/>
    <col min="1026" max="1026" width="8.88671875" style="269"/>
    <col min="1027" max="1027" width="12.88671875" style="269" customWidth="1"/>
    <col min="1028" max="1028" width="13.5546875" style="269" customWidth="1"/>
    <col min="1029" max="1029" width="15.33203125" style="269" customWidth="1"/>
    <col min="1030" max="1280" width="8.88671875" style="269"/>
    <col min="1281" max="1281" width="32" style="269" customWidth="1"/>
    <col min="1282" max="1282" width="8.88671875" style="269"/>
    <col min="1283" max="1283" width="12.88671875" style="269" customWidth="1"/>
    <col min="1284" max="1284" width="13.5546875" style="269" customWidth="1"/>
    <col min="1285" max="1285" width="15.33203125" style="269" customWidth="1"/>
    <col min="1286" max="1536" width="8.88671875" style="269"/>
    <col min="1537" max="1537" width="32" style="269" customWidth="1"/>
    <col min="1538" max="1538" width="8.88671875" style="269"/>
    <col min="1539" max="1539" width="12.88671875" style="269" customWidth="1"/>
    <col min="1540" max="1540" width="13.5546875" style="269" customWidth="1"/>
    <col min="1541" max="1541" width="15.33203125" style="269" customWidth="1"/>
    <col min="1542" max="1792" width="8.88671875" style="269"/>
    <col min="1793" max="1793" width="32" style="269" customWidth="1"/>
    <col min="1794" max="1794" width="8.88671875" style="269"/>
    <col min="1795" max="1795" width="12.88671875" style="269" customWidth="1"/>
    <col min="1796" max="1796" width="13.5546875" style="269" customWidth="1"/>
    <col min="1797" max="1797" width="15.33203125" style="269" customWidth="1"/>
    <col min="1798" max="2048" width="8.88671875" style="269"/>
    <col min="2049" max="2049" width="32" style="269" customWidth="1"/>
    <col min="2050" max="2050" width="8.88671875" style="269"/>
    <col min="2051" max="2051" width="12.88671875" style="269" customWidth="1"/>
    <col min="2052" max="2052" width="13.5546875" style="269" customWidth="1"/>
    <col min="2053" max="2053" width="15.33203125" style="269" customWidth="1"/>
    <col min="2054" max="2304" width="8.88671875" style="269"/>
    <col min="2305" max="2305" width="32" style="269" customWidth="1"/>
    <col min="2306" max="2306" width="8.88671875" style="269"/>
    <col min="2307" max="2307" width="12.88671875" style="269" customWidth="1"/>
    <col min="2308" max="2308" width="13.5546875" style="269" customWidth="1"/>
    <col min="2309" max="2309" width="15.33203125" style="269" customWidth="1"/>
    <col min="2310" max="2560" width="8.88671875" style="269"/>
    <col min="2561" max="2561" width="32" style="269" customWidth="1"/>
    <col min="2562" max="2562" width="8.88671875" style="269"/>
    <col min="2563" max="2563" width="12.88671875" style="269" customWidth="1"/>
    <col min="2564" max="2564" width="13.5546875" style="269" customWidth="1"/>
    <col min="2565" max="2565" width="15.33203125" style="269" customWidth="1"/>
    <col min="2566" max="2816" width="8.88671875" style="269"/>
    <col min="2817" max="2817" width="32" style="269" customWidth="1"/>
    <col min="2818" max="2818" width="8.88671875" style="269"/>
    <col min="2819" max="2819" width="12.88671875" style="269" customWidth="1"/>
    <col min="2820" max="2820" width="13.5546875" style="269" customWidth="1"/>
    <col min="2821" max="2821" width="15.33203125" style="269" customWidth="1"/>
    <col min="2822" max="3072" width="8.88671875" style="269"/>
    <col min="3073" max="3073" width="32" style="269" customWidth="1"/>
    <col min="3074" max="3074" width="8.88671875" style="269"/>
    <col min="3075" max="3075" width="12.88671875" style="269" customWidth="1"/>
    <col min="3076" max="3076" width="13.5546875" style="269" customWidth="1"/>
    <col min="3077" max="3077" width="15.33203125" style="269" customWidth="1"/>
    <col min="3078" max="3328" width="8.88671875" style="269"/>
    <col min="3329" max="3329" width="32" style="269" customWidth="1"/>
    <col min="3330" max="3330" width="8.88671875" style="269"/>
    <col min="3331" max="3331" width="12.88671875" style="269" customWidth="1"/>
    <col min="3332" max="3332" width="13.5546875" style="269" customWidth="1"/>
    <col min="3333" max="3333" width="15.33203125" style="269" customWidth="1"/>
    <col min="3334" max="3584" width="8.88671875" style="269"/>
    <col min="3585" max="3585" width="32" style="269" customWidth="1"/>
    <col min="3586" max="3586" width="8.88671875" style="269"/>
    <col min="3587" max="3587" width="12.88671875" style="269" customWidth="1"/>
    <col min="3588" max="3588" width="13.5546875" style="269" customWidth="1"/>
    <col min="3589" max="3589" width="15.33203125" style="269" customWidth="1"/>
    <col min="3590" max="3840" width="8.88671875" style="269"/>
    <col min="3841" max="3841" width="32" style="269" customWidth="1"/>
    <col min="3842" max="3842" width="8.88671875" style="269"/>
    <col min="3843" max="3843" width="12.88671875" style="269" customWidth="1"/>
    <col min="3844" max="3844" width="13.5546875" style="269" customWidth="1"/>
    <col min="3845" max="3845" width="15.33203125" style="269" customWidth="1"/>
    <col min="3846" max="4096" width="8.88671875" style="269"/>
    <col min="4097" max="4097" width="32" style="269" customWidth="1"/>
    <col min="4098" max="4098" width="8.88671875" style="269"/>
    <col min="4099" max="4099" width="12.88671875" style="269" customWidth="1"/>
    <col min="4100" max="4100" width="13.5546875" style="269" customWidth="1"/>
    <col min="4101" max="4101" width="15.33203125" style="269" customWidth="1"/>
    <col min="4102" max="4352" width="8.88671875" style="269"/>
    <col min="4353" max="4353" width="32" style="269" customWidth="1"/>
    <col min="4354" max="4354" width="8.88671875" style="269"/>
    <col min="4355" max="4355" width="12.88671875" style="269" customWidth="1"/>
    <col min="4356" max="4356" width="13.5546875" style="269" customWidth="1"/>
    <col min="4357" max="4357" width="15.33203125" style="269" customWidth="1"/>
    <col min="4358" max="4608" width="8.88671875" style="269"/>
    <col min="4609" max="4609" width="32" style="269" customWidth="1"/>
    <col min="4610" max="4610" width="8.88671875" style="269"/>
    <col min="4611" max="4611" width="12.88671875" style="269" customWidth="1"/>
    <col min="4612" max="4612" width="13.5546875" style="269" customWidth="1"/>
    <col min="4613" max="4613" width="15.33203125" style="269" customWidth="1"/>
    <col min="4614" max="4864" width="8.88671875" style="269"/>
    <col min="4865" max="4865" width="32" style="269" customWidth="1"/>
    <col min="4866" max="4866" width="8.88671875" style="269"/>
    <col min="4867" max="4867" width="12.88671875" style="269" customWidth="1"/>
    <col min="4868" max="4868" width="13.5546875" style="269" customWidth="1"/>
    <col min="4869" max="4869" width="15.33203125" style="269" customWidth="1"/>
    <col min="4870" max="5120" width="8.88671875" style="269"/>
    <col min="5121" max="5121" width="32" style="269" customWidth="1"/>
    <col min="5122" max="5122" width="8.88671875" style="269"/>
    <col min="5123" max="5123" width="12.88671875" style="269" customWidth="1"/>
    <col min="5124" max="5124" width="13.5546875" style="269" customWidth="1"/>
    <col min="5125" max="5125" width="15.33203125" style="269" customWidth="1"/>
    <col min="5126" max="5376" width="8.88671875" style="269"/>
    <col min="5377" max="5377" width="32" style="269" customWidth="1"/>
    <col min="5378" max="5378" width="8.88671875" style="269"/>
    <col min="5379" max="5379" width="12.88671875" style="269" customWidth="1"/>
    <col min="5380" max="5380" width="13.5546875" style="269" customWidth="1"/>
    <col min="5381" max="5381" width="15.33203125" style="269" customWidth="1"/>
    <col min="5382" max="5632" width="8.88671875" style="269"/>
    <col min="5633" max="5633" width="32" style="269" customWidth="1"/>
    <col min="5634" max="5634" width="8.88671875" style="269"/>
    <col min="5635" max="5635" width="12.88671875" style="269" customWidth="1"/>
    <col min="5636" max="5636" width="13.5546875" style="269" customWidth="1"/>
    <col min="5637" max="5637" width="15.33203125" style="269" customWidth="1"/>
    <col min="5638" max="5888" width="8.88671875" style="269"/>
    <col min="5889" max="5889" width="32" style="269" customWidth="1"/>
    <col min="5890" max="5890" width="8.88671875" style="269"/>
    <col min="5891" max="5891" width="12.88671875" style="269" customWidth="1"/>
    <col min="5892" max="5892" width="13.5546875" style="269" customWidth="1"/>
    <col min="5893" max="5893" width="15.33203125" style="269" customWidth="1"/>
    <col min="5894" max="6144" width="8.88671875" style="269"/>
    <col min="6145" max="6145" width="32" style="269" customWidth="1"/>
    <col min="6146" max="6146" width="8.88671875" style="269"/>
    <col min="6147" max="6147" width="12.88671875" style="269" customWidth="1"/>
    <col min="6148" max="6148" width="13.5546875" style="269" customWidth="1"/>
    <col min="6149" max="6149" width="15.33203125" style="269" customWidth="1"/>
    <col min="6150" max="6400" width="8.88671875" style="269"/>
    <col min="6401" max="6401" width="32" style="269" customWidth="1"/>
    <col min="6402" max="6402" width="8.88671875" style="269"/>
    <col min="6403" max="6403" width="12.88671875" style="269" customWidth="1"/>
    <col min="6404" max="6404" width="13.5546875" style="269" customWidth="1"/>
    <col min="6405" max="6405" width="15.33203125" style="269" customWidth="1"/>
    <col min="6406" max="6656" width="8.88671875" style="269"/>
    <col min="6657" max="6657" width="32" style="269" customWidth="1"/>
    <col min="6658" max="6658" width="8.88671875" style="269"/>
    <col min="6659" max="6659" width="12.88671875" style="269" customWidth="1"/>
    <col min="6660" max="6660" width="13.5546875" style="269" customWidth="1"/>
    <col min="6661" max="6661" width="15.33203125" style="269" customWidth="1"/>
    <col min="6662" max="6912" width="8.88671875" style="269"/>
    <col min="6913" max="6913" width="32" style="269" customWidth="1"/>
    <col min="6914" max="6914" width="8.88671875" style="269"/>
    <col min="6915" max="6915" width="12.88671875" style="269" customWidth="1"/>
    <col min="6916" max="6916" width="13.5546875" style="269" customWidth="1"/>
    <col min="6917" max="6917" width="15.33203125" style="269" customWidth="1"/>
    <col min="6918" max="7168" width="8.88671875" style="269"/>
    <col min="7169" max="7169" width="32" style="269" customWidth="1"/>
    <col min="7170" max="7170" width="8.88671875" style="269"/>
    <col min="7171" max="7171" width="12.88671875" style="269" customWidth="1"/>
    <col min="7172" max="7172" width="13.5546875" style="269" customWidth="1"/>
    <col min="7173" max="7173" width="15.33203125" style="269" customWidth="1"/>
    <col min="7174" max="7424" width="8.88671875" style="269"/>
    <col min="7425" max="7425" width="32" style="269" customWidth="1"/>
    <col min="7426" max="7426" width="8.88671875" style="269"/>
    <col min="7427" max="7427" width="12.88671875" style="269" customWidth="1"/>
    <col min="7428" max="7428" width="13.5546875" style="269" customWidth="1"/>
    <col min="7429" max="7429" width="15.33203125" style="269" customWidth="1"/>
    <col min="7430" max="7680" width="8.88671875" style="269"/>
    <col min="7681" max="7681" width="32" style="269" customWidth="1"/>
    <col min="7682" max="7682" width="8.88671875" style="269"/>
    <col min="7683" max="7683" width="12.88671875" style="269" customWidth="1"/>
    <col min="7684" max="7684" width="13.5546875" style="269" customWidth="1"/>
    <col min="7685" max="7685" width="15.33203125" style="269" customWidth="1"/>
    <col min="7686" max="7936" width="8.88671875" style="269"/>
    <col min="7937" max="7937" width="32" style="269" customWidth="1"/>
    <col min="7938" max="7938" width="8.88671875" style="269"/>
    <col min="7939" max="7939" width="12.88671875" style="269" customWidth="1"/>
    <col min="7940" max="7940" width="13.5546875" style="269" customWidth="1"/>
    <col min="7941" max="7941" width="15.33203125" style="269" customWidth="1"/>
    <col min="7942" max="8192" width="8.88671875" style="269"/>
    <col min="8193" max="8193" width="32" style="269" customWidth="1"/>
    <col min="8194" max="8194" width="8.88671875" style="269"/>
    <col min="8195" max="8195" width="12.88671875" style="269" customWidth="1"/>
    <col min="8196" max="8196" width="13.5546875" style="269" customWidth="1"/>
    <col min="8197" max="8197" width="15.33203125" style="269" customWidth="1"/>
    <col min="8198" max="8448" width="8.88671875" style="269"/>
    <col min="8449" max="8449" width="32" style="269" customWidth="1"/>
    <col min="8450" max="8450" width="8.88671875" style="269"/>
    <col min="8451" max="8451" width="12.88671875" style="269" customWidth="1"/>
    <col min="8452" max="8452" width="13.5546875" style="269" customWidth="1"/>
    <col min="8453" max="8453" width="15.33203125" style="269" customWidth="1"/>
    <col min="8454" max="8704" width="8.88671875" style="269"/>
    <col min="8705" max="8705" width="32" style="269" customWidth="1"/>
    <col min="8706" max="8706" width="8.88671875" style="269"/>
    <col min="8707" max="8707" width="12.88671875" style="269" customWidth="1"/>
    <col min="8708" max="8708" width="13.5546875" style="269" customWidth="1"/>
    <col min="8709" max="8709" width="15.33203125" style="269" customWidth="1"/>
    <col min="8710" max="8960" width="8.88671875" style="269"/>
    <col min="8961" max="8961" width="32" style="269" customWidth="1"/>
    <col min="8962" max="8962" width="8.88671875" style="269"/>
    <col min="8963" max="8963" width="12.88671875" style="269" customWidth="1"/>
    <col min="8964" max="8964" width="13.5546875" style="269" customWidth="1"/>
    <col min="8965" max="8965" width="15.33203125" style="269" customWidth="1"/>
    <col min="8966" max="9216" width="8.88671875" style="269"/>
    <col min="9217" max="9217" width="32" style="269" customWidth="1"/>
    <col min="9218" max="9218" width="8.88671875" style="269"/>
    <col min="9219" max="9219" width="12.88671875" style="269" customWidth="1"/>
    <col min="9220" max="9220" width="13.5546875" style="269" customWidth="1"/>
    <col min="9221" max="9221" width="15.33203125" style="269" customWidth="1"/>
    <col min="9222" max="9472" width="8.88671875" style="269"/>
    <col min="9473" max="9473" width="32" style="269" customWidth="1"/>
    <col min="9474" max="9474" width="8.88671875" style="269"/>
    <col min="9475" max="9475" width="12.88671875" style="269" customWidth="1"/>
    <col min="9476" max="9476" width="13.5546875" style="269" customWidth="1"/>
    <col min="9477" max="9477" width="15.33203125" style="269" customWidth="1"/>
    <col min="9478" max="9728" width="8.88671875" style="269"/>
    <col min="9729" max="9729" width="32" style="269" customWidth="1"/>
    <col min="9730" max="9730" width="8.88671875" style="269"/>
    <col min="9731" max="9731" width="12.88671875" style="269" customWidth="1"/>
    <col min="9732" max="9732" width="13.5546875" style="269" customWidth="1"/>
    <col min="9733" max="9733" width="15.33203125" style="269" customWidth="1"/>
    <col min="9734" max="9984" width="8.88671875" style="269"/>
    <col min="9985" max="9985" width="32" style="269" customWidth="1"/>
    <col min="9986" max="9986" width="8.88671875" style="269"/>
    <col min="9987" max="9987" width="12.88671875" style="269" customWidth="1"/>
    <col min="9988" max="9988" width="13.5546875" style="269" customWidth="1"/>
    <col min="9989" max="9989" width="15.33203125" style="269" customWidth="1"/>
    <col min="9990" max="10240" width="8.88671875" style="269"/>
    <col min="10241" max="10241" width="32" style="269" customWidth="1"/>
    <col min="10242" max="10242" width="8.88671875" style="269"/>
    <col min="10243" max="10243" width="12.88671875" style="269" customWidth="1"/>
    <col min="10244" max="10244" width="13.5546875" style="269" customWidth="1"/>
    <col min="10245" max="10245" width="15.33203125" style="269" customWidth="1"/>
    <col min="10246" max="10496" width="8.88671875" style="269"/>
    <col min="10497" max="10497" width="32" style="269" customWidth="1"/>
    <col min="10498" max="10498" width="8.88671875" style="269"/>
    <col min="10499" max="10499" width="12.88671875" style="269" customWidth="1"/>
    <col min="10500" max="10500" width="13.5546875" style="269" customWidth="1"/>
    <col min="10501" max="10501" width="15.33203125" style="269" customWidth="1"/>
    <col min="10502" max="10752" width="8.88671875" style="269"/>
    <col min="10753" max="10753" width="32" style="269" customWidth="1"/>
    <col min="10754" max="10754" width="8.88671875" style="269"/>
    <col min="10755" max="10755" width="12.88671875" style="269" customWidth="1"/>
    <col min="10756" max="10756" width="13.5546875" style="269" customWidth="1"/>
    <col min="10757" max="10757" width="15.33203125" style="269" customWidth="1"/>
    <col min="10758" max="11008" width="8.88671875" style="269"/>
    <col min="11009" max="11009" width="32" style="269" customWidth="1"/>
    <col min="11010" max="11010" width="8.88671875" style="269"/>
    <col min="11011" max="11011" width="12.88671875" style="269" customWidth="1"/>
    <col min="11012" max="11012" width="13.5546875" style="269" customWidth="1"/>
    <col min="11013" max="11013" width="15.33203125" style="269" customWidth="1"/>
    <col min="11014" max="11264" width="8.88671875" style="269"/>
    <col min="11265" max="11265" width="32" style="269" customWidth="1"/>
    <col min="11266" max="11266" width="8.88671875" style="269"/>
    <col min="11267" max="11267" width="12.88671875" style="269" customWidth="1"/>
    <col min="11268" max="11268" width="13.5546875" style="269" customWidth="1"/>
    <col min="11269" max="11269" width="15.33203125" style="269" customWidth="1"/>
    <col min="11270" max="11520" width="8.88671875" style="269"/>
    <col min="11521" max="11521" width="32" style="269" customWidth="1"/>
    <col min="11522" max="11522" width="8.88671875" style="269"/>
    <col min="11523" max="11523" width="12.88671875" style="269" customWidth="1"/>
    <col min="11524" max="11524" width="13.5546875" style="269" customWidth="1"/>
    <col min="11525" max="11525" width="15.33203125" style="269" customWidth="1"/>
    <col min="11526" max="11776" width="8.88671875" style="269"/>
    <col min="11777" max="11777" width="32" style="269" customWidth="1"/>
    <col min="11778" max="11778" width="8.88671875" style="269"/>
    <col min="11779" max="11779" width="12.88671875" style="269" customWidth="1"/>
    <col min="11780" max="11780" width="13.5546875" style="269" customWidth="1"/>
    <col min="11781" max="11781" width="15.33203125" style="269" customWidth="1"/>
    <col min="11782" max="12032" width="8.88671875" style="269"/>
    <col min="12033" max="12033" width="32" style="269" customWidth="1"/>
    <col min="12034" max="12034" width="8.88671875" style="269"/>
    <col min="12035" max="12035" width="12.88671875" style="269" customWidth="1"/>
    <col min="12036" max="12036" width="13.5546875" style="269" customWidth="1"/>
    <col min="12037" max="12037" width="15.33203125" style="269" customWidth="1"/>
    <col min="12038" max="12288" width="8.88671875" style="269"/>
    <col min="12289" max="12289" width="32" style="269" customWidth="1"/>
    <col min="12290" max="12290" width="8.88671875" style="269"/>
    <col min="12291" max="12291" width="12.88671875" style="269" customWidth="1"/>
    <col min="12292" max="12292" width="13.5546875" style="269" customWidth="1"/>
    <col min="12293" max="12293" width="15.33203125" style="269" customWidth="1"/>
    <col min="12294" max="12544" width="8.88671875" style="269"/>
    <col min="12545" max="12545" width="32" style="269" customWidth="1"/>
    <col min="12546" max="12546" width="8.88671875" style="269"/>
    <col min="12547" max="12547" width="12.88671875" style="269" customWidth="1"/>
    <col min="12548" max="12548" width="13.5546875" style="269" customWidth="1"/>
    <col min="12549" max="12549" width="15.33203125" style="269" customWidth="1"/>
    <col min="12550" max="12800" width="8.88671875" style="269"/>
    <col min="12801" max="12801" width="32" style="269" customWidth="1"/>
    <col min="12802" max="12802" width="8.88671875" style="269"/>
    <col min="12803" max="12803" width="12.88671875" style="269" customWidth="1"/>
    <col min="12804" max="12804" width="13.5546875" style="269" customWidth="1"/>
    <col min="12805" max="12805" width="15.33203125" style="269" customWidth="1"/>
    <col min="12806" max="13056" width="8.88671875" style="269"/>
    <col min="13057" max="13057" width="32" style="269" customWidth="1"/>
    <col min="13058" max="13058" width="8.88671875" style="269"/>
    <col min="13059" max="13059" width="12.88671875" style="269" customWidth="1"/>
    <col min="13060" max="13060" width="13.5546875" style="269" customWidth="1"/>
    <col min="13061" max="13061" width="15.33203125" style="269" customWidth="1"/>
    <col min="13062" max="13312" width="8.88671875" style="269"/>
    <col min="13313" max="13313" width="32" style="269" customWidth="1"/>
    <col min="13314" max="13314" width="8.88671875" style="269"/>
    <col min="13315" max="13315" width="12.88671875" style="269" customWidth="1"/>
    <col min="13316" max="13316" width="13.5546875" style="269" customWidth="1"/>
    <col min="13317" max="13317" width="15.33203125" style="269" customWidth="1"/>
    <col min="13318" max="13568" width="8.88671875" style="269"/>
    <col min="13569" max="13569" width="32" style="269" customWidth="1"/>
    <col min="13570" max="13570" width="8.88671875" style="269"/>
    <col min="13571" max="13571" width="12.88671875" style="269" customWidth="1"/>
    <col min="13572" max="13572" width="13.5546875" style="269" customWidth="1"/>
    <col min="13573" max="13573" width="15.33203125" style="269" customWidth="1"/>
    <col min="13574" max="13824" width="8.88671875" style="269"/>
    <col min="13825" max="13825" width="32" style="269" customWidth="1"/>
    <col min="13826" max="13826" width="8.88671875" style="269"/>
    <col min="13827" max="13827" width="12.88671875" style="269" customWidth="1"/>
    <col min="13828" max="13828" width="13.5546875" style="269" customWidth="1"/>
    <col min="13829" max="13829" width="15.33203125" style="269" customWidth="1"/>
    <col min="13830" max="14080" width="8.88671875" style="269"/>
    <col min="14081" max="14081" width="32" style="269" customWidth="1"/>
    <col min="14082" max="14082" width="8.88671875" style="269"/>
    <col min="14083" max="14083" width="12.88671875" style="269" customWidth="1"/>
    <col min="14084" max="14084" width="13.5546875" style="269" customWidth="1"/>
    <col min="14085" max="14085" width="15.33203125" style="269" customWidth="1"/>
    <col min="14086" max="14336" width="8.88671875" style="269"/>
    <col min="14337" max="14337" width="32" style="269" customWidth="1"/>
    <col min="14338" max="14338" width="8.88671875" style="269"/>
    <col min="14339" max="14339" width="12.88671875" style="269" customWidth="1"/>
    <col min="14340" max="14340" width="13.5546875" style="269" customWidth="1"/>
    <col min="14341" max="14341" width="15.33203125" style="269" customWidth="1"/>
    <col min="14342" max="14592" width="8.88671875" style="269"/>
    <col min="14593" max="14593" width="32" style="269" customWidth="1"/>
    <col min="14594" max="14594" width="8.88671875" style="269"/>
    <col min="14595" max="14595" width="12.88671875" style="269" customWidth="1"/>
    <col min="14596" max="14596" width="13.5546875" style="269" customWidth="1"/>
    <col min="14597" max="14597" width="15.33203125" style="269" customWidth="1"/>
    <col min="14598" max="14848" width="8.88671875" style="269"/>
    <col min="14849" max="14849" width="32" style="269" customWidth="1"/>
    <col min="14850" max="14850" width="8.88671875" style="269"/>
    <col min="14851" max="14851" width="12.88671875" style="269" customWidth="1"/>
    <col min="14852" max="14852" width="13.5546875" style="269" customWidth="1"/>
    <col min="14853" max="14853" width="15.33203125" style="269" customWidth="1"/>
    <col min="14854" max="15104" width="8.88671875" style="269"/>
    <col min="15105" max="15105" width="32" style="269" customWidth="1"/>
    <col min="15106" max="15106" width="8.88671875" style="269"/>
    <col min="15107" max="15107" width="12.88671875" style="269" customWidth="1"/>
    <col min="15108" max="15108" width="13.5546875" style="269" customWidth="1"/>
    <col min="15109" max="15109" width="15.33203125" style="269" customWidth="1"/>
    <col min="15110" max="15360" width="8.88671875" style="269"/>
    <col min="15361" max="15361" width="32" style="269" customWidth="1"/>
    <col min="15362" max="15362" width="8.88671875" style="269"/>
    <col min="15363" max="15363" width="12.88671875" style="269" customWidth="1"/>
    <col min="15364" max="15364" width="13.5546875" style="269" customWidth="1"/>
    <col min="15365" max="15365" width="15.33203125" style="269" customWidth="1"/>
    <col min="15366" max="15616" width="8.88671875" style="269"/>
    <col min="15617" max="15617" width="32" style="269" customWidth="1"/>
    <col min="15618" max="15618" width="8.88671875" style="269"/>
    <col min="15619" max="15619" width="12.88671875" style="269" customWidth="1"/>
    <col min="15620" max="15620" width="13.5546875" style="269" customWidth="1"/>
    <col min="15621" max="15621" width="15.33203125" style="269" customWidth="1"/>
    <col min="15622" max="15872" width="8.88671875" style="269"/>
    <col min="15873" max="15873" width="32" style="269" customWidth="1"/>
    <col min="15874" max="15874" width="8.88671875" style="269"/>
    <col min="15875" max="15875" width="12.88671875" style="269" customWidth="1"/>
    <col min="15876" max="15876" width="13.5546875" style="269" customWidth="1"/>
    <col min="15877" max="15877" width="15.33203125" style="269" customWidth="1"/>
    <col min="15878" max="16128" width="8.88671875" style="269"/>
    <col min="16129" max="16129" width="32" style="269" customWidth="1"/>
    <col min="16130" max="16130" width="8.88671875" style="269"/>
    <col min="16131" max="16131" width="12.88671875" style="269" customWidth="1"/>
    <col min="16132" max="16132" width="13.5546875" style="269" customWidth="1"/>
    <col min="16133" max="16133" width="15.33203125" style="269" customWidth="1"/>
    <col min="16134" max="16384" width="8.88671875" style="269"/>
  </cols>
  <sheetData>
    <row r="1" spans="2:20">
      <c r="B1" s="2243" t="s">
        <v>711</v>
      </c>
      <c r="C1" s="2244"/>
      <c r="D1" s="2964"/>
      <c r="E1" s="2964"/>
      <c r="F1" s="2965"/>
      <c r="H1" s="2215"/>
      <c r="I1" s="281"/>
      <c r="J1" s="281"/>
      <c r="K1" s="281"/>
    </row>
    <row r="2" spans="2:20" ht="15" thickBot="1">
      <c r="B2" s="2966" t="s">
        <v>650</v>
      </c>
      <c r="C2" s="2967"/>
      <c r="D2" s="2967"/>
      <c r="E2" s="2967"/>
      <c r="F2" s="2968"/>
      <c r="H2" s="2969"/>
      <c r="I2" s="281"/>
      <c r="J2" s="281"/>
      <c r="K2" s="281"/>
    </row>
    <row r="3" spans="2:20" ht="15" thickBot="1">
      <c r="B3" s="2966"/>
      <c r="C3" s="2967"/>
      <c r="D3" s="2967"/>
      <c r="E3" s="2967"/>
      <c r="F3" s="2968"/>
      <c r="H3" s="2216" t="s">
        <v>711</v>
      </c>
      <c r="I3" s="2217"/>
      <c r="J3" s="2217"/>
      <c r="K3" s="2218"/>
      <c r="L3" s="281"/>
      <c r="M3" s="281"/>
      <c r="N3" s="281"/>
      <c r="O3" s="281"/>
      <c r="P3" s="281"/>
      <c r="Q3" s="281"/>
      <c r="R3" s="281"/>
      <c r="S3" s="281"/>
      <c r="T3" s="281"/>
    </row>
    <row r="4" spans="2:20" ht="15" thickBot="1">
      <c r="B4" s="2113" t="s">
        <v>712</v>
      </c>
      <c r="C4" s="2114"/>
      <c r="D4" s="2114"/>
      <c r="E4" s="2114"/>
      <c r="F4" s="2115"/>
      <c r="H4" s="2245" t="s">
        <v>712</v>
      </c>
      <c r="I4" s="2246"/>
      <c r="J4" s="2246"/>
      <c r="K4" s="2970">
        <v>11</v>
      </c>
      <c r="L4" s="281"/>
      <c r="M4" s="281"/>
      <c r="N4" s="1272" t="s">
        <v>389</v>
      </c>
      <c r="O4" s="1273"/>
      <c r="P4" s="1273"/>
      <c r="Q4" s="1273"/>
      <c r="R4" s="1273"/>
      <c r="S4" s="1273"/>
      <c r="T4" s="1274"/>
    </row>
    <row r="5" spans="2:20" ht="15" thickBot="1">
      <c r="B5" s="2122"/>
      <c r="C5" s="2123"/>
      <c r="D5" s="2123"/>
      <c r="E5" s="2123"/>
      <c r="F5" s="2124"/>
      <c r="H5" s="756"/>
      <c r="I5" s="754"/>
      <c r="J5" s="754"/>
      <c r="K5" s="755"/>
      <c r="L5" s="281"/>
      <c r="M5" s="281"/>
      <c r="N5" s="1279" t="s">
        <v>391</v>
      </c>
      <c r="O5" s="1280"/>
      <c r="P5" s="1280"/>
      <c r="Q5" s="1280"/>
      <c r="R5" s="1280"/>
      <c r="S5" s="1280"/>
      <c r="T5" s="1281"/>
    </row>
    <row r="6" spans="2:20">
      <c r="B6" s="2122"/>
      <c r="C6" s="2123"/>
      <c r="D6" s="2128" t="s">
        <v>215</v>
      </c>
      <c r="E6" s="2128" t="s">
        <v>216</v>
      </c>
      <c r="F6" s="2129" t="s">
        <v>217</v>
      </c>
      <c r="H6" s="696"/>
      <c r="I6" s="758" t="s">
        <v>215</v>
      </c>
      <c r="J6" s="758" t="s">
        <v>216</v>
      </c>
      <c r="K6" s="2247" t="s">
        <v>217</v>
      </c>
      <c r="L6" s="281"/>
      <c r="M6" s="281"/>
      <c r="N6" s="696" t="str">
        <f>B7</f>
        <v xml:space="preserve">Management </v>
      </c>
      <c r="O6" s="1283">
        <f>'[13]Master Look Up'!O18</f>
        <v>69600</v>
      </c>
      <c r="P6" s="673" t="str">
        <f>'[13]Master Look Up'!P18</f>
        <v xml:space="preserve">BLS 2020 Manangement </v>
      </c>
      <c r="Q6" s="754"/>
      <c r="R6" s="754"/>
      <c r="S6" s="754"/>
      <c r="T6" s="755"/>
    </row>
    <row r="7" spans="2:20">
      <c r="B7" s="2122" t="s">
        <v>657</v>
      </c>
      <c r="C7" s="2123"/>
      <c r="D7" s="2248">
        <f>'[16]MB-Groups -Fathers Program'!E9</f>
        <v>52564</v>
      </c>
      <c r="E7" s="2249">
        <f>'[16]MB-Groups -Fathers Program'!$F$9</f>
        <v>0.01</v>
      </c>
      <c r="F7" s="2138">
        <f>'[16]MB-Groups -Fathers Program'!G9</f>
        <v>525.64</v>
      </c>
      <c r="H7" s="696" t="str">
        <f>N6</f>
        <v xml:space="preserve">Management </v>
      </c>
      <c r="I7" s="2222">
        <f>(((D7*(1+E24)*(1+E26))*(1+E27)))</f>
        <v>58086.024969307065</v>
      </c>
      <c r="J7" s="2250">
        <v>0.01</v>
      </c>
      <c r="K7" s="2223">
        <f>I7*J7</f>
        <v>580.86024969307061</v>
      </c>
      <c r="L7" s="281"/>
      <c r="M7" s="281"/>
      <c r="N7" s="696" t="s">
        <v>81</v>
      </c>
      <c r="O7" s="1283">
        <f>'[13]Master Look Up'!O10</f>
        <v>54412.800000000003</v>
      </c>
      <c r="P7" s="673" t="s">
        <v>656</v>
      </c>
      <c r="Q7" s="754"/>
      <c r="R7" s="754"/>
      <c r="S7" s="754"/>
      <c r="T7" s="755"/>
    </row>
    <row r="8" spans="2:20" ht="15" thickBot="1">
      <c r="B8" s="2122" t="s">
        <v>660</v>
      </c>
      <c r="C8" s="2123"/>
      <c r="D8" s="2251">
        <f>'[16]MB-Groups -Fathers Program'!E10</f>
        <v>47000</v>
      </c>
      <c r="E8" s="2249">
        <f>'[16]MB-Groups -Fathers Program'!F10</f>
        <v>0.15</v>
      </c>
      <c r="F8" s="2252">
        <f>'[16]MB-Groups -Fathers Program'!G10</f>
        <v>7050</v>
      </c>
      <c r="H8" s="696" t="s">
        <v>81</v>
      </c>
      <c r="I8" s="2222">
        <f>O7</f>
        <v>54412.800000000003</v>
      </c>
      <c r="J8" s="2250">
        <v>7.0000000000000007E-2</v>
      </c>
      <c r="K8" s="2223">
        <f>I8*J8</f>
        <v>3808.8960000000006</v>
      </c>
      <c r="L8" s="281"/>
      <c r="M8" s="281"/>
      <c r="N8" s="696" t="str">
        <f>B8</f>
        <v>Direct care</v>
      </c>
      <c r="O8" s="1283">
        <f>'[13]Master Look Up'!O12</f>
        <v>45210.880000000005</v>
      </c>
      <c r="P8" s="673" t="str">
        <f>'[13]Master Look Up'!P19</f>
        <v>BLS 2020 Direct Care I</v>
      </c>
      <c r="Q8" s="754"/>
      <c r="R8" s="754"/>
      <c r="S8" s="754"/>
      <c r="T8" s="755"/>
    </row>
    <row r="9" spans="2:20" ht="15" thickBot="1">
      <c r="B9" s="2146" t="s">
        <v>661</v>
      </c>
      <c r="C9" s="2109"/>
      <c r="D9" s="2109"/>
      <c r="E9" s="2147">
        <f>'[15]Model Budgets-Groups- Specialty'!E11</f>
        <v>0.2</v>
      </c>
      <c r="F9" s="2176">
        <f>'[16]MB-Groups -Fathers Program'!$G$11</f>
        <v>7575.64</v>
      </c>
      <c r="H9" s="696" t="str">
        <f>N8</f>
        <v>Direct care</v>
      </c>
      <c r="I9" s="2222">
        <f>O8</f>
        <v>45210.880000000005</v>
      </c>
      <c r="J9" s="2250">
        <v>0.08</v>
      </c>
      <c r="K9" s="2223">
        <f>I9*J9</f>
        <v>3616.8704000000002</v>
      </c>
      <c r="L9" s="281"/>
      <c r="M9" s="281"/>
      <c r="N9" s="1279" t="s">
        <v>177</v>
      </c>
      <c r="O9" s="1280"/>
      <c r="P9" s="1280"/>
      <c r="Q9" s="1280"/>
      <c r="R9" s="1280"/>
      <c r="S9" s="1280"/>
      <c r="T9" s="1281"/>
    </row>
    <row r="10" spans="2:20">
      <c r="B10" s="2122"/>
      <c r="C10" s="2123"/>
      <c r="D10" s="2123"/>
      <c r="E10" s="2123"/>
      <c r="F10" s="2124"/>
      <c r="H10" s="731" t="s">
        <v>661</v>
      </c>
      <c r="I10" s="2224"/>
      <c r="J10" s="2225">
        <f>SUM(J7:J9)</f>
        <v>0.16</v>
      </c>
      <c r="K10" s="2253">
        <f>SUM(K7:K9)</f>
        <v>8006.6266496930712</v>
      </c>
      <c r="L10" s="281"/>
      <c r="M10" s="281"/>
      <c r="N10" s="696" t="s">
        <v>286</v>
      </c>
      <c r="O10" s="721">
        <f>'[13]Master Look Up'!D18</f>
        <v>0.224</v>
      </c>
      <c r="P10" s="1311" t="s">
        <v>143</v>
      </c>
      <c r="Q10" s="754"/>
      <c r="R10" s="754"/>
      <c r="S10" s="754"/>
      <c r="T10" s="755"/>
    </row>
    <row r="11" spans="2:20">
      <c r="B11" s="2122" t="s">
        <v>224</v>
      </c>
      <c r="C11" s="2123"/>
      <c r="D11" s="2123"/>
      <c r="E11" s="2123"/>
      <c r="F11" s="2124"/>
      <c r="H11" s="696"/>
      <c r="I11" s="754"/>
      <c r="J11" s="754"/>
      <c r="K11" s="755"/>
      <c r="L11" s="281"/>
      <c r="M11" s="281"/>
      <c r="N11" s="696" t="s">
        <v>62</v>
      </c>
      <c r="O11" s="721">
        <f>'[13]Master Look Up'!D23</f>
        <v>0.12</v>
      </c>
      <c r="P11" s="755" t="s">
        <v>151</v>
      </c>
      <c r="Q11" s="754"/>
      <c r="R11" s="754"/>
      <c r="S11" s="754"/>
      <c r="T11" s="755"/>
    </row>
    <row r="12" spans="2:20">
      <c r="B12" s="2122" t="s">
        <v>663</v>
      </c>
      <c r="C12" s="2123"/>
      <c r="D12" s="2159">
        <f>'[16]MB-Groups -Fathers Program'!$E$14</f>
        <v>0.21590826871491237</v>
      </c>
      <c r="E12" s="2159"/>
      <c r="F12" s="2138">
        <f>'[16]MB-Groups -Fathers Program'!$G$14</f>
        <v>1635.6433168074389</v>
      </c>
      <c r="H12" s="696" t="s">
        <v>224</v>
      </c>
      <c r="I12" s="754"/>
      <c r="J12" s="754"/>
      <c r="K12" s="755"/>
      <c r="L12" s="281"/>
      <c r="M12" s="281"/>
      <c r="N12" s="696" t="str">
        <f>B15</f>
        <v>Occupancy (fixed)</v>
      </c>
      <c r="O12" s="2971">
        <f>'[13]Master Look Up'!F4</f>
        <v>5963.9694954316819</v>
      </c>
      <c r="P12" s="754" t="s">
        <v>180</v>
      </c>
      <c r="Q12" s="754"/>
      <c r="R12" s="754"/>
      <c r="S12" s="754"/>
      <c r="T12" s="755"/>
    </row>
    <row r="13" spans="2:20">
      <c r="B13" s="2146" t="s">
        <v>225</v>
      </c>
      <c r="C13" s="2109"/>
      <c r="D13" s="2109"/>
      <c r="E13" s="2109"/>
      <c r="F13" s="2176">
        <f>'[16]MB-Groups -Fathers Program'!$G$15</f>
        <v>9211.2833168074394</v>
      </c>
      <c r="H13" s="696" t="s">
        <v>663</v>
      </c>
      <c r="I13" s="2227">
        <f>O10</f>
        <v>0.224</v>
      </c>
      <c r="J13" s="2228"/>
      <c r="K13" s="2223">
        <f>I13*K10</f>
        <v>1793.4843695312479</v>
      </c>
      <c r="L13" s="281"/>
      <c r="M13" s="281"/>
      <c r="N13" s="696" t="s">
        <v>374</v>
      </c>
      <c r="O13" s="2972">
        <f>'[13]Master Look Up'!F12</f>
        <v>1347.3502436316674</v>
      </c>
      <c r="P13" s="754" t="s">
        <v>180</v>
      </c>
      <c r="Q13" s="754"/>
      <c r="R13" s="754"/>
      <c r="S13" s="754"/>
      <c r="T13" s="755"/>
    </row>
    <row r="14" spans="2:20" ht="15" thickBot="1">
      <c r="B14" s="2122"/>
      <c r="C14" s="2123"/>
      <c r="D14" s="2123"/>
      <c r="E14" s="2123"/>
      <c r="F14" s="2124"/>
      <c r="H14" s="731" t="s">
        <v>225</v>
      </c>
      <c r="I14" s="2224"/>
      <c r="J14" s="2224"/>
      <c r="K14" s="2253">
        <f>SUM(K10:K13)</f>
        <v>9800.1110192243195</v>
      </c>
      <c r="L14" s="281"/>
      <c r="M14" s="281"/>
      <c r="N14" s="696"/>
      <c r="O14" s="2971"/>
      <c r="P14" s="754"/>
      <c r="Q14" s="754"/>
      <c r="R14" s="754"/>
      <c r="S14" s="754"/>
      <c r="T14" s="755"/>
    </row>
    <row r="15" spans="2:20" ht="15" thickBot="1">
      <c r="B15" s="2924" t="s">
        <v>668</v>
      </c>
      <c r="C15" s="2123"/>
      <c r="D15" s="2123" t="str">
        <f>'[15]Model Budgets-Groups- Specialty'!D19</f>
        <v>Standard/session</v>
      </c>
      <c r="E15" s="2123"/>
      <c r="F15" s="2178">
        <f>'[16]MB-Groups -Fathers Program'!$G$19</f>
        <v>1289.5087719298247</v>
      </c>
      <c r="H15" s="696"/>
      <c r="I15" s="754"/>
      <c r="J15" s="754"/>
      <c r="K15" s="755"/>
      <c r="L15" s="281"/>
      <c r="M15" s="281"/>
      <c r="N15" s="1314" t="s">
        <v>395</v>
      </c>
      <c r="O15" s="1315">
        <v>3.7000000000000002E-3</v>
      </c>
      <c r="P15" s="1316"/>
      <c r="Q15" s="1316"/>
      <c r="R15" s="1316"/>
      <c r="S15" s="1316"/>
      <c r="T15" s="1317"/>
    </row>
    <row r="16" spans="2:20" ht="15" thickBot="1">
      <c r="B16" s="2122"/>
      <c r="C16" s="2123"/>
      <c r="D16" s="2171">
        <f>'[15]Model Budgets-Groups- Specialty'!D20</f>
        <v>99.192982456140356</v>
      </c>
      <c r="E16" s="2123"/>
      <c r="F16" s="2124"/>
      <c r="H16" s="2229" t="s">
        <v>708</v>
      </c>
      <c r="I16" s="2254">
        <f>O12</f>
        <v>5963.9694954316819</v>
      </c>
      <c r="J16" s="754"/>
      <c r="K16" s="2255">
        <f>I16*J10</f>
        <v>954.23511926906917</v>
      </c>
      <c r="L16" s="281"/>
      <c r="M16" s="281"/>
      <c r="N16" s="1122" t="s">
        <v>674</v>
      </c>
      <c r="O16" s="1917">
        <f>'[13]Master Look Up'!D26</f>
        <v>1.0633805350099574E-2</v>
      </c>
      <c r="P16" s="2849" t="s">
        <v>153</v>
      </c>
      <c r="Q16" s="2849"/>
      <c r="R16" s="2849"/>
      <c r="S16" s="2849"/>
      <c r="T16" s="2850"/>
    </row>
    <row r="17" spans="2:20">
      <c r="B17" s="2122" t="s">
        <v>671</v>
      </c>
      <c r="C17" s="2123"/>
      <c r="D17" s="2123"/>
      <c r="E17" s="2123"/>
      <c r="F17" s="2138">
        <f>'[16]MB-Groups -Fathers Program'!$G$23</f>
        <v>880</v>
      </c>
      <c r="H17" s="696"/>
      <c r="I17" s="281"/>
      <c r="J17" s="754"/>
      <c r="K17" s="755"/>
      <c r="L17" s="281"/>
      <c r="M17" s="281"/>
      <c r="N17" s="281"/>
      <c r="O17" s="281"/>
      <c r="P17" s="281"/>
      <c r="Q17" s="281"/>
      <c r="R17" s="281"/>
      <c r="S17" s="281"/>
      <c r="T17" s="281"/>
    </row>
    <row r="18" spans="2:20">
      <c r="B18" s="2122" t="s">
        <v>713</v>
      </c>
      <c r="C18" s="2123"/>
      <c r="D18" s="2171"/>
      <c r="E18" s="2123"/>
      <c r="F18" s="2138">
        <f>'[16]MB-Groups -Fathers Program'!$G$25</f>
        <v>250</v>
      </c>
      <c r="H18" s="696" t="s">
        <v>671</v>
      </c>
      <c r="I18" s="754"/>
      <c r="J18" s="754"/>
      <c r="K18" s="2223">
        <f>O13</f>
        <v>1347.3502436316674</v>
      </c>
      <c r="L18" s="281"/>
      <c r="M18" s="281"/>
      <c r="N18" s="281"/>
      <c r="O18" s="281"/>
      <c r="P18" s="281"/>
      <c r="Q18" s="281"/>
      <c r="R18" s="281"/>
      <c r="S18" s="281"/>
      <c r="T18" s="281"/>
    </row>
    <row r="19" spans="2:20">
      <c r="B19" s="2122"/>
      <c r="C19" s="2123"/>
      <c r="D19" s="2123"/>
      <c r="E19" s="2123"/>
      <c r="F19" s="2138"/>
      <c r="H19" s="696"/>
      <c r="I19" s="2254"/>
      <c r="J19" s="754"/>
      <c r="K19" s="2223"/>
      <c r="L19" s="281"/>
      <c r="M19" s="281"/>
      <c r="N19" s="281"/>
      <c r="O19" s="281"/>
      <c r="P19" s="281"/>
      <c r="Q19" s="281"/>
      <c r="R19" s="281"/>
      <c r="S19" s="281"/>
      <c r="T19" s="281"/>
    </row>
    <row r="20" spans="2:20">
      <c r="B20" s="2122"/>
      <c r="C20" s="2123"/>
      <c r="D20" s="2123"/>
      <c r="E20" s="2123"/>
      <c r="F20" s="2124"/>
      <c r="H20" s="696"/>
      <c r="I20" s="754"/>
      <c r="J20" s="754"/>
      <c r="K20" s="755"/>
      <c r="L20" s="281"/>
      <c r="M20" s="281"/>
      <c r="N20" s="281"/>
      <c r="O20" s="281"/>
      <c r="P20" s="281"/>
      <c r="Q20" s="281"/>
      <c r="R20" s="281"/>
      <c r="S20" s="281"/>
      <c r="T20" s="281"/>
    </row>
    <row r="21" spans="2:20">
      <c r="B21" s="2146" t="s">
        <v>675</v>
      </c>
      <c r="C21" s="2109"/>
      <c r="D21" s="2109"/>
      <c r="E21" s="2109"/>
      <c r="F21" s="2176">
        <f>'[16]MB-Groups -Fathers Program'!G27</f>
        <v>11630.792088737264</v>
      </c>
      <c r="H21" s="731" t="s">
        <v>675</v>
      </c>
      <c r="I21" s="2224"/>
      <c r="J21" s="2224"/>
      <c r="K21" s="2253">
        <f>SUM(K14:K20)</f>
        <v>12101.696382125056</v>
      </c>
      <c r="L21" s="281"/>
      <c r="M21" s="281"/>
      <c r="N21" s="281"/>
      <c r="O21" s="281"/>
      <c r="P21" s="281"/>
      <c r="Q21" s="281"/>
      <c r="R21" s="281"/>
      <c r="S21" s="281"/>
      <c r="T21" s="281"/>
    </row>
    <row r="22" spans="2:20">
      <c r="B22" s="2122" t="s">
        <v>432</v>
      </c>
      <c r="C22" s="2123"/>
      <c r="D22" s="2159">
        <f>'[15]MB-Groups -Family Skills Dev.'!$E$26</f>
        <v>0.11306220647863946</v>
      </c>
      <c r="E22" s="2123"/>
      <c r="F22" s="2178">
        <f>'[16]MB-Groups -Fathers Program'!G28</f>
        <v>1315.0030166469389</v>
      </c>
      <c r="H22" s="696" t="s">
        <v>432</v>
      </c>
      <c r="I22" s="2227">
        <f>O11</f>
        <v>0.12</v>
      </c>
      <c r="J22" s="754"/>
      <c r="K22" s="2255">
        <f>K21*I22</f>
        <v>1452.2035658550067</v>
      </c>
      <c r="L22" s="281"/>
      <c r="M22" s="281"/>
      <c r="N22" s="281"/>
      <c r="O22" s="2973"/>
      <c r="P22" s="281"/>
      <c r="Q22" s="281"/>
      <c r="R22" s="281"/>
      <c r="S22" s="281"/>
      <c r="T22" s="281"/>
    </row>
    <row r="23" spans="2:20" ht="15" thickBot="1">
      <c r="B23" s="2122" t="s">
        <v>676</v>
      </c>
      <c r="C23" s="2123"/>
      <c r="D23" s="2123"/>
      <c r="E23" s="2123"/>
      <c r="F23" s="2178">
        <f>'[16]MB-Groups -Fathers Program'!G29</f>
        <v>12945.795105384203</v>
      </c>
      <c r="H23" s="696" t="s">
        <v>395</v>
      </c>
      <c r="I23" s="2227">
        <f>O15</f>
        <v>3.7000000000000002E-3</v>
      </c>
      <c r="J23" s="754"/>
      <c r="K23" s="2974">
        <f>I23*K10</f>
        <v>29.624518603864363</v>
      </c>
      <c r="L23" s="281"/>
      <c r="M23" s="281"/>
      <c r="N23" s="281"/>
      <c r="O23" s="2973"/>
      <c r="P23" s="281"/>
      <c r="Q23" s="281"/>
      <c r="R23" s="281"/>
      <c r="S23" s="281"/>
      <c r="T23" s="281"/>
    </row>
    <row r="24" spans="2:20" ht="15" thickTop="1">
      <c r="B24" s="2122" t="s">
        <v>677</v>
      </c>
      <c r="C24" s="2123"/>
      <c r="D24" s="2123"/>
      <c r="E24" s="2234">
        <f>'[14]Specialty Family Skills Group'!E27</f>
        <v>4.4599999999999973E-2</v>
      </c>
      <c r="F24" s="2178">
        <f>'[16]MB-Groups -Fathers Program'!G30</f>
        <v>13523.696281184326</v>
      </c>
      <c r="H24" s="696" t="s">
        <v>676</v>
      </c>
      <c r="I24" s="754"/>
      <c r="J24" s="754"/>
      <c r="K24" s="2255">
        <f>K23+K22+K21</f>
        <v>13583.524466583927</v>
      </c>
      <c r="L24" s="281"/>
      <c r="M24" s="281"/>
      <c r="N24" s="281"/>
      <c r="O24" s="281"/>
      <c r="P24" s="281"/>
      <c r="Q24" s="281"/>
      <c r="R24" s="281"/>
      <c r="S24" s="281"/>
      <c r="T24" s="281"/>
    </row>
    <row r="25" spans="2:20">
      <c r="B25" s="2146" t="s">
        <v>678</v>
      </c>
      <c r="C25" s="2105"/>
      <c r="D25" s="2236">
        <f>F25/F24</f>
        <v>7.6922756794483294E-2</v>
      </c>
      <c r="E25" s="2105"/>
      <c r="F25" s="2257">
        <v>1040.28</v>
      </c>
      <c r="H25" s="2258" t="s">
        <v>678</v>
      </c>
      <c r="I25" s="2259"/>
      <c r="J25" s="2260"/>
      <c r="K25" s="2261">
        <f>K24/K4</f>
        <v>1234.8658605985388</v>
      </c>
      <c r="L25" s="281"/>
      <c r="M25" s="281"/>
      <c r="N25" s="281"/>
      <c r="O25" s="281"/>
      <c r="P25" s="281"/>
      <c r="Q25" s="281"/>
      <c r="R25" s="281"/>
      <c r="S25" s="281"/>
      <c r="T25" s="281"/>
    </row>
    <row r="26" spans="2:20">
      <c r="B26" s="2262" t="s">
        <v>645</v>
      </c>
      <c r="C26" s="2128"/>
      <c r="D26" s="2128"/>
      <c r="E26" s="2263">
        <f>'[14]Family Skills Dev Group'!E26</f>
        <v>2.9824052590873982E-2</v>
      </c>
      <c r="F26" s="2264">
        <f>F25*(E26+1)</f>
        <v>1071.3053654292344</v>
      </c>
      <c r="H26" s="1217" t="s">
        <v>714</v>
      </c>
      <c r="I26" s="2265">
        <f>O16</f>
        <v>1.0633805350099574E-2</v>
      </c>
      <c r="J26" s="2265"/>
      <c r="K26" s="2266">
        <f>K25*(I26+1)</f>
        <v>1247.9971837936268</v>
      </c>
      <c r="L26" s="281"/>
      <c r="M26" s="1412"/>
      <c r="N26" s="281"/>
      <c r="O26" s="281"/>
      <c r="P26" s="281"/>
      <c r="Q26" s="281"/>
      <c r="R26" s="281"/>
      <c r="S26" s="281"/>
      <c r="T26" s="281"/>
    </row>
    <row r="27" spans="2:20" ht="15" thickBot="1">
      <c r="B27" s="2267" t="s">
        <v>647</v>
      </c>
      <c r="C27" s="2268"/>
      <c r="D27" s="2268"/>
      <c r="E27" s="2269">
        <f>'[18]CAF Spring17'!BK27</f>
        <v>2.7235921972764018E-2</v>
      </c>
      <c r="F27" s="2975">
        <f>F26*(E27+1)</f>
        <v>1100.4833547710684</v>
      </c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</row>
    <row r="28" spans="2:20" s="313" customFormat="1"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</row>
    <row r="29" spans="2:20" s="313" customFormat="1" ht="15" thickBot="1">
      <c r="H29" s="660"/>
      <c r="I29" s="660"/>
      <c r="J29" s="660"/>
      <c r="K29" s="660"/>
      <c r="L29" s="660"/>
      <c r="M29" s="779"/>
      <c r="N29" s="660"/>
      <c r="O29" s="660"/>
      <c r="P29" s="660"/>
      <c r="Q29" s="660"/>
      <c r="R29" s="660"/>
      <c r="S29" s="660"/>
      <c r="T29" s="660"/>
    </row>
    <row r="30" spans="2:20" s="313" customFormat="1" ht="15" thickBot="1">
      <c r="B30" s="2130"/>
      <c r="C30" s="2212"/>
      <c r="E30" s="2948"/>
      <c r="F30" s="2948"/>
      <c r="H30" s="2976" t="s">
        <v>680</v>
      </c>
      <c r="I30" s="2977"/>
      <c r="J30" s="2978" t="s">
        <v>234</v>
      </c>
      <c r="K30" s="2979" t="s">
        <v>681</v>
      </c>
      <c r="L30" s="660"/>
      <c r="M30" s="660"/>
      <c r="N30" s="660"/>
      <c r="O30" s="660"/>
      <c r="P30" s="660"/>
      <c r="Q30" s="660"/>
      <c r="R30" s="660"/>
      <c r="S30" s="660"/>
      <c r="T30" s="660"/>
    </row>
    <row r="31" spans="2:20" s="313" customFormat="1" ht="15" thickBot="1">
      <c r="B31" s="2116"/>
      <c r="C31" s="2240"/>
      <c r="E31" s="496"/>
      <c r="F31" s="496"/>
      <c r="H31" s="2980" t="s">
        <v>715</v>
      </c>
      <c r="I31" s="2981"/>
      <c r="J31" s="2982">
        <v>67.626000000000005</v>
      </c>
      <c r="K31" s="2983">
        <f>J31*(1+$M$29)</f>
        <v>67.626000000000005</v>
      </c>
      <c r="L31" s="660"/>
      <c r="M31" s="666"/>
      <c r="N31" s="660"/>
      <c r="O31" s="660"/>
      <c r="P31" s="660"/>
      <c r="Q31" s="660"/>
      <c r="R31" s="660"/>
      <c r="S31" s="660"/>
      <c r="T31" s="660"/>
    </row>
    <row r="32" spans="2:20" s="313" customFormat="1" ht="15" thickBot="1">
      <c r="B32" s="2239"/>
      <c r="C32" s="2240"/>
      <c r="E32" s="496"/>
      <c r="F32" s="496"/>
      <c r="H32" s="2984" t="s">
        <v>669</v>
      </c>
      <c r="I32" s="2985"/>
      <c r="J32" s="2986">
        <v>165.84180000000001</v>
      </c>
      <c r="K32" s="2983">
        <f t="shared" ref="K32:K35" si="0">J32*(1+$M$29)</f>
        <v>165.84180000000001</v>
      </c>
      <c r="L32" s="660"/>
      <c r="M32" s="666"/>
      <c r="N32" s="660"/>
      <c r="O32" s="660"/>
      <c r="P32" s="660"/>
      <c r="Q32" s="660"/>
      <c r="R32" s="660"/>
      <c r="S32" s="660"/>
      <c r="T32" s="660"/>
    </row>
    <row r="33" spans="2:20" s="313" customFormat="1" ht="15" thickBot="1">
      <c r="B33" s="2239"/>
      <c r="C33" s="2240"/>
      <c r="E33" s="496"/>
      <c r="F33" s="496"/>
      <c r="H33" s="2984" t="s">
        <v>672</v>
      </c>
      <c r="I33" s="2985"/>
      <c r="J33" s="2986">
        <v>47.817600000000006</v>
      </c>
      <c r="K33" s="2983">
        <f t="shared" si="0"/>
        <v>47.817600000000006</v>
      </c>
      <c r="L33" s="660"/>
      <c r="M33" s="666"/>
      <c r="N33" s="660"/>
      <c r="O33" s="660"/>
      <c r="P33" s="660"/>
      <c r="Q33" s="660"/>
      <c r="R33" s="660"/>
      <c r="S33" s="660"/>
      <c r="T33" s="660"/>
    </row>
    <row r="34" spans="2:20" s="313" customFormat="1" ht="15" thickBot="1">
      <c r="B34" s="2239"/>
      <c r="C34" s="2270"/>
      <c r="E34" s="496"/>
      <c r="F34" s="496"/>
      <c r="H34" s="2987" t="s">
        <v>682</v>
      </c>
      <c r="I34" s="2988"/>
      <c r="J34" s="2986">
        <v>134.87459999999999</v>
      </c>
      <c r="K34" s="2983">
        <f t="shared" si="0"/>
        <v>134.87459999999999</v>
      </c>
      <c r="L34" s="660"/>
      <c r="M34" s="666"/>
      <c r="N34" s="660"/>
      <c r="O34" s="660"/>
      <c r="P34" s="660"/>
      <c r="Q34" s="660"/>
      <c r="R34" s="660"/>
      <c r="S34" s="660"/>
      <c r="T34" s="660"/>
    </row>
    <row r="35" spans="2:20" s="313" customFormat="1" ht="15" thickBot="1">
      <c r="B35" s="2239"/>
      <c r="C35" s="2270"/>
      <c r="E35" s="496"/>
      <c r="F35" s="496"/>
      <c r="H35" s="2989" t="s">
        <v>716</v>
      </c>
      <c r="I35" s="2990"/>
      <c r="J35" s="2991">
        <v>161.8536</v>
      </c>
      <c r="K35" s="2983">
        <f t="shared" si="0"/>
        <v>161.8536</v>
      </c>
      <c r="L35" s="660"/>
      <c r="M35" s="666"/>
      <c r="N35" s="660"/>
      <c r="O35" s="660"/>
      <c r="P35" s="660"/>
      <c r="Q35" s="660"/>
      <c r="R35" s="660"/>
      <c r="S35" s="660"/>
      <c r="T35" s="660"/>
    </row>
    <row r="36" spans="2:20" s="313" customFormat="1">
      <c r="E36" s="496"/>
      <c r="F36" s="496"/>
      <c r="H36" s="660"/>
      <c r="I36" s="660"/>
      <c r="J36" s="660"/>
      <c r="K36" s="660"/>
      <c r="L36" s="660"/>
      <c r="M36" s="660"/>
      <c r="N36" s="660"/>
      <c r="O36" s="660"/>
      <c r="P36" s="660"/>
      <c r="Q36" s="660"/>
      <c r="R36" s="660"/>
      <c r="S36" s="660"/>
      <c r="T36" s="660"/>
    </row>
    <row r="37" spans="2:20" s="313" customFormat="1">
      <c r="H37" s="660"/>
      <c r="I37" s="660"/>
      <c r="J37" s="660"/>
      <c r="K37" s="660"/>
      <c r="L37" s="660"/>
      <c r="M37" s="660"/>
      <c r="N37" s="660"/>
      <c r="O37" s="660"/>
      <c r="P37" s="660"/>
      <c r="Q37" s="660"/>
      <c r="R37" s="660"/>
      <c r="S37" s="660"/>
      <c r="T37" s="660"/>
    </row>
    <row r="38" spans="2:20" s="313" customFormat="1"/>
    <row r="39" spans="2:20" s="313" customFormat="1"/>
    <row r="40" spans="2:20" s="313" customFormat="1"/>
    <row r="41" spans="2:20" s="313" customFormat="1"/>
    <row r="42" spans="2:20" s="313" customFormat="1"/>
    <row r="43" spans="2:20"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</row>
  </sheetData>
  <mergeCells count="10">
    <mergeCell ref="H32:I32"/>
    <mergeCell ref="H33:I33"/>
    <mergeCell ref="H34:I34"/>
    <mergeCell ref="H35:I35"/>
    <mergeCell ref="H3:K3"/>
    <mergeCell ref="H4:J4"/>
    <mergeCell ref="N4:T4"/>
    <mergeCell ref="N5:T5"/>
    <mergeCell ref="N9:T9"/>
    <mergeCell ref="H31:I31"/>
  </mergeCells>
  <pageMargins left="0.7" right="0.7" top="0.75" bottom="0.75" header="0.3" footer="0.3"/>
  <pageSetup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C1:U44"/>
  <sheetViews>
    <sheetView topLeftCell="E1" workbookViewId="0">
      <selection activeCell="S38" sqref="S38"/>
    </sheetView>
  </sheetViews>
  <sheetFormatPr defaultRowHeight="14.4"/>
  <cols>
    <col min="1" max="2" width="0" style="269" hidden="1" customWidth="1"/>
    <col min="3" max="3" width="35.6640625" style="269" hidden="1" customWidth="1"/>
    <col min="4" max="4" width="0" style="269" hidden="1" customWidth="1"/>
    <col min="5" max="5" width="8.88671875" style="269"/>
    <col min="6" max="6" width="10.109375" style="269" hidden="1" customWidth="1"/>
    <col min="7" max="7" width="9.109375" style="269" hidden="1" customWidth="1"/>
    <col min="8" max="8" width="9" style="269" hidden="1" customWidth="1"/>
    <col min="9" max="9" width="14.5546875" style="269" hidden="1" customWidth="1"/>
    <col min="10" max="11" width="0" style="269" hidden="1" customWidth="1"/>
    <col min="12" max="12" width="26.109375" style="269" bestFit="1" customWidth="1"/>
    <col min="13" max="13" width="8.5546875" style="269" bestFit="1" customWidth="1"/>
    <col min="14" max="14" width="6" style="269" customWidth="1"/>
    <col min="15" max="15" width="11" style="269" bestFit="1" customWidth="1"/>
    <col min="16" max="18" width="8.88671875" style="269"/>
    <col min="19" max="19" width="21.44140625" style="269" bestFit="1" customWidth="1"/>
    <col min="20" max="20" width="11" style="269" bestFit="1" customWidth="1"/>
    <col min="21" max="21" width="41.6640625" style="269" bestFit="1" customWidth="1"/>
    <col min="22" max="16384" width="8.88671875" style="269"/>
  </cols>
  <sheetData>
    <row r="1" spans="3:12" ht="17.399999999999999">
      <c r="D1" s="2992"/>
      <c r="L1" s="2993" t="s">
        <v>717</v>
      </c>
    </row>
    <row r="3" spans="3:12" ht="15" thickBot="1">
      <c r="L3" s="2814" t="s">
        <v>718</v>
      </c>
    </row>
    <row r="4" spans="3:12" ht="16.2" hidden="1" thickBot="1">
      <c r="C4" s="2271" t="s">
        <v>719</v>
      </c>
      <c r="D4" s="2272"/>
      <c r="E4" s="2272"/>
      <c r="F4" s="2272"/>
      <c r="G4" s="2272"/>
      <c r="H4" s="2272"/>
      <c r="I4" s="2273"/>
    </row>
    <row r="5" spans="3:12" s="2994" customFormat="1" ht="23.4" hidden="1" customHeight="1">
      <c r="C5" s="2274"/>
      <c r="D5" s="2275" t="s">
        <v>629</v>
      </c>
      <c r="E5" s="2275" t="s">
        <v>720</v>
      </c>
      <c r="F5" s="2276" t="s">
        <v>721</v>
      </c>
      <c r="G5" s="2276" t="s">
        <v>722</v>
      </c>
      <c r="H5" s="2275" t="s">
        <v>723</v>
      </c>
      <c r="I5" s="2277" t="s">
        <v>724</v>
      </c>
    </row>
    <row r="6" spans="3:12" ht="15" hidden="1" thickBot="1">
      <c r="C6" s="2016" t="s">
        <v>725</v>
      </c>
      <c r="D6" s="2035">
        <v>8</v>
      </c>
      <c r="E6" s="2035"/>
      <c r="F6" s="2175">
        <f>'[13]Master Lookup'!D18</f>
        <v>36865.745036892295</v>
      </c>
      <c r="G6" s="2175">
        <f>+F6/D6</f>
        <v>4608.2181296115368</v>
      </c>
      <c r="H6" s="2175">
        <f>+G6/52</f>
        <v>88.619579415606481</v>
      </c>
      <c r="I6" s="2278">
        <f>+H6/7</f>
        <v>12.659939916515212</v>
      </c>
    </row>
    <row r="7" spans="3:12" ht="15" hidden="1" thickBot="1">
      <c r="C7" s="2279" t="s">
        <v>726</v>
      </c>
      <c r="D7" s="2280">
        <v>6</v>
      </c>
      <c r="E7" s="2280">
        <v>8</v>
      </c>
      <c r="F7" s="2281">
        <f>'[13]Master Lookup'!D19</f>
        <v>44685.751559869437</v>
      </c>
      <c r="G7" s="2281">
        <f>(+F7/D7)/E7</f>
        <v>930.9531574972799</v>
      </c>
      <c r="H7" s="2281">
        <f>+G7/52</f>
        <v>17.902945336486152</v>
      </c>
      <c r="I7" s="2282">
        <f>+H7/7</f>
        <v>2.5575636194980218</v>
      </c>
    </row>
    <row r="8" spans="3:12" ht="15" hidden="1" thickBot="1">
      <c r="C8" s="2283" t="s">
        <v>727</v>
      </c>
      <c r="D8" s="2284"/>
      <c r="E8" s="2284"/>
      <c r="F8" s="2285"/>
      <c r="G8" s="2286">
        <f>SUM(G6:G7)</f>
        <v>5539.1712871088166</v>
      </c>
      <c r="H8" s="2286">
        <f>SUM(H6:H7)</f>
        <v>106.52252475209264</v>
      </c>
      <c r="I8" s="2287">
        <f>SUM(I6:I7)</f>
        <v>15.217503536013233</v>
      </c>
    </row>
    <row r="9" spans="3:12" ht="15" hidden="1" thickBot="1">
      <c r="C9" s="2016" t="s">
        <v>728</v>
      </c>
      <c r="D9" s="2035"/>
      <c r="E9" s="2035"/>
      <c r="F9" s="2175">
        <f>20000*(1.1%+1)*(4.46%+1)*(2.98%+1)*(2.72%+1)</f>
        <v>22342.875779934719</v>
      </c>
      <c r="G9" s="2175">
        <f>+F9/8</f>
        <v>2792.8594724918398</v>
      </c>
      <c r="H9" s="2175">
        <f>+G9/52</f>
        <v>53.708836009458459</v>
      </c>
      <c r="I9" s="2278">
        <f>+H9/7</f>
        <v>7.6726908584940654</v>
      </c>
    </row>
    <row r="10" spans="3:12" ht="15" hidden="1" thickBot="1">
      <c r="C10" s="2279" t="s">
        <v>729</v>
      </c>
      <c r="D10" s="2280"/>
      <c r="E10" s="2280"/>
      <c r="F10" s="2281">
        <f>SUM(F6:F9)*0.1</f>
        <v>10389.437237669646</v>
      </c>
      <c r="G10" s="2281">
        <f>+F10/8</f>
        <v>1298.6796547087058</v>
      </c>
      <c r="H10" s="2281">
        <f>+G10/52</f>
        <v>24.974608744398189</v>
      </c>
      <c r="I10" s="2282">
        <f>+H10/7</f>
        <v>3.5678012491997415</v>
      </c>
    </row>
    <row r="11" spans="3:12" ht="15" hidden="1" thickBot="1">
      <c r="C11" s="2283" t="s">
        <v>730</v>
      </c>
      <c r="D11" s="2288"/>
      <c r="E11" s="2288"/>
      <c r="F11" s="2289"/>
      <c r="G11" s="2289"/>
      <c r="H11" s="2289"/>
      <c r="I11" s="2287">
        <f>SUM(I8:I10)</f>
        <v>26.45799564370704</v>
      </c>
    </row>
    <row r="12" spans="3:12" ht="15" hidden="1" thickBot="1">
      <c r="C12" s="2290" t="s">
        <v>731</v>
      </c>
      <c r="D12" s="2035"/>
      <c r="E12" s="2035"/>
      <c r="F12" s="2175">
        <f>SUM(F8:F10)*0.25</f>
        <v>8183.0782544010908</v>
      </c>
      <c r="G12" s="2175">
        <f>SUM(G8:G10)*0.25</f>
        <v>2407.6776035773405</v>
      </c>
      <c r="H12" s="2175">
        <f>SUM(H8:H10)*0.25</f>
        <v>46.301492376487317</v>
      </c>
      <c r="I12" s="2278">
        <f>SUM(I8:I10)*0.25</f>
        <v>6.61449891092676</v>
      </c>
    </row>
    <row r="13" spans="3:12" ht="15" hidden="1" thickBot="1">
      <c r="C13" s="2291" t="s">
        <v>732</v>
      </c>
      <c r="D13" s="2292"/>
      <c r="E13" s="2292"/>
      <c r="F13" s="2293"/>
      <c r="G13" s="2293"/>
      <c r="H13" s="2293"/>
      <c r="I13" s="2294">
        <f>SUM(I11:I12)</f>
        <v>33.072494554633799</v>
      </c>
    </row>
    <row r="14" spans="3:12" ht="15" hidden="1" thickBot="1">
      <c r="C14" s="2295"/>
      <c r="D14" s="2296"/>
      <c r="E14" s="2296"/>
      <c r="F14" s="2297"/>
      <c r="G14" s="2297"/>
      <c r="H14" s="2297"/>
      <c r="I14" s="2298"/>
    </row>
    <row r="15" spans="3:12" ht="15" hidden="1" thickBot="1">
      <c r="C15" s="2299" t="s">
        <v>733</v>
      </c>
      <c r="D15" s="2300"/>
      <c r="E15" s="2300"/>
      <c r="F15" s="2301"/>
      <c r="G15" s="2302"/>
      <c r="H15" s="2302"/>
      <c r="I15" s="2303">
        <f>(I13+I19)/0.8*(20%)</f>
        <v>9.0605111867193386</v>
      </c>
    </row>
    <row r="16" spans="3:12" ht="15" hidden="1" thickBot="1">
      <c r="C16" s="2304" t="s">
        <v>620</v>
      </c>
      <c r="D16" s="2305"/>
      <c r="E16" s="2306">
        <v>6.3E-3</v>
      </c>
      <c r="F16" s="2307"/>
      <c r="G16" s="2308"/>
      <c r="H16" s="2308"/>
      <c r="I16" s="2309">
        <f>I11*E16</f>
        <v>0.16668537255535434</v>
      </c>
    </row>
    <row r="17" spans="3:21" ht="15" hidden="1" thickBot="1">
      <c r="C17" s="2016"/>
      <c r="D17" s="2296"/>
      <c r="E17" s="2296"/>
      <c r="F17" s="2175"/>
      <c r="G17" s="2297"/>
      <c r="H17" s="2297"/>
      <c r="I17" s="2310"/>
    </row>
    <row r="18" spans="3:21" ht="15" hidden="1" thickBot="1">
      <c r="C18" s="2311" t="s">
        <v>734</v>
      </c>
      <c r="D18" s="2305"/>
      <c r="E18" s="2305"/>
      <c r="F18" s="2307"/>
      <c r="G18" s="2308"/>
      <c r="H18" s="2308"/>
      <c r="I18" s="2312">
        <f>I13+I15+I16</f>
        <v>42.299691113908494</v>
      </c>
    </row>
    <row r="19" spans="3:21" ht="15" hidden="1" thickBot="1">
      <c r="C19" s="2290" t="s">
        <v>735</v>
      </c>
      <c r="D19" s="2313"/>
      <c r="E19" s="2313"/>
      <c r="F19" s="2175"/>
      <c r="G19" s="2314"/>
      <c r="H19" s="2175"/>
      <c r="I19" s="2278">
        <f>2.84*(1%+1)*(4.46%+1)*(2.98%+1)*(2.72%+1)</f>
        <v>3.1695501922435585</v>
      </c>
    </row>
    <row r="20" spans="3:21" ht="15" hidden="1" thickBot="1">
      <c r="C20" s="2290" t="s">
        <v>736</v>
      </c>
      <c r="D20" s="2313"/>
      <c r="E20" s="2315">
        <f>'[13]Fall 2018'!BQ39</f>
        <v>2.5376928471248276E-2</v>
      </c>
      <c r="F20" s="2175"/>
      <c r="G20" s="2314"/>
      <c r="H20" s="2175"/>
      <c r="I20" s="2282">
        <f>(I18+I19)*(E20)</f>
        <v>1.1538696842681482</v>
      </c>
    </row>
    <row r="21" spans="3:21" ht="15" hidden="1" thickBot="1">
      <c r="C21" s="2316" t="s">
        <v>737</v>
      </c>
      <c r="D21" s="2317"/>
      <c r="E21" s="2317"/>
      <c r="F21" s="2318"/>
      <c r="G21" s="2318"/>
      <c r="H21" s="2319"/>
      <c r="I21" s="2320">
        <f>SUM(I18:I19)+I20</f>
        <v>46.623110990420201</v>
      </c>
    </row>
    <row r="22" spans="3:21" ht="15" thickBot="1">
      <c r="C22" s="2321"/>
      <c r="D22" s="2035"/>
      <c r="E22" s="2322"/>
      <c r="F22" s="2322"/>
      <c r="G22" s="2323"/>
      <c r="H22" s="2035"/>
      <c r="I22" s="2324"/>
      <c r="L22" s="2995" t="s">
        <v>719</v>
      </c>
      <c r="M22" s="2996"/>
      <c r="N22" s="2996"/>
      <c r="O22" s="2997"/>
    </row>
    <row r="23" spans="3:21" ht="15" thickBot="1">
      <c r="C23" s="2321"/>
      <c r="D23" s="2035"/>
      <c r="E23" s="2322"/>
      <c r="F23" s="2322"/>
      <c r="G23" s="2323"/>
      <c r="H23" s="2035"/>
      <c r="I23" s="2324"/>
      <c r="J23" s="350"/>
      <c r="K23" s="350"/>
      <c r="L23" s="1314"/>
      <c r="M23" s="1316" t="s">
        <v>215</v>
      </c>
      <c r="N23" s="1316" t="s">
        <v>216</v>
      </c>
      <c r="O23" s="1317" t="s">
        <v>217</v>
      </c>
      <c r="S23" s="1272" t="s">
        <v>389</v>
      </c>
      <c r="T23" s="1273"/>
      <c r="U23" s="1274"/>
    </row>
    <row r="24" spans="3:21">
      <c r="C24" s="2321"/>
      <c r="D24" s="2035"/>
      <c r="E24" s="2322"/>
      <c r="F24" s="2322"/>
      <c r="G24" s="2323"/>
      <c r="H24" s="2035"/>
      <c r="I24" s="2324"/>
      <c r="J24" s="350"/>
      <c r="K24" s="350"/>
      <c r="L24" s="696" t="s">
        <v>738</v>
      </c>
      <c r="M24" s="1283">
        <f>T25</f>
        <v>45375.199999999997</v>
      </c>
      <c r="N24" s="754">
        <v>0.6</v>
      </c>
      <c r="O24" s="2831">
        <f>M24*N24</f>
        <v>27225.119999999999</v>
      </c>
      <c r="S24" s="2824"/>
      <c r="T24" s="2827"/>
      <c r="U24" s="2852"/>
    </row>
    <row r="25" spans="3:21" ht="15" thickBot="1">
      <c r="C25" s="2325"/>
      <c r="D25" s="2035"/>
      <c r="E25" s="2326"/>
      <c r="F25" s="2327"/>
      <c r="G25" s="2322"/>
      <c r="H25" s="2035"/>
      <c r="I25" s="2328"/>
      <c r="J25" s="350"/>
      <c r="K25" s="350"/>
      <c r="L25" s="696" t="str">
        <f>S26</f>
        <v>IFC Staff</v>
      </c>
      <c r="M25" s="1283">
        <f>T26</f>
        <v>45210.880000000005</v>
      </c>
      <c r="N25" s="754">
        <v>1</v>
      </c>
      <c r="O25" s="2831">
        <f>M25*N25</f>
        <v>45210.880000000005</v>
      </c>
      <c r="S25" s="696" t="s">
        <v>117</v>
      </c>
      <c r="T25" s="1283">
        <f>'[13]Master Look Up'!O20</f>
        <v>45375.199999999997</v>
      </c>
      <c r="U25" s="755" t="str">
        <f>'[13]Master Look Up'!P20</f>
        <v>BLS 2020 Case Worker</v>
      </c>
    </row>
    <row r="26" spans="3:21" ht="15" thickBot="1">
      <c r="C26" s="2325"/>
      <c r="D26" s="2035"/>
      <c r="E26" s="2322"/>
      <c r="F26" s="2322"/>
      <c r="G26" s="2322"/>
      <c r="H26" s="2035"/>
      <c r="I26" s="2329"/>
      <c r="J26" s="350"/>
      <c r="K26" s="350"/>
      <c r="L26" s="1314" t="s">
        <v>661</v>
      </c>
      <c r="M26" s="1316"/>
      <c r="N26" s="1316">
        <f>SUM(N24:N25)</f>
        <v>1.6</v>
      </c>
      <c r="O26" s="2998">
        <f>SUM(O24:O25)</f>
        <v>72436</v>
      </c>
      <c r="S26" s="696" t="s">
        <v>739</v>
      </c>
      <c r="T26" s="1283">
        <f>'[13]Master Look Up'!O21</f>
        <v>45210.880000000005</v>
      </c>
      <c r="U26" s="755" t="str">
        <f>'[13]Master Look Up'!P21</f>
        <v>BLS 2020 Direct Care III</v>
      </c>
    </row>
    <row r="27" spans="3:21">
      <c r="C27" s="2325"/>
      <c r="D27" s="2035"/>
      <c r="E27" s="2323"/>
      <c r="F27" s="2189"/>
      <c r="G27" s="2322"/>
      <c r="H27" s="2035"/>
      <c r="I27" s="2330"/>
      <c r="J27" s="350"/>
      <c r="K27" s="350"/>
      <c r="L27" s="696"/>
      <c r="M27" s="754"/>
      <c r="N27" s="754"/>
      <c r="O27" s="2831"/>
      <c r="S27" s="696"/>
      <c r="T27" s="1283"/>
      <c r="U27" s="755"/>
    </row>
    <row r="28" spans="3:21">
      <c r="C28" s="350"/>
      <c r="D28" s="350"/>
      <c r="E28" s="350"/>
      <c r="F28" s="350"/>
      <c r="G28" s="350"/>
      <c r="H28" s="350"/>
      <c r="I28" s="350"/>
      <c r="J28" s="350"/>
      <c r="K28" s="350"/>
      <c r="L28" s="696" t="s">
        <v>224</v>
      </c>
      <c r="M28" s="754"/>
      <c r="N28" s="754"/>
      <c r="O28" s="2831"/>
      <c r="S28" s="696" t="s">
        <v>673</v>
      </c>
      <c r="T28" s="1283">
        <v>3486</v>
      </c>
      <c r="U28" s="755" t="s">
        <v>740</v>
      </c>
    </row>
    <row r="29" spans="3:21" ht="15" thickBot="1">
      <c r="J29" s="350"/>
      <c r="K29" s="350"/>
      <c r="L29" s="696" t="s">
        <v>663</v>
      </c>
      <c r="M29" s="2227">
        <f>T32</f>
        <v>0.224</v>
      </c>
      <c r="N29" s="754"/>
      <c r="O29" s="2896">
        <f>M29*O26</f>
        <v>16225.664000000001</v>
      </c>
      <c r="S29" s="696" t="s">
        <v>206</v>
      </c>
      <c r="T29" s="1283">
        <f>'[13]Master Look Up'!F5</f>
        <v>159.61973086509079</v>
      </c>
      <c r="U29" s="755" t="s">
        <v>741</v>
      </c>
    </row>
    <row r="30" spans="3:21" ht="15" thickBot="1">
      <c r="L30" s="1314" t="s">
        <v>225</v>
      </c>
      <c r="M30" s="1316"/>
      <c r="N30" s="1316"/>
      <c r="O30" s="2998">
        <f>SUM(O26:O29)</f>
        <v>88661.664000000004</v>
      </c>
      <c r="S30" s="696"/>
      <c r="T30" s="1283"/>
      <c r="U30" s="755"/>
    </row>
    <row r="31" spans="3:21">
      <c r="L31" s="696"/>
      <c r="M31" s="1283"/>
      <c r="N31" s="754"/>
      <c r="O31" s="2831"/>
      <c r="S31" s="696"/>
      <c r="T31" s="754"/>
      <c r="U31" s="755"/>
    </row>
    <row r="32" spans="3:21">
      <c r="L32" s="696" t="s">
        <v>673</v>
      </c>
      <c r="M32" s="1283">
        <f>T28</f>
        <v>3486</v>
      </c>
      <c r="N32" s="754"/>
      <c r="O32" s="2896">
        <f>M32*N26</f>
        <v>5577.6</v>
      </c>
      <c r="S32" s="696" t="s">
        <v>286</v>
      </c>
      <c r="T32" s="2227">
        <f>'[13]Master Look Up'!D18</f>
        <v>0.224</v>
      </c>
      <c r="U32" s="1311" t="s">
        <v>143</v>
      </c>
    </row>
    <row r="33" spans="12:21">
      <c r="L33" s="696" t="s">
        <v>206</v>
      </c>
      <c r="M33" s="1283">
        <f>T29</f>
        <v>159.61973086509079</v>
      </c>
      <c r="N33" s="754"/>
      <c r="O33" s="2896">
        <f>M33*N26</f>
        <v>255.39156938414527</v>
      </c>
      <c r="S33" s="696" t="s">
        <v>62</v>
      </c>
      <c r="T33" s="2227">
        <f>'[13]Master Look Up'!D23</f>
        <v>0.12</v>
      </c>
      <c r="U33" s="755" t="s">
        <v>151</v>
      </c>
    </row>
    <row r="34" spans="12:21">
      <c r="L34" s="696"/>
      <c r="M34" s="1283"/>
      <c r="N34" s="754"/>
      <c r="O34" s="2896"/>
      <c r="S34" s="696" t="s">
        <v>395</v>
      </c>
      <c r="T34" s="2227">
        <v>3.7000000000000002E-3</v>
      </c>
      <c r="U34" s="755"/>
    </row>
    <row r="35" spans="12:21" ht="15" thickBot="1">
      <c r="L35" s="696"/>
      <c r="M35" s="1283"/>
      <c r="N35" s="754"/>
      <c r="O35" s="755"/>
      <c r="S35" s="1122" t="s">
        <v>674</v>
      </c>
      <c r="T35" s="2888">
        <f>'[13]Master Look Up'!D26</f>
        <v>1.0633805350099574E-2</v>
      </c>
      <c r="U35" s="2850" t="s">
        <v>153</v>
      </c>
    </row>
    <row r="36" spans="12:21" ht="15" thickBot="1">
      <c r="L36" s="696"/>
      <c r="M36" s="1283"/>
      <c r="N36" s="754"/>
      <c r="O36" s="755"/>
      <c r="S36" s="281"/>
      <c r="T36" s="281"/>
      <c r="U36" s="281"/>
    </row>
    <row r="37" spans="12:21" ht="15" thickBot="1">
      <c r="L37" s="1314" t="s">
        <v>675</v>
      </c>
      <c r="M37" s="1316"/>
      <c r="N37" s="1316"/>
      <c r="O37" s="2998">
        <f>SUM(O30:O36)</f>
        <v>94494.655569384151</v>
      </c>
    </row>
    <row r="38" spans="12:21">
      <c r="L38" s="2824" t="s">
        <v>432</v>
      </c>
      <c r="M38" s="2999">
        <f>T33</f>
        <v>0.12</v>
      </c>
      <c r="N38" s="2827"/>
      <c r="O38" s="3000">
        <f>M38*O37</f>
        <v>11339.358668326098</v>
      </c>
    </row>
    <row r="39" spans="12:21" ht="15" thickBot="1">
      <c r="L39" s="1122" t="s">
        <v>395</v>
      </c>
      <c r="M39" s="2888">
        <f>T34</f>
        <v>3.7000000000000002E-3</v>
      </c>
      <c r="N39" s="2849"/>
      <c r="O39" s="2889">
        <f>M39*O37</f>
        <v>349.63022560672135</v>
      </c>
    </row>
    <row r="40" spans="12:21">
      <c r="L40" s="2824" t="s">
        <v>676</v>
      </c>
      <c r="M40" s="2827"/>
      <c r="N40" s="2827"/>
      <c r="O40" s="2828">
        <f>SUM(O37:O39)</f>
        <v>106183.64446331697</v>
      </c>
    </row>
    <row r="41" spans="12:21" ht="15" thickBot="1">
      <c r="L41" s="703" t="s">
        <v>674</v>
      </c>
      <c r="M41" s="704">
        <f>T35</f>
        <v>1.0633805350099574E-2</v>
      </c>
      <c r="N41" s="3001"/>
      <c r="O41" s="3002">
        <f>M41*O40</f>
        <v>1129.136206587091</v>
      </c>
      <c r="T41" s="350"/>
    </row>
    <row r="42" spans="12:21" ht="15" thickTop="1">
      <c r="L42" s="696" t="s">
        <v>188</v>
      </c>
      <c r="M42" s="754"/>
      <c r="N42" s="754"/>
      <c r="O42" s="2831">
        <f>SUM(O40:O41)</f>
        <v>107312.78066990407</v>
      </c>
      <c r="T42" s="350"/>
    </row>
    <row r="43" spans="12:21" ht="15" thickBot="1">
      <c r="L43" s="3003" t="s">
        <v>676</v>
      </c>
      <c r="M43" s="3004"/>
      <c r="N43" s="3004"/>
      <c r="O43" s="3005">
        <f>(O42/360)/6</f>
        <v>49.681842902733365</v>
      </c>
      <c r="P43" s="1412"/>
    </row>
    <row r="44" spans="12:21">
      <c r="L44" s="281"/>
      <c r="M44" s="281"/>
      <c r="N44" s="281"/>
      <c r="O44" s="1950"/>
    </row>
  </sheetData>
  <mergeCells count="3">
    <mergeCell ref="C4:I4"/>
    <mergeCell ref="L22:O22"/>
    <mergeCell ref="S23:U23"/>
  </mergeCells>
  <pageMargins left="0.7" right="0.7" top="0.75" bottom="0.75" header="0.3" footer="0.3"/>
  <pageSetup scale="9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72"/>
  <sheetViews>
    <sheetView zoomScale="70" zoomScaleNormal="70" workbookViewId="0">
      <selection activeCell="AS16" sqref="AS16"/>
    </sheetView>
  </sheetViews>
  <sheetFormatPr defaultRowHeight="14.4"/>
  <cols>
    <col min="1" max="1" width="8.88671875" style="269"/>
    <col min="2" max="2" width="31.5546875" style="269" customWidth="1"/>
    <col min="3" max="3" width="11.44140625" style="269" customWidth="1"/>
    <col min="4" max="5" width="11.109375" style="269" bestFit="1" customWidth="1"/>
    <col min="6" max="6" width="12.33203125" style="269" customWidth="1"/>
    <col min="7" max="7" width="2.88671875" style="269" customWidth="1"/>
    <col min="8" max="8" width="32" style="269" customWidth="1"/>
    <col min="9" max="9" width="11.44140625" style="269" customWidth="1"/>
    <col min="10" max="10" width="9.44140625" style="269" customWidth="1"/>
    <col min="11" max="11" width="13.44140625" style="269" customWidth="1"/>
    <col min="12" max="12" width="14.109375" style="269" bestFit="1" customWidth="1"/>
    <col min="13" max="13" width="3" style="269" customWidth="1"/>
    <col min="14" max="14" width="3.88671875" style="269" customWidth="1"/>
    <col min="15" max="15" width="4.33203125" style="269" customWidth="1"/>
    <col min="16" max="16" width="37.6640625" style="269" hidden="1" customWidth="1"/>
    <col min="17" max="17" width="18.6640625" style="269" hidden="1" customWidth="1"/>
    <col min="18" max="18" width="12.5546875" style="269" hidden="1" customWidth="1"/>
    <col min="19" max="19" width="16.109375" style="269" hidden="1" customWidth="1"/>
    <col min="20" max="20" width="6" style="269" hidden="1" customWidth="1"/>
    <col min="21" max="21" width="34.88671875" style="269" hidden="1" customWidth="1"/>
    <col min="22" max="22" width="15.88671875" style="269" hidden="1" customWidth="1"/>
    <col min="23" max="23" width="0" style="269" hidden="1" customWidth="1"/>
    <col min="24" max="24" width="11" style="269" hidden="1" customWidth="1"/>
    <col min="25" max="26" width="0" style="269" hidden="1" customWidth="1"/>
    <col min="27" max="27" width="41.5546875" style="269" hidden="1" customWidth="1"/>
    <col min="28" max="28" width="13.109375" style="269" hidden="1" customWidth="1"/>
    <col min="29" max="29" width="13.88671875" style="269" hidden="1" customWidth="1"/>
    <col min="30" max="30" width="13.44140625" style="269" hidden="1" customWidth="1"/>
    <col min="31" max="31" width="12.44140625" style="269" hidden="1" customWidth="1"/>
    <col min="32" max="32" width="13.6640625" style="269" hidden="1" customWidth="1"/>
    <col min="33" max="33" width="11.5546875" style="269" hidden="1" customWidth="1"/>
    <col min="34" max="34" width="12.44140625" style="269" hidden="1" customWidth="1"/>
    <col min="35" max="42" width="0" style="269" hidden="1" customWidth="1"/>
    <col min="43" max="16384" width="8.88671875" style="269"/>
  </cols>
  <sheetData>
    <row r="1" spans="2:34" ht="39.75" customHeight="1">
      <c r="B1" s="2331" t="s">
        <v>742</v>
      </c>
      <c r="F1" s="350"/>
      <c r="P1" s="2331" t="s">
        <v>742</v>
      </c>
      <c r="AA1" s="2992"/>
      <c r="AB1" s="2992"/>
    </row>
    <row r="2" spans="2:34" ht="17.399999999999999">
      <c r="B2" s="2332" t="s">
        <v>743</v>
      </c>
      <c r="C2" s="2333"/>
      <c r="D2" s="2334"/>
      <c r="E2" s="2335"/>
      <c r="F2" s="2336"/>
      <c r="P2" s="2332" t="s">
        <v>744</v>
      </c>
      <c r="AA2" s="2993" t="s">
        <v>745</v>
      </c>
      <c r="AB2" s="2992"/>
    </row>
    <row r="3" spans="2:34">
      <c r="B3" s="2332"/>
      <c r="C3" s="2333"/>
      <c r="D3" s="2334"/>
      <c r="E3" s="2335"/>
      <c r="F3" s="2336"/>
    </row>
    <row r="4" spans="2:34" ht="18" thickBot="1">
      <c r="B4" s="2337" t="s">
        <v>746</v>
      </c>
      <c r="C4" s="2333"/>
      <c r="D4" s="2334"/>
      <c r="E4" s="2335"/>
      <c r="F4" s="2336"/>
      <c r="H4" s="2337" t="s">
        <v>747</v>
      </c>
      <c r="I4" s="2333"/>
      <c r="J4" s="2334"/>
      <c r="K4" s="2335"/>
      <c r="L4" s="2336"/>
      <c r="M4" s="302"/>
      <c r="N4" s="2338"/>
      <c r="P4" s="2339" t="s">
        <v>748</v>
      </c>
      <c r="Q4" s="2340"/>
      <c r="R4" s="2035"/>
      <c r="S4" s="2341"/>
      <c r="T4" s="2342"/>
      <c r="U4" s="2339" t="s">
        <v>749</v>
      </c>
      <c r="V4" s="2342"/>
      <c r="W4" s="2342"/>
      <c r="X4" s="2389"/>
    </row>
    <row r="5" spans="2:34" ht="15.6">
      <c r="B5" s="2343" t="s">
        <v>750</v>
      </c>
      <c r="C5" s="3008">
        <v>13</v>
      </c>
      <c r="D5" s="2344" t="s">
        <v>444</v>
      </c>
      <c r="E5" s="3009">
        <f>AVERAGE('[20]After School_Dy Respt'!F4:F8)</f>
        <v>270.8</v>
      </c>
      <c r="F5" s="2345">
        <f>E5*C5</f>
        <v>3520.4</v>
      </c>
      <c r="G5" s="3010"/>
      <c r="H5" s="2343" t="s">
        <v>750</v>
      </c>
      <c r="I5" s="3008">
        <v>13</v>
      </c>
      <c r="J5" s="2344" t="s">
        <v>444</v>
      </c>
      <c r="K5" s="3009">
        <f>AVERAGE('[20]After School_Dy Respt'!F4:F8)</f>
        <v>270.8</v>
      </c>
      <c r="L5" s="2345">
        <f>K5*I5</f>
        <v>3520.4</v>
      </c>
      <c r="M5" s="2346"/>
      <c r="N5" s="2347"/>
      <c r="O5" s="3011"/>
      <c r="T5" s="3012"/>
      <c r="AA5" s="2348" t="s">
        <v>751</v>
      </c>
      <c r="AB5" s="2349"/>
      <c r="AC5" s="2349"/>
      <c r="AD5" s="2349"/>
      <c r="AE5" s="2349"/>
      <c r="AF5" s="2349"/>
      <c r="AG5" s="2349"/>
      <c r="AH5" s="2350"/>
    </row>
    <row r="6" spans="2:34" ht="27">
      <c r="B6" s="2351" t="s">
        <v>752</v>
      </c>
      <c r="C6" s="3013"/>
      <c r="D6" s="3014" t="s">
        <v>215</v>
      </c>
      <c r="E6" s="3015" t="s">
        <v>216</v>
      </c>
      <c r="F6" s="3016" t="s">
        <v>217</v>
      </c>
      <c r="G6" s="3017"/>
      <c r="H6" s="2351" t="s">
        <v>753</v>
      </c>
      <c r="I6" s="3013"/>
      <c r="J6" s="3014" t="s">
        <v>215</v>
      </c>
      <c r="K6" s="3015" t="s">
        <v>216</v>
      </c>
      <c r="L6" s="3093" t="s">
        <v>217</v>
      </c>
      <c r="M6" s="3018"/>
      <c r="N6" s="2352"/>
      <c r="O6" s="2334"/>
      <c r="T6" s="3012"/>
      <c r="AA6" s="2353" t="s">
        <v>754</v>
      </c>
      <c r="AB6" s="2354" t="s">
        <v>629</v>
      </c>
      <c r="AC6" s="2354" t="s">
        <v>720</v>
      </c>
      <c r="AD6" s="2355" t="s">
        <v>721</v>
      </c>
      <c r="AE6" s="2355" t="s">
        <v>722</v>
      </c>
      <c r="AF6" s="2354" t="s">
        <v>723</v>
      </c>
      <c r="AG6" s="2356" t="s">
        <v>724</v>
      </c>
      <c r="AH6" s="2357" t="s">
        <v>755</v>
      </c>
    </row>
    <row r="7" spans="2:34">
      <c r="B7" s="3019" t="s">
        <v>756</v>
      </c>
      <c r="C7" s="2358"/>
      <c r="D7" s="3020">
        <f>'[13]BLS Chart'!C18</f>
        <v>69600</v>
      </c>
      <c r="E7" s="3021">
        <v>0.6</v>
      </c>
      <c r="F7" s="2388">
        <f>D7*E7</f>
        <v>41760</v>
      </c>
      <c r="G7" s="3017"/>
      <c r="H7" s="3019" t="s">
        <v>657</v>
      </c>
      <c r="I7" s="2358"/>
      <c r="J7" s="3020">
        <f>'[13]BLS Chart'!C18</f>
        <v>69600</v>
      </c>
      <c r="K7" s="3021">
        <v>0.7</v>
      </c>
      <c r="L7" s="2388">
        <f>J7*K7</f>
        <v>48720</v>
      </c>
      <c r="M7" s="3022"/>
      <c r="N7" s="3023"/>
      <c r="O7" s="2334"/>
      <c r="T7" s="3012"/>
      <c r="AA7" s="2359" t="s">
        <v>725</v>
      </c>
      <c r="AB7" s="2324">
        <v>8</v>
      </c>
      <c r="AC7" s="2324"/>
      <c r="AD7" s="2322">
        <v>35000</v>
      </c>
      <c r="AE7" s="2360">
        <f>+AD7/AB7</f>
        <v>4375</v>
      </c>
      <c r="AF7" s="2361">
        <f>+AE7/52</f>
        <v>84.134615384615387</v>
      </c>
      <c r="AG7" s="2362">
        <f>+AF7/7</f>
        <v>12.01923076923077</v>
      </c>
      <c r="AH7" s="2363"/>
    </row>
    <row r="8" spans="2:34">
      <c r="B8" s="2364" t="s">
        <v>75</v>
      </c>
      <c r="C8" s="2358"/>
      <c r="D8" s="3020">
        <f>'[13]BLS Chart'!C6</f>
        <v>34927.359999999993</v>
      </c>
      <c r="E8" s="3021">
        <v>2.1</v>
      </c>
      <c r="F8" s="2388">
        <f>D8*E8</f>
        <v>73347.455999999991</v>
      </c>
      <c r="G8" s="3017"/>
      <c r="H8" s="2364" t="s">
        <v>75</v>
      </c>
      <c r="I8" s="2358"/>
      <c r="J8" s="3020">
        <f>'[13]BLS Chart'!C6</f>
        <v>34927.359999999993</v>
      </c>
      <c r="K8" s="3021">
        <v>4.2</v>
      </c>
      <c r="L8" s="2388">
        <f>J8*K8</f>
        <v>146694.91199999998</v>
      </c>
      <c r="M8" s="3022"/>
      <c r="N8" s="2365"/>
      <c r="O8" s="2334"/>
      <c r="T8" s="3012"/>
      <c r="AA8" s="2359" t="s">
        <v>757</v>
      </c>
      <c r="AB8" s="2324">
        <v>30</v>
      </c>
      <c r="AC8" s="2324"/>
      <c r="AD8" s="2322"/>
      <c r="AE8" s="2360"/>
      <c r="AF8" s="2361"/>
      <c r="AG8" s="2366"/>
      <c r="AH8" s="2363"/>
    </row>
    <row r="9" spans="2:34">
      <c r="B9" s="2367"/>
      <c r="C9" s="2358"/>
      <c r="D9" s="3020"/>
      <c r="E9" s="3021"/>
      <c r="F9" s="2388"/>
      <c r="G9" s="3017"/>
      <c r="H9" s="2367"/>
      <c r="I9" s="2358"/>
      <c r="J9" s="3020"/>
      <c r="K9" s="3021"/>
      <c r="L9" s="2388"/>
      <c r="M9" s="3022"/>
      <c r="N9" s="2368"/>
      <c r="O9" s="2334"/>
      <c r="T9" s="3012"/>
      <c r="AA9" s="2359" t="s">
        <v>726</v>
      </c>
      <c r="AB9" s="2324">
        <v>6</v>
      </c>
      <c r="AC9" s="2324">
        <v>8</v>
      </c>
      <c r="AD9" s="2322">
        <v>42189</v>
      </c>
      <c r="AE9" s="2360">
        <f>(+AD9/AB9)/AC9</f>
        <v>878.9375</v>
      </c>
      <c r="AF9" s="2361">
        <f>+AE9/52</f>
        <v>16.90264423076923</v>
      </c>
      <c r="AG9" s="2362">
        <f>+AF9/7</f>
        <v>2.4146634615384612</v>
      </c>
      <c r="AH9" s="2363"/>
    </row>
    <row r="10" spans="2:34">
      <c r="B10" s="2369" t="s">
        <v>266</v>
      </c>
      <c r="C10" s="2370"/>
      <c r="D10" s="2371"/>
      <c r="E10" s="2372">
        <f>SUM(E7:E8)</f>
        <v>2.7</v>
      </c>
      <c r="F10" s="2373">
        <f>SUM(F7:F8)</f>
        <v>115107.45599999999</v>
      </c>
      <c r="G10" s="3017"/>
      <c r="H10" s="2369" t="s">
        <v>266</v>
      </c>
      <c r="I10" s="2370"/>
      <c r="J10" s="2371"/>
      <c r="K10" s="2372">
        <f>SUM(K7:K8)</f>
        <v>4.9000000000000004</v>
      </c>
      <c r="L10" s="2373">
        <f>SUM(L7:L8)</f>
        <v>195414.91199999998</v>
      </c>
      <c r="M10" s="3022"/>
      <c r="N10" s="2374"/>
      <c r="O10" s="2334"/>
      <c r="T10" s="3012"/>
      <c r="AA10" s="2375" t="s">
        <v>727</v>
      </c>
      <c r="AB10" s="2376"/>
      <c r="AC10" s="2376"/>
      <c r="AD10" s="2377"/>
      <c r="AE10" s="2377">
        <f>SUM(AE7:AE9)</f>
        <v>5253.9375</v>
      </c>
      <c r="AF10" s="2378">
        <f>SUM(AF7:AF9)</f>
        <v>101.03725961538461</v>
      </c>
      <c r="AG10" s="2379">
        <f>SUM(AG7:AG9)</f>
        <v>14.433894230769232</v>
      </c>
      <c r="AH10" s="2380" t="e">
        <f>AG10/AG$21</f>
        <v>#DIV/0!</v>
      </c>
    </row>
    <row r="11" spans="2:34">
      <c r="B11" s="2381"/>
      <c r="C11" s="2374"/>
      <c r="D11" s="2336"/>
      <c r="E11" s="2382"/>
      <c r="F11" s="2383"/>
      <c r="G11" s="3017"/>
      <c r="H11" s="2381"/>
      <c r="I11" s="2374"/>
      <c r="J11" s="2336"/>
      <c r="K11" s="2382"/>
      <c r="L11" s="2383"/>
      <c r="M11" s="2384"/>
      <c r="N11" s="2374"/>
      <c r="O11" s="2334"/>
      <c r="T11" s="3012"/>
      <c r="AA11" s="2359" t="s">
        <v>758</v>
      </c>
      <c r="AB11" s="2324"/>
      <c r="AC11" s="2324"/>
      <c r="AD11" s="2322">
        <v>35000</v>
      </c>
      <c r="AE11" s="2360">
        <f>+AD11/8</f>
        <v>4375</v>
      </c>
      <c r="AF11" s="2361">
        <f>+AE11/52</f>
        <v>84.134615384615387</v>
      </c>
      <c r="AG11" s="2385">
        <f>+AF11/7</f>
        <v>12.01923076923077</v>
      </c>
      <c r="AH11" s="2386" t="e">
        <f>AG11/AG$21</f>
        <v>#DIV/0!</v>
      </c>
    </row>
    <row r="12" spans="2:34">
      <c r="B12" s="2381" t="s">
        <v>224</v>
      </c>
      <c r="C12" s="2374"/>
      <c r="D12" s="2336"/>
      <c r="E12" s="2335" t="s">
        <v>454</v>
      </c>
      <c r="F12" s="2383"/>
      <c r="G12" s="3017"/>
      <c r="H12" s="2381" t="s">
        <v>224</v>
      </c>
      <c r="I12" s="2374"/>
      <c r="J12" s="2336"/>
      <c r="K12" s="2335" t="s">
        <v>454</v>
      </c>
      <c r="L12" s="2383"/>
      <c r="M12" s="2384"/>
      <c r="N12" s="2374"/>
      <c r="O12" s="2374"/>
      <c r="T12" s="3012"/>
      <c r="AA12" s="2359" t="s">
        <v>729</v>
      </c>
      <c r="AB12" s="2324"/>
      <c r="AC12" s="2324"/>
      <c r="AD12" s="2322">
        <f>SUM(AD7:AD11)*0.1</f>
        <v>11218.900000000001</v>
      </c>
      <c r="AE12" s="2360">
        <f>+AD12/8</f>
        <v>1402.3625000000002</v>
      </c>
      <c r="AF12" s="2361">
        <f>+AE12/52</f>
        <v>26.968509615384619</v>
      </c>
      <c r="AG12" s="2385">
        <f>+AF12/7</f>
        <v>3.8526442307692315</v>
      </c>
      <c r="AH12" s="2386" t="e">
        <f>AG12/AG$21</f>
        <v>#DIV/0!</v>
      </c>
    </row>
    <row r="13" spans="2:34">
      <c r="B13" s="2387" t="s">
        <v>183</v>
      </c>
      <c r="C13" s="2389"/>
      <c r="D13" s="3024">
        <f>'[13]Master Look Up'!D18</f>
        <v>0.224</v>
      </c>
      <c r="E13" s="3025"/>
      <c r="F13" s="2388">
        <f>D13*F10</f>
        <v>25784.070143999998</v>
      </c>
      <c r="G13" s="3017"/>
      <c r="H13" s="2387" t="s">
        <v>183</v>
      </c>
      <c r="I13" s="2389"/>
      <c r="J13" s="3024">
        <f>'[13]Master Look Up'!D18</f>
        <v>0.224</v>
      </c>
      <c r="K13" s="3025"/>
      <c r="L13" s="2388">
        <f>J13*L10</f>
        <v>43772.940287999998</v>
      </c>
      <c r="M13" s="2384"/>
      <c r="N13" s="2389"/>
      <c r="O13" s="2374"/>
      <c r="T13" s="3026"/>
      <c r="AA13" s="2390" t="s">
        <v>730</v>
      </c>
      <c r="AB13" s="2391"/>
      <c r="AC13" s="2391"/>
      <c r="AD13" s="2392"/>
      <c r="AE13" s="2393"/>
      <c r="AF13" s="2394"/>
      <c r="AG13" s="2395">
        <f>SUM(AG10:AG12)</f>
        <v>30.305769230769233</v>
      </c>
      <c r="AH13" s="2396"/>
    </row>
    <row r="14" spans="2:34">
      <c r="B14" s="3027" t="s">
        <v>225</v>
      </c>
      <c r="C14" s="3028"/>
      <c r="D14" s="3029"/>
      <c r="E14" s="3030"/>
      <c r="F14" s="2373">
        <f>F13+F10</f>
        <v>140891.526144</v>
      </c>
      <c r="G14" s="3017"/>
      <c r="H14" s="3027" t="s">
        <v>225</v>
      </c>
      <c r="I14" s="3028"/>
      <c r="J14" s="3029"/>
      <c r="K14" s="3030">
        <f>L14/L5</f>
        <v>67.943373562095218</v>
      </c>
      <c r="L14" s="2373">
        <f>L13+L10</f>
        <v>239187.85228799999</v>
      </c>
      <c r="M14" s="3031"/>
      <c r="N14" s="2334"/>
      <c r="O14" s="2389"/>
      <c r="T14" s="3032"/>
      <c r="AA14" s="2397" t="s">
        <v>731</v>
      </c>
      <c r="AB14" s="2324"/>
      <c r="AC14" s="2324"/>
      <c r="AD14" s="2322">
        <f>SUM(AD10:AD12)*0.25</f>
        <v>11554.725</v>
      </c>
      <c r="AE14" s="2360">
        <f>SUM(AE10:AE12)*0.25</f>
        <v>2757.8249999999998</v>
      </c>
      <c r="AF14" s="2361">
        <f>SUM(AF10:AF12)*0.25</f>
        <v>53.035096153846155</v>
      </c>
      <c r="AG14" s="2385">
        <f>SUM(AG10:AG12)*0.25</f>
        <v>7.5764423076923082</v>
      </c>
      <c r="AH14" s="2386" t="e">
        <f>AG14/AG$21</f>
        <v>#DIV/0!</v>
      </c>
    </row>
    <row r="15" spans="2:34">
      <c r="B15" s="3033"/>
      <c r="C15" s="2334"/>
      <c r="D15" s="3034"/>
      <c r="E15" s="3025"/>
      <c r="F15" s="2388"/>
      <c r="G15" s="3017"/>
      <c r="H15" s="3033"/>
      <c r="I15" s="2334"/>
      <c r="J15" s="3034"/>
      <c r="K15" s="3025"/>
      <c r="L15" s="2388"/>
      <c r="M15" s="3035"/>
      <c r="N15" s="2334"/>
      <c r="O15" s="2334"/>
      <c r="T15" s="3032"/>
      <c r="AA15" s="2398" t="s">
        <v>732</v>
      </c>
      <c r="AB15" s="2399"/>
      <c r="AC15" s="2399"/>
      <c r="AD15" s="2400"/>
      <c r="AE15" s="2400"/>
      <c r="AF15" s="2401"/>
      <c r="AG15" s="2379">
        <f>SUM(AG13:AG14)</f>
        <v>37.88221153846154</v>
      </c>
      <c r="AH15" s="2380">
        <f>AG15/AG26</f>
        <v>0.74420735234740054</v>
      </c>
    </row>
    <row r="16" spans="2:34">
      <c r="B16" s="3033" t="s">
        <v>223</v>
      </c>
      <c r="C16" s="2334"/>
      <c r="E16" s="3036">
        <f>'[13]Master Look Up'!F4</f>
        <v>5963.9694954316819</v>
      </c>
      <c r="F16" s="2388">
        <f>E16*E10</f>
        <v>16102.717637665542</v>
      </c>
      <c r="G16" s="3017"/>
      <c r="H16" s="3033" t="s">
        <v>223</v>
      </c>
      <c r="I16" s="2334"/>
      <c r="J16" s="3034"/>
      <c r="K16" s="3036">
        <f>'[13]Master Look Up'!F4</f>
        <v>5963.9694954316819</v>
      </c>
      <c r="L16" s="2388">
        <f>K16*$K$10</f>
        <v>29223.450527615245</v>
      </c>
      <c r="M16" s="3035"/>
      <c r="N16" s="2334"/>
      <c r="O16" s="2334"/>
      <c r="T16" s="3012"/>
      <c r="AA16" s="2402"/>
      <c r="AB16" s="2324"/>
      <c r="AC16" s="2324"/>
      <c r="AD16" s="2360"/>
      <c r="AE16" s="2360"/>
      <c r="AF16" s="2324"/>
      <c r="AG16" s="2403"/>
      <c r="AH16" s="2404"/>
    </row>
    <row r="17" spans="1:36">
      <c r="B17" s="3033" t="s">
        <v>457</v>
      </c>
      <c r="C17" s="2334"/>
      <c r="D17" s="3034"/>
      <c r="E17" s="3036">
        <f>'[13]Master Look Up'!F12</f>
        <v>1347.3502436316674</v>
      </c>
      <c r="F17" s="3037">
        <f>E17*E10</f>
        <v>3637.845657805502</v>
      </c>
      <c r="G17" s="3017"/>
      <c r="H17" s="3033" t="s">
        <v>457</v>
      </c>
      <c r="I17" s="2334"/>
      <c r="J17" s="3034"/>
      <c r="K17" s="3036">
        <f>'[13]Master Look Up'!F12</f>
        <v>1347.3502436316674</v>
      </c>
      <c r="L17" s="2388">
        <f t="shared" ref="L17:L18" si="0">K17*$K$10</f>
        <v>6602.0161937951707</v>
      </c>
      <c r="M17" s="3035"/>
      <c r="N17" s="2334"/>
      <c r="O17" s="2334"/>
      <c r="T17" s="3012"/>
      <c r="AA17" s="2405"/>
      <c r="AB17" s="2406"/>
      <c r="AC17" s="2406"/>
      <c r="AD17" s="2407"/>
      <c r="AE17" s="2407"/>
      <c r="AF17" s="2406"/>
      <c r="AG17" s="2408"/>
      <c r="AH17" s="2404"/>
    </row>
    <row r="18" spans="1:36">
      <c r="B18" s="3033" t="s">
        <v>759</v>
      </c>
      <c r="C18" s="2334"/>
      <c r="D18" s="3034"/>
      <c r="E18" s="3036">
        <f>'[13]Master Look Up'!F11</f>
        <v>1953.5170393964802</v>
      </c>
      <c r="F18" s="2388">
        <f>E18*E10</f>
        <v>5274.4960063704966</v>
      </c>
      <c r="G18" s="3017"/>
      <c r="H18" s="3033" t="s">
        <v>759</v>
      </c>
      <c r="I18" s="2334"/>
      <c r="J18" s="3034"/>
      <c r="K18" s="3036">
        <f>'[13]Master Look Up'!F11</f>
        <v>1953.5170393964802</v>
      </c>
      <c r="L18" s="2388">
        <f t="shared" si="0"/>
        <v>9572.2334930427533</v>
      </c>
      <c r="M18" s="3035"/>
      <c r="N18" s="2334"/>
      <c r="O18" s="2334"/>
      <c r="T18" s="3012"/>
      <c r="AA18" s="2405"/>
      <c r="AB18" s="2406"/>
      <c r="AC18" s="2406"/>
      <c r="AD18" s="2407"/>
      <c r="AE18" s="2407"/>
      <c r="AF18" s="2406"/>
      <c r="AG18" s="2408"/>
      <c r="AH18" s="2404"/>
    </row>
    <row r="19" spans="1:36" ht="15" thickBot="1">
      <c r="A19" s="350"/>
      <c r="B19" s="3033"/>
      <c r="C19" s="2334"/>
      <c r="D19" s="3034"/>
      <c r="E19" s="2334"/>
      <c r="F19" s="3038"/>
      <c r="G19" s="3017"/>
      <c r="H19" s="3033"/>
      <c r="I19" s="2334"/>
      <c r="J19" s="3034"/>
      <c r="K19" s="2334"/>
      <c r="L19" s="3038"/>
      <c r="M19" s="3035"/>
      <c r="N19" s="2334"/>
      <c r="O19" s="2334"/>
      <c r="T19" s="3039"/>
      <c r="AA19" s="2405"/>
      <c r="AB19" s="2406"/>
      <c r="AC19" s="2406"/>
      <c r="AD19" s="2407"/>
      <c r="AE19" s="2407"/>
      <c r="AF19" s="2406"/>
      <c r="AG19" s="2408"/>
      <c r="AH19" s="2404"/>
    </row>
    <row r="20" spans="1:36" ht="15" thickTop="1">
      <c r="A20" s="350"/>
      <c r="B20" s="3033"/>
      <c r="C20" s="2334"/>
      <c r="D20" s="3034"/>
      <c r="E20" s="3021"/>
      <c r="F20" s="2388">
        <f>SUM(F16:F19)</f>
        <v>25015.059301841542</v>
      </c>
      <c r="G20" s="3017"/>
      <c r="H20" s="3033"/>
      <c r="I20" s="2334"/>
      <c r="J20" s="3034"/>
      <c r="K20" s="3021"/>
      <c r="L20" s="2388">
        <f>SUM(L16:L19)</f>
        <v>45397.700214453165</v>
      </c>
      <c r="M20" s="3035"/>
      <c r="N20" s="2334"/>
      <c r="O20" s="2334"/>
      <c r="T20" s="3039"/>
      <c r="AA20" s="2409" t="s">
        <v>733</v>
      </c>
      <c r="AB20" s="2410"/>
      <c r="AC20" s="2410"/>
      <c r="AD20" s="2411"/>
      <c r="AE20" s="2412"/>
      <c r="AF20" s="2410"/>
      <c r="AG20" s="2413">
        <f>0.2*AJ26</f>
        <v>10.180552884615384</v>
      </c>
      <c r="AH20" s="2414">
        <f>AG20/AG26</f>
        <v>0.19999999999999996</v>
      </c>
    </row>
    <row r="21" spans="1:36">
      <c r="B21" s="3033"/>
      <c r="C21" s="2334"/>
      <c r="D21" s="3034"/>
      <c r="E21" s="3040"/>
      <c r="F21" s="2388"/>
      <c r="G21" s="3017"/>
      <c r="H21" s="3033"/>
      <c r="I21" s="2334"/>
      <c r="J21" s="3034"/>
      <c r="K21" s="3040"/>
      <c r="L21" s="2388"/>
      <c r="M21" s="3035"/>
      <c r="N21" s="2334"/>
      <c r="O21" s="2334"/>
      <c r="T21" s="3039"/>
      <c r="AA21" s="2415"/>
      <c r="AB21" s="2416"/>
      <c r="AC21" s="2416"/>
      <c r="AD21" s="2417"/>
      <c r="AE21" s="2418"/>
      <c r="AF21" s="2416"/>
      <c r="AG21" s="2419"/>
      <c r="AH21" s="2420"/>
    </row>
    <row r="22" spans="1:36">
      <c r="B22" s="2369" t="s">
        <v>458</v>
      </c>
      <c r="C22" s="2370"/>
      <c r="D22" s="2421"/>
      <c r="E22" s="2372"/>
      <c r="F22" s="2373">
        <f>F20+F14</f>
        <v>165906.58544584154</v>
      </c>
      <c r="G22" s="3017"/>
      <c r="H22" s="2369" t="s">
        <v>458</v>
      </c>
      <c r="I22" s="2370"/>
      <c r="J22" s="2421"/>
      <c r="K22" s="2372"/>
      <c r="L22" s="2373">
        <f>L20+L14</f>
        <v>284585.55250245315</v>
      </c>
      <c r="M22" s="3035"/>
      <c r="N22" s="2374"/>
      <c r="O22" s="2334"/>
      <c r="T22" s="3039"/>
      <c r="AA22" s="2422"/>
      <c r="AB22" s="2423"/>
      <c r="AC22" s="2423"/>
      <c r="AD22" s="2322"/>
      <c r="AE22" s="2424"/>
      <c r="AF22" s="2423"/>
      <c r="AG22" s="2425"/>
      <c r="AH22" s="2386"/>
    </row>
    <row r="23" spans="1:36">
      <c r="B23" s="3033" t="s">
        <v>227</v>
      </c>
      <c r="C23" s="2334"/>
      <c r="D23" s="3041">
        <f>'[13]Master Look Up'!D23</f>
        <v>0.12</v>
      </c>
      <c r="E23" s="3042"/>
      <c r="F23" s="2388">
        <f>D23*F22</f>
        <v>19908.790253500985</v>
      </c>
      <c r="G23" s="3017"/>
      <c r="H23" s="3033" t="s">
        <v>227</v>
      </c>
      <c r="I23" s="2334"/>
      <c r="J23" s="3041">
        <f>'[13]Master Look Up'!D23</f>
        <v>0.12</v>
      </c>
      <c r="K23" s="3042"/>
      <c r="L23" s="2388">
        <f>J23*L22</f>
        <v>34150.266300294374</v>
      </c>
      <c r="M23" s="2426"/>
      <c r="N23" s="2334"/>
      <c r="O23" s="2334"/>
      <c r="T23" s="3039"/>
      <c r="AA23" s="2427" t="s">
        <v>734</v>
      </c>
      <c r="AB23" s="2428"/>
      <c r="AC23" s="2428"/>
      <c r="AD23" s="2429"/>
      <c r="AE23" s="2430"/>
      <c r="AF23" s="2428"/>
      <c r="AG23" s="2431">
        <f>AG15+AG20</f>
        <v>48.062764423076928</v>
      </c>
      <c r="AH23" s="2380"/>
    </row>
    <row r="24" spans="1:36">
      <c r="B24" s="3043" t="s">
        <v>61</v>
      </c>
      <c r="C24" s="2334"/>
      <c r="D24" s="3041">
        <f>'[13]Master Look Up'!D28</f>
        <v>3.7000000000000002E-3</v>
      </c>
      <c r="E24" s="3042"/>
      <c r="F24" s="2388">
        <f>D24*F22</f>
        <v>613.85436614961372</v>
      </c>
      <c r="G24" s="3017"/>
      <c r="H24" s="3043" t="s">
        <v>61</v>
      </c>
      <c r="I24" s="2334"/>
      <c r="J24" s="3041">
        <f>'[13]Master Look Up'!D28</f>
        <v>3.7000000000000002E-3</v>
      </c>
      <c r="K24" s="3042"/>
      <c r="L24" s="2388">
        <f>J24*L22</f>
        <v>1052.9665442590767</v>
      </c>
      <c r="M24" s="2426"/>
      <c r="N24" s="2334"/>
      <c r="O24" s="2334"/>
      <c r="T24" s="3039"/>
      <c r="AA24" s="2432"/>
      <c r="AB24" s="2433"/>
      <c r="AC24" s="2433"/>
      <c r="AD24" s="2434"/>
      <c r="AE24" s="2435"/>
      <c r="AF24" s="2433"/>
      <c r="AG24" s="2436"/>
      <c r="AH24" s="2437"/>
    </row>
    <row r="25" spans="1:36" ht="15" thickBot="1">
      <c r="B25" s="3044" t="s">
        <v>188</v>
      </c>
      <c r="C25" s="3045"/>
      <c r="D25" s="3046"/>
      <c r="E25" s="3047"/>
      <c r="F25" s="2438">
        <f>SUM(F22:F24)</f>
        <v>186429.23006549213</v>
      </c>
      <c r="G25" s="3017"/>
      <c r="H25" s="3044" t="s">
        <v>188</v>
      </c>
      <c r="I25" s="3045"/>
      <c r="J25" s="3046"/>
      <c r="K25" s="3047"/>
      <c r="L25" s="2438">
        <f>SUM(L22:L24)</f>
        <v>319788.78534700657</v>
      </c>
      <c r="M25" s="3031"/>
      <c r="N25" s="2374"/>
      <c r="O25" s="2374"/>
      <c r="P25" s="2439"/>
      <c r="Q25" s="2382"/>
      <c r="R25" s="2336"/>
      <c r="AA25" s="2440" t="s">
        <v>735</v>
      </c>
      <c r="AB25" s="2441"/>
      <c r="AC25" s="2441"/>
      <c r="AD25" s="2442"/>
      <c r="AE25" s="2443"/>
      <c r="AF25" s="2024"/>
      <c r="AG25" s="2444">
        <f>'[20]Unbundled background file'!$G$53</f>
        <v>2.84</v>
      </c>
      <c r="AH25" s="2445">
        <f>AG25/AG26</f>
        <v>5.579264765259933E-2</v>
      </c>
    </row>
    <row r="26" spans="1:36" ht="15.6" thickTop="1" thickBot="1">
      <c r="B26" s="2381" t="s">
        <v>354</v>
      </c>
      <c r="C26" s="2374"/>
      <c r="D26" s="3048">
        <f>'[13]Master Look Up'!D26</f>
        <v>1.0633805350099574E-2</v>
      </c>
      <c r="E26" s="2382"/>
      <c r="F26" s="2383">
        <f>F25*(1+D26)</f>
        <v>188411.6822095775</v>
      </c>
      <c r="G26" s="3017"/>
      <c r="H26" s="2381" t="s">
        <v>354</v>
      </c>
      <c r="I26" s="2374"/>
      <c r="J26" s="3048">
        <f>'[13]Master Look Up'!D26</f>
        <v>1.0633805350099574E-2</v>
      </c>
      <c r="K26" s="2382"/>
      <c r="L26" s="2383">
        <f>L25*(1+J26)</f>
        <v>323189.35704353143</v>
      </c>
      <c r="M26" s="2384"/>
      <c r="N26" s="2374"/>
      <c r="O26" s="2334"/>
      <c r="P26" s="3049"/>
      <c r="Q26" s="3042"/>
      <c r="R26" s="3020"/>
      <c r="AA26" s="2446" t="s">
        <v>737</v>
      </c>
      <c r="AB26" s="2447"/>
      <c r="AC26" s="2447"/>
      <c r="AD26" s="2448"/>
      <c r="AE26" s="2448"/>
      <c r="AF26" s="2449"/>
      <c r="AG26" s="2450">
        <f>SUM(AG23:AG25)</f>
        <v>50.902764423076931</v>
      </c>
      <c r="AH26" s="2451">
        <f>SUM(AH15:AH25)</f>
        <v>0.99999999999999978</v>
      </c>
      <c r="AJ26" s="2779">
        <f>(AG15+AG25)/0.8</f>
        <v>50.902764423076917</v>
      </c>
    </row>
    <row r="27" spans="1:36" ht="15" thickTop="1">
      <c r="B27" s="3050" t="s">
        <v>237</v>
      </c>
      <c r="C27" s="3051"/>
      <c r="D27" s="3051"/>
      <c r="E27" s="3051"/>
      <c r="F27" s="2452">
        <f>F26/F5</f>
        <v>53.519964268144953</v>
      </c>
      <c r="G27" s="3017"/>
      <c r="H27" s="3050" t="s">
        <v>237</v>
      </c>
      <c r="I27" s="3051"/>
      <c r="J27" s="3051"/>
      <c r="K27" s="3051"/>
      <c r="L27" s="2452">
        <f>L26/L5</f>
        <v>91.804725895787811</v>
      </c>
      <c r="M27" s="3052"/>
      <c r="N27" s="2467"/>
      <c r="O27" s="2374"/>
      <c r="P27" s="2336"/>
      <c r="Q27" s="2382"/>
      <c r="R27" s="2336"/>
      <c r="AA27" s="2402"/>
      <c r="AB27" s="2324"/>
      <c r="AC27" s="2324"/>
      <c r="AD27" s="2360"/>
      <c r="AE27" s="2360"/>
      <c r="AF27" s="2324"/>
      <c r="AG27" s="2403"/>
      <c r="AH27" s="2404"/>
    </row>
    <row r="28" spans="1:36" ht="15" thickBot="1">
      <c r="B28" s="2453"/>
      <c r="C28" s="2454"/>
      <c r="D28" s="2454"/>
      <c r="E28" s="2455"/>
      <c r="F28" s="2456"/>
      <c r="G28" s="3017"/>
      <c r="H28" s="2453"/>
      <c r="I28" s="2454"/>
      <c r="J28" s="2454"/>
      <c r="K28" s="2455"/>
      <c r="L28" s="2456"/>
      <c r="M28" s="3053"/>
      <c r="N28" s="2374"/>
      <c r="O28" s="2374"/>
      <c r="P28" s="3048"/>
      <c r="Q28" s="2382"/>
      <c r="R28" s="2336"/>
      <c r="AA28" s="2457" t="s">
        <v>760</v>
      </c>
      <c r="AB28" s="2458"/>
      <c r="AC28" s="2458"/>
      <c r="AD28" s="2459"/>
      <c r="AE28" s="2460"/>
      <c r="AF28" s="2461"/>
      <c r="AG28" s="2462">
        <f>AG23*1.02</f>
        <v>49.024019711538465</v>
      </c>
      <c r="AH28" s="2463"/>
    </row>
    <row r="29" spans="1:36">
      <c r="B29" s="2464"/>
      <c r="C29" s="2464"/>
      <c r="D29" s="2464"/>
      <c r="E29" s="2465"/>
      <c r="F29" s="2466"/>
      <c r="G29" s="3054"/>
      <c r="M29" s="3055"/>
      <c r="N29" s="2374"/>
      <c r="O29" s="2467"/>
      <c r="P29" s="2467"/>
      <c r="Q29" s="2467"/>
      <c r="R29" s="2467"/>
      <c r="AA29" s="2468" t="s">
        <v>761</v>
      </c>
      <c r="AB29" s="2441"/>
      <c r="AC29" s="2441"/>
      <c r="AD29" s="2024"/>
      <c r="AE29" s="2443"/>
      <c r="AF29" s="2469"/>
      <c r="AG29" s="2444">
        <v>2.84</v>
      </c>
      <c r="AH29" s="2470"/>
    </row>
    <row r="30" spans="1:36">
      <c r="B30" s="2471"/>
      <c r="C30" s="302"/>
      <c r="D30" s="302"/>
      <c r="E30" s="302"/>
      <c r="F30" s="3056"/>
      <c r="H30" s="3057"/>
      <c r="K30" s="302"/>
      <c r="L30" s="1463"/>
      <c r="M30" s="2469"/>
      <c r="O30" s="2374"/>
      <c r="P30" s="2374"/>
      <c r="Q30" s="2472"/>
      <c r="R30" s="2473"/>
      <c r="AA30" s="2398" t="s">
        <v>159</v>
      </c>
      <c r="AB30" s="2474"/>
      <c r="AC30" s="2474"/>
      <c r="AD30" s="2475"/>
      <c r="AE30" s="2476"/>
      <c r="AF30" s="2474"/>
      <c r="AG30" s="2477">
        <f>SUM(AG28:AG29)</f>
        <v>51.864019711538461</v>
      </c>
      <c r="AH30" s="2478"/>
    </row>
    <row r="31" spans="1:36" ht="17.399999999999999">
      <c r="B31" s="2479"/>
      <c r="C31" s="3011"/>
      <c r="D31" s="2480"/>
      <c r="E31" s="3058"/>
      <c r="F31" s="2481"/>
      <c r="G31" s="2334"/>
      <c r="L31" s="491"/>
      <c r="M31" s="302"/>
      <c r="N31" s="2482"/>
      <c r="O31" s="2374"/>
      <c r="P31" s="2374"/>
      <c r="Q31" s="2472"/>
      <c r="R31" s="2473"/>
      <c r="AA31" s="2321"/>
      <c r="AB31" s="2035"/>
      <c r="AC31" s="2322"/>
      <c r="AD31" s="2322"/>
      <c r="AE31" s="2323"/>
      <c r="AF31" s="2035"/>
      <c r="AG31" s="2324"/>
      <c r="AH31" s="2324"/>
    </row>
    <row r="32" spans="1:36" ht="17.399999999999999">
      <c r="B32" s="2479"/>
      <c r="C32" s="3011"/>
      <c r="D32" s="2480"/>
      <c r="E32" s="3058"/>
      <c r="F32" s="2481"/>
      <c r="G32" s="2334"/>
      <c r="L32" s="491"/>
      <c r="M32" s="302"/>
      <c r="N32" s="2482"/>
      <c r="O32" s="2374"/>
      <c r="P32" s="2374"/>
      <c r="Q32" s="2472"/>
      <c r="R32" s="2473"/>
      <c r="AA32" s="2321"/>
      <c r="AB32" s="2035"/>
      <c r="AC32" s="2322"/>
      <c r="AD32" s="2322"/>
      <c r="AE32" s="2323"/>
      <c r="AF32" s="2035"/>
      <c r="AG32" s="2324"/>
      <c r="AH32" s="2324"/>
    </row>
    <row r="33" spans="2:34" ht="17.399999999999999">
      <c r="B33" s="2483" t="s">
        <v>762</v>
      </c>
      <c r="C33" s="3059"/>
      <c r="D33" s="2484"/>
      <c r="E33" s="3060"/>
      <c r="F33" s="638"/>
      <c r="G33" s="754"/>
      <c r="H33" s="281"/>
      <c r="I33" s="281"/>
      <c r="J33" s="281"/>
      <c r="K33" s="281"/>
      <c r="L33" s="1412"/>
      <c r="M33" s="302"/>
      <c r="N33" s="2482"/>
      <c r="O33" s="2374"/>
      <c r="P33" s="2374"/>
      <c r="Q33" s="2472"/>
      <c r="R33" s="2473"/>
      <c r="AA33" s="2321"/>
      <c r="AB33" s="2035"/>
      <c r="AC33" s="2322"/>
      <c r="AD33" s="2322"/>
      <c r="AE33" s="2323"/>
      <c r="AF33" s="2035"/>
      <c r="AG33" s="2324"/>
      <c r="AH33" s="2324"/>
    </row>
    <row r="34" spans="2:34" ht="15" thickBot="1">
      <c r="B34" s="2483"/>
      <c r="C34" s="3060"/>
      <c r="D34" s="2484"/>
      <c r="E34" s="3061"/>
      <c r="F34" s="3006">
        <v>1364</v>
      </c>
      <c r="G34" s="3007"/>
      <c r="H34" s="3006"/>
      <c r="I34" s="3006"/>
      <c r="J34" s="3006"/>
      <c r="K34" s="3006"/>
      <c r="L34" s="3006">
        <v>1364</v>
      </c>
      <c r="M34" s="2485"/>
      <c r="N34" s="2479"/>
      <c r="AA34" s="2321"/>
      <c r="AB34" s="2035"/>
      <c r="AC34" s="2322"/>
      <c r="AD34" s="2322"/>
      <c r="AE34" s="2323"/>
      <c r="AF34" s="2035"/>
      <c r="AG34" s="2324"/>
      <c r="AH34" s="2324"/>
    </row>
    <row r="35" spans="2:34" ht="27.6">
      <c r="B35" s="2486" t="s">
        <v>763</v>
      </c>
      <c r="C35" s="3062"/>
      <c r="D35" s="2487" t="s">
        <v>630</v>
      </c>
      <c r="E35" s="2487" t="s">
        <v>631</v>
      </c>
      <c r="F35" s="2488" t="s">
        <v>217</v>
      </c>
      <c r="G35" s="754"/>
      <c r="H35" s="2486" t="s">
        <v>478</v>
      </c>
      <c r="I35" s="3062"/>
      <c r="J35" s="2487" t="s">
        <v>630</v>
      </c>
      <c r="K35" s="2487" t="s">
        <v>631</v>
      </c>
      <c r="L35" s="2488" t="s">
        <v>217</v>
      </c>
      <c r="M35" s="2485"/>
      <c r="N35" s="2479"/>
      <c r="O35" s="302"/>
      <c r="P35" s="302"/>
      <c r="Q35" s="2489"/>
      <c r="R35" s="302"/>
      <c r="AA35" s="2321"/>
      <c r="AB35" s="2035"/>
      <c r="AC35" s="2490" t="s">
        <v>764</v>
      </c>
      <c r="AD35" s="2491"/>
      <c r="AE35" s="2492"/>
      <c r="AF35" s="2164"/>
      <c r="AG35" s="2493"/>
      <c r="AH35" s="2324"/>
    </row>
    <row r="36" spans="2:34" ht="17.399999999999999">
      <c r="B36" s="679" t="s">
        <v>756</v>
      </c>
      <c r="C36" s="754"/>
      <c r="D36" s="3063">
        <f>'[13]BLS Chart'!C18</f>
        <v>69600</v>
      </c>
      <c r="E36" s="2494">
        <v>0.1</v>
      </c>
      <c r="F36" s="2495">
        <f>D36*E36</f>
        <v>6960</v>
      </c>
      <c r="G36" s="754"/>
      <c r="H36" s="679" t="s">
        <v>756</v>
      </c>
      <c r="I36" s="754"/>
      <c r="J36" s="3063">
        <f>'[13]BLS Chart'!C18</f>
        <v>69600</v>
      </c>
      <c r="K36" s="2494">
        <v>0.1</v>
      </c>
      <c r="L36" s="2496">
        <f>J36*K36</f>
        <v>6960</v>
      </c>
      <c r="M36" s="3064"/>
      <c r="N36" s="2497"/>
      <c r="O36" s="3011"/>
      <c r="P36" s="2480"/>
      <c r="Q36" s="3058"/>
      <c r="R36" s="2498"/>
      <c r="AA36" s="2325"/>
      <c r="AB36" s="2035"/>
      <c r="AC36" s="2499" t="s">
        <v>320</v>
      </c>
      <c r="AD36" s="2327">
        <f>'[20]Unbundled background file'!$K$72</f>
        <v>1.0391381345926798</v>
      </c>
      <c r="AE36" s="2322"/>
      <c r="AF36" s="2035"/>
      <c r="AG36" s="2500">
        <f>AG28*AD36</f>
        <v>50.942728393282842</v>
      </c>
      <c r="AH36" s="2324"/>
    </row>
    <row r="37" spans="2:34">
      <c r="B37" s="2501" t="s">
        <v>75</v>
      </c>
      <c r="C37" s="1109"/>
      <c r="D37" s="3063">
        <f>'[13]BLS Chart'!C6</f>
        <v>34927.359999999993</v>
      </c>
      <c r="E37" s="2494">
        <v>1.1499999999999999</v>
      </c>
      <c r="F37" s="2495">
        <f>D37*E37</f>
        <v>40166.463999999993</v>
      </c>
      <c r="G37" s="754"/>
      <c r="H37" s="707" t="s">
        <v>478</v>
      </c>
      <c r="I37" s="1109"/>
      <c r="J37" s="3063">
        <f>'[13]BLS Chart'!C16</f>
        <v>63627.199999999997</v>
      </c>
      <c r="K37" s="2494">
        <v>1</v>
      </c>
      <c r="L37" s="2496">
        <f>J37*K37</f>
        <v>63627.199999999997</v>
      </c>
      <c r="M37" s="2927"/>
      <c r="N37" s="3065"/>
      <c r="O37" s="3058"/>
      <c r="P37" s="2480"/>
      <c r="Q37" s="3066"/>
      <c r="R37" s="2498"/>
      <c r="AA37" s="2325"/>
      <c r="AB37" s="2035"/>
      <c r="AC37" s="2502" t="s">
        <v>765</v>
      </c>
      <c r="AD37" s="2322"/>
      <c r="AE37" s="2322"/>
      <c r="AF37" s="2035"/>
      <c r="AG37" s="2503">
        <v>2.84</v>
      </c>
      <c r="AH37" s="2324"/>
    </row>
    <row r="38" spans="2:34" ht="15" thickBot="1">
      <c r="B38" s="2504" t="s">
        <v>266</v>
      </c>
      <c r="C38" s="2224"/>
      <c r="D38" s="2505"/>
      <c r="E38" s="2506">
        <f>SUM(E36:E37)</f>
        <v>1.25</v>
      </c>
      <c r="F38" s="2507">
        <f>SUM(F36+F37)</f>
        <v>47126.463999999993</v>
      </c>
      <c r="G38" s="754"/>
      <c r="H38" s="2504" t="s">
        <v>266</v>
      </c>
      <c r="I38" s="2224"/>
      <c r="J38" s="2505"/>
      <c r="K38" s="2506">
        <f>SUM(K36:K37)</f>
        <v>1.1000000000000001</v>
      </c>
      <c r="L38" s="2507">
        <f>SUM(L36+L37)</f>
        <v>70587.199999999997</v>
      </c>
      <c r="M38" s="2927"/>
      <c r="N38" s="2508"/>
      <c r="O38" s="3067"/>
      <c r="P38" s="3068"/>
      <c r="Q38" s="3069"/>
      <c r="R38" s="3068"/>
      <c r="AA38" s="2325"/>
      <c r="AB38" s="2035"/>
      <c r="AC38" s="2509" t="s">
        <v>766</v>
      </c>
      <c r="AD38" s="2195"/>
      <c r="AE38" s="2510"/>
      <c r="AF38" s="2511"/>
      <c r="AG38" s="2512">
        <f>AG36+AG37</f>
        <v>53.782728393282838</v>
      </c>
      <c r="AH38" s="2324"/>
    </row>
    <row r="39" spans="2:34" ht="12.6" customHeight="1">
      <c r="B39" s="2513"/>
      <c r="C39" s="754"/>
      <c r="D39" s="2514"/>
      <c r="E39" s="2494"/>
      <c r="F39" s="2496"/>
      <c r="G39" s="754"/>
      <c r="H39" s="2513"/>
      <c r="I39" s="754"/>
      <c r="J39" s="2514"/>
      <c r="K39" s="2494"/>
      <c r="L39" s="2515"/>
      <c r="M39" s="2927"/>
      <c r="N39" s="2464"/>
      <c r="O39" s="2516"/>
      <c r="P39" s="2526"/>
      <c r="Q39" s="3021"/>
      <c r="R39" s="2526"/>
    </row>
    <row r="40" spans="2:34">
      <c r="B40" s="2517" t="s">
        <v>767</v>
      </c>
      <c r="C40" s="1109"/>
      <c r="D40" s="638">
        <f>'[13]Master Look Up'!D18</f>
        <v>0.224</v>
      </c>
      <c r="E40" s="2494"/>
      <c r="F40" s="2496">
        <f>F38*D40</f>
        <v>10556.327935999998</v>
      </c>
      <c r="G40" s="754"/>
      <c r="H40" s="2517" t="s">
        <v>767</v>
      </c>
      <c r="I40" s="1109"/>
      <c r="J40" s="638">
        <f>'[13]Master Look Up'!D18</f>
        <v>0.224</v>
      </c>
      <c r="K40" s="2494"/>
      <c r="L40" s="2496">
        <f>L38*J40</f>
        <v>15811.532799999999</v>
      </c>
      <c r="M40" s="2518"/>
      <c r="N40" s="2464"/>
      <c r="O40" s="2516"/>
      <c r="P40" s="2526"/>
      <c r="Q40" s="3021"/>
      <c r="R40" s="2526"/>
    </row>
    <row r="41" spans="2:34">
      <c r="B41" s="2519" t="s">
        <v>225</v>
      </c>
      <c r="C41" s="2224"/>
      <c r="D41" s="2505"/>
      <c r="E41" s="2520"/>
      <c r="F41" s="2507">
        <f>SUM(F38+F40)</f>
        <v>57682.791935999994</v>
      </c>
      <c r="G41" s="754"/>
      <c r="H41" s="2519" t="s">
        <v>225</v>
      </c>
      <c r="I41" s="2224"/>
      <c r="J41" s="2505"/>
      <c r="K41" s="2520"/>
      <c r="L41" s="2507">
        <f>SUM(L38+L40)</f>
        <v>86398.732799999998</v>
      </c>
      <c r="M41" s="2518"/>
      <c r="N41" s="2464"/>
      <c r="O41" s="2464"/>
      <c r="P41" s="2521"/>
      <c r="Q41" s="2522"/>
      <c r="R41" s="2521"/>
    </row>
    <row r="42" spans="2:34">
      <c r="B42" s="725"/>
      <c r="C42" s="754"/>
      <c r="D42" s="673"/>
      <c r="E42" s="673"/>
      <c r="F42" s="726"/>
      <c r="G42" s="754"/>
      <c r="H42" s="3070"/>
      <c r="I42" s="754"/>
      <c r="J42" s="673"/>
      <c r="K42" s="673"/>
      <c r="L42" s="3071"/>
      <c r="M42" s="2518"/>
      <c r="N42" s="2389"/>
      <c r="O42" s="2464"/>
      <c r="P42" s="2521"/>
      <c r="Q42" s="2522"/>
      <c r="R42" s="2521"/>
    </row>
    <row r="43" spans="2:34">
      <c r="B43" s="696" t="s">
        <v>223</v>
      </c>
      <c r="C43" s="754"/>
      <c r="D43" s="2523"/>
      <c r="E43" s="1179">
        <f>'[13]Master Look Up'!F4</f>
        <v>5963.9694954316819</v>
      </c>
      <c r="F43" s="2524">
        <f>E43*$E$37</f>
        <v>6858.5649197464336</v>
      </c>
      <c r="G43" s="754"/>
      <c r="H43" s="696" t="s">
        <v>223</v>
      </c>
      <c r="I43" s="2494"/>
      <c r="J43" s="2523"/>
      <c r="K43" s="1179">
        <f>'[13]Master Look Up'!F4</f>
        <v>5963.9694954316819</v>
      </c>
      <c r="L43" s="2524">
        <f>K43*$K$38</f>
        <v>6560.3664449748503</v>
      </c>
      <c r="M43" s="3072"/>
      <c r="N43" s="2389"/>
      <c r="O43" s="2464"/>
      <c r="P43" s="2521"/>
      <c r="Q43" s="3058"/>
      <c r="R43" s="2521"/>
    </row>
    <row r="44" spans="2:34">
      <c r="B44" s="696" t="s">
        <v>457</v>
      </c>
      <c r="C44" s="754"/>
      <c r="D44" s="2523"/>
      <c r="E44" s="1179">
        <f>'[13]Master Look Up'!F12</f>
        <v>1347.3502436316674</v>
      </c>
      <c r="F44" s="2524">
        <f t="shared" ref="F44:F45" si="1">E44*$E$37</f>
        <v>1549.4527801764173</v>
      </c>
      <c r="G44" s="754"/>
      <c r="H44" s="696" t="s">
        <v>457</v>
      </c>
      <c r="I44" s="754"/>
      <c r="J44" s="2523"/>
      <c r="K44" s="1179">
        <f>'[13]Master Look Up'!F12</f>
        <v>1347.3502436316674</v>
      </c>
      <c r="L44" s="2524">
        <f t="shared" ref="L44:L45" si="2">K44*$K$38</f>
        <v>1482.0852679948341</v>
      </c>
      <c r="M44" s="3072"/>
      <c r="N44" s="2389"/>
      <c r="O44" s="2464"/>
      <c r="P44" s="2521"/>
      <c r="Q44" s="3058"/>
      <c r="R44" s="2521"/>
    </row>
    <row r="45" spans="2:34">
      <c r="B45" s="696" t="s">
        <v>759</v>
      </c>
      <c r="C45" s="754"/>
      <c r="D45" s="2523"/>
      <c r="E45" s="1179">
        <f>'[13]Master Look Up'!F11</f>
        <v>1953.5170393964802</v>
      </c>
      <c r="F45" s="2524">
        <f t="shared" si="1"/>
        <v>2246.544595305952</v>
      </c>
      <c r="G45" s="754"/>
      <c r="H45" s="696" t="s">
        <v>759</v>
      </c>
      <c r="I45" s="754"/>
      <c r="J45" s="2523"/>
      <c r="K45" s="1179">
        <f>'[13]Master Look Up'!F11</f>
        <v>1953.5170393964802</v>
      </c>
      <c r="L45" s="2524">
        <f t="shared" si="2"/>
        <v>2148.8687433361283</v>
      </c>
      <c r="M45" s="3072"/>
      <c r="N45" s="2389"/>
      <c r="O45" s="2464"/>
      <c r="P45" s="2521"/>
      <c r="Q45" s="3058"/>
      <c r="R45" s="2521"/>
    </row>
    <row r="46" spans="2:34" ht="15" thickBot="1">
      <c r="B46" s="696"/>
      <c r="C46" s="754"/>
      <c r="D46" s="2523"/>
      <c r="E46" s="1179"/>
      <c r="F46" s="2525"/>
      <c r="G46" s="754"/>
      <c r="H46" s="2517"/>
      <c r="I46" s="754"/>
      <c r="J46" s="2523"/>
      <c r="K46" s="2494"/>
      <c r="L46" s="2525"/>
      <c r="M46" s="3072"/>
      <c r="N46" s="2389"/>
      <c r="O46" s="2464"/>
      <c r="P46" s="2521"/>
      <c r="Q46" s="3058"/>
      <c r="R46" s="2521"/>
    </row>
    <row r="47" spans="2:34" ht="15" thickTop="1">
      <c r="B47" s="696"/>
      <c r="C47" s="754"/>
      <c r="D47" s="2523"/>
      <c r="E47" s="1179"/>
      <c r="F47" s="2524">
        <f>SUM(F43:F46)</f>
        <v>10654.562295228803</v>
      </c>
      <c r="G47" s="754"/>
      <c r="H47" s="2517"/>
      <c r="I47" s="754"/>
      <c r="J47" s="2523"/>
      <c r="K47" s="2494"/>
      <c r="L47" s="2524">
        <f>SUM(L43:L46)</f>
        <v>10191.320456305813</v>
      </c>
      <c r="M47" s="3072"/>
      <c r="N47" s="2389"/>
      <c r="O47" s="2464"/>
      <c r="P47" s="2521"/>
      <c r="Q47" s="3058"/>
      <c r="R47" s="2521"/>
    </row>
    <row r="48" spans="2:34">
      <c r="B48" s="725"/>
      <c r="C48" s="754"/>
      <c r="D48" s="673"/>
      <c r="E48" s="673"/>
      <c r="F48" s="2524"/>
      <c r="G48" s="754"/>
      <c r="H48" s="2517"/>
      <c r="I48" s="754"/>
      <c r="J48" s="2523"/>
      <c r="K48" s="2494"/>
      <c r="L48" s="2524"/>
      <c r="M48" s="3073"/>
      <c r="N48" s="2389"/>
      <c r="O48" s="2389"/>
      <c r="P48" s="3049"/>
      <c r="Q48" s="3074"/>
      <c r="R48" s="2526"/>
    </row>
    <row r="49" spans="2:18">
      <c r="B49" s="2258" t="s">
        <v>458</v>
      </c>
      <c r="C49" s="1109"/>
      <c r="D49" s="3075"/>
      <c r="E49" s="3076"/>
      <c r="F49" s="3077">
        <f>F47+F41</f>
        <v>68337.35423122879</v>
      </c>
      <c r="G49" s="754"/>
      <c r="H49" s="2258" t="s">
        <v>458</v>
      </c>
      <c r="I49" s="1109"/>
      <c r="J49" s="3075"/>
      <c r="K49" s="3076"/>
      <c r="L49" s="3077">
        <f>L47+L41</f>
        <v>96590.053256305808</v>
      </c>
      <c r="M49" s="3073"/>
      <c r="N49" s="2389"/>
      <c r="O49" s="2389"/>
      <c r="P49" s="3078"/>
      <c r="Q49" s="3074"/>
      <c r="R49" s="2526"/>
    </row>
    <row r="50" spans="2:18">
      <c r="B50" s="3043" t="s">
        <v>61</v>
      </c>
      <c r="C50" s="754"/>
      <c r="D50" s="1204">
        <f>'[13]Master Look Up'!D28</f>
        <v>3.7000000000000002E-3</v>
      </c>
      <c r="E50" s="3079"/>
      <c r="F50" s="2524">
        <f>D50*F49</f>
        <v>252.84821065554652</v>
      </c>
      <c r="G50" s="754"/>
      <c r="H50" s="3043" t="s">
        <v>61</v>
      </c>
      <c r="I50" s="754"/>
      <c r="J50" s="1204">
        <f>'[13]Master Look Up'!D28</f>
        <v>3.7000000000000002E-3</v>
      </c>
      <c r="K50" s="3079"/>
      <c r="L50" s="2524">
        <f>J50*L49</f>
        <v>357.38319704833151</v>
      </c>
      <c r="M50" s="3073"/>
      <c r="N50" s="2389"/>
      <c r="O50" s="2389"/>
      <c r="P50" s="3078"/>
      <c r="Q50" s="3074"/>
      <c r="R50" s="2526"/>
    </row>
    <row r="51" spans="2:18">
      <c r="B51" s="3080" t="s">
        <v>227</v>
      </c>
      <c r="C51" s="1109"/>
      <c r="D51" s="3081">
        <f>'[13]Master Look Up'!D23</f>
        <v>0.12</v>
      </c>
      <c r="E51" s="3076"/>
      <c r="F51" s="3082">
        <f>D51*F49</f>
        <v>8200.4825077474543</v>
      </c>
      <c r="G51" s="754"/>
      <c r="H51" s="3080" t="s">
        <v>227</v>
      </c>
      <c r="I51" s="1109"/>
      <c r="J51" s="3081">
        <f>'[13]Master Look Up'!D23</f>
        <v>0.12</v>
      </c>
      <c r="K51" s="3076"/>
      <c r="L51" s="3082">
        <f>J51*L49</f>
        <v>11590.806390756696</v>
      </c>
      <c r="M51" s="3073"/>
      <c r="N51" s="2389"/>
      <c r="O51" s="2389"/>
      <c r="P51" s="3078"/>
      <c r="Q51" s="3074"/>
      <c r="R51" s="2526"/>
    </row>
    <row r="52" spans="2:18">
      <c r="B52" s="2527"/>
      <c r="C52" s="754"/>
      <c r="D52" s="3083"/>
      <c r="E52" s="3079"/>
      <c r="F52" s="3084"/>
      <c r="G52" s="754"/>
      <c r="H52" s="2527"/>
      <c r="I52" s="754"/>
      <c r="J52" s="3083"/>
      <c r="K52" s="3079"/>
      <c r="L52" s="3084"/>
      <c r="M52" s="3073"/>
      <c r="N52" s="2389"/>
      <c r="O52" s="2389"/>
      <c r="P52" s="3078"/>
      <c r="Q52" s="3074"/>
      <c r="R52" s="2526"/>
    </row>
    <row r="53" spans="2:18">
      <c r="B53" s="2527" t="s">
        <v>188</v>
      </c>
      <c r="C53" s="754"/>
      <c r="D53" s="3083"/>
      <c r="E53" s="3079"/>
      <c r="F53" s="2524">
        <f>F51+F50+F49</f>
        <v>76790.684949631788</v>
      </c>
      <c r="G53" s="754"/>
      <c r="H53" s="2527" t="s">
        <v>188</v>
      </c>
      <c r="I53" s="754"/>
      <c r="J53" s="3083"/>
      <c r="K53" s="3079"/>
      <c r="L53" s="2524">
        <f>L51+L50+L49</f>
        <v>108538.24284411083</v>
      </c>
      <c r="M53" s="3073"/>
      <c r="N53" s="2389"/>
      <c r="O53" s="2389"/>
      <c r="P53" s="3078"/>
      <c r="Q53" s="3074"/>
      <c r="R53" s="2526"/>
    </row>
    <row r="54" spans="2:18">
      <c r="B54" s="2528" t="s">
        <v>768</v>
      </c>
      <c r="C54" s="1109"/>
      <c r="D54" s="3085">
        <f>'[13]Master Look Up'!D26</f>
        <v>1.0633805350099574E-2</v>
      </c>
      <c r="E54" s="3076"/>
      <c r="F54" s="3082">
        <f>F53*(1+D54)</f>
        <v>77607.262146087</v>
      </c>
      <c r="G54" s="754"/>
      <c r="H54" s="2528" t="s">
        <v>768</v>
      </c>
      <c r="I54" s="1109"/>
      <c r="J54" s="3085">
        <f>'[13]Master Look Up'!D26</f>
        <v>1.0633805350099574E-2</v>
      </c>
      <c r="K54" s="3076"/>
      <c r="L54" s="3082">
        <f>L53*(1+J54)</f>
        <v>109692.41739155696</v>
      </c>
      <c r="M54" s="3073"/>
      <c r="N54" s="2389"/>
      <c r="O54" s="2389"/>
      <c r="P54" s="3078"/>
      <c r="Q54" s="3074"/>
      <c r="R54" s="2526"/>
    </row>
    <row r="55" spans="2:18" s="350" customFormat="1">
      <c r="B55" s="2527" t="s">
        <v>769</v>
      </c>
      <c r="C55" s="754"/>
      <c r="D55" s="3083"/>
      <c r="E55" s="3079"/>
      <c r="F55" s="3086">
        <f>F54/F34</f>
        <v>56.89681975519575</v>
      </c>
      <c r="G55" s="754"/>
      <c r="H55" s="2527" t="s">
        <v>769</v>
      </c>
      <c r="I55" s="754"/>
      <c r="J55" s="3083"/>
      <c r="K55" s="3079"/>
      <c r="L55" s="3086">
        <f>L54/L34</f>
        <v>80.419660844249961</v>
      </c>
      <c r="M55" s="3073"/>
      <c r="N55" s="2389"/>
      <c r="O55" s="2389"/>
      <c r="P55" s="3078"/>
      <c r="Q55" s="3074"/>
      <c r="R55" s="2526"/>
    </row>
    <row r="56" spans="2:18" s="350" customFormat="1" ht="15" thickBot="1">
      <c r="B56" s="3087" t="s">
        <v>770</v>
      </c>
      <c r="C56" s="2849"/>
      <c r="D56" s="3088"/>
      <c r="E56" s="3088"/>
      <c r="F56" s="2529">
        <f>F55/4</f>
        <v>14.224204938798938</v>
      </c>
      <c r="G56" s="754"/>
      <c r="H56" s="3087" t="s">
        <v>770</v>
      </c>
      <c r="I56" s="2849"/>
      <c r="J56" s="3088"/>
      <c r="K56" s="3088"/>
      <c r="L56" s="2529">
        <f>L55/4</f>
        <v>20.10491521106249</v>
      </c>
      <c r="M56" s="3073"/>
      <c r="N56" s="2389"/>
      <c r="O56" s="2389"/>
      <c r="P56" s="3078"/>
      <c r="Q56" s="3021"/>
      <c r="R56" s="2526"/>
    </row>
    <row r="57" spans="2:18" s="350" customFormat="1">
      <c r="B57" s="2389"/>
      <c r="D57" s="2389"/>
      <c r="E57" s="2389"/>
      <c r="F57" s="3089"/>
      <c r="G57" s="2334"/>
      <c r="H57" s="2389"/>
      <c r="J57" s="2389"/>
      <c r="K57" s="2389"/>
      <c r="L57" s="3089"/>
      <c r="M57" s="3073"/>
      <c r="N57" s="2389"/>
      <c r="O57" s="2389"/>
      <c r="P57" s="3078"/>
      <c r="Q57" s="3021"/>
      <c r="R57" s="2526"/>
    </row>
    <row r="58" spans="2:18" s="350" customFormat="1">
      <c r="B58" s="2389"/>
      <c r="D58" s="2389"/>
      <c r="E58" s="302"/>
      <c r="F58" s="3090"/>
      <c r="G58" s="2334"/>
      <c r="H58" s="2389"/>
      <c r="J58" s="2389"/>
      <c r="K58" s="302"/>
      <c r="L58" s="3090"/>
      <c r="M58" s="3073"/>
      <c r="N58" s="2389"/>
      <c r="O58" s="2389"/>
      <c r="P58" s="3078"/>
      <c r="Q58" s="3021"/>
      <c r="R58" s="2526"/>
    </row>
    <row r="59" spans="2:18" s="350" customFormat="1">
      <c r="B59" s="2389"/>
      <c r="D59" s="2389"/>
      <c r="E59" s="2389"/>
      <c r="F59" s="2481"/>
      <c r="G59" s="2334"/>
      <c r="H59" s="2389"/>
      <c r="J59" s="2389"/>
      <c r="K59" s="2389"/>
      <c r="L59" s="2481"/>
      <c r="M59" s="3073"/>
      <c r="N59" s="2389"/>
      <c r="O59" s="2389"/>
      <c r="P59" s="3078"/>
      <c r="Q59" s="2389"/>
      <c r="R59" s="2526"/>
    </row>
    <row r="60" spans="2:18" s="350" customFormat="1">
      <c r="B60" s="2389"/>
      <c r="D60" s="2389"/>
      <c r="E60" s="2389"/>
      <c r="F60" s="2530"/>
      <c r="G60" s="2334"/>
      <c r="H60" s="2389"/>
      <c r="J60" s="2389"/>
      <c r="K60" s="2389"/>
      <c r="L60" s="2530"/>
      <c r="M60" s="3073"/>
      <c r="N60" s="2389"/>
      <c r="O60" s="2389"/>
      <c r="P60" s="3078"/>
      <c r="Q60" s="3021"/>
      <c r="R60" s="2526"/>
    </row>
    <row r="61" spans="2:18" s="350" customFormat="1">
      <c r="B61" s="2035"/>
      <c r="D61" s="2389"/>
      <c r="E61" s="2389"/>
      <c r="F61" s="2530"/>
      <c r="G61" s="2334"/>
      <c r="H61" s="2035"/>
      <c r="J61" s="2389"/>
      <c r="K61" s="2389"/>
      <c r="L61" s="2530"/>
      <c r="M61" s="3073"/>
      <c r="N61" s="2464"/>
      <c r="O61" s="2389"/>
      <c r="P61" s="3078"/>
      <c r="Q61" s="2522"/>
      <c r="R61" s="2526"/>
    </row>
    <row r="62" spans="2:18" s="350" customFormat="1">
      <c r="B62" s="2469"/>
      <c r="D62" s="2389"/>
      <c r="E62" s="2389"/>
      <c r="F62" s="3091"/>
      <c r="G62" s="2334"/>
      <c r="H62" s="2469"/>
      <c r="J62" s="2389"/>
      <c r="K62" s="2389"/>
      <c r="L62" s="2531"/>
      <c r="M62" s="2532"/>
      <c r="N62" s="2389"/>
      <c r="O62" s="2389"/>
      <c r="P62" s="3078"/>
      <c r="Q62" s="2522"/>
      <c r="R62" s="2526"/>
    </row>
    <row r="63" spans="2:18" s="350" customFormat="1">
      <c r="B63" s="2464"/>
      <c r="C63" s="2464"/>
      <c r="D63" s="3092"/>
      <c r="E63" s="2522"/>
      <c r="F63" s="2521"/>
      <c r="G63" s="2334"/>
      <c r="M63" s="3072"/>
      <c r="N63" s="2464"/>
      <c r="O63" s="2464"/>
      <c r="P63" s="2533"/>
      <c r="Q63" s="2522"/>
      <c r="R63" s="2521"/>
    </row>
    <row r="64" spans="2:18" s="350" customFormat="1">
      <c r="B64" s="2534"/>
      <c r="C64" s="2534"/>
      <c r="D64" s="2534"/>
      <c r="E64" s="2534"/>
      <c r="F64" s="2534"/>
      <c r="G64" s="2334"/>
      <c r="M64" s="2518"/>
      <c r="N64" s="2464"/>
      <c r="O64" s="2389"/>
      <c r="P64" s="3049"/>
      <c r="Q64" s="3021"/>
      <c r="R64" s="2526"/>
    </row>
    <row r="65" spans="2:19" s="350" customFormat="1">
      <c r="B65" s="2464"/>
      <c r="C65" s="2464"/>
      <c r="D65" s="2464"/>
      <c r="E65" s="2465"/>
      <c r="F65" s="2466"/>
      <c r="G65" s="2334"/>
      <c r="M65" s="2531"/>
      <c r="N65" s="2534"/>
      <c r="O65" s="2464"/>
      <c r="P65" s="2521"/>
      <c r="Q65" s="2522"/>
      <c r="R65" s="2521"/>
    </row>
    <row r="66" spans="2:19" s="350" customFormat="1">
      <c r="G66" s="2334"/>
      <c r="M66" s="3055"/>
      <c r="N66" s="2464"/>
      <c r="O66" s="2464"/>
      <c r="P66" s="3092"/>
      <c r="Q66" s="2522"/>
      <c r="R66" s="2521"/>
    </row>
    <row r="67" spans="2:19">
      <c r="N67" s="302"/>
      <c r="O67" s="2534"/>
      <c r="P67" s="2534"/>
      <c r="Q67" s="2534"/>
      <c r="R67" s="2534"/>
    </row>
    <row r="68" spans="2:19">
      <c r="N68" s="2389"/>
      <c r="O68" s="2464"/>
      <c r="P68" s="2464"/>
      <c r="Q68" s="2465"/>
      <c r="R68" s="2466"/>
      <c r="S68" s="2464"/>
    </row>
    <row r="69" spans="2:19">
      <c r="O69" s="302"/>
      <c r="P69" s="302"/>
      <c r="Q69" s="302"/>
      <c r="R69" s="302"/>
    </row>
    <row r="70" spans="2:19">
      <c r="O70" s="302"/>
      <c r="P70" s="302"/>
      <c r="Q70" s="302"/>
    </row>
    <row r="72" spans="2:19">
      <c r="B72" s="2464"/>
    </row>
  </sheetData>
  <mergeCells count="1">
    <mergeCell ref="AA5:AH5"/>
  </mergeCells>
  <pageMargins left="0.25" right="0.25" top="0.75" bottom="0.75" header="0.3" footer="0.3"/>
  <pageSetup scale="35" orientation="landscape" r:id="rId1"/>
  <colBreaks count="1" manualBreakCount="1">
    <brk id="34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Q29"/>
  <sheetViews>
    <sheetView zoomScale="80" zoomScaleNormal="80" workbookViewId="0">
      <selection activeCell="S24" sqref="S24"/>
    </sheetView>
  </sheetViews>
  <sheetFormatPr defaultRowHeight="14.4"/>
  <cols>
    <col min="2" max="2" width="15.5546875" customWidth="1"/>
    <col min="6" max="6" width="10" bestFit="1" customWidth="1"/>
    <col min="13" max="13" width="20.5546875" customWidth="1"/>
    <col min="16" max="16" width="17.77734375" customWidth="1"/>
  </cols>
  <sheetData>
    <row r="2" spans="2:14">
      <c r="B2" s="2043"/>
      <c r="C2" s="2043"/>
      <c r="D2" s="2043"/>
      <c r="E2" s="2043"/>
      <c r="F2" s="2043"/>
      <c r="G2" s="2043"/>
    </row>
    <row r="3" spans="2:14">
      <c r="B3" s="2535" t="s">
        <v>771</v>
      </c>
      <c r="C3" s="2535"/>
      <c r="D3" s="2043"/>
      <c r="E3" s="2043"/>
      <c r="F3" s="2043"/>
      <c r="G3" s="2043"/>
    </row>
    <row r="4" spans="2:14">
      <c r="B4" s="2043"/>
      <c r="C4" s="2043"/>
      <c r="D4" s="2043"/>
      <c r="E4" s="2043"/>
      <c r="F4" s="2043"/>
      <c r="G4" s="2043"/>
    </row>
    <row r="5" spans="2:14">
      <c r="B5" s="2536"/>
      <c r="C5" s="2537"/>
      <c r="D5" s="2538" t="s">
        <v>629</v>
      </c>
      <c r="E5" s="2539" t="s">
        <v>215</v>
      </c>
      <c r="F5" s="2540" t="s">
        <v>216</v>
      </c>
      <c r="G5" s="2541" t="s">
        <v>217</v>
      </c>
    </row>
    <row r="6" spans="2:14">
      <c r="B6" s="2542" t="s">
        <v>772</v>
      </c>
      <c r="C6" s="2543"/>
      <c r="D6" s="2544"/>
      <c r="E6" s="2545">
        <f>'[13]BLS Chart'!C18</f>
        <v>69600</v>
      </c>
      <c r="F6" s="1184">
        <v>1</v>
      </c>
      <c r="G6" s="2546">
        <f>E6*F6</f>
        <v>69600</v>
      </c>
    </row>
    <row r="7" spans="2:14">
      <c r="B7" s="2547" t="s">
        <v>75</v>
      </c>
      <c r="C7" s="2548"/>
      <c r="D7" s="2544"/>
      <c r="E7" s="2549">
        <f>'[13]BLS Chart'!C6</f>
        <v>34927.359999999993</v>
      </c>
      <c r="F7" s="1184">
        <v>3</v>
      </c>
      <c r="G7" s="2546">
        <f>E7*F7</f>
        <v>104782.07999999999</v>
      </c>
      <c r="N7">
        <v>365</v>
      </c>
    </row>
    <row r="8" spans="2:14">
      <c r="B8" s="2547" t="s">
        <v>773</v>
      </c>
      <c r="C8" s="2548"/>
      <c r="D8" s="2550"/>
      <c r="E8" s="2545">
        <f>'[13]BLS Chart'!C6</f>
        <v>34927.359999999993</v>
      </c>
      <c r="F8" s="1184">
        <v>1</v>
      </c>
      <c r="G8" s="2546">
        <f>E8*F8</f>
        <v>34927.359999999993</v>
      </c>
      <c r="N8">
        <f>N7-110</f>
        <v>255</v>
      </c>
    </row>
    <row r="9" spans="2:14">
      <c r="B9" s="731" t="s">
        <v>266</v>
      </c>
      <c r="C9" s="2551"/>
      <c r="D9" s="2552"/>
      <c r="E9" s="2552"/>
      <c r="F9" s="2553">
        <f>SUM(F6:F8)</f>
        <v>5</v>
      </c>
      <c r="G9" s="2554">
        <f>SUM(G6:G8)</f>
        <v>209309.43999999997</v>
      </c>
    </row>
    <row r="10" spans="2:14">
      <c r="B10" s="2555" t="s">
        <v>224</v>
      </c>
      <c r="C10" s="758"/>
      <c r="D10" s="2556"/>
      <c r="E10" s="2556"/>
      <c r="F10" s="2557"/>
      <c r="G10" s="2558"/>
    </row>
    <row r="11" spans="2:14">
      <c r="B11" s="725" t="s">
        <v>183</v>
      </c>
      <c r="C11" s="2559"/>
      <c r="D11" s="2560"/>
      <c r="E11" s="2256">
        <f>'[13]Master Look Up'!D18</f>
        <v>0.224</v>
      </c>
      <c r="F11" s="2561"/>
      <c r="G11" s="2562">
        <f>E11*G9</f>
        <v>46885.314559999992</v>
      </c>
    </row>
    <row r="12" spans="2:14">
      <c r="D12" s="2043"/>
      <c r="F12" s="2563"/>
      <c r="G12" s="2564"/>
    </row>
    <row r="13" spans="2:14">
      <c r="B13" s="2096" t="s">
        <v>225</v>
      </c>
      <c r="C13" s="2565"/>
      <c r="D13" s="2566"/>
      <c r="E13" s="2566"/>
      <c r="F13" s="2567"/>
      <c r="G13" s="2568">
        <f>G11+G9</f>
        <v>256194.75455999997</v>
      </c>
    </row>
    <row r="14" spans="2:14">
      <c r="B14" s="169"/>
      <c r="C14" s="2569"/>
      <c r="D14" s="2543"/>
      <c r="E14" s="2543"/>
      <c r="F14" s="2570"/>
      <c r="G14" s="2562"/>
    </row>
    <row r="15" spans="2:14">
      <c r="B15" s="169" t="s">
        <v>457</v>
      </c>
      <c r="C15" s="2569"/>
      <c r="D15" s="2543"/>
      <c r="E15" s="2543"/>
      <c r="F15" s="2055">
        <f>'[13]Master Look Up'!F12</f>
        <v>1347.3502436316674</v>
      </c>
      <c r="G15" s="2571">
        <f>F15*(F7+F8)</f>
        <v>5389.4009745266694</v>
      </c>
    </row>
    <row r="16" spans="2:14">
      <c r="B16" s="169" t="s">
        <v>759</v>
      </c>
      <c r="C16" s="2569"/>
      <c r="D16" s="2543"/>
      <c r="E16" s="2543"/>
      <c r="F16" s="2055">
        <f>'[13]Master Look Up'!F11</f>
        <v>1953.5170393964802</v>
      </c>
      <c r="G16" s="2571">
        <f>F16*(F7+F8)</f>
        <v>7814.0681575859207</v>
      </c>
    </row>
    <row r="17" spans="2:17" ht="15" thickBot="1">
      <c r="B17" s="169"/>
      <c r="C17" s="2572"/>
      <c r="D17" s="2543"/>
      <c r="E17" s="2543"/>
      <c r="F17" s="2570"/>
      <c r="G17" s="2573"/>
    </row>
    <row r="18" spans="2:17" ht="15" thickTop="1">
      <c r="B18" s="169"/>
      <c r="C18" s="2574"/>
      <c r="D18" s="2543"/>
      <c r="E18" s="2543"/>
      <c r="F18" s="2570"/>
      <c r="G18" s="2562">
        <f>SUM(G15:G17)</f>
        <v>13203.46913211259</v>
      </c>
      <c r="Q18" s="3094">
        <f>P21/8</f>
        <v>260</v>
      </c>
    </row>
    <row r="19" spans="2:17" ht="15" thickBot="1">
      <c r="B19" s="169"/>
      <c r="C19" s="2572"/>
      <c r="D19" s="2543"/>
      <c r="E19" s="2543"/>
      <c r="F19" s="2570"/>
      <c r="G19" s="2571"/>
    </row>
    <row r="20" spans="2:17" ht="15" thickBot="1">
      <c r="B20" s="2096" t="s">
        <v>346</v>
      </c>
      <c r="C20" s="2097"/>
      <c r="D20" s="2566"/>
      <c r="E20" s="2566"/>
      <c r="F20" s="2567"/>
      <c r="G20" s="2568">
        <f>SUM(G13+G18)</f>
        <v>269398.22369211254</v>
      </c>
      <c r="M20" s="143" t="s">
        <v>199</v>
      </c>
      <c r="N20" s="144"/>
      <c r="O20" s="248"/>
      <c r="P20" s="249" t="s">
        <v>200</v>
      </c>
    </row>
    <row r="21" spans="2:17" ht="15" thickBot="1">
      <c r="B21" s="169" t="s">
        <v>61</v>
      </c>
      <c r="C21" s="2575"/>
      <c r="D21" s="2543"/>
      <c r="E21" s="191">
        <f>'[13]Master Look Up'!D28</f>
        <v>3.7000000000000002E-3</v>
      </c>
      <c r="F21" s="2570"/>
      <c r="G21" s="2571">
        <f>E21*G20</f>
        <v>996.77342766081642</v>
      </c>
      <c r="M21" s="250" t="s">
        <v>201</v>
      </c>
      <c r="N21" s="251" t="s">
        <v>202</v>
      </c>
      <c r="O21" s="252" t="s">
        <v>203</v>
      </c>
      <c r="P21" s="253">
        <v>2080</v>
      </c>
    </row>
    <row r="22" spans="2:17">
      <c r="B22" s="2576" t="s">
        <v>774</v>
      </c>
      <c r="C22" s="2577"/>
      <c r="D22" s="2578"/>
      <c r="E22" s="2579">
        <f>'[13]Master Look Up'!D23</f>
        <v>0.12</v>
      </c>
      <c r="F22" s="2580"/>
      <c r="G22" s="2581">
        <f>E22*G20</f>
        <v>32327.786843053505</v>
      </c>
      <c r="M22" s="254" t="s">
        <v>204</v>
      </c>
      <c r="N22" s="255">
        <v>120</v>
      </c>
      <c r="O22" s="256">
        <v>2</v>
      </c>
      <c r="P22" s="257">
        <f>O22*N22</f>
        <v>240</v>
      </c>
    </row>
    <row r="23" spans="2:17" ht="15" thickBot="1">
      <c r="B23" s="2582" t="s">
        <v>188</v>
      </c>
      <c r="C23" s="2583"/>
      <c r="D23" s="2584"/>
      <c r="E23" s="2584"/>
      <c r="F23" s="2585"/>
      <c r="G23" s="2586">
        <f>SUM(G20:G22)</f>
        <v>302722.78396282688</v>
      </c>
      <c r="M23" s="258" t="s">
        <v>205</v>
      </c>
      <c r="N23" s="255">
        <v>10</v>
      </c>
      <c r="O23" s="259">
        <v>2.5</v>
      </c>
      <c r="P23" s="257">
        <f>O23*N23</f>
        <v>25</v>
      </c>
    </row>
    <row r="24" spans="2:17" ht="15.6" thickTop="1" thickBot="1">
      <c r="B24" s="2054" t="s">
        <v>202</v>
      </c>
      <c r="C24" s="2056"/>
      <c r="D24" s="219"/>
      <c r="E24" s="2587">
        <f>P26</f>
        <v>1775</v>
      </c>
      <c r="F24" s="219"/>
      <c r="G24" s="2588">
        <f>G23/P26</f>
        <v>170.54804730300106</v>
      </c>
      <c r="M24" s="260" t="s">
        <v>206</v>
      </c>
      <c r="N24" s="255">
        <v>40</v>
      </c>
      <c r="O24" s="261">
        <v>1</v>
      </c>
      <c r="P24" s="257">
        <f>O24*N24</f>
        <v>40</v>
      </c>
    </row>
    <row r="25" spans="2:17" ht="28.2" thickBot="1">
      <c r="B25" s="2054" t="s">
        <v>486</v>
      </c>
      <c r="C25" s="2056"/>
      <c r="D25" s="2560"/>
      <c r="E25" s="2560"/>
      <c r="F25" s="2589"/>
      <c r="G25" s="2590">
        <f>G24/8</f>
        <v>21.318505912875132</v>
      </c>
      <c r="M25" s="262" t="s">
        <v>207</v>
      </c>
      <c r="N25" s="263"/>
      <c r="O25" s="264"/>
      <c r="P25" s="253">
        <f>SUM(P22:P24)</f>
        <v>305</v>
      </c>
    </row>
    <row r="26" spans="2:17" ht="28.2" thickBot="1">
      <c r="B26" s="2591" t="s">
        <v>189</v>
      </c>
      <c r="C26" s="2592"/>
      <c r="D26" s="2593"/>
      <c r="E26" s="2594">
        <f>'[13]Master Look Up'!D26</f>
        <v>1.0633805350099574E-2</v>
      </c>
      <c r="F26" s="2595"/>
      <c r="G26" s="2596">
        <f>G25*(1+E26)</f>
        <v>21.545202755107592</v>
      </c>
      <c r="M26" s="2597" t="s">
        <v>208</v>
      </c>
      <c r="N26" s="2598"/>
      <c r="O26" s="2599"/>
      <c r="P26" s="3095">
        <f>P21-P25</f>
        <v>1775</v>
      </c>
    </row>
    <row r="27" spans="2:17">
      <c r="B27" s="2043"/>
      <c r="C27" s="2043"/>
      <c r="D27" s="2043"/>
      <c r="E27" s="2043"/>
      <c r="F27" s="2043"/>
      <c r="G27" s="2043"/>
    </row>
    <row r="28" spans="2:17">
      <c r="B28" s="2043"/>
      <c r="C28" s="2043"/>
      <c r="D28" s="2043"/>
      <c r="E28" s="2043"/>
      <c r="G28" s="2111"/>
    </row>
    <row r="29" spans="2:17">
      <c r="B29" s="2043"/>
      <c r="C29" s="2043"/>
      <c r="D29" s="2043"/>
      <c r="E29" s="2043"/>
      <c r="F29" s="2043"/>
      <c r="G29" s="2101"/>
    </row>
  </sheetData>
  <mergeCells count="1">
    <mergeCell ref="M20:O20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60"/>
  <sheetViews>
    <sheetView tabSelected="1" topLeftCell="A15" zoomScale="90" zoomScaleNormal="90" workbookViewId="0">
      <selection activeCell="N41" sqref="N41"/>
    </sheetView>
  </sheetViews>
  <sheetFormatPr defaultRowHeight="14.4"/>
  <cols>
    <col min="1" max="1" width="38.44140625" style="2602" customWidth="1"/>
    <col min="2" max="2" width="16.33203125" style="2601" customWidth="1"/>
    <col min="3" max="3" width="13.33203125" style="2635" customWidth="1"/>
    <col min="4" max="4" width="15.109375" style="2601" bestFit="1" customWidth="1"/>
    <col min="5" max="6" width="15.109375" style="2601" hidden="1" customWidth="1"/>
    <col min="7" max="7" width="15.109375" style="2601" customWidth="1"/>
    <col min="8" max="8" width="17.6640625" style="2601" customWidth="1"/>
    <col min="9" max="9" width="17.109375" style="2601" customWidth="1"/>
    <col min="10" max="10" width="15.109375" style="2601" customWidth="1"/>
    <col min="11" max="11" width="17.6640625" style="2601" customWidth="1"/>
    <col min="12" max="12" width="22.77734375" style="2601" customWidth="1"/>
    <col min="13" max="13" width="22.44140625" style="2601" hidden="1" customWidth="1"/>
    <col min="14" max="14" width="11.21875" style="2601" customWidth="1"/>
    <col min="15" max="15" width="40.21875" style="2602" customWidth="1"/>
    <col min="16" max="16" width="1.33203125" style="2602" customWidth="1"/>
    <col min="17" max="17" width="14.6640625" style="2602" customWidth="1"/>
    <col min="18" max="18" width="11.88671875" style="2602" bestFit="1" customWidth="1"/>
    <col min="19" max="19" width="8.88671875" style="2602"/>
    <col min="20" max="20" width="8.88671875" style="2602" customWidth="1"/>
    <col min="21" max="22" width="8.88671875" style="2602"/>
    <col min="23" max="24" width="10" style="2602" bestFit="1" customWidth="1"/>
    <col min="25" max="256" width="8.88671875" style="2602"/>
    <col min="257" max="257" width="38.44140625" style="2602" customWidth="1"/>
    <col min="258" max="258" width="16.33203125" style="2602" customWidth="1"/>
    <col min="259" max="259" width="13.33203125" style="2602" customWidth="1"/>
    <col min="260" max="260" width="15.109375" style="2602" bestFit="1" customWidth="1"/>
    <col min="261" max="263" width="15.109375" style="2602" customWidth="1"/>
    <col min="264" max="264" width="17.6640625" style="2602" customWidth="1"/>
    <col min="265" max="265" width="17.109375" style="2602" customWidth="1"/>
    <col min="266" max="266" width="15.109375" style="2602" customWidth="1"/>
    <col min="267" max="267" width="17.6640625" style="2602" customWidth="1"/>
    <col min="268" max="268" width="15" style="2602" bestFit="1" customWidth="1"/>
    <col min="269" max="269" width="22.44140625" style="2602" customWidth="1"/>
    <col min="270" max="270" width="1" style="2602" customWidth="1"/>
    <col min="271" max="271" width="28" style="2602" customWidth="1"/>
    <col min="272" max="272" width="1.33203125" style="2602" customWidth="1"/>
    <col min="273" max="273" width="14.6640625" style="2602" customWidth="1"/>
    <col min="274" max="274" width="11.88671875" style="2602" bestFit="1" customWidth="1"/>
    <col min="275" max="275" width="8.88671875" style="2602"/>
    <col min="276" max="276" width="8.88671875" style="2602" customWidth="1"/>
    <col min="277" max="278" width="8.88671875" style="2602"/>
    <col min="279" max="280" width="10" style="2602" bestFit="1" customWidth="1"/>
    <col min="281" max="512" width="8.88671875" style="2602"/>
    <col min="513" max="513" width="38.44140625" style="2602" customWidth="1"/>
    <col min="514" max="514" width="16.33203125" style="2602" customWidth="1"/>
    <col min="515" max="515" width="13.33203125" style="2602" customWidth="1"/>
    <col min="516" max="516" width="15.109375" style="2602" bestFit="1" customWidth="1"/>
    <col min="517" max="519" width="15.109375" style="2602" customWidth="1"/>
    <col min="520" max="520" width="17.6640625" style="2602" customWidth="1"/>
    <col min="521" max="521" width="17.109375" style="2602" customWidth="1"/>
    <col min="522" max="522" width="15.109375" style="2602" customWidth="1"/>
    <col min="523" max="523" width="17.6640625" style="2602" customWidth="1"/>
    <col min="524" max="524" width="15" style="2602" bestFit="1" customWidth="1"/>
    <col min="525" max="525" width="22.44140625" style="2602" customWidth="1"/>
    <col min="526" max="526" width="1" style="2602" customWidth="1"/>
    <col min="527" max="527" width="28" style="2602" customWidth="1"/>
    <col min="528" max="528" width="1.33203125" style="2602" customWidth="1"/>
    <col min="529" max="529" width="14.6640625" style="2602" customWidth="1"/>
    <col min="530" max="530" width="11.88671875" style="2602" bestFit="1" customWidth="1"/>
    <col min="531" max="531" width="8.88671875" style="2602"/>
    <col min="532" max="532" width="8.88671875" style="2602" customWidth="1"/>
    <col min="533" max="534" width="8.88671875" style="2602"/>
    <col min="535" max="536" width="10" style="2602" bestFit="1" customWidth="1"/>
    <col min="537" max="768" width="8.88671875" style="2602"/>
    <col min="769" max="769" width="38.44140625" style="2602" customWidth="1"/>
    <col min="770" max="770" width="16.33203125" style="2602" customWidth="1"/>
    <col min="771" max="771" width="13.33203125" style="2602" customWidth="1"/>
    <col min="772" max="772" width="15.109375" style="2602" bestFit="1" customWidth="1"/>
    <col min="773" max="775" width="15.109375" style="2602" customWidth="1"/>
    <col min="776" max="776" width="17.6640625" style="2602" customWidth="1"/>
    <col min="777" max="777" width="17.109375" style="2602" customWidth="1"/>
    <col min="778" max="778" width="15.109375" style="2602" customWidth="1"/>
    <col min="779" max="779" width="17.6640625" style="2602" customWidth="1"/>
    <col min="780" max="780" width="15" style="2602" bestFit="1" customWidth="1"/>
    <col min="781" max="781" width="22.44140625" style="2602" customWidth="1"/>
    <col min="782" max="782" width="1" style="2602" customWidth="1"/>
    <col min="783" max="783" width="28" style="2602" customWidth="1"/>
    <col min="784" max="784" width="1.33203125" style="2602" customWidth="1"/>
    <col min="785" max="785" width="14.6640625" style="2602" customWidth="1"/>
    <col min="786" max="786" width="11.88671875" style="2602" bestFit="1" customWidth="1"/>
    <col min="787" max="787" width="8.88671875" style="2602"/>
    <col min="788" max="788" width="8.88671875" style="2602" customWidth="1"/>
    <col min="789" max="790" width="8.88671875" style="2602"/>
    <col min="791" max="792" width="10" style="2602" bestFit="1" customWidth="1"/>
    <col min="793" max="1024" width="8.88671875" style="2602"/>
    <col min="1025" max="1025" width="38.44140625" style="2602" customWidth="1"/>
    <col min="1026" max="1026" width="16.33203125" style="2602" customWidth="1"/>
    <col min="1027" max="1027" width="13.33203125" style="2602" customWidth="1"/>
    <col min="1028" max="1028" width="15.109375" style="2602" bestFit="1" customWidth="1"/>
    <col min="1029" max="1031" width="15.109375" style="2602" customWidth="1"/>
    <col min="1032" max="1032" width="17.6640625" style="2602" customWidth="1"/>
    <col min="1033" max="1033" width="17.109375" style="2602" customWidth="1"/>
    <col min="1034" max="1034" width="15.109375" style="2602" customWidth="1"/>
    <col min="1035" max="1035" width="17.6640625" style="2602" customWidth="1"/>
    <col min="1036" max="1036" width="15" style="2602" bestFit="1" customWidth="1"/>
    <col min="1037" max="1037" width="22.44140625" style="2602" customWidth="1"/>
    <col min="1038" max="1038" width="1" style="2602" customWidth="1"/>
    <col min="1039" max="1039" width="28" style="2602" customWidth="1"/>
    <col min="1040" max="1040" width="1.33203125" style="2602" customWidth="1"/>
    <col min="1041" max="1041" width="14.6640625" style="2602" customWidth="1"/>
    <col min="1042" max="1042" width="11.88671875" style="2602" bestFit="1" customWidth="1"/>
    <col min="1043" max="1043" width="8.88671875" style="2602"/>
    <col min="1044" max="1044" width="8.88671875" style="2602" customWidth="1"/>
    <col min="1045" max="1046" width="8.88671875" style="2602"/>
    <col min="1047" max="1048" width="10" style="2602" bestFit="1" customWidth="1"/>
    <col min="1049" max="1280" width="8.88671875" style="2602"/>
    <col min="1281" max="1281" width="38.44140625" style="2602" customWidth="1"/>
    <col min="1282" max="1282" width="16.33203125" style="2602" customWidth="1"/>
    <col min="1283" max="1283" width="13.33203125" style="2602" customWidth="1"/>
    <col min="1284" max="1284" width="15.109375" style="2602" bestFit="1" customWidth="1"/>
    <col min="1285" max="1287" width="15.109375" style="2602" customWidth="1"/>
    <col min="1288" max="1288" width="17.6640625" style="2602" customWidth="1"/>
    <col min="1289" max="1289" width="17.109375" style="2602" customWidth="1"/>
    <col min="1290" max="1290" width="15.109375" style="2602" customWidth="1"/>
    <col min="1291" max="1291" width="17.6640625" style="2602" customWidth="1"/>
    <col min="1292" max="1292" width="15" style="2602" bestFit="1" customWidth="1"/>
    <col min="1293" max="1293" width="22.44140625" style="2602" customWidth="1"/>
    <col min="1294" max="1294" width="1" style="2602" customWidth="1"/>
    <col min="1295" max="1295" width="28" style="2602" customWidth="1"/>
    <col min="1296" max="1296" width="1.33203125" style="2602" customWidth="1"/>
    <col min="1297" max="1297" width="14.6640625" style="2602" customWidth="1"/>
    <col min="1298" max="1298" width="11.88671875" style="2602" bestFit="1" customWidth="1"/>
    <col min="1299" max="1299" width="8.88671875" style="2602"/>
    <col min="1300" max="1300" width="8.88671875" style="2602" customWidth="1"/>
    <col min="1301" max="1302" width="8.88671875" style="2602"/>
    <col min="1303" max="1304" width="10" style="2602" bestFit="1" customWidth="1"/>
    <col min="1305" max="1536" width="8.88671875" style="2602"/>
    <col min="1537" max="1537" width="38.44140625" style="2602" customWidth="1"/>
    <col min="1538" max="1538" width="16.33203125" style="2602" customWidth="1"/>
    <col min="1539" max="1539" width="13.33203125" style="2602" customWidth="1"/>
    <col min="1540" max="1540" width="15.109375" style="2602" bestFit="1" customWidth="1"/>
    <col min="1541" max="1543" width="15.109375" style="2602" customWidth="1"/>
    <col min="1544" max="1544" width="17.6640625" style="2602" customWidth="1"/>
    <col min="1545" max="1545" width="17.109375" style="2602" customWidth="1"/>
    <col min="1546" max="1546" width="15.109375" style="2602" customWidth="1"/>
    <col min="1547" max="1547" width="17.6640625" style="2602" customWidth="1"/>
    <col min="1548" max="1548" width="15" style="2602" bestFit="1" customWidth="1"/>
    <col min="1549" max="1549" width="22.44140625" style="2602" customWidth="1"/>
    <col min="1550" max="1550" width="1" style="2602" customWidth="1"/>
    <col min="1551" max="1551" width="28" style="2602" customWidth="1"/>
    <col min="1552" max="1552" width="1.33203125" style="2602" customWidth="1"/>
    <col min="1553" max="1553" width="14.6640625" style="2602" customWidth="1"/>
    <col min="1554" max="1554" width="11.88671875" style="2602" bestFit="1" customWidth="1"/>
    <col min="1555" max="1555" width="8.88671875" style="2602"/>
    <col min="1556" max="1556" width="8.88671875" style="2602" customWidth="1"/>
    <col min="1557" max="1558" width="8.88671875" style="2602"/>
    <col min="1559" max="1560" width="10" style="2602" bestFit="1" customWidth="1"/>
    <col min="1561" max="1792" width="8.88671875" style="2602"/>
    <col min="1793" max="1793" width="38.44140625" style="2602" customWidth="1"/>
    <col min="1794" max="1794" width="16.33203125" style="2602" customWidth="1"/>
    <col min="1795" max="1795" width="13.33203125" style="2602" customWidth="1"/>
    <col min="1796" max="1796" width="15.109375" style="2602" bestFit="1" customWidth="1"/>
    <col min="1797" max="1799" width="15.109375" style="2602" customWidth="1"/>
    <col min="1800" max="1800" width="17.6640625" style="2602" customWidth="1"/>
    <col min="1801" max="1801" width="17.109375" style="2602" customWidth="1"/>
    <col min="1802" max="1802" width="15.109375" style="2602" customWidth="1"/>
    <col min="1803" max="1803" width="17.6640625" style="2602" customWidth="1"/>
    <col min="1804" max="1804" width="15" style="2602" bestFit="1" customWidth="1"/>
    <col min="1805" max="1805" width="22.44140625" style="2602" customWidth="1"/>
    <col min="1806" max="1806" width="1" style="2602" customWidth="1"/>
    <col min="1807" max="1807" width="28" style="2602" customWidth="1"/>
    <col min="1808" max="1808" width="1.33203125" style="2602" customWidth="1"/>
    <col min="1809" max="1809" width="14.6640625" style="2602" customWidth="1"/>
    <col min="1810" max="1810" width="11.88671875" style="2602" bestFit="1" customWidth="1"/>
    <col min="1811" max="1811" width="8.88671875" style="2602"/>
    <col min="1812" max="1812" width="8.88671875" style="2602" customWidth="1"/>
    <col min="1813" max="1814" width="8.88671875" style="2602"/>
    <col min="1815" max="1816" width="10" style="2602" bestFit="1" customWidth="1"/>
    <col min="1817" max="2048" width="8.88671875" style="2602"/>
    <col min="2049" max="2049" width="38.44140625" style="2602" customWidth="1"/>
    <col min="2050" max="2050" width="16.33203125" style="2602" customWidth="1"/>
    <col min="2051" max="2051" width="13.33203125" style="2602" customWidth="1"/>
    <col min="2052" max="2052" width="15.109375" style="2602" bestFit="1" customWidth="1"/>
    <col min="2053" max="2055" width="15.109375" style="2602" customWidth="1"/>
    <col min="2056" max="2056" width="17.6640625" style="2602" customWidth="1"/>
    <col min="2057" max="2057" width="17.109375" style="2602" customWidth="1"/>
    <col min="2058" max="2058" width="15.109375" style="2602" customWidth="1"/>
    <col min="2059" max="2059" width="17.6640625" style="2602" customWidth="1"/>
    <col min="2060" max="2060" width="15" style="2602" bestFit="1" customWidth="1"/>
    <col min="2061" max="2061" width="22.44140625" style="2602" customWidth="1"/>
    <col min="2062" max="2062" width="1" style="2602" customWidth="1"/>
    <col min="2063" max="2063" width="28" style="2602" customWidth="1"/>
    <col min="2064" max="2064" width="1.33203125" style="2602" customWidth="1"/>
    <col min="2065" max="2065" width="14.6640625" style="2602" customWidth="1"/>
    <col min="2066" max="2066" width="11.88671875" style="2602" bestFit="1" customWidth="1"/>
    <col min="2067" max="2067" width="8.88671875" style="2602"/>
    <col min="2068" max="2068" width="8.88671875" style="2602" customWidth="1"/>
    <col min="2069" max="2070" width="8.88671875" style="2602"/>
    <col min="2071" max="2072" width="10" style="2602" bestFit="1" customWidth="1"/>
    <col min="2073" max="2304" width="8.88671875" style="2602"/>
    <col min="2305" max="2305" width="38.44140625" style="2602" customWidth="1"/>
    <col min="2306" max="2306" width="16.33203125" style="2602" customWidth="1"/>
    <col min="2307" max="2307" width="13.33203125" style="2602" customWidth="1"/>
    <col min="2308" max="2308" width="15.109375" style="2602" bestFit="1" customWidth="1"/>
    <col min="2309" max="2311" width="15.109375" style="2602" customWidth="1"/>
    <col min="2312" max="2312" width="17.6640625" style="2602" customWidth="1"/>
    <col min="2313" max="2313" width="17.109375" style="2602" customWidth="1"/>
    <col min="2314" max="2314" width="15.109375" style="2602" customWidth="1"/>
    <col min="2315" max="2315" width="17.6640625" style="2602" customWidth="1"/>
    <col min="2316" max="2316" width="15" style="2602" bestFit="1" customWidth="1"/>
    <col min="2317" max="2317" width="22.44140625" style="2602" customWidth="1"/>
    <col min="2318" max="2318" width="1" style="2602" customWidth="1"/>
    <col min="2319" max="2319" width="28" style="2602" customWidth="1"/>
    <col min="2320" max="2320" width="1.33203125" style="2602" customWidth="1"/>
    <col min="2321" max="2321" width="14.6640625" style="2602" customWidth="1"/>
    <col min="2322" max="2322" width="11.88671875" style="2602" bestFit="1" customWidth="1"/>
    <col min="2323" max="2323" width="8.88671875" style="2602"/>
    <col min="2324" max="2324" width="8.88671875" style="2602" customWidth="1"/>
    <col min="2325" max="2326" width="8.88671875" style="2602"/>
    <col min="2327" max="2328" width="10" style="2602" bestFit="1" customWidth="1"/>
    <col min="2329" max="2560" width="8.88671875" style="2602"/>
    <col min="2561" max="2561" width="38.44140625" style="2602" customWidth="1"/>
    <col min="2562" max="2562" width="16.33203125" style="2602" customWidth="1"/>
    <col min="2563" max="2563" width="13.33203125" style="2602" customWidth="1"/>
    <col min="2564" max="2564" width="15.109375" style="2602" bestFit="1" customWidth="1"/>
    <col min="2565" max="2567" width="15.109375" style="2602" customWidth="1"/>
    <col min="2568" max="2568" width="17.6640625" style="2602" customWidth="1"/>
    <col min="2569" max="2569" width="17.109375" style="2602" customWidth="1"/>
    <col min="2570" max="2570" width="15.109375" style="2602" customWidth="1"/>
    <col min="2571" max="2571" width="17.6640625" style="2602" customWidth="1"/>
    <col min="2572" max="2572" width="15" style="2602" bestFit="1" customWidth="1"/>
    <col min="2573" max="2573" width="22.44140625" style="2602" customWidth="1"/>
    <col min="2574" max="2574" width="1" style="2602" customWidth="1"/>
    <col min="2575" max="2575" width="28" style="2602" customWidth="1"/>
    <col min="2576" max="2576" width="1.33203125" style="2602" customWidth="1"/>
    <col min="2577" max="2577" width="14.6640625" style="2602" customWidth="1"/>
    <col min="2578" max="2578" width="11.88671875" style="2602" bestFit="1" customWidth="1"/>
    <col min="2579" max="2579" width="8.88671875" style="2602"/>
    <col min="2580" max="2580" width="8.88671875" style="2602" customWidth="1"/>
    <col min="2581" max="2582" width="8.88671875" style="2602"/>
    <col min="2583" max="2584" width="10" style="2602" bestFit="1" customWidth="1"/>
    <col min="2585" max="2816" width="8.88671875" style="2602"/>
    <col min="2817" max="2817" width="38.44140625" style="2602" customWidth="1"/>
    <col min="2818" max="2818" width="16.33203125" style="2602" customWidth="1"/>
    <col min="2819" max="2819" width="13.33203125" style="2602" customWidth="1"/>
    <col min="2820" max="2820" width="15.109375" style="2602" bestFit="1" customWidth="1"/>
    <col min="2821" max="2823" width="15.109375" style="2602" customWidth="1"/>
    <col min="2824" max="2824" width="17.6640625" style="2602" customWidth="1"/>
    <col min="2825" max="2825" width="17.109375" style="2602" customWidth="1"/>
    <col min="2826" max="2826" width="15.109375" style="2602" customWidth="1"/>
    <col min="2827" max="2827" width="17.6640625" style="2602" customWidth="1"/>
    <col min="2828" max="2828" width="15" style="2602" bestFit="1" customWidth="1"/>
    <col min="2829" max="2829" width="22.44140625" style="2602" customWidth="1"/>
    <col min="2830" max="2830" width="1" style="2602" customWidth="1"/>
    <col min="2831" max="2831" width="28" style="2602" customWidth="1"/>
    <col min="2832" max="2832" width="1.33203125" style="2602" customWidth="1"/>
    <col min="2833" max="2833" width="14.6640625" style="2602" customWidth="1"/>
    <col min="2834" max="2834" width="11.88671875" style="2602" bestFit="1" customWidth="1"/>
    <col min="2835" max="2835" width="8.88671875" style="2602"/>
    <col min="2836" max="2836" width="8.88671875" style="2602" customWidth="1"/>
    <col min="2837" max="2838" width="8.88671875" style="2602"/>
    <col min="2839" max="2840" width="10" style="2602" bestFit="1" customWidth="1"/>
    <col min="2841" max="3072" width="8.88671875" style="2602"/>
    <col min="3073" max="3073" width="38.44140625" style="2602" customWidth="1"/>
    <col min="3074" max="3074" width="16.33203125" style="2602" customWidth="1"/>
    <col min="3075" max="3075" width="13.33203125" style="2602" customWidth="1"/>
    <col min="3076" max="3076" width="15.109375" style="2602" bestFit="1" customWidth="1"/>
    <col min="3077" max="3079" width="15.109375" style="2602" customWidth="1"/>
    <col min="3080" max="3080" width="17.6640625" style="2602" customWidth="1"/>
    <col min="3081" max="3081" width="17.109375" style="2602" customWidth="1"/>
    <col min="3082" max="3082" width="15.109375" style="2602" customWidth="1"/>
    <col min="3083" max="3083" width="17.6640625" style="2602" customWidth="1"/>
    <col min="3084" max="3084" width="15" style="2602" bestFit="1" customWidth="1"/>
    <col min="3085" max="3085" width="22.44140625" style="2602" customWidth="1"/>
    <col min="3086" max="3086" width="1" style="2602" customWidth="1"/>
    <col min="3087" max="3087" width="28" style="2602" customWidth="1"/>
    <col min="3088" max="3088" width="1.33203125" style="2602" customWidth="1"/>
    <col min="3089" max="3089" width="14.6640625" style="2602" customWidth="1"/>
    <col min="3090" max="3090" width="11.88671875" style="2602" bestFit="1" customWidth="1"/>
    <col min="3091" max="3091" width="8.88671875" style="2602"/>
    <col min="3092" max="3092" width="8.88671875" style="2602" customWidth="1"/>
    <col min="3093" max="3094" width="8.88671875" style="2602"/>
    <col min="3095" max="3096" width="10" style="2602" bestFit="1" customWidth="1"/>
    <col min="3097" max="3328" width="8.88671875" style="2602"/>
    <col min="3329" max="3329" width="38.44140625" style="2602" customWidth="1"/>
    <col min="3330" max="3330" width="16.33203125" style="2602" customWidth="1"/>
    <col min="3331" max="3331" width="13.33203125" style="2602" customWidth="1"/>
    <col min="3332" max="3332" width="15.109375" style="2602" bestFit="1" customWidth="1"/>
    <col min="3333" max="3335" width="15.109375" style="2602" customWidth="1"/>
    <col min="3336" max="3336" width="17.6640625" style="2602" customWidth="1"/>
    <col min="3337" max="3337" width="17.109375" style="2602" customWidth="1"/>
    <col min="3338" max="3338" width="15.109375" style="2602" customWidth="1"/>
    <col min="3339" max="3339" width="17.6640625" style="2602" customWidth="1"/>
    <col min="3340" max="3340" width="15" style="2602" bestFit="1" customWidth="1"/>
    <col min="3341" max="3341" width="22.44140625" style="2602" customWidth="1"/>
    <col min="3342" max="3342" width="1" style="2602" customWidth="1"/>
    <col min="3343" max="3343" width="28" style="2602" customWidth="1"/>
    <col min="3344" max="3344" width="1.33203125" style="2602" customWidth="1"/>
    <col min="3345" max="3345" width="14.6640625" style="2602" customWidth="1"/>
    <col min="3346" max="3346" width="11.88671875" style="2602" bestFit="1" customWidth="1"/>
    <col min="3347" max="3347" width="8.88671875" style="2602"/>
    <col min="3348" max="3348" width="8.88671875" style="2602" customWidth="1"/>
    <col min="3349" max="3350" width="8.88671875" style="2602"/>
    <col min="3351" max="3352" width="10" style="2602" bestFit="1" customWidth="1"/>
    <col min="3353" max="3584" width="8.88671875" style="2602"/>
    <col min="3585" max="3585" width="38.44140625" style="2602" customWidth="1"/>
    <col min="3586" max="3586" width="16.33203125" style="2602" customWidth="1"/>
    <col min="3587" max="3587" width="13.33203125" style="2602" customWidth="1"/>
    <col min="3588" max="3588" width="15.109375" style="2602" bestFit="1" customWidth="1"/>
    <col min="3589" max="3591" width="15.109375" style="2602" customWidth="1"/>
    <col min="3592" max="3592" width="17.6640625" style="2602" customWidth="1"/>
    <col min="3593" max="3593" width="17.109375" style="2602" customWidth="1"/>
    <col min="3594" max="3594" width="15.109375" style="2602" customWidth="1"/>
    <col min="3595" max="3595" width="17.6640625" style="2602" customWidth="1"/>
    <col min="3596" max="3596" width="15" style="2602" bestFit="1" customWidth="1"/>
    <col min="3597" max="3597" width="22.44140625" style="2602" customWidth="1"/>
    <col min="3598" max="3598" width="1" style="2602" customWidth="1"/>
    <col min="3599" max="3599" width="28" style="2602" customWidth="1"/>
    <col min="3600" max="3600" width="1.33203125" style="2602" customWidth="1"/>
    <col min="3601" max="3601" width="14.6640625" style="2602" customWidth="1"/>
    <col min="3602" max="3602" width="11.88671875" style="2602" bestFit="1" customWidth="1"/>
    <col min="3603" max="3603" width="8.88671875" style="2602"/>
    <col min="3604" max="3604" width="8.88671875" style="2602" customWidth="1"/>
    <col min="3605" max="3606" width="8.88671875" style="2602"/>
    <col min="3607" max="3608" width="10" style="2602" bestFit="1" customWidth="1"/>
    <col min="3609" max="3840" width="8.88671875" style="2602"/>
    <col min="3841" max="3841" width="38.44140625" style="2602" customWidth="1"/>
    <col min="3842" max="3842" width="16.33203125" style="2602" customWidth="1"/>
    <col min="3843" max="3843" width="13.33203125" style="2602" customWidth="1"/>
    <col min="3844" max="3844" width="15.109375" style="2602" bestFit="1" customWidth="1"/>
    <col min="3845" max="3847" width="15.109375" style="2602" customWidth="1"/>
    <col min="3848" max="3848" width="17.6640625" style="2602" customWidth="1"/>
    <col min="3849" max="3849" width="17.109375" style="2602" customWidth="1"/>
    <col min="3850" max="3850" width="15.109375" style="2602" customWidth="1"/>
    <col min="3851" max="3851" width="17.6640625" style="2602" customWidth="1"/>
    <col min="3852" max="3852" width="15" style="2602" bestFit="1" customWidth="1"/>
    <col min="3853" max="3853" width="22.44140625" style="2602" customWidth="1"/>
    <col min="3854" max="3854" width="1" style="2602" customWidth="1"/>
    <col min="3855" max="3855" width="28" style="2602" customWidth="1"/>
    <col min="3856" max="3856" width="1.33203125" style="2602" customWidth="1"/>
    <col min="3857" max="3857" width="14.6640625" style="2602" customWidth="1"/>
    <col min="3858" max="3858" width="11.88671875" style="2602" bestFit="1" customWidth="1"/>
    <col min="3859" max="3859" width="8.88671875" style="2602"/>
    <col min="3860" max="3860" width="8.88671875" style="2602" customWidth="1"/>
    <col min="3861" max="3862" width="8.88671875" style="2602"/>
    <col min="3863" max="3864" width="10" style="2602" bestFit="1" customWidth="1"/>
    <col min="3865" max="4096" width="8.88671875" style="2602"/>
    <col min="4097" max="4097" width="38.44140625" style="2602" customWidth="1"/>
    <col min="4098" max="4098" width="16.33203125" style="2602" customWidth="1"/>
    <col min="4099" max="4099" width="13.33203125" style="2602" customWidth="1"/>
    <col min="4100" max="4100" width="15.109375" style="2602" bestFit="1" customWidth="1"/>
    <col min="4101" max="4103" width="15.109375" style="2602" customWidth="1"/>
    <col min="4104" max="4104" width="17.6640625" style="2602" customWidth="1"/>
    <col min="4105" max="4105" width="17.109375" style="2602" customWidth="1"/>
    <col min="4106" max="4106" width="15.109375" style="2602" customWidth="1"/>
    <col min="4107" max="4107" width="17.6640625" style="2602" customWidth="1"/>
    <col min="4108" max="4108" width="15" style="2602" bestFit="1" customWidth="1"/>
    <col min="4109" max="4109" width="22.44140625" style="2602" customWidth="1"/>
    <col min="4110" max="4110" width="1" style="2602" customWidth="1"/>
    <col min="4111" max="4111" width="28" style="2602" customWidth="1"/>
    <col min="4112" max="4112" width="1.33203125" style="2602" customWidth="1"/>
    <col min="4113" max="4113" width="14.6640625" style="2602" customWidth="1"/>
    <col min="4114" max="4114" width="11.88671875" style="2602" bestFit="1" customWidth="1"/>
    <col min="4115" max="4115" width="8.88671875" style="2602"/>
    <col min="4116" max="4116" width="8.88671875" style="2602" customWidth="1"/>
    <col min="4117" max="4118" width="8.88671875" style="2602"/>
    <col min="4119" max="4120" width="10" style="2602" bestFit="1" customWidth="1"/>
    <col min="4121" max="4352" width="8.88671875" style="2602"/>
    <col min="4353" max="4353" width="38.44140625" style="2602" customWidth="1"/>
    <col min="4354" max="4354" width="16.33203125" style="2602" customWidth="1"/>
    <col min="4355" max="4355" width="13.33203125" style="2602" customWidth="1"/>
    <col min="4356" max="4356" width="15.109375" style="2602" bestFit="1" customWidth="1"/>
    <col min="4357" max="4359" width="15.109375" style="2602" customWidth="1"/>
    <col min="4360" max="4360" width="17.6640625" style="2602" customWidth="1"/>
    <col min="4361" max="4361" width="17.109375" style="2602" customWidth="1"/>
    <col min="4362" max="4362" width="15.109375" style="2602" customWidth="1"/>
    <col min="4363" max="4363" width="17.6640625" style="2602" customWidth="1"/>
    <col min="4364" max="4364" width="15" style="2602" bestFit="1" customWidth="1"/>
    <col min="4365" max="4365" width="22.44140625" style="2602" customWidth="1"/>
    <col min="4366" max="4366" width="1" style="2602" customWidth="1"/>
    <col min="4367" max="4367" width="28" style="2602" customWidth="1"/>
    <col min="4368" max="4368" width="1.33203125" style="2602" customWidth="1"/>
    <col min="4369" max="4369" width="14.6640625" style="2602" customWidth="1"/>
    <col min="4370" max="4370" width="11.88671875" style="2602" bestFit="1" customWidth="1"/>
    <col min="4371" max="4371" width="8.88671875" style="2602"/>
    <col min="4372" max="4372" width="8.88671875" style="2602" customWidth="1"/>
    <col min="4373" max="4374" width="8.88671875" style="2602"/>
    <col min="4375" max="4376" width="10" style="2602" bestFit="1" customWidth="1"/>
    <col min="4377" max="4608" width="8.88671875" style="2602"/>
    <col min="4609" max="4609" width="38.44140625" style="2602" customWidth="1"/>
    <col min="4610" max="4610" width="16.33203125" style="2602" customWidth="1"/>
    <col min="4611" max="4611" width="13.33203125" style="2602" customWidth="1"/>
    <col min="4612" max="4612" width="15.109375" style="2602" bestFit="1" customWidth="1"/>
    <col min="4613" max="4615" width="15.109375" style="2602" customWidth="1"/>
    <col min="4616" max="4616" width="17.6640625" style="2602" customWidth="1"/>
    <col min="4617" max="4617" width="17.109375" style="2602" customWidth="1"/>
    <col min="4618" max="4618" width="15.109375" style="2602" customWidth="1"/>
    <col min="4619" max="4619" width="17.6640625" style="2602" customWidth="1"/>
    <col min="4620" max="4620" width="15" style="2602" bestFit="1" customWidth="1"/>
    <col min="4621" max="4621" width="22.44140625" style="2602" customWidth="1"/>
    <col min="4622" max="4622" width="1" style="2602" customWidth="1"/>
    <col min="4623" max="4623" width="28" style="2602" customWidth="1"/>
    <col min="4624" max="4624" width="1.33203125" style="2602" customWidth="1"/>
    <col min="4625" max="4625" width="14.6640625" style="2602" customWidth="1"/>
    <col min="4626" max="4626" width="11.88671875" style="2602" bestFit="1" customWidth="1"/>
    <col min="4627" max="4627" width="8.88671875" style="2602"/>
    <col min="4628" max="4628" width="8.88671875" style="2602" customWidth="1"/>
    <col min="4629" max="4630" width="8.88671875" style="2602"/>
    <col min="4631" max="4632" width="10" style="2602" bestFit="1" customWidth="1"/>
    <col min="4633" max="4864" width="8.88671875" style="2602"/>
    <col min="4865" max="4865" width="38.44140625" style="2602" customWidth="1"/>
    <col min="4866" max="4866" width="16.33203125" style="2602" customWidth="1"/>
    <col min="4867" max="4867" width="13.33203125" style="2602" customWidth="1"/>
    <col min="4868" max="4868" width="15.109375" style="2602" bestFit="1" customWidth="1"/>
    <col min="4869" max="4871" width="15.109375" style="2602" customWidth="1"/>
    <col min="4872" max="4872" width="17.6640625" style="2602" customWidth="1"/>
    <col min="4873" max="4873" width="17.109375" style="2602" customWidth="1"/>
    <col min="4874" max="4874" width="15.109375" style="2602" customWidth="1"/>
    <col min="4875" max="4875" width="17.6640625" style="2602" customWidth="1"/>
    <col min="4876" max="4876" width="15" style="2602" bestFit="1" customWidth="1"/>
    <col min="4877" max="4877" width="22.44140625" style="2602" customWidth="1"/>
    <col min="4878" max="4878" width="1" style="2602" customWidth="1"/>
    <col min="4879" max="4879" width="28" style="2602" customWidth="1"/>
    <col min="4880" max="4880" width="1.33203125" style="2602" customWidth="1"/>
    <col min="4881" max="4881" width="14.6640625" style="2602" customWidth="1"/>
    <col min="4882" max="4882" width="11.88671875" style="2602" bestFit="1" customWidth="1"/>
    <col min="4883" max="4883" width="8.88671875" style="2602"/>
    <col min="4884" max="4884" width="8.88671875" style="2602" customWidth="1"/>
    <col min="4885" max="4886" width="8.88671875" style="2602"/>
    <col min="4887" max="4888" width="10" style="2602" bestFit="1" customWidth="1"/>
    <col min="4889" max="5120" width="8.88671875" style="2602"/>
    <col min="5121" max="5121" width="38.44140625" style="2602" customWidth="1"/>
    <col min="5122" max="5122" width="16.33203125" style="2602" customWidth="1"/>
    <col min="5123" max="5123" width="13.33203125" style="2602" customWidth="1"/>
    <col min="5124" max="5124" width="15.109375" style="2602" bestFit="1" customWidth="1"/>
    <col min="5125" max="5127" width="15.109375" style="2602" customWidth="1"/>
    <col min="5128" max="5128" width="17.6640625" style="2602" customWidth="1"/>
    <col min="5129" max="5129" width="17.109375" style="2602" customWidth="1"/>
    <col min="5130" max="5130" width="15.109375" style="2602" customWidth="1"/>
    <col min="5131" max="5131" width="17.6640625" style="2602" customWidth="1"/>
    <col min="5132" max="5132" width="15" style="2602" bestFit="1" customWidth="1"/>
    <col min="5133" max="5133" width="22.44140625" style="2602" customWidth="1"/>
    <col min="5134" max="5134" width="1" style="2602" customWidth="1"/>
    <col min="5135" max="5135" width="28" style="2602" customWidth="1"/>
    <col min="5136" max="5136" width="1.33203125" style="2602" customWidth="1"/>
    <col min="5137" max="5137" width="14.6640625" style="2602" customWidth="1"/>
    <col min="5138" max="5138" width="11.88671875" style="2602" bestFit="1" customWidth="1"/>
    <col min="5139" max="5139" width="8.88671875" style="2602"/>
    <col min="5140" max="5140" width="8.88671875" style="2602" customWidth="1"/>
    <col min="5141" max="5142" width="8.88671875" style="2602"/>
    <col min="5143" max="5144" width="10" style="2602" bestFit="1" customWidth="1"/>
    <col min="5145" max="5376" width="8.88671875" style="2602"/>
    <col min="5377" max="5377" width="38.44140625" style="2602" customWidth="1"/>
    <col min="5378" max="5378" width="16.33203125" style="2602" customWidth="1"/>
    <col min="5379" max="5379" width="13.33203125" style="2602" customWidth="1"/>
    <col min="5380" max="5380" width="15.109375" style="2602" bestFit="1" customWidth="1"/>
    <col min="5381" max="5383" width="15.109375" style="2602" customWidth="1"/>
    <col min="5384" max="5384" width="17.6640625" style="2602" customWidth="1"/>
    <col min="5385" max="5385" width="17.109375" style="2602" customWidth="1"/>
    <col min="5386" max="5386" width="15.109375" style="2602" customWidth="1"/>
    <col min="5387" max="5387" width="17.6640625" style="2602" customWidth="1"/>
    <col min="5388" max="5388" width="15" style="2602" bestFit="1" customWidth="1"/>
    <col min="5389" max="5389" width="22.44140625" style="2602" customWidth="1"/>
    <col min="5390" max="5390" width="1" style="2602" customWidth="1"/>
    <col min="5391" max="5391" width="28" style="2602" customWidth="1"/>
    <col min="5392" max="5392" width="1.33203125" style="2602" customWidth="1"/>
    <col min="5393" max="5393" width="14.6640625" style="2602" customWidth="1"/>
    <col min="5394" max="5394" width="11.88671875" style="2602" bestFit="1" customWidth="1"/>
    <col min="5395" max="5395" width="8.88671875" style="2602"/>
    <col min="5396" max="5396" width="8.88671875" style="2602" customWidth="1"/>
    <col min="5397" max="5398" width="8.88671875" style="2602"/>
    <col min="5399" max="5400" width="10" style="2602" bestFit="1" customWidth="1"/>
    <col min="5401" max="5632" width="8.88671875" style="2602"/>
    <col min="5633" max="5633" width="38.44140625" style="2602" customWidth="1"/>
    <col min="5634" max="5634" width="16.33203125" style="2602" customWidth="1"/>
    <col min="5635" max="5635" width="13.33203125" style="2602" customWidth="1"/>
    <col min="5636" max="5636" width="15.109375" style="2602" bestFit="1" customWidth="1"/>
    <col min="5637" max="5639" width="15.109375" style="2602" customWidth="1"/>
    <col min="5640" max="5640" width="17.6640625" style="2602" customWidth="1"/>
    <col min="5641" max="5641" width="17.109375" style="2602" customWidth="1"/>
    <col min="5642" max="5642" width="15.109375" style="2602" customWidth="1"/>
    <col min="5643" max="5643" width="17.6640625" style="2602" customWidth="1"/>
    <col min="5644" max="5644" width="15" style="2602" bestFit="1" customWidth="1"/>
    <col min="5645" max="5645" width="22.44140625" style="2602" customWidth="1"/>
    <col min="5646" max="5646" width="1" style="2602" customWidth="1"/>
    <col min="5647" max="5647" width="28" style="2602" customWidth="1"/>
    <col min="5648" max="5648" width="1.33203125" style="2602" customWidth="1"/>
    <col min="5649" max="5649" width="14.6640625" style="2602" customWidth="1"/>
    <col min="5650" max="5650" width="11.88671875" style="2602" bestFit="1" customWidth="1"/>
    <col min="5651" max="5651" width="8.88671875" style="2602"/>
    <col min="5652" max="5652" width="8.88671875" style="2602" customWidth="1"/>
    <col min="5653" max="5654" width="8.88671875" style="2602"/>
    <col min="5655" max="5656" width="10" style="2602" bestFit="1" customWidth="1"/>
    <col min="5657" max="5888" width="8.88671875" style="2602"/>
    <col min="5889" max="5889" width="38.44140625" style="2602" customWidth="1"/>
    <col min="5890" max="5890" width="16.33203125" style="2602" customWidth="1"/>
    <col min="5891" max="5891" width="13.33203125" style="2602" customWidth="1"/>
    <col min="5892" max="5892" width="15.109375" style="2602" bestFit="1" customWidth="1"/>
    <col min="5893" max="5895" width="15.109375" style="2602" customWidth="1"/>
    <col min="5896" max="5896" width="17.6640625" style="2602" customWidth="1"/>
    <col min="5897" max="5897" width="17.109375" style="2602" customWidth="1"/>
    <col min="5898" max="5898" width="15.109375" style="2602" customWidth="1"/>
    <col min="5899" max="5899" width="17.6640625" style="2602" customWidth="1"/>
    <col min="5900" max="5900" width="15" style="2602" bestFit="1" customWidth="1"/>
    <col min="5901" max="5901" width="22.44140625" style="2602" customWidth="1"/>
    <col min="5902" max="5902" width="1" style="2602" customWidth="1"/>
    <col min="5903" max="5903" width="28" style="2602" customWidth="1"/>
    <col min="5904" max="5904" width="1.33203125" style="2602" customWidth="1"/>
    <col min="5905" max="5905" width="14.6640625" style="2602" customWidth="1"/>
    <col min="5906" max="5906" width="11.88671875" style="2602" bestFit="1" customWidth="1"/>
    <col min="5907" max="5907" width="8.88671875" style="2602"/>
    <col min="5908" max="5908" width="8.88671875" style="2602" customWidth="1"/>
    <col min="5909" max="5910" width="8.88671875" style="2602"/>
    <col min="5911" max="5912" width="10" style="2602" bestFit="1" customWidth="1"/>
    <col min="5913" max="6144" width="8.88671875" style="2602"/>
    <col min="6145" max="6145" width="38.44140625" style="2602" customWidth="1"/>
    <col min="6146" max="6146" width="16.33203125" style="2602" customWidth="1"/>
    <col min="6147" max="6147" width="13.33203125" style="2602" customWidth="1"/>
    <col min="6148" max="6148" width="15.109375" style="2602" bestFit="1" customWidth="1"/>
    <col min="6149" max="6151" width="15.109375" style="2602" customWidth="1"/>
    <col min="6152" max="6152" width="17.6640625" style="2602" customWidth="1"/>
    <col min="6153" max="6153" width="17.109375" style="2602" customWidth="1"/>
    <col min="6154" max="6154" width="15.109375" style="2602" customWidth="1"/>
    <col min="6155" max="6155" width="17.6640625" style="2602" customWidth="1"/>
    <col min="6156" max="6156" width="15" style="2602" bestFit="1" customWidth="1"/>
    <col min="6157" max="6157" width="22.44140625" style="2602" customWidth="1"/>
    <col min="6158" max="6158" width="1" style="2602" customWidth="1"/>
    <col min="6159" max="6159" width="28" style="2602" customWidth="1"/>
    <col min="6160" max="6160" width="1.33203125" style="2602" customWidth="1"/>
    <col min="6161" max="6161" width="14.6640625" style="2602" customWidth="1"/>
    <col min="6162" max="6162" width="11.88671875" style="2602" bestFit="1" customWidth="1"/>
    <col min="6163" max="6163" width="8.88671875" style="2602"/>
    <col min="6164" max="6164" width="8.88671875" style="2602" customWidth="1"/>
    <col min="6165" max="6166" width="8.88671875" style="2602"/>
    <col min="6167" max="6168" width="10" style="2602" bestFit="1" customWidth="1"/>
    <col min="6169" max="6400" width="8.88671875" style="2602"/>
    <col min="6401" max="6401" width="38.44140625" style="2602" customWidth="1"/>
    <col min="6402" max="6402" width="16.33203125" style="2602" customWidth="1"/>
    <col min="6403" max="6403" width="13.33203125" style="2602" customWidth="1"/>
    <col min="6404" max="6404" width="15.109375" style="2602" bestFit="1" customWidth="1"/>
    <col min="6405" max="6407" width="15.109375" style="2602" customWidth="1"/>
    <col min="6408" max="6408" width="17.6640625" style="2602" customWidth="1"/>
    <col min="6409" max="6409" width="17.109375" style="2602" customWidth="1"/>
    <col min="6410" max="6410" width="15.109375" style="2602" customWidth="1"/>
    <col min="6411" max="6411" width="17.6640625" style="2602" customWidth="1"/>
    <col min="6412" max="6412" width="15" style="2602" bestFit="1" customWidth="1"/>
    <col min="6413" max="6413" width="22.44140625" style="2602" customWidth="1"/>
    <col min="6414" max="6414" width="1" style="2602" customWidth="1"/>
    <col min="6415" max="6415" width="28" style="2602" customWidth="1"/>
    <col min="6416" max="6416" width="1.33203125" style="2602" customWidth="1"/>
    <col min="6417" max="6417" width="14.6640625" style="2602" customWidth="1"/>
    <col min="6418" max="6418" width="11.88671875" style="2602" bestFit="1" customWidth="1"/>
    <col min="6419" max="6419" width="8.88671875" style="2602"/>
    <col min="6420" max="6420" width="8.88671875" style="2602" customWidth="1"/>
    <col min="6421" max="6422" width="8.88671875" style="2602"/>
    <col min="6423" max="6424" width="10" style="2602" bestFit="1" customWidth="1"/>
    <col min="6425" max="6656" width="8.88671875" style="2602"/>
    <col min="6657" max="6657" width="38.44140625" style="2602" customWidth="1"/>
    <col min="6658" max="6658" width="16.33203125" style="2602" customWidth="1"/>
    <col min="6659" max="6659" width="13.33203125" style="2602" customWidth="1"/>
    <col min="6660" max="6660" width="15.109375" style="2602" bestFit="1" customWidth="1"/>
    <col min="6661" max="6663" width="15.109375" style="2602" customWidth="1"/>
    <col min="6664" max="6664" width="17.6640625" style="2602" customWidth="1"/>
    <col min="6665" max="6665" width="17.109375" style="2602" customWidth="1"/>
    <col min="6666" max="6666" width="15.109375" style="2602" customWidth="1"/>
    <col min="6667" max="6667" width="17.6640625" style="2602" customWidth="1"/>
    <col min="6668" max="6668" width="15" style="2602" bestFit="1" customWidth="1"/>
    <col min="6669" max="6669" width="22.44140625" style="2602" customWidth="1"/>
    <col min="6670" max="6670" width="1" style="2602" customWidth="1"/>
    <col min="6671" max="6671" width="28" style="2602" customWidth="1"/>
    <col min="6672" max="6672" width="1.33203125" style="2602" customWidth="1"/>
    <col min="6673" max="6673" width="14.6640625" style="2602" customWidth="1"/>
    <col min="6674" max="6674" width="11.88671875" style="2602" bestFit="1" customWidth="1"/>
    <col min="6675" max="6675" width="8.88671875" style="2602"/>
    <col min="6676" max="6676" width="8.88671875" style="2602" customWidth="1"/>
    <col min="6677" max="6678" width="8.88671875" style="2602"/>
    <col min="6679" max="6680" width="10" style="2602" bestFit="1" customWidth="1"/>
    <col min="6681" max="6912" width="8.88671875" style="2602"/>
    <col min="6913" max="6913" width="38.44140625" style="2602" customWidth="1"/>
    <col min="6914" max="6914" width="16.33203125" style="2602" customWidth="1"/>
    <col min="6915" max="6915" width="13.33203125" style="2602" customWidth="1"/>
    <col min="6916" max="6916" width="15.109375" style="2602" bestFit="1" customWidth="1"/>
    <col min="6917" max="6919" width="15.109375" style="2602" customWidth="1"/>
    <col min="6920" max="6920" width="17.6640625" style="2602" customWidth="1"/>
    <col min="6921" max="6921" width="17.109375" style="2602" customWidth="1"/>
    <col min="6922" max="6922" width="15.109375" style="2602" customWidth="1"/>
    <col min="6923" max="6923" width="17.6640625" style="2602" customWidth="1"/>
    <col min="6924" max="6924" width="15" style="2602" bestFit="1" customWidth="1"/>
    <col min="6925" max="6925" width="22.44140625" style="2602" customWidth="1"/>
    <col min="6926" max="6926" width="1" style="2602" customWidth="1"/>
    <col min="6927" max="6927" width="28" style="2602" customWidth="1"/>
    <col min="6928" max="6928" width="1.33203125" style="2602" customWidth="1"/>
    <col min="6929" max="6929" width="14.6640625" style="2602" customWidth="1"/>
    <col min="6930" max="6930" width="11.88671875" style="2602" bestFit="1" customWidth="1"/>
    <col min="6931" max="6931" width="8.88671875" style="2602"/>
    <col min="6932" max="6932" width="8.88671875" style="2602" customWidth="1"/>
    <col min="6933" max="6934" width="8.88671875" style="2602"/>
    <col min="6935" max="6936" width="10" style="2602" bestFit="1" customWidth="1"/>
    <col min="6937" max="7168" width="8.88671875" style="2602"/>
    <col min="7169" max="7169" width="38.44140625" style="2602" customWidth="1"/>
    <col min="7170" max="7170" width="16.33203125" style="2602" customWidth="1"/>
    <col min="7171" max="7171" width="13.33203125" style="2602" customWidth="1"/>
    <col min="7172" max="7172" width="15.109375" style="2602" bestFit="1" customWidth="1"/>
    <col min="7173" max="7175" width="15.109375" style="2602" customWidth="1"/>
    <col min="7176" max="7176" width="17.6640625" style="2602" customWidth="1"/>
    <col min="7177" max="7177" width="17.109375" style="2602" customWidth="1"/>
    <col min="7178" max="7178" width="15.109375" style="2602" customWidth="1"/>
    <col min="7179" max="7179" width="17.6640625" style="2602" customWidth="1"/>
    <col min="7180" max="7180" width="15" style="2602" bestFit="1" customWidth="1"/>
    <col min="7181" max="7181" width="22.44140625" style="2602" customWidth="1"/>
    <col min="7182" max="7182" width="1" style="2602" customWidth="1"/>
    <col min="7183" max="7183" width="28" style="2602" customWidth="1"/>
    <col min="7184" max="7184" width="1.33203125" style="2602" customWidth="1"/>
    <col min="7185" max="7185" width="14.6640625" style="2602" customWidth="1"/>
    <col min="7186" max="7186" width="11.88671875" style="2602" bestFit="1" customWidth="1"/>
    <col min="7187" max="7187" width="8.88671875" style="2602"/>
    <col min="7188" max="7188" width="8.88671875" style="2602" customWidth="1"/>
    <col min="7189" max="7190" width="8.88671875" style="2602"/>
    <col min="7191" max="7192" width="10" style="2602" bestFit="1" customWidth="1"/>
    <col min="7193" max="7424" width="8.88671875" style="2602"/>
    <col min="7425" max="7425" width="38.44140625" style="2602" customWidth="1"/>
    <col min="7426" max="7426" width="16.33203125" style="2602" customWidth="1"/>
    <col min="7427" max="7427" width="13.33203125" style="2602" customWidth="1"/>
    <col min="7428" max="7428" width="15.109375" style="2602" bestFit="1" customWidth="1"/>
    <col min="7429" max="7431" width="15.109375" style="2602" customWidth="1"/>
    <col min="7432" max="7432" width="17.6640625" style="2602" customWidth="1"/>
    <col min="7433" max="7433" width="17.109375" style="2602" customWidth="1"/>
    <col min="7434" max="7434" width="15.109375" style="2602" customWidth="1"/>
    <col min="7435" max="7435" width="17.6640625" style="2602" customWidth="1"/>
    <col min="7436" max="7436" width="15" style="2602" bestFit="1" customWidth="1"/>
    <col min="7437" max="7437" width="22.44140625" style="2602" customWidth="1"/>
    <col min="7438" max="7438" width="1" style="2602" customWidth="1"/>
    <col min="7439" max="7439" width="28" style="2602" customWidth="1"/>
    <col min="7440" max="7440" width="1.33203125" style="2602" customWidth="1"/>
    <col min="7441" max="7441" width="14.6640625" style="2602" customWidth="1"/>
    <col min="7442" max="7442" width="11.88671875" style="2602" bestFit="1" customWidth="1"/>
    <col min="7443" max="7443" width="8.88671875" style="2602"/>
    <col min="7444" max="7444" width="8.88671875" style="2602" customWidth="1"/>
    <col min="7445" max="7446" width="8.88671875" style="2602"/>
    <col min="7447" max="7448" width="10" style="2602" bestFit="1" customWidth="1"/>
    <col min="7449" max="7680" width="8.88671875" style="2602"/>
    <col min="7681" max="7681" width="38.44140625" style="2602" customWidth="1"/>
    <col min="7682" max="7682" width="16.33203125" style="2602" customWidth="1"/>
    <col min="7683" max="7683" width="13.33203125" style="2602" customWidth="1"/>
    <col min="7684" max="7684" width="15.109375" style="2602" bestFit="1" customWidth="1"/>
    <col min="7685" max="7687" width="15.109375" style="2602" customWidth="1"/>
    <col min="7688" max="7688" width="17.6640625" style="2602" customWidth="1"/>
    <col min="7689" max="7689" width="17.109375" style="2602" customWidth="1"/>
    <col min="7690" max="7690" width="15.109375" style="2602" customWidth="1"/>
    <col min="7691" max="7691" width="17.6640625" style="2602" customWidth="1"/>
    <col min="7692" max="7692" width="15" style="2602" bestFit="1" customWidth="1"/>
    <col min="7693" max="7693" width="22.44140625" style="2602" customWidth="1"/>
    <col min="7694" max="7694" width="1" style="2602" customWidth="1"/>
    <col min="7695" max="7695" width="28" style="2602" customWidth="1"/>
    <col min="7696" max="7696" width="1.33203125" style="2602" customWidth="1"/>
    <col min="7697" max="7697" width="14.6640625" style="2602" customWidth="1"/>
    <col min="7698" max="7698" width="11.88671875" style="2602" bestFit="1" customWidth="1"/>
    <col min="7699" max="7699" width="8.88671875" style="2602"/>
    <col min="7700" max="7700" width="8.88671875" style="2602" customWidth="1"/>
    <col min="7701" max="7702" width="8.88671875" style="2602"/>
    <col min="7703" max="7704" width="10" style="2602" bestFit="1" customWidth="1"/>
    <col min="7705" max="7936" width="8.88671875" style="2602"/>
    <col min="7937" max="7937" width="38.44140625" style="2602" customWidth="1"/>
    <col min="7938" max="7938" width="16.33203125" style="2602" customWidth="1"/>
    <col min="7939" max="7939" width="13.33203125" style="2602" customWidth="1"/>
    <col min="7940" max="7940" width="15.109375" style="2602" bestFit="1" customWidth="1"/>
    <col min="7941" max="7943" width="15.109375" style="2602" customWidth="1"/>
    <col min="7944" max="7944" width="17.6640625" style="2602" customWidth="1"/>
    <col min="7945" max="7945" width="17.109375" style="2602" customWidth="1"/>
    <col min="7946" max="7946" width="15.109375" style="2602" customWidth="1"/>
    <col min="7947" max="7947" width="17.6640625" style="2602" customWidth="1"/>
    <col min="7948" max="7948" width="15" style="2602" bestFit="1" customWidth="1"/>
    <col min="7949" max="7949" width="22.44140625" style="2602" customWidth="1"/>
    <col min="7950" max="7950" width="1" style="2602" customWidth="1"/>
    <col min="7951" max="7951" width="28" style="2602" customWidth="1"/>
    <col min="7952" max="7952" width="1.33203125" style="2602" customWidth="1"/>
    <col min="7953" max="7953" width="14.6640625" style="2602" customWidth="1"/>
    <col min="7954" max="7954" width="11.88671875" style="2602" bestFit="1" customWidth="1"/>
    <col min="7955" max="7955" width="8.88671875" style="2602"/>
    <col min="7956" max="7956" width="8.88671875" style="2602" customWidth="1"/>
    <col min="7957" max="7958" width="8.88671875" style="2602"/>
    <col min="7959" max="7960" width="10" style="2602" bestFit="1" customWidth="1"/>
    <col min="7961" max="8192" width="8.88671875" style="2602"/>
    <col min="8193" max="8193" width="38.44140625" style="2602" customWidth="1"/>
    <col min="8194" max="8194" width="16.33203125" style="2602" customWidth="1"/>
    <col min="8195" max="8195" width="13.33203125" style="2602" customWidth="1"/>
    <col min="8196" max="8196" width="15.109375" style="2602" bestFit="1" customWidth="1"/>
    <col min="8197" max="8199" width="15.109375" style="2602" customWidth="1"/>
    <col min="8200" max="8200" width="17.6640625" style="2602" customWidth="1"/>
    <col min="8201" max="8201" width="17.109375" style="2602" customWidth="1"/>
    <col min="8202" max="8202" width="15.109375" style="2602" customWidth="1"/>
    <col min="8203" max="8203" width="17.6640625" style="2602" customWidth="1"/>
    <col min="8204" max="8204" width="15" style="2602" bestFit="1" customWidth="1"/>
    <col min="8205" max="8205" width="22.44140625" style="2602" customWidth="1"/>
    <col min="8206" max="8206" width="1" style="2602" customWidth="1"/>
    <col min="8207" max="8207" width="28" style="2602" customWidth="1"/>
    <col min="8208" max="8208" width="1.33203125" style="2602" customWidth="1"/>
    <col min="8209" max="8209" width="14.6640625" style="2602" customWidth="1"/>
    <col min="8210" max="8210" width="11.88671875" style="2602" bestFit="1" customWidth="1"/>
    <col min="8211" max="8211" width="8.88671875" style="2602"/>
    <col min="8212" max="8212" width="8.88671875" style="2602" customWidth="1"/>
    <col min="8213" max="8214" width="8.88671875" style="2602"/>
    <col min="8215" max="8216" width="10" style="2602" bestFit="1" customWidth="1"/>
    <col min="8217" max="8448" width="8.88671875" style="2602"/>
    <col min="8449" max="8449" width="38.44140625" style="2602" customWidth="1"/>
    <col min="8450" max="8450" width="16.33203125" style="2602" customWidth="1"/>
    <col min="8451" max="8451" width="13.33203125" style="2602" customWidth="1"/>
    <col min="8452" max="8452" width="15.109375" style="2602" bestFit="1" customWidth="1"/>
    <col min="8453" max="8455" width="15.109375" style="2602" customWidth="1"/>
    <col min="8456" max="8456" width="17.6640625" style="2602" customWidth="1"/>
    <col min="8457" max="8457" width="17.109375" style="2602" customWidth="1"/>
    <col min="8458" max="8458" width="15.109375" style="2602" customWidth="1"/>
    <col min="8459" max="8459" width="17.6640625" style="2602" customWidth="1"/>
    <col min="8460" max="8460" width="15" style="2602" bestFit="1" customWidth="1"/>
    <col min="8461" max="8461" width="22.44140625" style="2602" customWidth="1"/>
    <col min="8462" max="8462" width="1" style="2602" customWidth="1"/>
    <col min="8463" max="8463" width="28" style="2602" customWidth="1"/>
    <col min="8464" max="8464" width="1.33203125" style="2602" customWidth="1"/>
    <col min="8465" max="8465" width="14.6640625" style="2602" customWidth="1"/>
    <col min="8466" max="8466" width="11.88671875" style="2602" bestFit="1" customWidth="1"/>
    <col min="8467" max="8467" width="8.88671875" style="2602"/>
    <col min="8468" max="8468" width="8.88671875" style="2602" customWidth="1"/>
    <col min="8469" max="8470" width="8.88671875" style="2602"/>
    <col min="8471" max="8472" width="10" style="2602" bestFit="1" customWidth="1"/>
    <col min="8473" max="8704" width="8.88671875" style="2602"/>
    <col min="8705" max="8705" width="38.44140625" style="2602" customWidth="1"/>
    <col min="8706" max="8706" width="16.33203125" style="2602" customWidth="1"/>
    <col min="8707" max="8707" width="13.33203125" style="2602" customWidth="1"/>
    <col min="8708" max="8708" width="15.109375" style="2602" bestFit="1" customWidth="1"/>
    <col min="8709" max="8711" width="15.109375" style="2602" customWidth="1"/>
    <col min="8712" max="8712" width="17.6640625" style="2602" customWidth="1"/>
    <col min="8713" max="8713" width="17.109375" style="2602" customWidth="1"/>
    <col min="8714" max="8714" width="15.109375" style="2602" customWidth="1"/>
    <col min="8715" max="8715" width="17.6640625" style="2602" customWidth="1"/>
    <col min="8716" max="8716" width="15" style="2602" bestFit="1" customWidth="1"/>
    <col min="8717" max="8717" width="22.44140625" style="2602" customWidth="1"/>
    <col min="8718" max="8718" width="1" style="2602" customWidth="1"/>
    <col min="8719" max="8719" width="28" style="2602" customWidth="1"/>
    <col min="8720" max="8720" width="1.33203125" style="2602" customWidth="1"/>
    <col min="8721" max="8721" width="14.6640625" style="2602" customWidth="1"/>
    <col min="8722" max="8722" width="11.88671875" style="2602" bestFit="1" customWidth="1"/>
    <col min="8723" max="8723" width="8.88671875" style="2602"/>
    <col min="8724" max="8724" width="8.88671875" style="2602" customWidth="1"/>
    <col min="8725" max="8726" width="8.88671875" style="2602"/>
    <col min="8727" max="8728" width="10" style="2602" bestFit="1" customWidth="1"/>
    <col min="8729" max="8960" width="8.88671875" style="2602"/>
    <col min="8961" max="8961" width="38.44140625" style="2602" customWidth="1"/>
    <col min="8962" max="8962" width="16.33203125" style="2602" customWidth="1"/>
    <col min="8963" max="8963" width="13.33203125" style="2602" customWidth="1"/>
    <col min="8964" max="8964" width="15.109375" style="2602" bestFit="1" customWidth="1"/>
    <col min="8965" max="8967" width="15.109375" style="2602" customWidth="1"/>
    <col min="8968" max="8968" width="17.6640625" style="2602" customWidth="1"/>
    <col min="8969" max="8969" width="17.109375" style="2602" customWidth="1"/>
    <col min="8970" max="8970" width="15.109375" style="2602" customWidth="1"/>
    <col min="8971" max="8971" width="17.6640625" style="2602" customWidth="1"/>
    <col min="8972" max="8972" width="15" style="2602" bestFit="1" customWidth="1"/>
    <col min="8973" max="8973" width="22.44140625" style="2602" customWidth="1"/>
    <col min="8974" max="8974" width="1" style="2602" customWidth="1"/>
    <col min="8975" max="8975" width="28" style="2602" customWidth="1"/>
    <col min="8976" max="8976" width="1.33203125" style="2602" customWidth="1"/>
    <col min="8977" max="8977" width="14.6640625" style="2602" customWidth="1"/>
    <col min="8978" max="8978" width="11.88671875" style="2602" bestFit="1" customWidth="1"/>
    <col min="8979" max="8979" width="8.88671875" style="2602"/>
    <col min="8980" max="8980" width="8.88671875" style="2602" customWidth="1"/>
    <col min="8981" max="8982" width="8.88671875" style="2602"/>
    <col min="8983" max="8984" width="10" style="2602" bestFit="1" customWidth="1"/>
    <col min="8985" max="9216" width="8.88671875" style="2602"/>
    <col min="9217" max="9217" width="38.44140625" style="2602" customWidth="1"/>
    <col min="9218" max="9218" width="16.33203125" style="2602" customWidth="1"/>
    <col min="9219" max="9219" width="13.33203125" style="2602" customWidth="1"/>
    <col min="9220" max="9220" width="15.109375" style="2602" bestFit="1" customWidth="1"/>
    <col min="9221" max="9223" width="15.109375" style="2602" customWidth="1"/>
    <col min="9224" max="9224" width="17.6640625" style="2602" customWidth="1"/>
    <col min="9225" max="9225" width="17.109375" style="2602" customWidth="1"/>
    <col min="9226" max="9226" width="15.109375" style="2602" customWidth="1"/>
    <col min="9227" max="9227" width="17.6640625" style="2602" customWidth="1"/>
    <col min="9228" max="9228" width="15" style="2602" bestFit="1" customWidth="1"/>
    <col min="9229" max="9229" width="22.44140625" style="2602" customWidth="1"/>
    <col min="9230" max="9230" width="1" style="2602" customWidth="1"/>
    <col min="9231" max="9231" width="28" style="2602" customWidth="1"/>
    <col min="9232" max="9232" width="1.33203125" style="2602" customWidth="1"/>
    <col min="9233" max="9233" width="14.6640625" style="2602" customWidth="1"/>
    <col min="9234" max="9234" width="11.88671875" style="2602" bestFit="1" customWidth="1"/>
    <col min="9235" max="9235" width="8.88671875" style="2602"/>
    <col min="9236" max="9236" width="8.88671875" style="2602" customWidth="1"/>
    <col min="9237" max="9238" width="8.88671875" style="2602"/>
    <col min="9239" max="9240" width="10" style="2602" bestFit="1" customWidth="1"/>
    <col min="9241" max="9472" width="8.88671875" style="2602"/>
    <col min="9473" max="9473" width="38.44140625" style="2602" customWidth="1"/>
    <col min="9474" max="9474" width="16.33203125" style="2602" customWidth="1"/>
    <col min="9475" max="9475" width="13.33203125" style="2602" customWidth="1"/>
    <col min="9476" max="9476" width="15.109375" style="2602" bestFit="1" customWidth="1"/>
    <col min="9477" max="9479" width="15.109375" style="2602" customWidth="1"/>
    <col min="9480" max="9480" width="17.6640625" style="2602" customWidth="1"/>
    <col min="9481" max="9481" width="17.109375" style="2602" customWidth="1"/>
    <col min="9482" max="9482" width="15.109375" style="2602" customWidth="1"/>
    <col min="9483" max="9483" width="17.6640625" style="2602" customWidth="1"/>
    <col min="9484" max="9484" width="15" style="2602" bestFit="1" customWidth="1"/>
    <col min="9485" max="9485" width="22.44140625" style="2602" customWidth="1"/>
    <col min="9486" max="9486" width="1" style="2602" customWidth="1"/>
    <col min="9487" max="9487" width="28" style="2602" customWidth="1"/>
    <col min="9488" max="9488" width="1.33203125" style="2602" customWidth="1"/>
    <col min="9489" max="9489" width="14.6640625" style="2602" customWidth="1"/>
    <col min="9490" max="9490" width="11.88671875" style="2602" bestFit="1" customWidth="1"/>
    <col min="9491" max="9491" width="8.88671875" style="2602"/>
    <col min="9492" max="9492" width="8.88671875" style="2602" customWidth="1"/>
    <col min="9493" max="9494" width="8.88671875" style="2602"/>
    <col min="9495" max="9496" width="10" style="2602" bestFit="1" customWidth="1"/>
    <col min="9497" max="9728" width="8.88671875" style="2602"/>
    <col min="9729" max="9729" width="38.44140625" style="2602" customWidth="1"/>
    <col min="9730" max="9730" width="16.33203125" style="2602" customWidth="1"/>
    <col min="9731" max="9731" width="13.33203125" style="2602" customWidth="1"/>
    <col min="9732" max="9732" width="15.109375" style="2602" bestFit="1" customWidth="1"/>
    <col min="9733" max="9735" width="15.109375" style="2602" customWidth="1"/>
    <col min="9736" max="9736" width="17.6640625" style="2602" customWidth="1"/>
    <col min="9737" max="9737" width="17.109375" style="2602" customWidth="1"/>
    <col min="9738" max="9738" width="15.109375" style="2602" customWidth="1"/>
    <col min="9739" max="9739" width="17.6640625" style="2602" customWidth="1"/>
    <col min="9740" max="9740" width="15" style="2602" bestFit="1" customWidth="1"/>
    <col min="9741" max="9741" width="22.44140625" style="2602" customWidth="1"/>
    <col min="9742" max="9742" width="1" style="2602" customWidth="1"/>
    <col min="9743" max="9743" width="28" style="2602" customWidth="1"/>
    <col min="9744" max="9744" width="1.33203125" style="2602" customWidth="1"/>
    <col min="9745" max="9745" width="14.6640625" style="2602" customWidth="1"/>
    <col min="9746" max="9746" width="11.88671875" style="2602" bestFit="1" customWidth="1"/>
    <col min="9747" max="9747" width="8.88671875" style="2602"/>
    <col min="9748" max="9748" width="8.88671875" style="2602" customWidth="1"/>
    <col min="9749" max="9750" width="8.88671875" style="2602"/>
    <col min="9751" max="9752" width="10" style="2602" bestFit="1" customWidth="1"/>
    <col min="9753" max="9984" width="8.88671875" style="2602"/>
    <col min="9985" max="9985" width="38.44140625" style="2602" customWidth="1"/>
    <col min="9986" max="9986" width="16.33203125" style="2602" customWidth="1"/>
    <col min="9987" max="9987" width="13.33203125" style="2602" customWidth="1"/>
    <col min="9988" max="9988" width="15.109375" style="2602" bestFit="1" customWidth="1"/>
    <col min="9989" max="9991" width="15.109375" style="2602" customWidth="1"/>
    <col min="9992" max="9992" width="17.6640625" style="2602" customWidth="1"/>
    <col min="9993" max="9993" width="17.109375" style="2602" customWidth="1"/>
    <col min="9994" max="9994" width="15.109375" style="2602" customWidth="1"/>
    <col min="9995" max="9995" width="17.6640625" style="2602" customWidth="1"/>
    <col min="9996" max="9996" width="15" style="2602" bestFit="1" customWidth="1"/>
    <col min="9997" max="9997" width="22.44140625" style="2602" customWidth="1"/>
    <col min="9998" max="9998" width="1" style="2602" customWidth="1"/>
    <col min="9999" max="9999" width="28" style="2602" customWidth="1"/>
    <col min="10000" max="10000" width="1.33203125" style="2602" customWidth="1"/>
    <col min="10001" max="10001" width="14.6640625" style="2602" customWidth="1"/>
    <col min="10002" max="10002" width="11.88671875" style="2602" bestFit="1" customWidth="1"/>
    <col min="10003" max="10003" width="8.88671875" style="2602"/>
    <col min="10004" max="10004" width="8.88671875" style="2602" customWidth="1"/>
    <col min="10005" max="10006" width="8.88671875" style="2602"/>
    <col min="10007" max="10008" width="10" style="2602" bestFit="1" customWidth="1"/>
    <col min="10009" max="10240" width="8.88671875" style="2602"/>
    <col min="10241" max="10241" width="38.44140625" style="2602" customWidth="1"/>
    <col min="10242" max="10242" width="16.33203125" style="2602" customWidth="1"/>
    <col min="10243" max="10243" width="13.33203125" style="2602" customWidth="1"/>
    <col min="10244" max="10244" width="15.109375" style="2602" bestFit="1" customWidth="1"/>
    <col min="10245" max="10247" width="15.109375" style="2602" customWidth="1"/>
    <col min="10248" max="10248" width="17.6640625" style="2602" customWidth="1"/>
    <col min="10249" max="10249" width="17.109375" style="2602" customWidth="1"/>
    <col min="10250" max="10250" width="15.109375" style="2602" customWidth="1"/>
    <col min="10251" max="10251" width="17.6640625" style="2602" customWidth="1"/>
    <col min="10252" max="10252" width="15" style="2602" bestFit="1" customWidth="1"/>
    <col min="10253" max="10253" width="22.44140625" style="2602" customWidth="1"/>
    <col min="10254" max="10254" width="1" style="2602" customWidth="1"/>
    <col min="10255" max="10255" width="28" style="2602" customWidth="1"/>
    <col min="10256" max="10256" width="1.33203125" style="2602" customWidth="1"/>
    <col min="10257" max="10257" width="14.6640625" style="2602" customWidth="1"/>
    <col min="10258" max="10258" width="11.88671875" style="2602" bestFit="1" customWidth="1"/>
    <col min="10259" max="10259" width="8.88671875" style="2602"/>
    <col min="10260" max="10260" width="8.88671875" style="2602" customWidth="1"/>
    <col min="10261" max="10262" width="8.88671875" style="2602"/>
    <col min="10263" max="10264" width="10" style="2602" bestFit="1" customWidth="1"/>
    <col min="10265" max="10496" width="8.88671875" style="2602"/>
    <col min="10497" max="10497" width="38.44140625" style="2602" customWidth="1"/>
    <col min="10498" max="10498" width="16.33203125" style="2602" customWidth="1"/>
    <col min="10499" max="10499" width="13.33203125" style="2602" customWidth="1"/>
    <col min="10500" max="10500" width="15.109375" style="2602" bestFit="1" customWidth="1"/>
    <col min="10501" max="10503" width="15.109375" style="2602" customWidth="1"/>
    <col min="10504" max="10504" width="17.6640625" style="2602" customWidth="1"/>
    <col min="10505" max="10505" width="17.109375" style="2602" customWidth="1"/>
    <col min="10506" max="10506" width="15.109375" style="2602" customWidth="1"/>
    <col min="10507" max="10507" width="17.6640625" style="2602" customWidth="1"/>
    <col min="10508" max="10508" width="15" style="2602" bestFit="1" customWidth="1"/>
    <col min="10509" max="10509" width="22.44140625" style="2602" customWidth="1"/>
    <col min="10510" max="10510" width="1" style="2602" customWidth="1"/>
    <col min="10511" max="10511" width="28" style="2602" customWidth="1"/>
    <col min="10512" max="10512" width="1.33203125" style="2602" customWidth="1"/>
    <col min="10513" max="10513" width="14.6640625" style="2602" customWidth="1"/>
    <col min="10514" max="10514" width="11.88671875" style="2602" bestFit="1" customWidth="1"/>
    <col min="10515" max="10515" width="8.88671875" style="2602"/>
    <col min="10516" max="10516" width="8.88671875" style="2602" customWidth="1"/>
    <col min="10517" max="10518" width="8.88671875" style="2602"/>
    <col min="10519" max="10520" width="10" style="2602" bestFit="1" customWidth="1"/>
    <col min="10521" max="10752" width="8.88671875" style="2602"/>
    <col min="10753" max="10753" width="38.44140625" style="2602" customWidth="1"/>
    <col min="10754" max="10754" width="16.33203125" style="2602" customWidth="1"/>
    <col min="10755" max="10755" width="13.33203125" style="2602" customWidth="1"/>
    <col min="10756" max="10756" width="15.109375" style="2602" bestFit="1" customWidth="1"/>
    <col min="10757" max="10759" width="15.109375" style="2602" customWidth="1"/>
    <col min="10760" max="10760" width="17.6640625" style="2602" customWidth="1"/>
    <col min="10761" max="10761" width="17.109375" style="2602" customWidth="1"/>
    <col min="10762" max="10762" width="15.109375" style="2602" customWidth="1"/>
    <col min="10763" max="10763" width="17.6640625" style="2602" customWidth="1"/>
    <col min="10764" max="10764" width="15" style="2602" bestFit="1" customWidth="1"/>
    <col min="10765" max="10765" width="22.44140625" style="2602" customWidth="1"/>
    <col min="10766" max="10766" width="1" style="2602" customWidth="1"/>
    <col min="10767" max="10767" width="28" style="2602" customWidth="1"/>
    <col min="10768" max="10768" width="1.33203125" style="2602" customWidth="1"/>
    <col min="10769" max="10769" width="14.6640625" style="2602" customWidth="1"/>
    <col min="10770" max="10770" width="11.88671875" style="2602" bestFit="1" customWidth="1"/>
    <col min="10771" max="10771" width="8.88671875" style="2602"/>
    <col min="10772" max="10772" width="8.88671875" style="2602" customWidth="1"/>
    <col min="10773" max="10774" width="8.88671875" style="2602"/>
    <col min="10775" max="10776" width="10" style="2602" bestFit="1" customWidth="1"/>
    <col min="10777" max="11008" width="8.88671875" style="2602"/>
    <col min="11009" max="11009" width="38.44140625" style="2602" customWidth="1"/>
    <col min="11010" max="11010" width="16.33203125" style="2602" customWidth="1"/>
    <col min="11011" max="11011" width="13.33203125" style="2602" customWidth="1"/>
    <col min="11012" max="11012" width="15.109375" style="2602" bestFit="1" customWidth="1"/>
    <col min="11013" max="11015" width="15.109375" style="2602" customWidth="1"/>
    <col min="11016" max="11016" width="17.6640625" style="2602" customWidth="1"/>
    <col min="11017" max="11017" width="17.109375" style="2602" customWidth="1"/>
    <col min="11018" max="11018" width="15.109375" style="2602" customWidth="1"/>
    <col min="11019" max="11019" width="17.6640625" style="2602" customWidth="1"/>
    <col min="11020" max="11020" width="15" style="2602" bestFit="1" customWidth="1"/>
    <col min="11021" max="11021" width="22.44140625" style="2602" customWidth="1"/>
    <col min="11022" max="11022" width="1" style="2602" customWidth="1"/>
    <col min="11023" max="11023" width="28" style="2602" customWidth="1"/>
    <col min="11024" max="11024" width="1.33203125" style="2602" customWidth="1"/>
    <col min="11025" max="11025" width="14.6640625" style="2602" customWidth="1"/>
    <col min="11026" max="11026" width="11.88671875" style="2602" bestFit="1" customWidth="1"/>
    <col min="11027" max="11027" width="8.88671875" style="2602"/>
    <col min="11028" max="11028" width="8.88671875" style="2602" customWidth="1"/>
    <col min="11029" max="11030" width="8.88671875" style="2602"/>
    <col min="11031" max="11032" width="10" style="2602" bestFit="1" customWidth="1"/>
    <col min="11033" max="11264" width="8.88671875" style="2602"/>
    <col min="11265" max="11265" width="38.44140625" style="2602" customWidth="1"/>
    <col min="11266" max="11266" width="16.33203125" style="2602" customWidth="1"/>
    <col min="11267" max="11267" width="13.33203125" style="2602" customWidth="1"/>
    <col min="11268" max="11268" width="15.109375" style="2602" bestFit="1" customWidth="1"/>
    <col min="11269" max="11271" width="15.109375" style="2602" customWidth="1"/>
    <col min="11272" max="11272" width="17.6640625" style="2602" customWidth="1"/>
    <col min="11273" max="11273" width="17.109375" style="2602" customWidth="1"/>
    <col min="11274" max="11274" width="15.109375" style="2602" customWidth="1"/>
    <col min="11275" max="11275" width="17.6640625" style="2602" customWidth="1"/>
    <col min="11276" max="11276" width="15" style="2602" bestFit="1" customWidth="1"/>
    <col min="11277" max="11277" width="22.44140625" style="2602" customWidth="1"/>
    <col min="11278" max="11278" width="1" style="2602" customWidth="1"/>
    <col min="11279" max="11279" width="28" style="2602" customWidth="1"/>
    <col min="11280" max="11280" width="1.33203125" style="2602" customWidth="1"/>
    <col min="11281" max="11281" width="14.6640625" style="2602" customWidth="1"/>
    <col min="11282" max="11282" width="11.88671875" style="2602" bestFit="1" customWidth="1"/>
    <col min="11283" max="11283" width="8.88671875" style="2602"/>
    <col min="11284" max="11284" width="8.88671875" style="2602" customWidth="1"/>
    <col min="11285" max="11286" width="8.88671875" style="2602"/>
    <col min="11287" max="11288" width="10" style="2602" bestFit="1" customWidth="1"/>
    <col min="11289" max="11520" width="8.88671875" style="2602"/>
    <col min="11521" max="11521" width="38.44140625" style="2602" customWidth="1"/>
    <col min="11522" max="11522" width="16.33203125" style="2602" customWidth="1"/>
    <col min="11523" max="11523" width="13.33203125" style="2602" customWidth="1"/>
    <col min="11524" max="11524" width="15.109375" style="2602" bestFit="1" customWidth="1"/>
    <col min="11525" max="11527" width="15.109375" style="2602" customWidth="1"/>
    <col min="11528" max="11528" width="17.6640625" style="2602" customWidth="1"/>
    <col min="11529" max="11529" width="17.109375" style="2602" customWidth="1"/>
    <col min="11530" max="11530" width="15.109375" style="2602" customWidth="1"/>
    <col min="11531" max="11531" width="17.6640625" style="2602" customWidth="1"/>
    <col min="11532" max="11532" width="15" style="2602" bestFit="1" customWidth="1"/>
    <col min="11533" max="11533" width="22.44140625" style="2602" customWidth="1"/>
    <col min="11534" max="11534" width="1" style="2602" customWidth="1"/>
    <col min="11535" max="11535" width="28" style="2602" customWidth="1"/>
    <col min="11536" max="11536" width="1.33203125" style="2602" customWidth="1"/>
    <col min="11537" max="11537" width="14.6640625" style="2602" customWidth="1"/>
    <col min="11538" max="11538" width="11.88671875" style="2602" bestFit="1" customWidth="1"/>
    <col min="11539" max="11539" width="8.88671875" style="2602"/>
    <col min="11540" max="11540" width="8.88671875" style="2602" customWidth="1"/>
    <col min="11541" max="11542" width="8.88671875" style="2602"/>
    <col min="11543" max="11544" width="10" style="2602" bestFit="1" customWidth="1"/>
    <col min="11545" max="11776" width="8.88671875" style="2602"/>
    <col min="11777" max="11777" width="38.44140625" style="2602" customWidth="1"/>
    <col min="11778" max="11778" width="16.33203125" style="2602" customWidth="1"/>
    <col min="11779" max="11779" width="13.33203125" style="2602" customWidth="1"/>
    <col min="11780" max="11780" width="15.109375" style="2602" bestFit="1" customWidth="1"/>
    <col min="11781" max="11783" width="15.109375" style="2602" customWidth="1"/>
    <col min="11784" max="11784" width="17.6640625" style="2602" customWidth="1"/>
    <col min="11785" max="11785" width="17.109375" style="2602" customWidth="1"/>
    <col min="11786" max="11786" width="15.109375" style="2602" customWidth="1"/>
    <col min="11787" max="11787" width="17.6640625" style="2602" customWidth="1"/>
    <col min="11788" max="11788" width="15" style="2602" bestFit="1" customWidth="1"/>
    <col min="11789" max="11789" width="22.44140625" style="2602" customWidth="1"/>
    <col min="11790" max="11790" width="1" style="2602" customWidth="1"/>
    <col min="11791" max="11791" width="28" style="2602" customWidth="1"/>
    <col min="11792" max="11792" width="1.33203125" style="2602" customWidth="1"/>
    <col min="11793" max="11793" width="14.6640625" style="2602" customWidth="1"/>
    <col min="11794" max="11794" width="11.88671875" style="2602" bestFit="1" customWidth="1"/>
    <col min="11795" max="11795" width="8.88671875" style="2602"/>
    <col min="11796" max="11796" width="8.88671875" style="2602" customWidth="1"/>
    <col min="11797" max="11798" width="8.88671875" style="2602"/>
    <col min="11799" max="11800" width="10" style="2602" bestFit="1" customWidth="1"/>
    <col min="11801" max="12032" width="8.88671875" style="2602"/>
    <col min="12033" max="12033" width="38.44140625" style="2602" customWidth="1"/>
    <col min="12034" max="12034" width="16.33203125" style="2602" customWidth="1"/>
    <col min="12035" max="12035" width="13.33203125" style="2602" customWidth="1"/>
    <col min="12036" max="12036" width="15.109375" style="2602" bestFit="1" customWidth="1"/>
    <col min="12037" max="12039" width="15.109375" style="2602" customWidth="1"/>
    <col min="12040" max="12040" width="17.6640625" style="2602" customWidth="1"/>
    <col min="12041" max="12041" width="17.109375" style="2602" customWidth="1"/>
    <col min="12042" max="12042" width="15.109375" style="2602" customWidth="1"/>
    <col min="12043" max="12043" width="17.6640625" style="2602" customWidth="1"/>
    <col min="12044" max="12044" width="15" style="2602" bestFit="1" customWidth="1"/>
    <col min="12045" max="12045" width="22.44140625" style="2602" customWidth="1"/>
    <col min="12046" max="12046" width="1" style="2602" customWidth="1"/>
    <col min="12047" max="12047" width="28" style="2602" customWidth="1"/>
    <col min="12048" max="12048" width="1.33203125" style="2602" customWidth="1"/>
    <col min="12049" max="12049" width="14.6640625" style="2602" customWidth="1"/>
    <col min="12050" max="12050" width="11.88671875" style="2602" bestFit="1" customWidth="1"/>
    <col min="12051" max="12051" width="8.88671875" style="2602"/>
    <col min="12052" max="12052" width="8.88671875" style="2602" customWidth="1"/>
    <col min="12053" max="12054" width="8.88671875" style="2602"/>
    <col min="12055" max="12056" width="10" style="2602" bestFit="1" customWidth="1"/>
    <col min="12057" max="12288" width="8.88671875" style="2602"/>
    <col min="12289" max="12289" width="38.44140625" style="2602" customWidth="1"/>
    <col min="12290" max="12290" width="16.33203125" style="2602" customWidth="1"/>
    <col min="12291" max="12291" width="13.33203125" style="2602" customWidth="1"/>
    <col min="12292" max="12292" width="15.109375" style="2602" bestFit="1" customWidth="1"/>
    <col min="12293" max="12295" width="15.109375" style="2602" customWidth="1"/>
    <col min="12296" max="12296" width="17.6640625" style="2602" customWidth="1"/>
    <col min="12297" max="12297" width="17.109375" style="2602" customWidth="1"/>
    <col min="12298" max="12298" width="15.109375" style="2602" customWidth="1"/>
    <col min="12299" max="12299" width="17.6640625" style="2602" customWidth="1"/>
    <col min="12300" max="12300" width="15" style="2602" bestFit="1" customWidth="1"/>
    <col min="12301" max="12301" width="22.44140625" style="2602" customWidth="1"/>
    <col min="12302" max="12302" width="1" style="2602" customWidth="1"/>
    <col min="12303" max="12303" width="28" style="2602" customWidth="1"/>
    <col min="12304" max="12304" width="1.33203125" style="2602" customWidth="1"/>
    <col min="12305" max="12305" width="14.6640625" style="2602" customWidth="1"/>
    <col min="12306" max="12306" width="11.88671875" style="2602" bestFit="1" customWidth="1"/>
    <col min="12307" max="12307" width="8.88671875" style="2602"/>
    <col min="12308" max="12308" width="8.88671875" style="2602" customWidth="1"/>
    <col min="12309" max="12310" width="8.88671875" style="2602"/>
    <col min="12311" max="12312" width="10" style="2602" bestFit="1" customWidth="1"/>
    <col min="12313" max="12544" width="8.88671875" style="2602"/>
    <col min="12545" max="12545" width="38.44140625" style="2602" customWidth="1"/>
    <col min="12546" max="12546" width="16.33203125" style="2602" customWidth="1"/>
    <col min="12547" max="12547" width="13.33203125" style="2602" customWidth="1"/>
    <col min="12548" max="12548" width="15.109375" style="2602" bestFit="1" customWidth="1"/>
    <col min="12549" max="12551" width="15.109375" style="2602" customWidth="1"/>
    <col min="12552" max="12552" width="17.6640625" style="2602" customWidth="1"/>
    <col min="12553" max="12553" width="17.109375" style="2602" customWidth="1"/>
    <col min="12554" max="12554" width="15.109375" style="2602" customWidth="1"/>
    <col min="12555" max="12555" width="17.6640625" style="2602" customWidth="1"/>
    <col min="12556" max="12556" width="15" style="2602" bestFit="1" customWidth="1"/>
    <col min="12557" max="12557" width="22.44140625" style="2602" customWidth="1"/>
    <col min="12558" max="12558" width="1" style="2602" customWidth="1"/>
    <col min="12559" max="12559" width="28" style="2602" customWidth="1"/>
    <col min="12560" max="12560" width="1.33203125" style="2602" customWidth="1"/>
    <col min="12561" max="12561" width="14.6640625" style="2602" customWidth="1"/>
    <col min="12562" max="12562" width="11.88671875" style="2602" bestFit="1" customWidth="1"/>
    <col min="12563" max="12563" width="8.88671875" style="2602"/>
    <col min="12564" max="12564" width="8.88671875" style="2602" customWidth="1"/>
    <col min="12565" max="12566" width="8.88671875" style="2602"/>
    <col min="12567" max="12568" width="10" style="2602" bestFit="1" customWidth="1"/>
    <col min="12569" max="12800" width="8.88671875" style="2602"/>
    <col min="12801" max="12801" width="38.44140625" style="2602" customWidth="1"/>
    <col min="12802" max="12802" width="16.33203125" style="2602" customWidth="1"/>
    <col min="12803" max="12803" width="13.33203125" style="2602" customWidth="1"/>
    <col min="12804" max="12804" width="15.109375" style="2602" bestFit="1" customWidth="1"/>
    <col min="12805" max="12807" width="15.109375" style="2602" customWidth="1"/>
    <col min="12808" max="12808" width="17.6640625" style="2602" customWidth="1"/>
    <col min="12809" max="12809" width="17.109375" style="2602" customWidth="1"/>
    <col min="12810" max="12810" width="15.109375" style="2602" customWidth="1"/>
    <col min="12811" max="12811" width="17.6640625" style="2602" customWidth="1"/>
    <col min="12812" max="12812" width="15" style="2602" bestFit="1" customWidth="1"/>
    <col min="12813" max="12813" width="22.44140625" style="2602" customWidth="1"/>
    <col min="12814" max="12814" width="1" style="2602" customWidth="1"/>
    <col min="12815" max="12815" width="28" style="2602" customWidth="1"/>
    <col min="12816" max="12816" width="1.33203125" style="2602" customWidth="1"/>
    <col min="12817" max="12817" width="14.6640625" style="2602" customWidth="1"/>
    <col min="12818" max="12818" width="11.88671875" style="2602" bestFit="1" customWidth="1"/>
    <col min="12819" max="12819" width="8.88671875" style="2602"/>
    <col min="12820" max="12820" width="8.88671875" style="2602" customWidth="1"/>
    <col min="12821" max="12822" width="8.88671875" style="2602"/>
    <col min="12823" max="12824" width="10" style="2602" bestFit="1" customWidth="1"/>
    <col min="12825" max="13056" width="8.88671875" style="2602"/>
    <col min="13057" max="13057" width="38.44140625" style="2602" customWidth="1"/>
    <col min="13058" max="13058" width="16.33203125" style="2602" customWidth="1"/>
    <col min="13059" max="13059" width="13.33203125" style="2602" customWidth="1"/>
    <col min="13060" max="13060" width="15.109375" style="2602" bestFit="1" customWidth="1"/>
    <col min="13061" max="13063" width="15.109375" style="2602" customWidth="1"/>
    <col min="13064" max="13064" width="17.6640625" style="2602" customWidth="1"/>
    <col min="13065" max="13065" width="17.109375" style="2602" customWidth="1"/>
    <col min="13066" max="13066" width="15.109375" style="2602" customWidth="1"/>
    <col min="13067" max="13067" width="17.6640625" style="2602" customWidth="1"/>
    <col min="13068" max="13068" width="15" style="2602" bestFit="1" customWidth="1"/>
    <col min="13069" max="13069" width="22.44140625" style="2602" customWidth="1"/>
    <col min="13070" max="13070" width="1" style="2602" customWidth="1"/>
    <col min="13071" max="13071" width="28" style="2602" customWidth="1"/>
    <col min="13072" max="13072" width="1.33203125" style="2602" customWidth="1"/>
    <col min="13073" max="13073" width="14.6640625" style="2602" customWidth="1"/>
    <col min="13074" max="13074" width="11.88671875" style="2602" bestFit="1" customWidth="1"/>
    <col min="13075" max="13075" width="8.88671875" style="2602"/>
    <col min="13076" max="13076" width="8.88671875" style="2602" customWidth="1"/>
    <col min="13077" max="13078" width="8.88671875" style="2602"/>
    <col min="13079" max="13080" width="10" style="2602" bestFit="1" customWidth="1"/>
    <col min="13081" max="13312" width="8.88671875" style="2602"/>
    <col min="13313" max="13313" width="38.44140625" style="2602" customWidth="1"/>
    <col min="13314" max="13314" width="16.33203125" style="2602" customWidth="1"/>
    <col min="13315" max="13315" width="13.33203125" style="2602" customWidth="1"/>
    <col min="13316" max="13316" width="15.109375" style="2602" bestFit="1" customWidth="1"/>
    <col min="13317" max="13319" width="15.109375" style="2602" customWidth="1"/>
    <col min="13320" max="13320" width="17.6640625" style="2602" customWidth="1"/>
    <col min="13321" max="13321" width="17.109375" style="2602" customWidth="1"/>
    <col min="13322" max="13322" width="15.109375" style="2602" customWidth="1"/>
    <col min="13323" max="13323" width="17.6640625" style="2602" customWidth="1"/>
    <col min="13324" max="13324" width="15" style="2602" bestFit="1" customWidth="1"/>
    <col min="13325" max="13325" width="22.44140625" style="2602" customWidth="1"/>
    <col min="13326" max="13326" width="1" style="2602" customWidth="1"/>
    <col min="13327" max="13327" width="28" style="2602" customWidth="1"/>
    <col min="13328" max="13328" width="1.33203125" style="2602" customWidth="1"/>
    <col min="13329" max="13329" width="14.6640625" style="2602" customWidth="1"/>
    <col min="13330" max="13330" width="11.88671875" style="2602" bestFit="1" customWidth="1"/>
    <col min="13331" max="13331" width="8.88671875" style="2602"/>
    <col min="13332" max="13332" width="8.88671875" style="2602" customWidth="1"/>
    <col min="13333" max="13334" width="8.88671875" style="2602"/>
    <col min="13335" max="13336" width="10" style="2602" bestFit="1" customWidth="1"/>
    <col min="13337" max="13568" width="8.88671875" style="2602"/>
    <col min="13569" max="13569" width="38.44140625" style="2602" customWidth="1"/>
    <col min="13570" max="13570" width="16.33203125" style="2602" customWidth="1"/>
    <col min="13571" max="13571" width="13.33203125" style="2602" customWidth="1"/>
    <col min="13572" max="13572" width="15.109375" style="2602" bestFit="1" customWidth="1"/>
    <col min="13573" max="13575" width="15.109375" style="2602" customWidth="1"/>
    <col min="13576" max="13576" width="17.6640625" style="2602" customWidth="1"/>
    <col min="13577" max="13577" width="17.109375" style="2602" customWidth="1"/>
    <col min="13578" max="13578" width="15.109375" style="2602" customWidth="1"/>
    <col min="13579" max="13579" width="17.6640625" style="2602" customWidth="1"/>
    <col min="13580" max="13580" width="15" style="2602" bestFit="1" customWidth="1"/>
    <col min="13581" max="13581" width="22.44140625" style="2602" customWidth="1"/>
    <col min="13582" max="13582" width="1" style="2602" customWidth="1"/>
    <col min="13583" max="13583" width="28" style="2602" customWidth="1"/>
    <col min="13584" max="13584" width="1.33203125" style="2602" customWidth="1"/>
    <col min="13585" max="13585" width="14.6640625" style="2602" customWidth="1"/>
    <col min="13586" max="13586" width="11.88671875" style="2602" bestFit="1" customWidth="1"/>
    <col min="13587" max="13587" width="8.88671875" style="2602"/>
    <col min="13588" max="13588" width="8.88671875" style="2602" customWidth="1"/>
    <col min="13589" max="13590" width="8.88671875" style="2602"/>
    <col min="13591" max="13592" width="10" style="2602" bestFit="1" customWidth="1"/>
    <col min="13593" max="13824" width="8.88671875" style="2602"/>
    <col min="13825" max="13825" width="38.44140625" style="2602" customWidth="1"/>
    <col min="13826" max="13826" width="16.33203125" style="2602" customWidth="1"/>
    <col min="13827" max="13827" width="13.33203125" style="2602" customWidth="1"/>
    <col min="13828" max="13828" width="15.109375" style="2602" bestFit="1" customWidth="1"/>
    <col min="13829" max="13831" width="15.109375" style="2602" customWidth="1"/>
    <col min="13832" max="13832" width="17.6640625" style="2602" customWidth="1"/>
    <col min="13833" max="13833" width="17.109375" style="2602" customWidth="1"/>
    <col min="13834" max="13834" width="15.109375" style="2602" customWidth="1"/>
    <col min="13835" max="13835" width="17.6640625" style="2602" customWidth="1"/>
    <col min="13836" max="13836" width="15" style="2602" bestFit="1" customWidth="1"/>
    <col min="13837" max="13837" width="22.44140625" style="2602" customWidth="1"/>
    <col min="13838" max="13838" width="1" style="2602" customWidth="1"/>
    <col min="13839" max="13839" width="28" style="2602" customWidth="1"/>
    <col min="13840" max="13840" width="1.33203125" style="2602" customWidth="1"/>
    <col min="13841" max="13841" width="14.6640625" style="2602" customWidth="1"/>
    <col min="13842" max="13842" width="11.88671875" style="2602" bestFit="1" customWidth="1"/>
    <col min="13843" max="13843" width="8.88671875" style="2602"/>
    <col min="13844" max="13844" width="8.88671875" style="2602" customWidth="1"/>
    <col min="13845" max="13846" width="8.88671875" style="2602"/>
    <col min="13847" max="13848" width="10" style="2602" bestFit="1" customWidth="1"/>
    <col min="13849" max="14080" width="8.88671875" style="2602"/>
    <col min="14081" max="14081" width="38.44140625" style="2602" customWidth="1"/>
    <col min="14082" max="14082" width="16.33203125" style="2602" customWidth="1"/>
    <col min="14083" max="14083" width="13.33203125" style="2602" customWidth="1"/>
    <col min="14084" max="14084" width="15.109375" style="2602" bestFit="1" customWidth="1"/>
    <col min="14085" max="14087" width="15.109375" style="2602" customWidth="1"/>
    <col min="14088" max="14088" width="17.6640625" style="2602" customWidth="1"/>
    <col min="14089" max="14089" width="17.109375" style="2602" customWidth="1"/>
    <col min="14090" max="14090" width="15.109375" style="2602" customWidth="1"/>
    <col min="14091" max="14091" width="17.6640625" style="2602" customWidth="1"/>
    <col min="14092" max="14092" width="15" style="2602" bestFit="1" customWidth="1"/>
    <col min="14093" max="14093" width="22.44140625" style="2602" customWidth="1"/>
    <col min="14094" max="14094" width="1" style="2602" customWidth="1"/>
    <col min="14095" max="14095" width="28" style="2602" customWidth="1"/>
    <col min="14096" max="14096" width="1.33203125" style="2602" customWidth="1"/>
    <col min="14097" max="14097" width="14.6640625" style="2602" customWidth="1"/>
    <col min="14098" max="14098" width="11.88671875" style="2602" bestFit="1" customWidth="1"/>
    <col min="14099" max="14099" width="8.88671875" style="2602"/>
    <col min="14100" max="14100" width="8.88671875" style="2602" customWidth="1"/>
    <col min="14101" max="14102" width="8.88671875" style="2602"/>
    <col min="14103" max="14104" width="10" style="2602" bestFit="1" customWidth="1"/>
    <col min="14105" max="14336" width="8.88671875" style="2602"/>
    <col min="14337" max="14337" width="38.44140625" style="2602" customWidth="1"/>
    <col min="14338" max="14338" width="16.33203125" style="2602" customWidth="1"/>
    <col min="14339" max="14339" width="13.33203125" style="2602" customWidth="1"/>
    <col min="14340" max="14340" width="15.109375" style="2602" bestFit="1" customWidth="1"/>
    <col min="14341" max="14343" width="15.109375" style="2602" customWidth="1"/>
    <col min="14344" max="14344" width="17.6640625" style="2602" customWidth="1"/>
    <col min="14345" max="14345" width="17.109375" style="2602" customWidth="1"/>
    <col min="14346" max="14346" width="15.109375" style="2602" customWidth="1"/>
    <col min="14347" max="14347" width="17.6640625" style="2602" customWidth="1"/>
    <col min="14348" max="14348" width="15" style="2602" bestFit="1" customWidth="1"/>
    <col min="14349" max="14349" width="22.44140625" style="2602" customWidth="1"/>
    <col min="14350" max="14350" width="1" style="2602" customWidth="1"/>
    <col min="14351" max="14351" width="28" style="2602" customWidth="1"/>
    <col min="14352" max="14352" width="1.33203125" style="2602" customWidth="1"/>
    <col min="14353" max="14353" width="14.6640625" style="2602" customWidth="1"/>
    <col min="14354" max="14354" width="11.88671875" style="2602" bestFit="1" customWidth="1"/>
    <col min="14355" max="14355" width="8.88671875" style="2602"/>
    <col min="14356" max="14356" width="8.88671875" style="2602" customWidth="1"/>
    <col min="14357" max="14358" width="8.88671875" style="2602"/>
    <col min="14359" max="14360" width="10" style="2602" bestFit="1" customWidth="1"/>
    <col min="14361" max="14592" width="8.88671875" style="2602"/>
    <col min="14593" max="14593" width="38.44140625" style="2602" customWidth="1"/>
    <col min="14594" max="14594" width="16.33203125" style="2602" customWidth="1"/>
    <col min="14595" max="14595" width="13.33203125" style="2602" customWidth="1"/>
    <col min="14596" max="14596" width="15.109375" style="2602" bestFit="1" customWidth="1"/>
    <col min="14597" max="14599" width="15.109375" style="2602" customWidth="1"/>
    <col min="14600" max="14600" width="17.6640625" style="2602" customWidth="1"/>
    <col min="14601" max="14601" width="17.109375" style="2602" customWidth="1"/>
    <col min="14602" max="14602" width="15.109375" style="2602" customWidth="1"/>
    <col min="14603" max="14603" width="17.6640625" style="2602" customWidth="1"/>
    <col min="14604" max="14604" width="15" style="2602" bestFit="1" customWidth="1"/>
    <col min="14605" max="14605" width="22.44140625" style="2602" customWidth="1"/>
    <col min="14606" max="14606" width="1" style="2602" customWidth="1"/>
    <col min="14607" max="14607" width="28" style="2602" customWidth="1"/>
    <col min="14608" max="14608" width="1.33203125" style="2602" customWidth="1"/>
    <col min="14609" max="14609" width="14.6640625" style="2602" customWidth="1"/>
    <col min="14610" max="14610" width="11.88671875" style="2602" bestFit="1" customWidth="1"/>
    <col min="14611" max="14611" width="8.88671875" style="2602"/>
    <col min="14612" max="14612" width="8.88671875" style="2602" customWidth="1"/>
    <col min="14613" max="14614" width="8.88671875" style="2602"/>
    <col min="14615" max="14616" width="10" style="2602" bestFit="1" customWidth="1"/>
    <col min="14617" max="14848" width="8.88671875" style="2602"/>
    <col min="14849" max="14849" width="38.44140625" style="2602" customWidth="1"/>
    <col min="14850" max="14850" width="16.33203125" style="2602" customWidth="1"/>
    <col min="14851" max="14851" width="13.33203125" style="2602" customWidth="1"/>
    <col min="14852" max="14852" width="15.109375" style="2602" bestFit="1" customWidth="1"/>
    <col min="14853" max="14855" width="15.109375" style="2602" customWidth="1"/>
    <col min="14856" max="14856" width="17.6640625" style="2602" customWidth="1"/>
    <col min="14857" max="14857" width="17.109375" style="2602" customWidth="1"/>
    <col min="14858" max="14858" width="15.109375" style="2602" customWidth="1"/>
    <col min="14859" max="14859" width="17.6640625" style="2602" customWidth="1"/>
    <col min="14860" max="14860" width="15" style="2602" bestFit="1" customWidth="1"/>
    <col min="14861" max="14861" width="22.44140625" style="2602" customWidth="1"/>
    <col min="14862" max="14862" width="1" style="2602" customWidth="1"/>
    <col min="14863" max="14863" width="28" style="2602" customWidth="1"/>
    <col min="14864" max="14864" width="1.33203125" style="2602" customWidth="1"/>
    <col min="14865" max="14865" width="14.6640625" style="2602" customWidth="1"/>
    <col min="14866" max="14866" width="11.88671875" style="2602" bestFit="1" customWidth="1"/>
    <col min="14867" max="14867" width="8.88671875" style="2602"/>
    <col min="14868" max="14868" width="8.88671875" style="2602" customWidth="1"/>
    <col min="14869" max="14870" width="8.88671875" style="2602"/>
    <col min="14871" max="14872" width="10" style="2602" bestFit="1" customWidth="1"/>
    <col min="14873" max="15104" width="8.88671875" style="2602"/>
    <col min="15105" max="15105" width="38.44140625" style="2602" customWidth="1"/>
    <col min="15106" max="15106" width="16.33203125" style="2602" customWidth="1"/>
    <col min="15107" max="15107" width="13.33203125" style="2602" customWidth="1"/>
    <col min="15108" max="15108" width="15.109375" style="2602" bestFit="1" customWidth="1"/>
    <col min="15109" max="15111" width="15.109375" style="2602" customWidth="1"/>
    <col min="15112" max="15112" width="17.6640625" style="2602" customWidth="1"/>
    <col min="15113" max="15113" width="17.109375" style="2602" customWidth="1"/>
    <col min="15114" max="15114" width="15.109375" style="2602" customWidth="1"/>
    <col min="15115" max="15115" width="17.6640625" style="2602" customWidth="1"/>
    <col min="15116" max="15116" width="15" style="2602" bestFit="1" customWidth="1"/>
    <col min="15117" max="15117" width="22.44140625" style="2602" customWidth="1"/>
    <col min="15118" max="15118" width="1" style="2602" customWidth="1"/>
    <col min="15119" max="15119" width="28" style="2602" customWidth="1"/>
    <col min="15120" max="15120" width="1.33203125" style="2602" customWidth="1"/>
    <col min="15121" max="15121" width="14.6640625" style="2602" customWidth="1"/>
    <col min="15122" max="15122" width="11.88671875" style="2602" bestFit="1" customWidth="1"/>
    <col min="15123" max="15123" width="8.88671875" style="2602"/>
    <col min="15124" max="15124" width="8.88671875" style="2602" customWidth="1"/>
    <col min="15125" max="15126" width="8.88671875" style="2602"/>
    <col min="15127" max="15128" width="10" style="2602" bestFit="1" customWidth="1"/>
    <col min="15129" max="15360" width="8.88671875" style="2602"/>
    <col min="15361" max="15361" width="38.44140625" style="2602" customWidth="1"/>
    <col min="15362" max="15362" width="16.33203125" style="2602" customWidth="1"/>
    <col min="15363" max="15363" width="13.33203125" style="2602" customWidth="1"/>
    <col min="15364" max="15364" width="15.109375" style="2602" bestFit="1" customWidth="1"/>
    <col min="15365" max="15367" width="15.109375" style="2602" customWidth="1"/>
    <col min="15368" max="15368" width="17.6640625" style="2602" customWidth="1"/>
    <col min="15369" max="15369" width="17.109375" style="2602" customWidth="1"/>
    <col min="15370" max="15370" width="15.109375" style="2602" customWidth="1"/>
    <col min="15371" max="15371" width="17.6640625" style="2602" customWidth="1"/>
    <col min="15372" max="15372" width="15" style="2602" bestFit="1" customWidth="1"/>
    <col min="15373" max="15373" width="22.44140625" style="2602" customWidth="1"/>
    <col min="15374" max="15374" width="1" style="2602" customWidth="1"/>
    <col min="15375" max="15375" width="28" style="2602" customWidth="1"/>
    <col min="15376" max="15376" width="1.33203125" style="2602" customWidth="1"/>
    <col min="15377" max="15377" width="14.6640625" style="2602" customWidth="1"/>
    <col min="15378" max="15378" width="11.88671875" style="2602" bestFit="1" customWidth="1"/>
    <col min="15379" max="15379" width="8.88671875" style="2602"/>
    <col min="15380" max="15380" width="8.88671875" style="2602" customWidth="1"/>
    <col min="15381" max="15382" width="8.88671875" style="2602"/>
    <col min="15383" max="15384" width="10" style="2602" bestFit="1" customWidth="1"/>
    <col min="15385" max="15616" width="8.88671875" style="2602"/>
    <col min="15617" max="15617" width="38.44140625" style="2602" customWidth="1"/>
    <col min="15618" max="15618" width="16.33203125" style="2602" customWidth="1"/>
    <col min="15619" max="15619" width="13.33203125" style="2602" customWidth="1"/>
    <col min="15620" max="15620" width="15.109375" style="2602" bestFit="1" customWidth="1"/>
    <col min="15621" max="15623" width="15.109375" style="2602" customWidth="1"/>
    <col min="15624" max="15624" width="17.6640625" style="2602" customWidth="1"/>
    <col min="15625" max="15625" width="17.109375" style="2602" customWidth="1"/>
    <col min="15626" max="15626" width="15.109375" style="2602" customWidth="1"/>
    <col min="15627" max="15627" width="17.6640625" style="2602" customWidth="1"/>
    <col min="15628" max="15628" width="15" style="2602" bestFit="1" customWidth="1"/>
    <col min="15629" max="15629" width="22.44140625" style="2602" customWidth="1"/>
    <col min="15630" max="15630" width="1" style="2602" customWidth="1"/>
    <col min="15631" max="15631" width="28" style="2602" customWidth="1"/>
    <col min="15632" max="15632" width="1.33203125" style="2602" customWidth="1"/>
    <col min="15633" max="15633" width="14.6640625" style="2602" customWidth="1"/>
    <col min="15634" max="15634" width="11.88671875" style="2602" bestFit="1" customWidth="1"/>
    <col min="15635" max="15635" width="8.88671875" style="2602"/>
    <col min="15636" max="15636" width="8.88671875" style="2602" customWidth="1"/>
    <col min="15637" max="15638" width="8.88671875" style="2602"/>
    <col min="15639" max="15640" width="10" style="2602" bestFit="1" customWidth="1"/>
    <col min="15641" max="15872" width="8.88671875" style="2602"/>
    <col min="15873" max="15873" width="38.44140625" style="2602" customWidth="1"/>
    <col min="15874" max="15874" width="16.33203125" style="2602" customWidth="1"/>
    <col min="15875" max="15875" width="13.33203125" style="2602" customWidth="1"/>
    <col min="15876" max="15876" width="15.109375" style="2602" bestFit="1" customWidth="1"/>
    <col min="15877" max="15879" width="15.109375" style="2602" customWidth="1"/>
    <col min="15880" max="15880" width="17.6640625" style="2602" customWidth="1"/>
    <col min="15881" max="15881" width="17.109375" style="2602" customWidth="1"/>
    <col min="15882" max="15882" width="15.109375" style="2602" customWidth="1"/>
    <col min="15883" max="15883" width="17.6640625" style="2602" customWidth="1"/>
    <col min="15884" max="15884" width="15" style="2602" bestFit="1" customWidth="1"/>
    <col min="15885" max="15885" width="22.44140625" style="2602" customWidth="1"/>
    <col min="15886" max="15886" width="1" style="2602" customWidth="1"/>
    <col min="15887" max="15887" width="28" style="2602" customWidth="1"/>
    <col min="15888" max="15888" width="1.33203125" style="2602" customWidth="1"/>
    <col min="15889" max="15889" width="14.6640625" style="2602" customWidth="1"/>
    <col min="15890" max="15890" width="11.88671875" style="2602" bestFit="1" customWidth="1"/>
    <col min="15891" max="15891" width="8.88671875" style="2602"/>
    <col min="15892" max="15892" width="8.88671875" style="2602" customWidth="1"/>
    <col min="15893" max="15894" width="8.88671875" style="2602"/>
    <col min="15895" max="15896" width="10" style="2602" bestFit="1" customWidth="1"/>
    <col min="15897" max="16128" width="8.88671875" style="2602"/>
    <col min="16129" max="16129" width="38.44140625" style="2602" customWidth="1"/>
    <col min="16130" max="16130" width="16.33203125" style="2602" customWidth="1"/>
    <col min="16131" max="16131" width="13.33203125" style="2602" customWidth="1"/>
    <col min="16132" max="16132" width="15.109375" style="2602" bestFit="1" customWidth="1"/>
    <col min="16133" max="16135" width="15.109375" style="2602" customWidth="1"/>
    <col min="16136" max="16136" width="17.6640625" style="2602" customWidth="1"/>
    <col min="16137" max="16137" width="17.109375" style="2602" customWidth="1"/>
    <col min="16138" max="16138" width="15.109375" style="2602" customWidth="1"/>
    <col min="16139" max="16139" width="17.6640625" style="2602" customWidth="1"/>
    <col min="16140" max="16140" width="15" style="2602" bestFit="1" customWidth="1"/>
    <col min="16141" max="16141" width="22.44140625" style="2602" customWidth="1"/>
    <col min="16142" max="16142" width="1" style="2602" customWidth="1"/>
    <col min="16143" max="16143" width="28" style="2602" customWidth="1"/>
    <col min="16144" max="16144" width="1.33203125" style="2602" customWidth="1"/>
    <col min="16145" max="16145" width="14.6640625" style="2602" customWidth="1"/>
    <col min="16146" max="16146" width="11.88671875" style="2602" bestFit="1" customWidth="1"/>
    <col min="16147" max="16147" width="8.88671875" style="2602"/>
    <col min="16148" max="16148" width="8.88671875" style="2602" customWidth="1"/>
    <col min="16149" max="16150" width="8.88671875" style="2602"/>
    <col min="16151" max="16152" width="10" style="2602" bestFit="1" customWidth="1"/>
    <col min="16153" max="16384" width="8.88671875" style="2602"/>
  </cols>
  <sheetData>
    <row r="1" spans="1:20" ht="15" hidden="1" thickBot="1">
      <c r="A1" s="2600" t="s">
        <v>775</v>
      </c>
      <c r="B1" s="2600"/>
      <c r="C1" s="2600"/>
      <c r="D1" s="2600"/>
      <c r="E1" s="2600"/>
      <c r="F1" s="2600"/>
      <c r="G1" s="2600"/>
      <c r="H1" s="2600"/>
      <c r="I1" s="2600"/>
      <c r="J1" s="2600"/>
      <c r="K1" s="2600"/>
      <c r="L1" s="2600"/>
      <c r="M1" s="2600"/>
    </row>
    <row r="2" spans="1:20" ht="72.599999999999994" hidden="1" thickBot="1">
      <c r="A2" s="2603"/>
      <c r="B2" s="2604" t="s">
        <v>75</v>
      </c>
      <c r="C2" s="2605" t="s">
        <v>776</v>
      </c>
      <c r="D2" s="2605" t="s">
        <v>635</v>
      </c>
      <c r="E2" s="2605" t="s">
        <v>777</v>
      </c>
      <c r="F2" s="2605" t="s">
        <v>778</v>
      </c>
      <c r="G2" s="2605" t="s">
        <v>779</v>
      </c>
      <c r="H2" s="2606" t="s">
        <v>780</v>
      </c>
      <c r="I2" s="2606" t="s">
        <v>781</v>
      </c>
      <c r="J2" s="2605" t="s">
        <v>782</v>
      </c>
      <c r="K2" s="2605" t="s">
        <v>783</v>
      </c>
      <c r="L2" s="2607" t="s">
        <v>167</v>
      </c>
      <c r="M2" s="2608"/>
    </row>
    <row r="3" spans="1:20" s="2601" customFormat="1" ht="15" hidden="1" thickBot="1">
      <c r="A3" s="2609" t="s">
        <v>172</v>
      </c>
      <c r="B3" s="2610">
        <f>B19</f>
        <v>34927.359999999993</v>
      </c>
      <c r="C3" s="2611">
        <f>C19</f>
        <v>35900.800000000003</v>
      </c>
      <c r="D3" s="2611">
        <f>D19</f>
        <v>45210.880000000005</v>
      </c>
      <c r="E3" s="2611">
        <v>78595</v>
      </c>
      <c r="F3" s="2611">
        <v>62200</v>
      </c>
      <c r="G3" s="2611">
        <f>G19</f>
        <v>54412.800000000003</v>
      </c>
      <c r="H3" s="2611">
        <f>H19</f>
        <v>59904</v>
      </c>
      <c r="I3" s="2611">
        <f>I19</f>
        <v>90292.799999999988</v>
      </c>
      <c r="J3" s="2611">
        <f>J19</f>
        <v>63627.199999999997</v>
      </c>
      <c r="K3" s="2611">
        <f>K19</f>
        <v>54412.800000000003</v>
      </c>
      <c r="L3" s="2612" t="s">
        <v>784</v>
      </c>
      <c r="M3" s="2613"/>
      <c r="O3" s="2602"/>
      <c r="P3" s="2602"/>
      <c r="Q3" s="2602"/>
      <c r="R3" s="2602"/>
      <c r="S3" s="2602"/>
      <c r="T3" s="2602"/>
    </row>
    <row r="4" spans="1:20" s="2601" customFormat="1" ht="15" hidden="1" thickBot="1">
      <c r="A4" s="2614" t="s">
        <v>286</v>
      </c>
      <c r="B4" s="2615">
        <f>'[21]Salary Bench Chart'!$C$30</f>
        <v>0.224</v>
      </c>
      <c r="C4" s="2615">
        <f>'[21]Salary Bench Chart'!$C$30</f>
        <v>0.224</v>
      </c>
      <c r="D4" s="2615">
        <f>'[21]Salary Bench Chart'!$C$30</f>
        <v>0.224</v>
      </c>
      <c r="E4" s="2615">
        <f>'[21]Salary Bench Chart'!$C$30</f>
        <v>0.224</v>
      </c>
      <c r="F4" s="2615">
        <f>'[21]Salary Bench Chart'!$C$30</f>
        <v>0.224</v>
      </c>
      <c r="G4" s="2615">
        <f>'[21]Salary Bench Chart'!$C$30</f>
        <v>0.224</v>
      </c>
      <c r="H4" s="2615">
        <f>'[21]Salary Bench Chart'!$C$30</f>
        <v>0.224</v>
      </c>
      <c r="I4" s="2615">
        <f>'[21]Salary Bench Chart'!$C$30</f>
        <v>0.224</v>
      </c>
      <c r="J4" s="2615">
        <f>'[21]Salary Bench Chart'!$C$30</f>
        <v>0.224</v>
      </c>
      <c r="K4" s="2615">
        <f>'[21]Salary Bench Chart'!$C$30</f>
        <v>0.224</v>
      </c>
      <c r="L4" s="2616" t="s">
        <v>785</v>
      </c>
      <c r="M4" s="2617"/>
      <c r="O4" s="2602"/>
      <c r="P4" s="2602"/>
      <c r="Q4" s="2602"/>
      <c r="R4" s="2602"/>
      <c r="S4" s="2602"/>
      <c r="T4" s="2602"/>
    </row>
    <row r="5" spans="1:20" s="2601" customFormat="1" ht="15" hidden="1" thickBot="1">
      <c r="A5" s="2614" t="s">
        <v>786</v>
      </c>
      <c r="B5" s="2618">
        <f>B3*B4</f>
        <v>7823.7286399999984</v>
      </c>
      <c r="C5" s="2619">
        <f t="shared" ref="C5:K5" si="0">C3*C4</f>
        <v>8041.7792000000009</v>
      </c>
      <c r="D5" s="2619">
        <f t="shared" si="0"/>
        <v>10127.237120000002</v>
      </c>
      <c r="E5" s="2619">
        <f t="shared" si="0"/>
        <v>17605.28</v>
      </c>
      <c r="F5" s="2619">
        <f>F3*F4</f>
        <v>13932.800000000001</v>
      </c>
      <c r="G5" s="2619">
        <f t="shared" si="0"/>
        <v>12188.467200000001</v>
      </c>
      <c r="H5" s="2619">
        <f t="shared" si="0"/>
        <v>13418.496000000001</v>
      </c>
      <c r="I5" s="2619">
        <f t="shared" si="0"/>
        <v>20225.587199999998</v>
      </c>
      <c r="J5" s="2619">
        <f t="shared" si="0"/>
        <v>14252.4928</v>
      </c>
      <c r="K5" s="2619">
        <f t="shared" si="0"/>
        <v>12188.467200000001</v>
      </c>
      <c r="L5" s="2620"/>
      <c r="M5" s="2621"/>
      <c r="O5" s="2602"/>
      <c r="P5" s="2602"/>
      <c r="Q5" s="2602"/>
      <c r="R5" s="2602"/>
      <c r="S5" s="2602"/>
      <c r="T5" s="2602"/>
    </row>
    <row r="6" spans="1:20" s="2601" customFormat="1" ht="15" hidden="1" thickBot="1">
      <c r="A6" s="2614" t="s">
        <v>787</v>
      </c>
      <c r="B6" s="2618">
        <f>B3+B5</f>
        <v>42751.088639999994</v>
      </c>
      <c r="C6" s="2619">
        <f t="shared" ref="C6:K6" si="1">C3+C5</f>
        <v>43942.579200000007</v>
      </c>
      <c r="D6" s="2619">
        <f t="shared" si="1"/>
        <v>55338.11712000001</v>
      </c>
      <c r="E6" s="2619">
        <f t="shared" si="1"/>
        <v>96200.28</v>
      </c>
      <c r="F6" s="2619">
        <f>F3+F5</f>
        <v>76132.800000000003</v>
      </c>
      <c r="G6" s="2619">
        <f t="shared" si="1"/>
        <v>66601.267200000002</v>
      </c>
      <c r="H6" s="2619">
        <f t="shared" si="1"/>
        <v>73322.495999999999</v>
      </c>
      <c r="I6" s="2619">
        <f t="shared" si="1"/>
        <v>110518.38719999998</v>
      </c>
      <c r="J6" s="2619">
        <f t="shared" si="1"/>
        <v>77879.69279999999</v>
      </c>
      <c r="K6" s="2619">
        <f t="shared" si="1"/>
        <v>66601.267200000002</v>
      </c>
      <c r="L6" s="2620"/>
      <c r="M6" s="2621"/>
      <c r="O6" s="2602"/>
      <c r="P6" s="2602"/>
      <c r="Q6" s="2602"/>
      <c r="R6" s="2602"/>
      <c r="S6" s="2602"/>
      <c r="T6" s="2602"/>
    </row>
    <row r="7" spans="1:20" s="2601" customFormat="1" ht="15" hidden="1" thickBot="1">
      <c r="A7" s="2622" t="s">
        <v>61</v>
      </c>
      <c r="B7" s="2623">
        <f>B3*L7</f>
        <v>129.23123199999998</v>
      </c>
      <c r="C7" s="2623">
        <f>C3*$N$23</f>
        <v>132.83296000000001</v>
      </c>
      <c r="D7" s="2623">
        <f>D3*$N$23</f>
        <v>167.28025600000004</v>
      </c>
      <c r="E7" s="2623">
        <f>E3*$N$23</f>
        <v>290.80150000000003</v>
      </c>
      <c r="F7" s="2623">
        <f>F3*$N$23</f>
        <v>230.14000000000001</v>
      </c>
      <c r="G7" s="2623">
        <f>G3*$N$23</f>
        <v>201.32736000000003</v>
      </c>
      <c r="H7" s="2623">
        <f>H3*L7</f>
        <v>221.6448</v>
      </c>
      <c r="I7" s="2623">
        <f>I3*L7</f>
        <v>334.08335999999997</v>
      </c>
      <c r="J7" s="2623">
        <f>J3*L7</f>
        <v>235.42063999999999</v>
      </c>
      <c r="K7" s="2623">
        <f>K3*L7</f>
        <v>201.32736000000003</v>
      </c>
      <c r="L7" s="2624">
        <v>3.7000000000000002E-3</v>
      </c>
      <c r="M7" s="2625"/>
      <c r="O7" s="2602"/>
      <c r="P7" s="2602"/>
      <c r="Q7" s="2602"/>
      <c r="R7" s="2602"/>
      <c r="S7" s="2602"/>
      <c r="T7" s="2602"/>
    </row>
    <row r="8" spans="1:20" s="2601" customFormat="1" ht="15" hidden="1" thickBot="1">
      <c r="A8" s="2614" t="s">
        <v>181</v>
      </c>
      <c r="B8" s="2618">
        <f>B7+B6</f>
        <v>42880.319871999993</v>
      </c>
      <c r="C8" s="2619">
        <f t="shared" ref="C8:K8" si="2">C7+C6</f>
        <v>44075.412160000007</v>
      </c>
      <c r="D8" s="2619">
        <f t="shared" si="2"/>
        <v>55505.397376000008</v>
      </c>
      <c r="E8" s="2619">
        <f t="shared" si="2"/>
        <v>96491.0815</v>
      </c>
      <c r="F8" s="2619">
        <f>F7+F6</f>
        <v>76362.94</v>
      </c>
      <c r="G8" s="2619">
        <f t="shared" si="2"/>
        <v>66802.594559999998</v>
      </c>
      <c r="H8" s="2619">
        <f t="shared" si="2"/>
        <v>73544.140799999994</v>
      </c>
      <c r="I8" s="2619">
        <f t="shared" si="2"/>
        <v>110852.47055999999</v>
      </c>
      <c r="J8" s="2619">
        <f t="shared" si="2"/>
        <v>78115.113439999986</v>
      </c>
      <c r="K8" s="2619">
        <f t="shared" si="2"/>
        <v>66802.594559999998</v>
      </c>
      <c r="L8" s="2626"/>
      <c r="M8" s="2627"/>
      <c r="O8" s="2602"/>
      <c r="P8" s="2602"/>
      <c r="Q8" s="2602"/>
      <c r="R8" s="2602"/>
      <c r="S8" s="2602"/>
      <c r="T8" s="2602"/>
    </row>
    <row r="9" spans="1:20" ht="15" hidden="1" thickBot="1">
      <c r="A9" s="2614" t="s">
        <v>189</v>
      </c>
      <c r="B9" s="2628">
        <f>B8*($L$9)</f>
        <v>857.60639743999991</v>
      </c>
      <c r="C9" s="2628">
        <f t="shared" ref="C9:K9" si="3">C8*($L$9)</f>
        <v>881.50824320000015</v>
      </c>
      <c r="D9" s="2628">
        <f t="shared" si="3"/>
        <v>1110.1079475200002</v>
      </c>
      <c r="E9" s="2628">
        <f t="shared" si="3"/>
        <v>1929.8216300000001</v>
      </c>
      <c r="F9" s="2628">
        <f t="shared" si="3"/>
        <v>1527.2588000000001</v>
      </c>
      <c r="G9" s="2628">
        <f t="shared" si="3"/>
        <v>1336.0518912</v>
      </c>
      <c r="H9" s="2628">
        <f t="shared" si="3"/>
        <v>1470.8828159999998</v>
      </c>
      <c r="I9" s="2628">
        <f t="shared" si="3"/>
        <v>2217.0494111999997</v>
      </c>
      <c r="J9" s="2628">
        <f t="shared" si="3"/>
        <v>1562.3022687999999</v>
      </c>
      <c r="K9" s="2628">
        <f t="shared" si="3"/>
        <v>1336.0518912</v>
      </c>
      <c r="L9" s="2629">
        <v>0.02</v>
      </c>
      <c r="M9" s="2630"/>
    </row>
    <row r="10" spans="1:20" ht="15" hidden="1" thickBot="1">
      <c r="A10" s="2631" t="s">
        <v>788</v>
      </c>
      <c r="B10" s="2632">
        <f>SUM(B8+B9)/12</f>
        <v>3644.8271891199997</v>
      </c>
      <c r="C10" s="2632">
        <f t="shared" ref="C10:K10" si="4">SUM(C8+C9)/12</f>
        <v>3746.4100336000006</v>
      </c>
      <c r="D10" s="2632">
        <f t="shared" si="4"/>
        <v>4717.9587769600012</v>
      </c>
      <c r="E10" s="2632">
        <f t="shared" si="4"/>
        <v>8201.7419275000011</v>
      </c>
      <c r="F10" s="2632">
        <f>SUM(F8+F9)/12</f>
        <v>6490.8499000000002</v>
      </c>
      <c r="G10" s="2632">
        <f t="shared" si="4"/>
        <v>5678.2205375999993</v>
      </c>
      <c r="H10" s="2632">
        <f t="shared" si="4"/>
        <v>6251.2519679999996</v>
      </c>
      <c r="I10" s="2632">
        <f t="shared" si="4"/>
        <v>9422.459997599999</v>
      </c>
      <c r="J10" s="2632">
        <f t="shared" si="4"/>
        <v>6639.784642399999</v>
      </c>
      <c r="K10" s="2632">
        <f t="shared" si="4"/>
        <v>5678.2205375999993</v>
      </c>
      <c r="L10" s="2633"/>
      <c r="M10" s="2634"/>
    </row>
    <row r="11" spans="1:20" ht="15" hidden="1" thickBot="1">
      <c r="A11" s="2631" t="s">
        <v>789</v>
      </c>
      <c r="B11" s="2632">
        <f>B10*0.75</f>
        <v>2733.6203918399997</v>
      </c>
      <c r="C11" s="2632">
        <f t="shared" ref="C11:K11" si="5">C10*0.75</f>
        <v>2809.8075252000003</v>
      </c>
      <c r="D11" s="2632">
        <f t="shared" si="5"/>
        <v>3538.4690827200011</v>
      </c>
      <c r="E11" s="2632">
        <f t="shared" si="5"/>
        <v>6151.3064456250013</v>
      </c>
      <c r="F11" s="2632">
        <f>F10*0.75</f>
        <v>4868.1374249999999</v>
      </c>
      <c r="G11" s="2632">
        <f t="shared" si="5"/>
        <v>4258.6654031999997</v>
      </c>
      <c r="H11" s="2632">
        <f t="shared" si="5"/>
        <v>4688.4389759999995</v>
      </c>
      <c r="I11" s="2632">
        <f t="shared" si="5"/>
        <v>7066.8449981999993</v>
      </c>
      <c r="J11" s="2632">
        <f t="shared" si="5"/>
        <v>4979.8384817999995</v>
      </c>
      <c r="K11" s="2632">
        <f t="shared" si="5"/>
        <v>4258.6654031999997</v>
      </c>
      <c r="L11" s="2633"/>
      <c r="M11" s="2634"/>
    </row>
    <row r="12" spans="1:20" ht="15" hidden="1" thickBot="1">
      <c r="A12" s="2631" t="s">
        <v>790</v>
      </c>
      <c r="B12" s="2632">
        <f>B10*0.5</f>
        <v>1822.4135945599999</v>
      </c>
      <c r="C12" s="2632">
        <f t="shared" ref="C12:K12" si="6">C10*0.5</f>
        <v>1873.2050168000003</v>
      </c>
      <c r="D12" s="2632">
        <f t="shared" si="6"/>
        <v>2358.9793884800006</v>
      </c>
      <c r="E12" s="2632">
        <f t="shared" si="6"/>
        <v>4100.8709637500006</v>
      </c>
      <c r="F12" s="2632">
        <f>F10*0.5</f>
        <v>3245.4249500000001</v>
      </c>
      <c r="G12" s="2632">
        <f t="shared" si="6"/>
        <v>2839.1102687999996</v>
      </c>
      <c r="H12" s="2632">
        <f t="shared" si="6"/>
        <v>3125.6259839999998</v>
      </c>
      <c r="I12" s="2632">
        <f t="shared" si="6"/>
        <v>4711.2299987999995</v>
      </c>
      <c r="J12" s="2632">
        <f t="shared" si="6"/>
        <v>3319.8923211999995</v>
      </c>
      <c r="K12" s="2632">
        <f t="shared" si="6"/>
        <v>2839.1102687999996</v>
      </c>
      <c r="L12" s="2633"/>
      <c r="M12" s="2634"/>
    </row>
    <row r="13" spans="1:20" ht="15" hidden="1" thickBot="1">
      <c r="A13" s="2631" t="s">
        <v>791</v>
      </c>
      <c r="B13" s="2632">
        <f>B10*0.25</f>
        <v>911.20679727999993</v>
      </c>
      <c r="C13" s="2632">
        <f t="shared" ref="C13:K13" si="7">C10*0.25</f>
        <v>936.60250840000015</v>
      </c>
      <c r="D13" s="2632">
        <f t="shared" si="7"/>
        <v>1179.4896942400003</v>
      </c>
      <c r="E13" s="2632">
        <f t="shared" si="7"/>
        <v>2050.4354818750003</v>
      </c>
      <c r="F13" s="2632">
        <f>F10*0.25</f>
        <v>1622.712475</v>
      </c>
      <c r="G13" s="2632">
        <f t="shared" si="7"/>
        <v>1419.5551343999998</v>
      </c>
      <c r="H13" s="2632">
        <f t="shared" si="7"/>
        <v>1562.8129919999999</v>
      </c>
      <c r="I13" s="2632">
        <f t="shared" si="7"/>
        <v>2355.6149993999998</v>
      </c>
      <c r="J13" s="2632">
        <f t="shared" si="7"/>
        <v>1659.9461605999998</v>
      </c>
      <c r="K13" s="2632">
        <f t="shared" si="7"/>
        <v>1419.5551343999998</v>
      </c>
      <c r="L13" s="2633"/>
      <c r="M13" s="2634"/>
    </row>
    <row r="14" spans="1:20" ht="15" hidden="1" thickBot="1">
      <c r="P14" s="2636"/>
      <c r="Q14" s="2636"/>
    </row>
    <row r="15" spans="1:20" ht="18">
      <c r="A15" s="2637" t="s">
        <v>792</v>
      </c>
      <c r="B15" s="2638"/>
      <c r="C15" s="2639"/>
      <c r="D15" s="2638"/>
      <c r="E15" s="2638"/>
      <c r="F15" s="2638"/>
      <c r="G15" s="2638"/>
      <c r="H15" s="2638"/>
      <c r="I15" s="2638"/>
      <c r="J15" s="2638"/>
      <c r="K15" s="2638"/>
      <c r="L15" s="2638"/>
      <c r="M15" s="2638"/>
      <c r="N15" s="2640"/>
      <c r="O15" s="2641"/>
      <c r="P15" s="2642"/>
      <c r="Q15" s="2636"/>
    </row>
    <row r="16" spans="1:20">
      <c r="A16" s="2600" t="s">
        <v>793</v>
      </c>
      <c r="B16" s="2600"/>
      <c r="C16" s="2600"/>
      <c r="D16" s="2600"/>
      <c r="E16" s="2600"/>
      <c r="F16" s="2600"/>
      <c r="G16" s="2600"/>
      <c r="H16" s="2600"/>
      <c r="I16" s="2600"/>
      <c r="J16" s="2600"/>
      <c r="K16" s="2600"/>
      <c r="L16" s="2600"/>
      <c r="M16" s="2600"/>
      <c r="N16" s="2643"/>
      <c r="O16" s="2643"/>
      <c r="P16" s="2643"/>
      <c r="Q16" s="2636"/>
    </row>
    <row r="17" spans="1:19" ht="15" customHeight="1" thickBot="1">
      <c r="A17" s="2637"/>
      <c r="B17" s="2644"/>
      <c r="C17" s="2644"/>
      <c r="D17" s="2638"/>
      <c r="E17" s="2638"/>
      <c r="F17" s="2638"/>
      <c r="G17" s="2638"/>
      <c r="H17" s="2638"/>
      <c r="I17" s="2638"/>
      <c r="J17" s="2645"/>
      <c r="K17" s="2645"/>
      <c r="L17" s="2642"/>
      <c r="M17" s="2642"/>
      <c r="N17" s="2602"/>
      <c r="P17" s="2636"/>
      <c r="Q17" s="2636"/>
    </row>
    <row r="18" spans="1:19" ht="72.599999999999994" thickBot="1">
      <c r="A18" s="2603"/>
      <c r="B18" s="2646" t="s">
        <v>75</v>
      </c>
      <c r="C18" s="2647" t="s">
        <v>776</v>
      </c>
      <c r="D18" s="2647" t="s">
        <v>635</v>
      </c>
      <c r="E18" s="2647" t="s">
        <v>777</v>
      </c>
      <c r="F18" s="2647" t="s">
        <v>778</v>
      </c>
      <c r="G18" s="2647" t="s">
        <v>794</v>
      </c>
      <c r="H18" s="2648" t="s">
        <v>780</v>
      </c>
      <c r="I18" s="2648" t="s">
        <v>781</v>
      </c>
      <c r="J18" s="2647" t="s">
        <v>795</v>
      </c>
      <c r="K18" s="2647" t="s">
        <v>783</v>
      </c>
      <c r="L18" s="2647" t="s">
        <v>796</v>
      </c>
      <c r="M18" s="2647" t="s">
        <v>797</v>
      </c>
      <c r="N18" s="2649" t="s">
        <v>167</v>
      </c>
      <c r="O18" s="2650"/>
      <c r="R18" s="2636"/>
      <c r="S18" s="2636"/>
    </row>
    <row r="19" spans="1:19" s="3096" customFormat="1">
      <c r="A19" s="2609" t="s">
        <v>172</v>
      </c>
      <c r="B19" s="2610">
        <f>'[13]BLS Chart'!C6</f>
        <v>34927.359999999993</v>
      </c>
      <c r="C19" s="2611">
        <f>'[13]BLS Chart'!C10</f>
        <v>35900.800000000003</v>
      </c>
      <c r="D19" s="2611">
        <f>'[13]BLS Chart'!C8</f>
        <v>45210.880000000005</v>
      </c>
      <c r="E19" s="2611">
        <v>78595</v>
      </c>
      <c r="F19" s="2611">
        <v>62200</v>
      </c>
      <c r="G19" s="2611">
        <f>'[13]BLS Chart'!C14</f>
        <v>54412.800000000003</v>
      </c>
      <c r="H19" s="2611">
        <f>'[13]BLS Chart'!C22</f>
        <v>59904</v>
      </c>
      <c r="I19" s="2611">
        <f>'[13]BLS Chart'!C24</f>
        <v>90292.799999999988</v>
      </c>
      <c r="J19" s="2611">
        <f>'[13]BLS Chart'!C16</f>
        <v>63627.199999999997</v>
      </c>
      <c r="K19" s="2611">
        <f>'[13]BLS Chart'!C14</f>
        <v>54412.800000000003</v>
      </c>
      <c r="L19" s="2611">
        <f>'[13]BLS Chart'!C26</f>
        <v>123968</v>
      </c>
      <c r="M19" s="2611">
        <v>195390</v>
      </c>
      <c r="N19" s="2612" t="s">
        <v>798</v>
      </c>
      <c r="O19" s="2613"/>
      <c r="R19" s="2603"/>
      <c r="S19" s="2603"/>
    </row>
    <row r="20" spans="1:19" s="3096" customFormat="1">
      <c r="A20" s="2614" t="s">
        <v>286</v>
      </c>
      <c r="B20" s="3097">
        <f>'[21]Salary Bench Chart'!$C$30</f>
        <v>0.224</v>
      </c>
      <c r="C20" s="3097">
        <f>'[21]Salary Bench Chart'!$C$30</f>
        <v>0.224</v>
      </c>
      <c r="D20" s="3097">
        <f>'[21]Salary Bench Chart'!$C$30</f>
        <v>0.224</v>
      </c>
      <c r="E20" s="3097">
        <f>'[21]Salary Bench Chart'!$C$30</f>
        <v>0.224</v>
      </c>
      <c r="F20" s="3097">
        <f>'[21]Salary Bench Chart'!$C$30</f>
        <v>0.224</v>
      </c>
      <c r="G20" s="3097">
        <f>'[21]Salary Bench Chart'!$C$30</f>
        <v>0.224</v>
      </c>
      <c r="H20" s="3097">
        <f>'[21]Salary Bench Chart'!$C$30</f>
        <v>0.224</v>
      </c>
      <c r="I20" s="3097">
        <f>'[21]Salary Bench Chart'!$C$30</f>
        <v>0.224</v>
      </c>
      <c r="J20" s="3097">
        <f>'[21]Salary Bench Chart'!$C$30</f>
        <v>0.224</v>
      </c>
      <c r="K20" s="3097">
        <f>'[21]Salary Bench Chart'!$C$30</f>
        <v>0.224</v>
      </c>
      <c r="L20" s="3097">
        <f>'[21]Salary Bench Chart'!$C$30</f>
        <v>0.224</v>
      </c>
      <c r="M20" s="3097">
        <f>'[21]Salary Bench Chart'!$C$30</f>
        <v>0.224</v>
      </c>
      <c r="N20" s="2616" t="s">
        <v>785</v>
      </c>
      <c r="O20" s="2617"/>
      <c r="R20" s="2603"/>
      <c r="S20" s="2603"/>
    </row>
    <row r="21" spans="1:19" s="3096" customFormat="1">
      <c r="A21" s="2614" t="s">
        <v>786</v>
      </c>
      <c r="B21" s="3098">
        <f t="shared" ref="B21:M21" si="8">B19*B20</f>
        <v>7823.7286399999984</v>
      </c>
      <c r="C21" s="3099">
        <f t="shared" si="8"/>
        <v>8041.7792000000009</v>
      </c>
      <c r="D21" s="3099">
        <f t="shared" si="8"/>
        <v>10127.237120000002</v>
      </c>
      <c r="E21" s="3099">
        <f t="shared" si="8"/>
        <v>17605.28</v>
      </c>
      <c r="F21" s="3099">
        <f>F19*F20</f>
        <v>13932.800000000001</v>
      </c>
      <c r="G21" s="3099">
        <f t="shared" si="8"/>
        <v>12188.467200000001</v>
      </c>
      <c r="H21" s="3099">
        <f t="shared" si="8"/>
        <v>13418.496000000001</v>
      </c>
      <c r="I21" s="3099">
        <f t="shared" si="8"/>
        <v>20225.587199999998</v>
      </c>
      <c r="J21" s="3099">
        <f t="shared" si="8"/>
        <v>14252.4928</v>
      </c>
      <c r="K21" s="3099">
        <f t="shared" si="8"/>
        <v>12188.467200000001</v>
      </c>
      <c r="L21" s="3099">
        <f t="shared" si="8"/>
        <v>27768.832000000002</v>
      </c>
      <c r="M21" s="3099">
        <f t="shared" si="8"/>
        <v>43767.360000000001</v>
      </c>
      <c r="N21" s="2620"/>
      <c r="O21" s="2621"/>
      <c r="R21" s="2603"/>
      <c r="S21" s="3100"/>
    </row>
    <row r="22" spans="1:19" s="3096" customFormat="1">
      <c r="A22" s="2614" t="s">
        <v>787</v>
      </c>
      <c r="B22" s="3098">
        <f>B19+B21</f>
        <v>42751.088639999994</v>
      </c>
      <c r="C22" s="3099">
        <f t="shared" ref="C22:M22" si="9">C19+C21</f>
        <v>43942.579200000007</v>
      </c>
      <c r="D22" s="3099">
        <f t="shared" si="9"/>
        <v>55338.11712000001</v>
      </c>
      <c r="E22" s="3099">
        <f t="shared" si="9"/>
        <v>96200.28</v>
      </c>
      <c r="F22" s="3099">
        <f>F19+F21</f>
        <v>76132.800000000003</v>
      </c>
      <c r="G22" s="3099">
        <f t="shared" si="9"/>
        <v>66601.267200000002</v>
      </c>
      <c r="H22" s="3099">
        <f t="shared" si="9"/>
        <v>73322.495999999999</v>
      </c>
      <c r="I22" s="3099">
        <f t="shared" si="9"/>
        <v>110518.38719999998</v>
      </c>
      <c r="J22" s="3099">
        <f t="shared" si="9"/>
        <v>77879.69279999999</v>
      </c>
      <c r="K22" s="3099">
        <f t="shared" si="9"/>
        <v>66601.267200000002</v>
      </c>
      <c r="L22" s="3099">
        <f t="shared" si="9"/>
        <v>151736.83199999999</v>
      </c>
      <c r="M22" s="3099">
        <f t="shared" si="9"/>
        <v>239157.36</v>
      </c>
      <c r="N22" s="2620"/>
      <c r="O22" s="2621"/>
      <c r="R22" s="2603"/>
      <c r="S22" s="2603"/>
    </row>
    <row r="23" spans="1:19" s="3096" customFormat="1">
      <c r="A23" s="2622" t="s">
        <v>61</v>
      </c>
      <c r="B23" s="3101">
        <f>B19*N23</f>
        <v>129.23123199999998</v>
      </c>
      <c r="C23" s="3101">
        <f>C19*$N$23</f>
        <v>132.83296000000001</v>
      </c>
      <c r="D23" s="3101">
        <f>D19*$N$23</f>
        <v>167.28025600000004</v>
      </c>
      <c r="E23" s="3101">
        <f>E19*$N$23</f>
        <v>290.80150000000003</v>
      </c>
      <c r="F23" s="3101">
        <f>F19*$N$23</f>
        <v>230.14000000000001</v>
      </c>
      <c r="G23" s="3101">
        <f>G19*$N$23</f>
        <v>201.32736000000003</v>
      </c>
      <c r="H23" s="3101">
        <f>H19*N23</f>
        <v>221.6448</v>
      </c>
      <c r="I23" s="3101">
        <f>I19*N23</f>
        <v>334.08335999999997</v>
      </c>
      <c r="J23" s="3101">
        <f>J19*N23</f>
        <v>235.42063999999999</v>
      </c>
      <c r="K23" s="3101">
        <f>K19*N23</f>
        <v>201.32736000000003</v>
      </c>
      <c r="L23" s="3101">
        <f>L19*N23</f>
        <v>458.6816</v>
      </c>
      <c r="M23" s="3101">
        <f>M19*N23</f>
        <v>722.94299999999998</v>
      </c>
      <c r="N23" s="2624">
        <v>3.7000000000000002E-3</v>
      </c>
      <c r="O23" s="2625"/>
      <c r="R23" s="2603"/>
      <c r="S23" s="2603"/>
    </row>
    <row r="24" spans="1:19" s="3096" customFormat="1">
      <c r="A24" s="2614" t="s">
        <v>181</v>
      </c>
      <c r="B24" s="3098">
        <f>B23+B22</f>
        <v>42880.319871999993</v>
      </c>
      <c r="C24" s="3099">
        <f t="shared" ref="C24:M24" si="10">C23+C22</f>
        <v>44075.412160000007</v>
      </c>
      <c r="D24" s="3099">
        <f t="shared" si="10"/>
        <v>55505.397376000008</v>
      </c>
      <c r="E24" s="3099">
        <f t="shared" si="10"/>
        <v>96491.0815</v>
      </c>
      <c r="F24" s="3099">
        <f>F23+F22</f>
        <v>76362.94</v>
      </c>
      <c r="G24" s="3099">
        <f t="shared" si="10"/>
        <v>66802.594559999998</v>
      </c>
      <c r="H24" s="3099">
        <f t="shared" si="10"/>
        <v>73544.140799999994</v>
      </c>
      <c r="I24" s="3099">
        <f t="shared" si="10"/>
        <v>110852.47055999999</v>
      </c>
      <c r="J24" s="3099">
        <f t="shared" si="10"/>
        <v>78115.113439999986</v>
      </c>
      <c r="K24" s="3099">
        <f t="shared" si="10"/>
        <v>66802.594559999998</v>
      </c>
      <c r="L24" s="3099">
        <f t="shared" si="10"/>
        <v>152195.51360000001</v>
      </c>
      <c r="M24" s="3099">
        <f t="shared" si="10"/>
        <v>239880.30299999999</v>
      </c>
      <c r="N24" s="2626"/>
      <c r="O24" s="2627"/>
      <c r="R24" s="2603"/>
      <c r="S24" s="2603"/>
    </row>
    <row r="25" spans="1:19" s="3096" customFormat="1">
      <c r="A25" s="2614" t="s">
        <v>189</v>
      </c>
      <c r="B25" s="3098">
        <f>B24*($N$25)</f>
        <v>455.98097486885462</v>
      </c>
      <c r="C25" s="3098">
        <f t="shared" ref="C25:K25" si="11">C24*($N$25)</f>
        <v>468.6893536348519</v>
      </c>
      <c r="D25" s="3098">
        <f t="shared" si="11"/>
        <v>590.23359157631171</v>
      </c>
      <c r="E25" s="3098">
        <f t="shared" si="11"/>
        <v>1026.0673786915941</v>
      </c>
      <c r="F25" s="3098">
        <f t="shared" si="11"/>
        <v>812.0286399213328</v>
      </c>
      <c r="G25" s="3098">
        <f t="shared" si="11"/>
        <v>710.36578743266068</v>
      </c>
      <c r="H25" s="3098">
        <f t="shared" si="11"/>
        <v>782.05407790751633</v>
      </c>
      <c r="I25" s="3098">
        <f t="shared" si="11"/>
        <v>1178.7835945126833</v>
      </c>
      <c r="J25" s="3098">
        <f t="shared" si="11"/>
        <v>830.66091122190699</v>
      </c>
      <c r="K25" s="3098">
        <f t="shared" si="11"/>
        <v>710.36578743266068</v>
      </c>
      <c r="L25" s="3098">
        <f>L24*($N$25)</f>
        <v>1618.4174667808325</v>
      </c>
      <c r="M25" s="3099">
        <f t="shared" ref="M25" si="12">(M24*$N$25)-(M19*$N$25)</f>
        <v>473.10122206895085</v>
      </c>
      <c r="N25" s="2624">
        <f>'[13]Spring 2021 CAF'!CD26</f>
        <v>1.0633805350099574E-2</v>
      </c>
      <c r="O25" s="2625"/>
      <c r="R25" s="2603"/>
      <c r="S25" s="2603"/>
    </row>
    <row r="26" spans="1:19" s="3096" customFormat="1" ht="15" thickBot="1">
      <c r="A26" s="2614" t="s">
        <v>799</v>
      </c>
      <c r="B26" s="3102">
        <f>D39</f>
        <v>1952</v>
      </c>
      <c r="C26" s="3103">
        <f>$D$39</f>
        <v>1952</v>
      </c>
      <c r="D26" s="3103">
        <f>$D$39</f>
        <v>1952</v>
      </c>
      <c r="E26" s="3103">
        <f>L39</f>
        <v>1760</v>
      </c>
      <c r="F26" s="3103">
        <f>L39</f>
        <v>1760</v>
      </c>
      <c r="G26" s="3103">
        <f>L39</f>
        <v>1760</v>
      </c>
      <c r="H26" s="3103">
        <f t="shared" ref="H26:M26" si="13">$L$39</f>
        <v>1760</v>
      </c>
      <c r="I26" s="3103">
        <f t="shared" si="13"/>
        <v>1760</v>
      </c>
      <c r="J26" s="3103">
        <f t="shared" si="13"/>
        <v>1760</v>
      </c>
      <c r="K26" s="3103">
        <f t="shared" si="13"/>
        <v>1760</v>
      </c>
      <c r="L26" s="3103">
        <f t="shared" si="13"/>
        <v>1760</v>
      </c>
      <c r="M26" s="3103">
        <f t="shared" si="13"/>
        <v>1760</v>
      </c>
      <c r="N26" s="2651"/>
      <c r="O26" s="2652"/>
      <c r="R26" s="2603"/>
      <c r="S26" s="2603"/>
    </row>
    <row r="27" spans="1:19" s="2654" customFormat="1" ht="15.6" thickTop="1" thickBot="1">
      <c r="A27" s="2631" t="s">
        <v>800</v>
      </c>
      <c r="B27" s="2653">
        <f>(B24+B25)/B26</f>
        <v>22.200973794502485</v>
      </c>
      <c r="C27" s="2653">
        <f>(C24+C25)/C26+0.02</f>
        <v>22.839724136083429</v>
      </c>
      <c r="D27" s="2653">
        <f>(D24+D25)/D26</f>
        <v>28.737515864537048</v>
      </c>
      <c r="E27" s="2653">
        <f>(E24+E25)/E26+0.03</f>
        <v>55.437470953802048</v>
      </c>
      <c r="F27" s="2653">
        <f>(F24+F25)/F26+0.03</f>
        <v>43.879413999955304</v>
      </c>
      <c r="G27" s="2653">
        <f>(G24+G25)/G26+0.02</f>
        <v>38.379636561041288</v>
      </c>
      <c r="H27" s="2653">
        <f>(H24+H25)/H26-0.01</f>
        <v>42.220792544265635</v>
      </c>
      <c r="I27" s="2653">
        <f>(I24+I25)/I26+0.01</f>
        <v>63.664121678700383</v>
      </c>
      <c r="J27" s="2653">
        <f>(J24+J25)/J26</f>
        <v>44.855553608648798</v>
      </c>
      <c r="K27" s="2653">
        <f>(K24+K25)/K26-0.01</f>
        <v>38.349636561041287</v>
      </c>
      <c r="L27" s="2653">
        <f>(L24+L25)/L26-0.01</f>
        <v>87.384279015216379</v>
      </c>
      <c r="M27" s="2653">
        <f>(M24+M25)/M26</f>
        <v>136.56443421708462</v>
      </c>
      <c r="N27" s="2633"/>
      <c r="O27" s="2634"/>
      <c r="R27" s="2655"/>
      <c r="S27" s="2655"/>
    </row>
    <row r="28" spans="1:19" hidden="1">
      <c r="A28" s="2656" t="s">
        <v>801</v>
      </c>
      <c r="B28" s="2657">
        <f>(B24+B25)/12</f>
        <v>3611.3584039057373</v>
      </c>
      <c r="C28" s="2657"/>
      <c r="D28" s="2657"/>
      <c r="E28" s="2657"/>
      <c r="F28" s="2657"/>
      <c r="G28" s="2657"/>
      <c r="H28" s="2658"/>
      <c r="I28" s="2658"/>
      <c r="J28" s="2658"/>
      <c r="K28" s="2658"/>
      <c r="L28" s="2658"/>
      <c r="M28" s="2658"/>
      <c r="N28" s="2658"/>
      <c r="O28" s="2636"/>
      <c r="P28" s="2636"/>
      <c r="Q28" s="2636"/>
    </row>
    <row r="29" spans="1:19" hidden="1">
      <c r="A29" s="2656" t="s">
        <v>802</v>
      </c>
      <c r="B29" s="2657">
        <f>B28*0.75</f>
        <v>2708.5188029293031</v>
      </c>
      <c r="C29" s="2657"/>
      <c r="D29" s="2657"/>
      <c r="E29" s="2657"/>
      <c r="F29" s="2657"/>
      <c r="G29" s="2657"/>
      <c r="H29" s="2658"/>
      <c r="I29" s="2658"/>
      <c r="J29" s="2658"/>
      <c r="K29" s="2658"/>
      <c r="L29" s="2658"/>
      <c r="M29" s="2658"/>
      <c r="N29" s="2658"/>
      <c r="O29" s="2636"/>
      <c r="P29" s="2636"/>
      <c r="Q29" s="2636"/>
    </row>
    <row r="30" spans="1:19" hidden="1">
      <c r="A30" s="2656" t="s">
        <v>803</v>
      </c>
      <c r="B30" s="2657">
        <f>B28*0.5</f>
        <v>1805.6792019528687</v>
      </c>
      <c r="C30" s="2657"/>
      <c r="D30" s="2657"/>
      <c r="E30" s="2657"/>
      <c r="F30" s="2657"/>
      <c r="G30" s="2657"/>
      <c r="H30" s="2658"/>
      <c r="I30" s="2658"/>
      <c r="J30" s="2658"/>
      <c r="K30" s="2658"/>
      <c r="L30" s="2658"/>
      <c r="M30" s="2658"/>
      <c r="N30" s="2658"/>
      <c r="O30" s="2636"/>
      <c r="P30" s="2636"/>
      <c r="Q30" s="2636"/>
    </row>
    <row r="31" spans="1:19" hidden="1">
      <c r="A31" s="2656" t="s">
        <v>804</v>
      </c>
      <c r="B31" s="2657">
        <f>B28*0.25</f>
        <v>902.83960097643433</v>
      </c>
      <c r="C31" s="2657"/>
      <c r="D31" s="2657"/>
      <c r="E31" s="2657"/>
      <c r="F31" s="2657"/>
      <c r="G31" s="2657"/>
      <c r="H31" s="2658"/>
      <c r="I31" s="2658"/>
      <c r="J31" s="2658"/>
      <c r="K31" s="2658"/>
      <c r="L31" s="2658"/>
      <c r="M31" s="2658"/>
      <c r="N31" s="2658"/>
      <c r="O31" s="2636"/>
      <c r="P31" s="2636"/>
      <c r="Q31" s="2636"/>
    </row>
    <row r="32" spans="1:19" hidden="1">
      <c r="B32" s="2659">
        <f>20.32*0.25</f>
        <v>5.08</v>
      </c>
      <c r="C32" s="2660">
        <f>20.4*0.25</f>
        <v>5.0999999999999996</v>
      </c>
      <c r="D32" s="2661">
        <f>26.2*0.25</f>
        <v>6.55</v>
      </c>
      <c r="E32" s="2661">
        <f>55.04*0.25</f>
        <v>13.76</v>
      </c>
      <c r="F32" s="2661"/>
      <c r="G32" s="2661">
        <f>36.88*0.25</f>
        <v>9.2200000000000006</v>
      </c>
      <c r="H32" s="2661">
        <f>40.2*0.25</f>
        <v>10.050000000000001</v>
      </c>
      <c r="I32" s="2661">
        <f>60.8*0.25</f>
        <v>15.2</v>
      </c>
      <c r="J32" s="2662">
        <f>42.64*0.25</f>
        <v>10.66</v>
      </c>
      <c r="K32" s="2662">
        <f>30.76*0.25</f>
        <v>7.69</v>
      </c>
      <c r="L32" s="2661">
        <f>83.56*0.25</f>
        <v>20.89</v>
      </c>
      <c r="M32" s="2602"/>
      <c r="N32" s="2602"/>
    </row>
    <row r="34" spans="1:14" ht="15" thickBot="1">
      <c r="A34" s="2663" t="s">
        <v>805</v>
      </c>
      <c r="B34" s="2664"/>
      <c r="C34" s="2665"/>
      <c r="D34" s="2664"/>
      <c r="E34" s="2666"/>
      <c r="F34" s="2666"/>
      <c r="G34" s="2666"/>
      <c r="H34" s="2667" t="s">
        <v>806</v>
      </c>
      <c r="I34" s="2668"/>
      <c r="J34" s="2668"/>
      <c r="K34" s="2668"/>
      <c r="L34" s="2668"/>
      <c r="M34" s="2602"/>
      <c r="N34" s="2602"/>
    </row>
    <row r="35" spans="1:14">
      <c r="A35" s="2669"/>
      <c r="B35" s="2670"/>
      <c r="C35" s="2671" t="s">
        <v>290</v>
      </c>
      <c r="D35" s="2672" t="s">
        <v>202</v>
      </c>
      <c r="E35" s="2673"/>
      <c r="F35" s="2674"/>
      <c r="G35" s="2673"/>
      <c r="H35" s="2669"/>
      <c r="I35" s="2670"/>
      <c r="J35" s="2670"/>
      <c r="K35" s="2671" t="s">
        <v>290</v>
      </c>
      <c r="L35" s="2672" t="s">
        <v>202</v>
      </c>
      <c r="M35" s="2602"/>
      <c r="N35" s="2602"/>
    </row>
    <row r="36" spans="1:14">
      <c r="A36" s="2675"/>
      <c r="B36" s="2676" t="s">
        <v>807</v>
      </c>
      <c r="C36" s="2677">
        <v>15</v>
      </c>
      <c r="D36" s="2678">
        <f>C36*8</f>
        <v>120</v>
      </c>
      <c r="E36" s="2679"/>
      <c r="F36" s="2679"/>
      <c r="G36" s="2679"/>
      <c r="H36" s="2675"/>
      <c r="I36" s="2676" t="s">
        <v>807</v>
      </c>
      <c r="J36" s="2676"/>
      <c r="K36" s="2677">
        <v>15</v>
      </c>
      <c r="L36" s="2678">
        <f>K36*8</f>
        <v>120</v>
      </c>
      <c r="M36" s="2680"/>
      <c r="N36" s="2636"/>
    </row>
    <row r="37" spans="1:14">
      <c r="A37" s="2681"/>
      <c r="B37" s="2682" t="s">
        <v>808</v>
      </c>
      <c r="C37" s="2683">
        <v>1</v>
      </c>
      <c r="D37" s="2684">
        <f>C37*8</f>
        <v>8</v>
      </c>
      <c r="E37" s="2685"/>
      <c r="F37" s="2685"/>
      <c r="G37" s="2685"/>
      <c r="H37" s="2686"/>
      <c r="I37" s="2687" t="s">
        <v>809</v>
      </c>
      <c r="J37" s="2687"/>
      <c r="K37" s="2683">
        <v>25</v>
      </c>
      <c r="L37" s="2688">
        <f>K37*8</f>
        <v>200</v>
      </c>
      <c r="M37" s="2680"/>
      <c r="N37" s="2602"/>
    </row>
    <row r="38" spans="1:14">
      <c r="A38" s="2675"/>
      <c r="B38" s="2689"/>
      <c r="C38" s="2676" t="s">
        <v>452</v>
      </c>
      <c r="D38" s="2690">
        <f>SUM(D36:D37)</f>
        <v>128</v>
      </c>
      <c r="E38" s="2685"/>
      <c r="F38" s="2685"/>
      <c r="G38" s="2685"/>
      <c r="H38" s="2675"/>
      <c r="I38" s="2689"/>
      <c r="J38" s="2689"/>
      <c r="K38" s="2676" t="s">
        <v>452</v>
      </c>
      <c r="L38" s="2678">
        <f>SUM(L36:L37)</f>
        <v>320</v>
      </c>
      <c r="M38" s="2602"/>
      <c r="N38" s="2602"/>
    </row>
    <row r="39" spans="1:14" ht="15" thickBot="1">
      <c r="A39" s="2691"/>
      <c r="B39" s="2692"/>
      <c r="C39" s="2693" t="s">
        <v>799</v>
      </c>
      <c r="D39" s="2694">
        <f>2080-D38</f>
        <v>1952</v>
      </c>
      <c r="E39" s="2685"/>
      <c r="F39" s="2685"/>
      <c r="G39" s="2685"/>
      <c r="H39" s="2691"/>
      <c r="I39" s="2692"/>
      <c r="J39" s="2692"/>
      <c r="K39" s="2693" t="s">
        <v>799</v>
      </c>
      <c r="L39" s="2695">
        <f>2080-L38</f>
        <v>1760</v>
      </c>
      <c r="M39" s="2602"/>
      <c r="N39" s="2602"/>
    </row>
    <row r="41" spans="1:14">
      <c r="J41" s="2666"/>
      <c r="K41" s="2666"/>
      <c r="L41" s="2666"/>
      <c r="M41" s="2666"/>
    </row>
    <row r="42" spans="1:14" hidden="1">
      <c r="A42" s="2696" t="s">
        <v>810</v>
      </c>
      <c r="B42" s="2696"/>
      <c r="C42" s="2696"/>
      <c r="D42" s="2696"/>
      <c r="E42" s="2696"/>
      <c r="F42" s="2696"/>
      <c r="G42" s="2696"/>
      <c r="H42" s="2696"/>
      <c r="I42" s="2696"/>
      <c r="J42" s="2696"/>
      <c r="K42" s="2696"/>
      <c r="L42" s="2696"/>
      <c r="M42" s="2696"/>
    </row>
    <row r="43" spans="1:14" hidden="1">
      <c r="J43" s="2697"/>
      <c r="K43" s="2698"/>
      <c r="L43" s="2697"/>
      <c r="M43" s="2699"/>
    </row>
    <row r="44" spans="1:14" hidden="1"/>
    <row r="45" spans="1:14" hidden="1"/>
    <row r="46" spans="1:14" hidden="1">
      <c r="C46" s="2700" t="s">
        <v>811</v>
      </c>
      <c r="D46" s="2700"/>
      <c r="E46" s="2700"/>
      <c r="F46" s="2700"/>
      <c r="G46" s="2700"/>
      <c r="H46" s="2700"/>
      <c r="I46" s="2700"/>
    </row>
    <row r="47" spans="1:14" hidden="1"/>
    <row r="48" spans="1:14" hidden="1">
      <c r="D48" s="2701" t="s">
        <v>812</v>
      </c>
      <c r="E48" s="2702"/>
      <c r="F48" s="2702"/>
      <c r="G48" s="2702"/>
      <c r="H48" s="2702"/>
      <c r="I48" s="2703" t="s">
        <v>813</v>
      </c>
    </row>
    <row r="49" spans="3:9" ht="15" hidden="1" thickBot="1">
      <c r="C49" s="2704" t="s">
        <v>218</v>
      </c>
      <c r="D49" s="2705" t="s">
        <v>814</v>
      </c>
      <c r="E49" s="2705" t="s">
        <v>815</v>
      </c>
      <c r="F49" s="2705"/>
      <c r="G49" s="2705" t="s">
        <v>816</v>
      </c>
      <c r="H49" s="2705" t="s">
        <v>817</v>
      </c>
      <c r="I49" s="2705" t="s">
        <v>813</v>
      </c>
    </row>
    <row r="50" spans="3:9" hidden="1">
      <c r="C50" s="2706" t="s">
        <v>75</v>
      </c>
      <c r="D50" s="2707">
        <v>3305</v>
      </c>
      <c r="E50" s="2707">
        <v>2479</v>
      </c>
      <c r="F50" s="2707"/>
      <c r="G50" s="2707">
        <v>1653</v>
      </c>
      <c r="H50" s="2707">
        <v>826</v>
      </c>
      <c r="I50" s="2708">
        <v>20.32</v>
      </c>
    </row>
    <row r="51" spans="3:9" ht="43.2" hidden="1">
      <c r="C51" s="2706" t="s">
        <v>776</v>
      </c>
      <c r="D51" s="2709">
        <v>3316</v>
      </c>
      <c r="E51" s="2709">
        <v>2487</v>
      </c>
      <c r="F51" s="2709"/>
      <c r="G51" s="2709">
        <v>1658</v>
      </c>
      <c r="H51" s="2709">
        <v>829</v>
      </c>
      <c r="I51" s="2710">
        <v>20.399999999999999</v>
      </c>
    </row>
    <row r="52" spans="3:9" hidden="1">
      <c r="C52" s="2706" t="s">
        <v>635</v>
      </c>
      <c r="D52" s="2709">
        <v>4262</v>
      </c>
      <c r="E52" s="2709">
        <v>3196</v>
      </c>
      <c r="F52" s="2709"/>
      <c r="G52" s="2709">
        <v>2131</v>
      </c>
      <c r="H52" s="2709">
        <v>1065</v>
      </c>
      <c r="I52" s="2710">
        <v>26.2</v>
      </c>
    </row>
    <row r="53" spans="3:9" ht="28.8" hidden="1">
      <c r="C53" s="2706" t="s">
        <v>777</v>
      </c>
      <c r="D53" s="2709">
        <v>8067</v>
      </c>
      <c r="E53" s="2709">
        <v>6051</v>
      </c>
      <c r="F53" s="2709"/>
      <c r="G53" s="2709">
        <v>4034</v>
      </c>
      <c r="H53" s="2709">
        <v>2017</v>
      </c>
      <c r="I53" s="2710">
        <v>55.04</v>
      </c>
    </row>
    <row r="54" spans="3:9" ht="72" hidden="1">
      <c r="C54" s="2706" t="s">
        <v>818</v>
      </c>
      <c r="D54" s="2709">
        <v>5406</v>
      </c>
      <c r="E54" s="2709">
        <v>4054</v>
      </c>
      <c r="F54" s="2709"/>
      <c r="G54" s="2709">
        <v>2703</v>
      </c>
      <c r="H54" s="2709">
        <v>1351</v>
      </c>
      <c r="I54" s="2710">
        <v>36.880000000000003</v>
      </c>
    </row>
    <row r="55" spans="3:9" hidden="1">
      <c r="C55" s="2706" t="s">
        <v>780</v>
      </c>
      <c r="D55" s="2709">
        <v>5897</v>
      </c>
      <c r="E55" s="2709">
        <v>4423</v>
      </c>
      <c r="F55" s="2709"/>
      <c r="G55" s="2709">
        <v>2948</v>
      </c>
      <c r="H55" s="2709">
        <v>1474</v>
      </c>
      <c r="I55" s="2710">
        <v>40.200000000000003</v>
      </c>
    </row>
    <row r="56" spans="3:9" ht="28.8" hidden="1">
      <c r="C56" s="2706" t="s">
        <v>781</v>
      </c>
      <c r="D56" s="2709">
        <v>8916</v>
      </c>
      <c r="E56" s="2709">
        <v>6687</v>
      </c>
      <c r="F56" s="2709"/>
      <c r="G56" s="2709">
        <v>4458</v>
      </c>
      <c r="H56" s="2709">
        <v>2229</v>
      </c>
      <c r="I56" s="2710">
        <v>60.8</v>
      </c>
    </row>
    <row r="57" spans="3:9" ht="43.2" hidden="1">
      <c r="C57" s="2706" t="s">
        <v>795</v>
      </c>
      <c r="D57" s="2709">
        <v>6253</v>
      </c>
      <c r="E57" s="2709">
        <v>4690</v>
      </c>
      <c r="F57" s="2709"/>
      <c r="G57" s="2709">
        <v>3127</v>
      </c>
      <c r="H57" s="2709">
        <v>1563</v>
      </c>
      <c r="I57" s="2710">
        <v>42.64</v>
      </c>
    </row>
    <row r="58" spans="3:9" ht="43.2" hidden="1">
      <c r="C58" s="2706" t="s">
        <v>783</v>
      </c>
      <c r="D58" s="2709">
        <v>4513</v>
      </c>
      <c r="E58" s="2709">
        <v>3385</v>
      </c>
      <c r="F58" s="2709"/>
      <c r="G58" s="2709">
        <v>2257</v>
      </c>
      <c r="H58" s="2709">
        <v>1128</v>
      </c>
      <c r="I58" s="2710">
        <v>30.76</v>
      </c>
    </row>
    <row r="59" spans="3:9" ht="43.2" hidden="1">
      <c r="C59" s="2706" t="s">
        <v>796</v>
      </c>
      <c r="D59" s="2711" t="s">
        <v>25</v>
      </c>
      <c r="E59" s="2711" t="s">
        <v>25</v>
      </c>
      <c r="F59" s="2711"/>
      <c r="G59" s="2711" t="s">
        <v>25</v>
      </c>
      <c r="H59" s="2711" t="s">
        <v>25</v>
      </c>
      <c r="I59" s="2710">
        <v>83.56</v>
      </c>
    </row>
    <row r="60" spans="3:9" ht="43.2" hidden="1">
      <c r="C60" s="2706" t="s">
        <v>797</v>
      </c>
      <c r="D60" s="2711" t="s">
        <v>25</v>
      </c>
      <c r="E60" s="2711" t="s">
        <v>25</v>
      </c>
      <c r="F60" s="2711"/>
      <c r="G60" s="2711" t="s">
        <v>25</v>
      </c>
      <c r="H60" s="2711" t="s">
        <v>25</v>
      </c>
      <c r="I60" s="2711">
        <v>136.75</v>
      </c>
    </row>
  </sheetData>
  <mergeCells count="18">
    <mergeCell ref="N21:O22"/>
    <mergeCell ref="N23:O23"/>
    <mergeCell ref="N25:O25"/>
    <mergeCell ref="A42:M42"/>
    <mergeCell ref="C46:I46"/>
    <mergeCell ref="D48:H48"/>
    <mergeCell ref="L9:M9"/>
    <mergeCell ref="A16:M16"/>
    <mergeCell ref="J17:K17"/>
    <mergeCell ref="N18:O18"/>
    <mergeCell ref="N19:O19"/>
    <mergeCell ref="N20:O20"/>
    <mergeCell ref="A1:M1"/>
    <mergeCell ref="L2:M2"/>
    <mergeCell ref="L3:M3"/>
    <mergeCell ref="L4:M4"/>
    <mergeCell ref="L5:M6"/>
    <mergeCell ref="L7:M7"/>
  </mergeCells>
  <pageMargins left="0.25" right="0.25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opLeftCell="C12" zoomScaleNormal="100" workbookViewId="0">
      <selection activeCell="W17" sqref="W17"/>
    </sheetView>
  </sheetViews>
  <sheetFormatPr defaultRowHeight="13.2"/>
  <cols>
    <col min="1" max="1" width="24.6640625" style="120" customWidth="1"/>
    <col min="2" max="2" width="16.109375" style="136" customWidth="1"/>
    <col min="3" max="3" width="10.109375" style="120" customWidth="1"/>
    <col min="4" max="4" width="13.88671875" style="134" customWidth="1"/>
    <col min="5" max="5" width="12.88671875" style="135" customWidth="1"/>
    <col min="6" max="6" width="10.33203125" style="120" bestFit="1" customWidth="1"/>
    <col min="7" max="7" width="45.88671875" style="120" customWidth="1"/>
    <col min="8" max="8" width="12.109375" style="120" customWidth="1"/>
    <col min="9" max="9" width="25" style="120" bestFit="1" customWidth="1"/>
    <col min="10" max="10" width="10.6640625" style="120" customWidth="1"/>
    <col min="11" max="11" width="15.6640625" style="120" customWidth="1"/>
    <col min="12" max="256" width="8.88671875" style="120"/>
    <col min="257" max="257" width="24.6640625" style="120" customWidth="1"/>
    <col min="258" max="258" width="16.109375" style="120" customWidth="1"/>
    <col min="259" max="259" width="10.109375" style="120" customWidth="1"/>
    <col min="260" max="260" width="12.33203125" style="120" customWidth="1"/>
    <col min="261" max="261" width="12" style="120" customWidth="1"/>
    <col min="262" max="262" width="8.6640625" style="120" customWidth="1"/>
    <col min="263" max="263" width="9.5546875" style="120" customWidth="1"/>
    <col min="264" max="264" width="12.109375" style="120" customWidth="1"/>
    <col min="265" max="512" width="8.88671875" style="120"/>
    <col min="513" max="513" width="24.6640625" style="120" customWidth="1"/>
    <col min="514" max="514" width="16.109375" style="120" customWidth="1"/>
    <col min="515" max="515" width="10.109375" style="120" customWidth="1"/>
    <col min="516" max="516" width="12.33203125" style="120" customWidth="1"/>
    <col min="517" max="517" width="12" style="120" customWidth="1"/>
    <col min="518" max="518" width="8.6640625" style="120" customWidth="1"/>
    <col min="519" max="519" width="9.5546875" style="120" customWidth="1"/>
    <col min="520" max="520" width="12.109375" style="120" customWidth="1"/>
    <col min="521" max="768" width="8.88671875" style="120"/>
    <col min="769" max="769" width="24.6640625" style="120" customWidth="1"/>
    <col min="770" max="770" width="16.109375" style="120" customWidth="1"/>
    <col min="771" max="771" width="10.109375" style="120" customWidth="1"/>
    <col min="772" max="772" width="12.33203125" style="120" customWidth="1"/>
    <col min="773" max="773" width="12" style="120" customWidth="1"/>
    <col min="774" max="774" width="8.6640625" style="120" customWidth="1"/>
    <col min="775" max="775" width="9.5546875" style="120" customWidth="1"/>
    <col min="776" max="776" width="12.109375" style="120" customWidth="1"/>
    <col min="777" max="1024" width="8.88671875" style="120"/>
    <col min="1025" max="1025" width="24.6640625" style="120" customWidth="1"/>
    <col min="1026" max="1026" width="16.109375" style="120" customWidth="1"/>
    <col min="1027" max="1027" width="10.109375" style="120" customWidth="1"/>
    <col min="1028" max="1028" width="12.33203125" style="120" customWidth="1"/>
    <col min="1029" max="1029" width="12" style="120" customWidth="1"/>
    <col min="1030" max="1030" width="8.6640625" style="120" customWidth="1"/>
    <col min="1031" max="1031" width="9.5546875" style="120" customWidth="1"/>
    <col min="1032" max="1032" width="12.109375" style="120" customWidth="1"/>
    <col min="1033" max="1280" width="8.88671875" style="120"/>
    <col min="1281" max="1281" width="24.6640625" style="120" customWidth="1"/>
    <col min="1282" max="1282" width="16.109375" style="120" customWidth="1"/>
    <col min="1283" max="1283" width="10.109375" style="120" customWidth="1"/>
    <col min="1284" max="1284" width="12.33203125" style="120" customWidth="1"/>
    <col min="1285" max="1285" width="12" style="120" customWidth="1"/>
    <col min="1286" max="1286" width="8.6640625" style="120" customWidth="1"/>
    <col min="1287" max="1287" width="9.5546875" style="120" customWidth="1"/>
    <col min="1288" max="1288" width="12.109375" style="120" customWidth="1"/>
    <col min="1289" max="1536" width="8.88671875" style="120"/>
    <col min="1537" max="1537" width="24.6640625" style="120" customWidth="1"/>
    <col min="1538" max="1538" width="16.109375" style="120" customWidth="1"/>
    <col min="1539" max="1539" width="10.109375" style="120" customWidth="1"/>
    <col min="1540" max="1540" width="12.33203125" style="120" customWidth="1"/>
    <col min="1541" max="1541" width="12" style="120" customWidth="1"/>
    <col min="1542" max="1542" width="8.6640625" style="120" customWidth="1"/>
    <col min="1543" max="1543" width="9.5546875" style="120" customWidth="1"/>
    <col min="1544" max="1544" width="12.109375" style="120" customWidth="1"/>
    <col min="1545" max="1792" width="8.88671875" style="120"/>
    <col min="1793" max="1793" width="24.6640625" style="120" customWidth="1"/>
    <col min="1794" max="1794" width="16.109375" style="120" customWidth="1"/>
    <col min="1795" max="1795" width="10.109375" style="120" customWidth="1"/>
    <col min="1796" max="1796" width="12.33203125" style="120" customWidth="1"/>
    <col min="1797" max="1797" width="12" style="120" customWidth="1"/>
    <col min="1798" max="1798" width="8.6640625" style="120" customWidth="1"/>
    <col min="1799" max="1799" width="9.5546875" style="120" customWidth="1"/>
    <col min="1800" max="1800" width="12.109375" style="120" customWidth="1"/>
    <col min="1801" max="2048" width="8.88671875" style="120"/>
    <col min="2049" max="2049" width="24.6640625" style="120" customWidth="1"/>
    <col min="2050" max="2050" width="16.109375" style="120" customWidth="1"/>
    <col min="2051" max="2051" width="10.109375" style="120" customWidth="1"/>
    <col min="2052" max="2052" width="12.33203125" style="120" customWidth="1"/>
    <col min="2053" max="2053" width="12" style="120" customWidth="1"/>
    <col min="2054" max="2054" width="8.6640625" style="120" customWidth="1"/>
    <col min="2055" max="2055" width="9.5546875" style="120" customWidth="1"/>
    <col min="2056" max="2056" width="12.109375" style="120" customWidth="1"/>
    <col min="2057" max="2304" width="8.88671875" style="120"/>
    <col min="2305" max="2305" width="24.6640625" style="120" customWidth="1"/>
    <col min="2306" max="2306" width="16.109375" style="120" customWidth="1"/>
    <col min="2307" max="2307" width="10.109375" style="120" customWidth="1"/>
    <col min="2308" max="2308" width="12.33203125" style="120" customWidth="1"/>
    <col min="2309" max="2309" width="12" style="120" customWidth="1"/>
    <col min="2310" max="2310" width="8.6640625" style="120" customWidth="1"/>
    <col min="2311" max="2311" width="9.5546875" style="120" customWidth="1"/>
    <col min="2312" max="2312" width="12.109375" style="120" customWidth="1"/>
    <col min="2313" max="2560" width="8.88671875" style="120"/>
    <col min="2561" max="2561" width="24.6640625" style="120" customWidth="1"/>
    <col min="2562" max="2562" width="16.109375" style="120" customWidth="1"/>
    <col min="2563" max="2563" width="10.109375" style="120" customWidth="1"/>
    <col min="2564" max="2564" width="12.33203125" style="120" customWidth="1"/>
    <col min="2565" max="2565" width="12" style="120" customWidth="1"/>
    <col min="2566" max="2566" width="8.6640625" style="120" customWidth="1"/>
    <col min="2567" max="2567" width="9.5546875" style="120" customWidth="1"/>
    <col min="2568" max="2568" width="12.109375" style="120" customWidth="1"/>
    <col min="2569" max="2816" width="8.88671875" style="120"/>
    <col min="2817" max="2817" width="24.6640625" style="120" customWidth="1"/>
    <col min="2818" max="2818" width="16.109375" style="120" customWidth="1"/>
    <col min="2819" max="2819" width="10.109375" style="120" customWidth="1"/>
    <col min="2820" max="2820" width="12.33203125" style="120" customWidth="1"/>
    <col min="2821" max="2821" width="12" style="120" customWidth="1"/>
    <col min="2822" max="2822" width="8.6640625" style="120" customWidth="1"/>
    <col min="2823" max="2823" width="9.5546875" style="120" customWidth="1"/>
    <col min="2824" max="2824" width="12.109375" style="120" customWidth="1"/>
    <col min="2825" max="3072" width="8.88671875" style="120"/>
    <col min="3073" max="3073" width="24.6640625" style="120" customWidth="1"/>
    <col min="3074" max="3074" width="16.109375" style="120" customWidth="1"/>
    <col min="3075" max="3075" width="10.109375" style="120" customWidth="1"/>
    <col min="3076" max="3076" width="12.33203125" style="120" customWidth="1"/>
    <col min="3077" max="3077" width="12" style="120" customWidth="1"/>
    <col min="3078" max="3078" width="8.6640625" style="120" customWidth="1"/>
    <col min="3079" max="3079" width="9.5546875" style="120" customWidth="1"/>
    <col min="3080" max="3080" width="12.109375" style="120" customWidth="1"/>
    <col min="3081" max="3328" width="8.88671875" style="120"/>
    <col min="3329" max="3329" width="24.6640625" style="120" customWidth="1"/>
    <col min="3330" max="3330" width="16.109375" style="120" customWidth="1"/>
    <col min="3331" max="3331" width="10.109375" style="120" customWidth="1"/>
    <col min="3332" max="3332" width="12.33203125" style="120" customWidth="1"/>
    <col min="3333" max="3333" width="12" style="120" customWidth="1"/>
    <col min="3334" max="3334" width="8.6640625" style="120" customWidth="1"/>
    <col min="3335" max="3335" width="9.5546875" style="120" customWidth="1"/>
    <col min="3336" max="3336" width="12.109375" style="120" customWidth="1"/>
    <col min="3337" max="3584" width="8.88671875" style="120"/>
    <col min="3585" max="3585" width="24.6640625" style="120" customWidth="1"/>
    <col min="3586" max="3586" width="16.109375" style="120" customWidth="1"/>
    <col min="3587" max="3587" width="10.109375" style="120" customWidth="1"/>
    <col min="3588" max="3588" width="12.33203125" style="120" customWidth="1"/>
    <col min="3589" max="3589" width="12" style="120" customWidth="1"/>
    <col min="3590" max="3590" width="8.6640625" style="120" customWidth="1"/>
    <col min="3591" max="3591" width="9.5546875" style="120" customWidth="1"/>
    <col min="3592" max="3592" width="12.109375" style="120" customWidth="1"/>
    <col min="3593" max="3840" width="8.88671875" style="120"/>
    <col min="3841" max="3841" width="24.6640625" style="120" customWidth="1"/>
    <col min="3842" max="3842" width="16.109375" style="120" customWidth="1"/>
    <col min="3843" max="3843" width="10.109375" style="120" customWidth="1"/>
    <col min="3844" max="3844" width="12.33203125" style="120" customWidth="1"/>
    <col min="3845" max="3845" width="12" style="120" customWidth="1"/>
    <col min="3846" max="3846" width="8.6640625" style="120" customWidth="1"/>
    <col min="3847" max="3847" width="9.5546875" style="120" customWidth="1"/>
    <col min="3848" max="3848" width="12.109375" style="120" customWidth="1"/>
    <col min="3849" max="4096" width="8.88671875" style="120"/>
    <col min="4097" max="4097" width="24.6640625" style="120" customWidth="1"/>
    <col min="4098" max="4098" width="16.109375" style="120" customWidth="1"/>
    <col min="4099" max="4099" width="10.109375" style="120" customWidth="1"/>
    <col min="4100" max="4100" width="12.33203125" style="120" customWidth="1"/>
    <col min="4101" max="4101" width="12" style="120" customWidth="1"/>
    <col min="4102" max="4102" width="8.6640625" style="120" customWidth="1"/>
    <col min="4103" max="4103" width="9.5546875" style="120" customWidth="1"/>
    <col min="4104" max="4104" width="12.109375" style="120" customWidth="1"/>
    <col min="4105" max="4352" width="8.88671875" style="120"/>
    <col min="4353" max="4353" width="24.6640625" style="120" customWidth="1"/>
    <col min="4354" max="4354" width="16.109375" style="120" customWidth="1"/>
    <col min="4355" max="4355" width="10.109375" style="120" customWidth="1"/>
    <col min="4356" max="4356" width="12.33203125" style="120" customWidth="1"/>
    <col min="4357" max="4357" width="12" style="120" customWidth="1"/>
    <col min="4358" max="4358" width="8.6640625" style="120" customWidth="1"/>
    <col min="4359" max="4359" width="9.5546875" style="120" customWidth="1"/>
    <col min="4360" max="4360" width="12.109375" style="120" customWidth="1"/>
    <col min="4361" max="4608" width="8.88671875" style="120"/>
    <col min="4609" max="4609" width="24.6640625" style="120" customWidth="1"/>
    <col min="4610" max="4610" width="16.109375" style="120" customWidth="1"/>
    <col min="4611" max="4611" width="10.109375" style="120" customWidth="1"/>
    <col min="4612" max="4612" width="12.33203125" style="120" customWidth="1"/>
    <col min="4613" max="4613" width="12" style="120" customWidth="1"/>
    <col min="4614" max="4614" width="8.6640625" style="120" customWidth="1"/>
    <col min="4615" max="4615" width="9.5546875" style="120" customWidth="1"/>
    <col min="4616" max="4616" width="12.109375" style="120" customWidth="1"/>
    <col min="4617" max="4864" width="8.88671875" style="120"/>
    <col min="4865" max="4865" width="24.6640625" style="120" customWidth="1"/>
    <col min="4866" max="4866" width="16.109375" style="120" customWidth="1"/>
    <col min="4867" max="4867" width="10.109375" style="120" customWidth="1"/>
    <col min="4868" max="4868" width="12.33203125" style="120" customWidth="1"/>
    <col min="4869" max="4869" width="12" style="120" customWidth="1"/>
    <col min="4870" max="4870" width="8.6640625" style="120" customWidth="1"/>
    <col min="4871" max="4871" width="9.5546875" style="120" customWidth="1"/>
    <col min="4872" max="4872" width="12.109375" style="120" customWidth="1"/>
    <col min="4873" max="5120" width="8.88671875" style="120"/>
    <col min="5121" max="5121" width="24.6640625" style="120" customWidth="1"/>
    <col min="5122" max="5122" width="16.109375" style="120" customWidth="1"/>
    <col min="5123" max="5123" width="10.109375" style="120" customWidth="1"/>
    <col min="5124" max="5124" width="12.33203125" style="120" customWidth="1"/>
    <col min="5125" max="5125" width="12" style="120" customWidth="1"/>
    <col min="5126" max="5126" width="8.6640625" style="120" customWidth="1"/>
    <col min="5127" max="5127" width="9.5546875" style="120" customWidth="1"/>
    <col min="5128" max="5128" width="12.109375" style="120" customWidth="1"/>
    <col min="5129" max="5376" width="8.88671875" style="120"/>
    <col min="5377" max="5377" width="24.6640625" style="120" customWidth="1"/>
    <col min="5378" max="5378" width="16.109375" style="120" customWidth="1"/>
    <col min="5379" max="5379" width="10.109375" style="120" customWidth="1"/>
    <col min="5380" max="5380" width="12.33203125" style="120" customWidth="1"/>
    <col min="5381" max="5381" width="12" style="120" customWidth="1"/>
    <col min="5382" max="5382" width="8.6640625" style="120" customWidth="1"/>
    <col min="5383" max="5383" width="9.5546875" style="120" customWidth="1"/>
    <col min="5384" max="5384" width="12.109375" style="120" customWidth="1"/>
    <col min="5385" max="5632" width="8.88671875" style="120"/>
    <col min="5633" max="5633" width="24.6640625" style="120" customWidth="1"/>
    <col min="5634" max="5634" width="16.109375" style="120" customWidth="1"/>
    <col min="5635" max="5635" width="10.109375" style="120" customWidth="1"/>
    <col min="5636" max="5636" width="12.33203125" style="120" customWidth="1"/>
    <col min="5637" max="5637" width="12" style="120" customWidth="1"/>
    <col min="5638" max="5638" width="8.6640625" style="120" customWidth="1"/>
    <col min="5639" max="5639" width="9.5546875" style="120" customWidth="1"/>
    <col min="5640" max="5640" width="12.109375" style="120" customWidth="1"/>
    <col min="5641" max="5888" width="8.88671875" style="120"/>
    <col min="5889" max="5889" width="24.6640625" style="120" customWidth="1"/>
    <col min="5890" max="5890" width="16.109375" style="120" customWidth="1"/>
    <col min="5891" max="5891" width="10.109375" style="120" customWidth="1"/>
    <col min="5892" max="5892" width="12.33203125" style="120" customWidth="1"/>
    <col min="5893" max="5893" width="12" style="120" customWidth="1"/>
    <col min="5894" max="5894" width="8.6640625" style="120" customWidth="1"/>
    <col min="5895" max="5895" width="9.5546875" style="120" customWidth="1"/>
    <col min="5896" max="5896" width="12.109375" style="120" customWidth="1"/>
    <col min="5897" max="6144" width="8.88671875" style="120"/>
    <col min="6145" max="6145" width="24.6640625" style="120" customWidth="1"/>
    <col min="6146" max="6146" width="16.109375" style="120" customWidth="1"/>
    <col min="6147" max="6147" width="10.109375" style="120" customWidth="1"/>
    <col min="6148" max="6148" width="12.33203125" style="120" customWidth="1"/>
    <col min="6149" max="6149" width="12" style="120" customWidth="1"/>
    <col min="6150" max="6150" width="8.6640625" style="120" customWidth="1"/>
    <col min="6151" max="6151" width="9.5546875" style="120" customWidth="1"/>
    <col min="6152" max="6152" width="12.109375" style="120" customWidth="1"/>
    <col min="6153" max="6400" width="8.88671875" style="120"/>
    <col min="6401" max="6401" width="24.6640625" style="120" customWidth="1"/>
    <col min="6402" max="6402" width="16.109375" style="120" customWidth="1"/>
    <col min="6403" max="6403" width="10.109375" style="120" customWidth="1"/>
    <col min="6404" max="6404" width="12.33203125" style="120" customWidth="1"/>
    <col min="6405" max="6405" width="12" style="120" customWidth="1"/>
    <col min="6406" max="6406" width="8.6640625" style="120" customWidth="1"/>
    <col min="6407" max="6407" width="9.5546875" style="120" customWidth="1"/>
    <col min="6408" max="6408" width="12.109375" style="120" customWidth="1"/>
    <col min="6409" max="6656" width="8.88671875" style="120"/>
    <col min="6657" max="6657" width="24.6640625" style="120" customWidth="1"/>
    <col min="6658" max="6658" width="16.109375" style="120" customWidth="1"/>
    <col min="6659" max="6659" width="10.109375" style="120" customWidth="1"/>
    <col min="6660" max="6660" width="12.33203125" style="120" customWidth="1"/>
    <col min="6661" max="6661" width="12" style="120" customWidth="1"/>
    <col min="6662" max="6662" width="8.6640625" style="120" customWidth="1"/>
    <col min="6663" max="6663" width="9.5546875" style="120" customWidth="1"/>
    <col min="6664" max="6664" width="12.109375" style="120" customWidth="1"/>
    <col min="6665" max="6912" width="8.88671875" style="120"/>
    <col min="6913" max="6913" width="24.6640625" style="120" customWidth="1"/>
    <col min="6914" max="6914" width="16.109375" style="120" customWidth="1"/>
    <col min="6915" max="6915" width="10.109375" style="120" customWidth="1"/>
    <col min="6916" max="6916" width="12.33203125" style="120" customWidth="1"/>
    <col min="6917" max="6917" width="12" style="120" customWidth="1"/>
    <col min="6918" max="6918" width="8.6640625" style="120" customWidth="1"/>
    <col min="6919" max="6919" width="9.5546875" style="120" customWidth="1"/>
    <col min="6920" max="6920" width="12.109375" style="120" customWidth="1"/>
    <col min="6921" max="7168" width="8.88671875" style="120"/>
    <col min="7169" max="7169" width="24.6640625" style="120" customWidth="1"/>
    <col min="7170" max="7170" width="16.109375" style="120" customWidth="1"/>
    <col min="7171" max="7171" width="10.109375" style="120" customWidth="1"/>
    <col min="7172" max="7172" width="12.33203125" style="120" customWidth="1"/>
    <col min="7173" max="7173" width="12" style="120" customWidth="1"/>
    <col min="7174" max="7174" width="8.6640625" style="120" customWidth="1"/>
    <col min="7175" max="7175" width="9.5546875" style="120" customWidth="1"/>
    <col min="7176" max="7176" width="12.109375" style="120" customWidth="1"/>
    <col min="7177" max="7424" width="8.88671875" style="120"/>
    <col min="7425" max="7425" width="24.6640625" style="120" customWidth="1"/>
    <col min="7426" max="7426" width="16.109375" style="120" customWidth="1"/>
    <col min="7427" max="7427" width="10.109375" style="120" customWidth="1"/>
    <col min="7428" max="7428" width="12.33203125" style="120" customWidth="1"/>
    <col min="7429" max="7429" width="12" style="120" customWidth="1"/>
    <col min="7430" max="7430" width="8.6640625" style="120" customWidth="1"/>
    <col min="7431" max="7431" width="9.5546875" style="120" customWidth="1"/>
    <col min="7432" max="7432" width="12.109375" style="120" customWidth="1"/>
    <col min="7433" max="7680" width="8.88671875" style="120"/>
    <col min="7681" max="7681" width="24.6640625" style="120" customWidth="1"/>
    <col min="7682" max="7682" width="16.109375" style="120" customWidth="1"/>
    <col min="7683" max="7683" width="10.109375" style="120" customWidth="1"/>
    <col min="7684" max="7684" width="12.33203125" style="120" customWidth="1"/>
    <col min="7685" max="7685" width="12" style="120" customWidth="1"/>
    <col min="7686" max="7686" width="8.6640625" style="120" customWidth="1"/>
    <col min="7687" max="7687" width="9.5546875" style="120" customWidth="1"/>
    <col min="7688" max="7688" width="12.109375" style="120" customWidth="1"/>
    <col min="7689" max="7936" width="8.88671875" style="120"/>
    <col min="7937" max="7937" width="24.6640625" style="120" customWidth="1"/>
    <col min="7938" max="7938" width="16.109375" style="120" customWidth="1"/>
    <col min="7939" max="7939" width="10.109375" style="120" customWidth="1"/>
    <col min="7940" max="7940" width="12.33203125" style="120" customWidth="1"/>
    <col min="7941" max="7941" width="12" style="120" customWidth="1"/>
    <col min="7942" max="7942" width="8.6640625" style="120" customWidth="1"/>
    <col min="7943" max="7943" width="9.5546875" style="120" customWidth="1"/>
    <col min="7944" max="7944" width="12.109375" style="120" customWidth="1"/>
    <col min="7945" max="8192" width="8.88671875" style="120"/>
    <col min="8193" max="8193" width="24.6640625" style="120" customWidth="1"/>
    <col min="8194" max="8194" width="16.109375" style="120" customWidth="1"/>
    <col min="8195" max="8195" width="10.109375" style="120" customWidth="1"/>
    <col min="8196" max="8196" width="12.33203125" style="120" customWidth="1"/>
    <col min="8197" max="8197" width="12" style="120" customWidth="1"/>
    <col min="8198" max="8198" width="8.6640625" style="120" customWidth="1"/>
    <col min="8199" max="8199" width="9.5546875" style="120" customWidth="1"/>
    <col min="8200" max="8200" width="12.109375" style="120" customWidth="1"/>
    <col min="8201" max="8448" width="8.88671875" style="120"/>
    <col min="8449" max="8449" width="24.6640625" style="120" customWidth="1"/>
    <col min="8450" max="8450" width="16.109375" style="120" customWidth="1"/>
    <col min="8451" max="8451" width="10.109375" style="120" customWidth="1"/>
    <col min="8452" max="8452" width="12.33203125" style="120" customWidth="1"/>
    <col min="8453" max="8453" width="12" style="120" customWidth="1"/>
    <col min="8454" max="8454" width="8.6640625" style="120" customWidth="1"/>
    <col min="8455" max="8455" width="9.5546875" style="120" customWidth="1"/>
    <col min="8456" max="8456" width="12.109375" style="120" customWidth="1"/>
    <col min="8457" max="8704" width="8.88671875" style="120"/>
    <col min="8705" max="8705" width="24.6640625" style="120" customWidth="1"/>
    <col min="8706" max="8706" width="16.109375" style="120" customWidth="1"/>
    <col min="8707" max="8707" width="10.109375" style="120" customWidth="1"/>
    <col min="8708" max="8708" width="12.33203125" style="120" customWidth="1"/>
    <col min="8709" max="8709" width="12" style="120" customWidth="1"/>
    <col min="8710" max="8710" width="8.6640625" style="120" customWidth="1"/>
    <col min="8711" max="8711" width="9.5546875" style="120" customWidth="1"/>
    <col min="8712" max="8712" width="12.109375" style="120" customWidth="1"/>
    <col min="8713" max="8960" width="8.88671875" style="120"/>
    <col min="8961" max="8961" width="24.6640625" style="120" customWidth="1"/>
    <col min="8962" max="8962" width="16.109375" style="120" customWidth="1"/>
    <col min="8963" max="8963" width="10.109375" style="120" customWidth="1"/>
    <col min="8964" max="8964" width="12.33203125" style="120" customWidth="1"/>
    <col min="8965" max="8965" width="12" style="120" customWidth="1"/>
    <col min="8966" max="8966" width="8.6640625" style="120" customWidth="1"/>
    <col min="8967" max="8967" width="9.5546875" style="120" customWidth="1"/>
    <col min="8968" max="8968" width="12.109375" style="120" customWidth="1"/>
    <col min="8969" max="9216" width="8.88671875" style="120"/>
    <col min="9217" max="9217" width="24.6640625" style="120" customWidth="1"/>
    <col min="9218" max="9218" width="16.109375" style="120" customWidth="1"/>
    <col min="9219" max="9219" width="10.109375" style="120" customWidth="1"/>
    <col min="9220" max="9220" width="12.33203125" style="120" customWidth="1"/>
    <col min="9221" max="9221" width="12" style="120" customWidth="1"/>
    <col min="9222" max="9222" width="8.6640625" style="120" customWidth="1"/>
    <col min="9223" max="9223" width="9.5546875" style="120" customWidth="1"/>
    <col min="9224" max="9224" width="12.109375" style="120" customWidth="1"/>
    <col min="9225" max="9472" width="8.88671875" style="120"/>
    <col min="9473" max="9473" width="24.6640625" style="120" customWidth="1"/>
    <col min="9474" max="9474" width="16.109375" style="120" customWidth="1"/>
    <col min="9475" max="9475" width="10.109375" style="120" customWidth="1"/>
    <col min="9476" max="9476" width="12.33203125" style="120" customWidth="1"/>
    <col min="9477" max="9477" width="12" style="120" customWidth="1"/>
    <col min="9478" max="9478" width="8.6640625" style="120" customWidth="1"/>
    <col min="9479" max="9479" width="9.5546875" style="120" customWidth="1"/>
    <col min="9480" max="9480" width="12.109375" style="120" customWidth="1"/>
    <col min="9481" max="9728" width="8.88671875" style="120"/>
    <col min="9729" max="9729" width="24.6640625" style="120" customWidth="1"/>
    <col min="9730" max="9730" width="16.109375" style="120" customWidth="1"/>
    <col min="9731" max="9731" width="10.109375" style="120" customWidth="1"/>
    <col min="9732" max="9732" width="12.33203125" style="120" customWidth="1"/>
    <col min="9733" max="9733" width="12" style="120" customWidth="1"/>
    <col min="9734" max="9734" width="8.6640625" style="120" customWidth="1"/>
    <col min="9735" max="9735" width="9.5546875" style="120" customWidth="1"/>
    <col min="9736" max="9736" width="12.109375" style="120" customWidth="1"/>
    <col min="9737" max="9984" width="8.88671875" style="120"/>
    <col min="9985" max="9985" width="24.6640625" style="120" customWidth="1"/>
    <col min="9986" max="9986" width="16.109375" style="120" customWidth="1"/>
    <col min="9987" max="9987" width="10.109375" style="120" customWidth="1"/>
    <col min="9988" max="9988" width="12.33203125" style="120" customWidth="1"/>
    <col min="9989" max="9989" width="12" style="120" customWidth="1"/>
    <col min="9990" max="9990" width="8.6640625" style="120" customWidth="1"/>
    <col min="9991" max="9991" width="9.5546875" style="120" customWidth="1"/>
    <col min="9992" max="9992" width="12.109375" style="120" customWidth="1"/>
    <col min="9993" max="10240" width="8.88671875" style="120"/>
    <col min="10241" max="10241" width="24.6640625" style="120" customWidth="1"/>
    <col min="10242" max="10242" width="16.109375" style="120" customWidth="1"/>
    <col min="10243" max="10243" width="10.109375" style="120" customWidth="1"/>
    <col min="10244" max="10244" width="12.33203125" style="120" customWidth="1"/>
    <col min="10245" max="10245" width="12" style="120" customWidth="1"/>
    <col min="10246" max="10246" width="8.6640625" style="120" customWidth="1"/>
    <col min="10247" max="10247" width="9.5546875" style="120" customWidth="1"/>
    <col min="10248" max="10248" width="12.109375" style="120" customWidth="1"/>
    <col min="10249" max="10496" width="8.88671875" style="120"/>
    <col min="10497" max="10497" width="24.6640625" style="120" customWidth="1"/>
    <col min="10498" max="10498" width="16.109375" style="120" customWidth="1"/>
    <col min="10499" max="10499" width="10.109375" style="120" customWidth="1"/>
    <col min="10500" max="10500" width="12.33203125" style="120" customWidth="1"/>
    <col min="10501" max="10501" width="12" style="120" customWidth="1"/>
    <col min="10502" max="10502" width="8.6640625" style="120" customWidth="1"/>
    <col min="10503" max="10503" width="9.5546875" style="120" customWidth="1"/>
    <col min="10504" max="10504" width="12.109375" style="120" customWidth="1"/>
    <col min="10505" max="10752" width="8.88671875" style="120"/>
    <col min="10753" max="10753" width="24.6640625" style="120" customWidth="1"/>
    <col min="10754" max="10754" width="16.109375" style="120" customWidth="1"/>
    <col min="10755" max="10755" width="10.109375" style="120" customWidth="1"/>
    <col min="10756" max="10756" width="12.33203125" style="120" customWidth="1"/>
    <col min="10757" max="10757" width="12" style="120" customWidth="1"/>
    <col min="10758" max="10758" width="8.6640625" style="120" customWidth="1"/>
    <col min="10759" max="10759" width="9.5546875" style="120" customWidth="1"/>
    <col min="10760" max="10760" width="12.109375" style="120" customWidth="1"/>
    <col min="10761" max="11008" width="8.88671875" style="120"/>
    <col min="11009" max="11009" width="24.6640625" style="120" customWidth="1"/>
    <col min="11010" max="11010" width="16.109375" style="120" customWidth="1"/>
    <col min="11011" max="11011" width="10.109375" style="120" customWidth="1"/>
    <col min="11012" max="11012" width="12.33203125" style="120" customWidth="1"/>
    <col min="11013" max="11013" width="12" style="120" customWidth="1"/>
    <col min="11014" max="11014" width="8.6640625" style="120" customWidth="1"/>
    <col min="11015" max="11015" width="9.5546875" style="120" customWidth="1"/>
    <col min="11016" max="11016" width="12.109375" style="120" customWidth="1"/>
    <col min="11017" max="11264" width="8.88671875" style="120"/>
    <col min="11265" max="11265" width="24.6640625" style="120" customWidth="1"/>
    <col min="11266" max="11266" width="16.109375" style="120" customWidth="1"/>
    <col min="11267" max="11267" width="10.109375" style="120" customWidth="1"/>
    <col min="11268" max="11268" width="12.33203125" style="120" customWidth="1"/>
    <col min="11269" max="11269" width="12" style="120" customWidth="1"/>
    <col min="11270" max="11270" width="8.6640625" style="120" customWidth="1"/>
    <col min="11271" max="11271" width="9.5546875" style="120" customWidth="1"/>
    <col min="11272" max="11272" width="12.109375" style="120" customWidth="1"/>
    <col min="11273" max="11520" width="8.88671875" style="120"/>
    <col min="11521" max="11521" width="24.6640625" style="120" customWidth="1"/>
    <col min="11522" max="11522" width="16.109375" style="120" customWidth="1"/>
    <col min="11523" max="11523" width="10.109375" style="120" customWidth="1"/>
    <col min="11524" max="11524" width="12.33203125" style="120" customWidth="1"/>
    <col min="11525" max="11525" width="12" style="120" customWidth="1"/>
    <col min="11526" max="11526" width="8.6640625" style="120" customWidth="1"/>
    <col min="11527" max="11527" width="9.5546875" style="120" customWidth="1"/>
    <col min="11528" max="11528" width="12.109375" style="120" customWidth="1"/>
    <col min="11529" max="11776" width="8.88671875" style="120"/>
    <col min="11777" max="11777" width="24.6640625" style="120" customWidth="1"/>
    <col min="11778" max="11778" width="16.109375" style="120" customWidth="1"/>
    <col min="11779" max="11779" width="10.109375" style="120" customWidth="1"/>
    <col min="11780" max="11780" width="12.33203125" style="120" customWidth="1"/>
    <col min="11781" max="11781" width="12" style="120" customWidth="1"/>
    <col min="11782" max="11782" width="8.6640625" style="120" customWidth="1"/>
    <col min="11783" max="11783" width="9.5546875" style="120" customWidth="1"/>
    <col min="11784" max="11784" width="12.109375" style="120" customWidth="1"/>
    <col min="11785" max="12032" width="8.88671875" style="120"/>
    <col min="12033" max="12033" width="24.6640625" style="120" customWidth="1"/>
    <col min="12034" max="12034" width="16.109375" style="120" customWidth="1"/>
    <col min="12035" max="12035" width="10.109375" style="120" customWidth="1"/>
    <col min="12036" max="12036" width="12.33203125" style="120" customWidth="1"/>
    <col min="12037" max="12037" width="12" style="120" customWidth="1"/>
    <col min="12038" max="12038" width="8.6640625" style="120" customWidth="1"/>
    <col min="12039" max="12039" width="9.5546875" style="120" customWidth="1"/>
    <col min="12040" max="12040" width="12.109375" style="120" customWidth="1"/>
    <col min="12041" max="12288" width="8.88671875" style="120"/>
    <col min="12289" max="12289" width="24.6640625" style="120" customWidth="1"/>
    <col min="12290" max="12290" width="16.109375" style="120" customWidth="1"/>
    <col min="12291" max="12291" width="10.109375" style="120" customWidth="1"/>
    <col min="12292" max="12292" width="12.33203125" style="120" customWidth="1"/>
    <col min="12293" max="12293" width="12" style="120" customWidth="1"/>
    <col min="12294" max="12294" width="8.6640625" style="120" customWidth="1"/>
    <col min="12295" max="12295" width="9.5546875" style="120" customWidth="1"/>
    <col min="12296" max="12296" width="12.109375" style="120" customWidth="1"/>
    <col min="12297" max="12544" width="8.88671875" style="120"/>
    <col min="12545" max="12545" width="24.6640625" style="120" customWidth="1"/>
    <col min="12546" max="12546" width="16.109375" style="120" customWidth="1"/>
    <col min="12547" max="12547" width="10.109375" style="120" customWidth="1"/>
    <col min="12548" max="12548" width="12.33203125" style="120" customWidth="1"/>
    <col min="12549" max="12549" width="12" style="120" customWidth="1"/>
    <col min="12550" max="12550" width="8.6640625" style="120" customWidth="1"/>
    <col min="12551" max="12551" width="9.5546875" style="120" customWidth="1"/>
    <col min="12552" max="12552" width="12.109375" style="120" customWidth="1"/>
    <col min="12553" max="12800" width="8.88671875" style="120"/>
    <col min="12801" max="12801" width="24.6640625" style="120" customWidth="1"/>
    <col min="12802" max="12802" width="16.109375" style="120" customWidth="1"/>
    <col min="12803" max="12803" width="10.109375" style="120" customWidth="1"/>
    <col min="12804" max="12804" width="12.33203125" style="120" customWidth="1"/>
    <col min="12805" max="12805" width="12" style="120" customWidth="1"/>
    <col min="12806" max="12806" width="8.6640625" style="120" customWidth="1"/>
    <col min="12807" max="12807" width="9.5546875" style="120" customWidth="1"/>
    <col min="12808" max="12808" width="12.109375" style="120" customWidth="1"/>
    <col min="12809" max="13056" width="8.88671875" style="120"/>
    <col min="13057" max="13057" width="24.6640625" style="120" customWidth="1"/>
    <col min="13058" max="13058" width="16.109375" style="120" customWidth="1"/>
    <col min="13059" max="13059" width="10.109375" style="120" customWidth="1"/>
    <col min="13060" max="13060" width="12.33203125" style="120" customWidth="1"/>
    <col min="13061" max="13061" width="12" style="120" customWidth="1"/>
    <col min="13062" max="13062" width="8.6640625" style="120" customWidth="1"/>
    <col min="13063" max="13063" width="9.5546875" style="120" customWidth="1"/>
    <col min="13064" max="13064" width="12.109375" style="120" customWidth="1"/>
    <col min="13065" max="13312" width="8.88671875" style="120"/>
    <col min="13313" max="13313" width="24.6640625" style="120" customWidth="1"/>
    <col min="13314" max="13314" width="16.109375" style="120" customWidth="1"/>
    <col min="13315" max="13315" width="10.109375" style="120" customWidth="1"/>
    <col min="13316" max="13316" width="12.33203125" style="120" customWidth="1"/>
    <col min="13317" max="13317" width="12" style="120" customWidth="1"/>
    <col min="13318" max="13318" width="8.6640625" style="120" customWidth="1"/>
    <col min="13319" max="13319" width="9.5546875" style="120" customWidth="1"/>
    <col min="13320" max="13320" width="12.109375" style="120" customWidth="1"/>
    <col min="13321" max="13568" width="8.88671875" style="120"/>
    <col min="13569" max="13569" width="24.6640625" style="120" customWidth="1"/>
    <col min="13570" max="13570" width="16.109375" style="120" customWidth="1"/>
    <col min="13571" max="13571" width="10.109375" style="120" customWidth="1"/>
    <col min="13572" max="13572" width="12.33203125" style="120" customWidth="1"/>
    <col min="13573" max="13573" width="12" style="120" customWidth="1"/>
    <col min="13574" max="13574" width="8.6640625" style="120" customWidth="1"/>
    <col min="13575" max="13575" width="9.5546875" style="120" customWidth="1"/>
    <col min="13576" max="13576" width="12.109375" style="120" customWidth="1"/>
    <col min="13577" max="13824" width="8.88671875" style="120"/>
    <col min="13825" max="13825" width="24.6640625" style="120" customWidth="1"/>
    <col min="13826" max="13826" width="16.109375" style="120" customWidth="1"/>
    <col min="13827" max="13827" width="10.109375" style="120" customWidth="1"/>
    <col min="13828" max="13828" width="12.33203125" style="120" customWidth="1"/>
    <col min="13829" max="13829" width="12" style="120" customWidth="1"/>
    <col min="13830" max="13830" width="8.6640625" style="120" customWidth="1"/>
    <col min="13831" max="13831" width="9.5546875" style="120" customWidth="1"/>
    <col min="13832" max="13832" width="12.109375" style="120" customWidth="1"/>
    <col min="13833" max="14080" width="8.88671875" style="120"/>
    <col min="14081" max="14081" width="24.6640625" style="120" customWidth="1"/>
    <col min="14082" max="14082" width="16.109375" style="120" customWidth="1"/>
    <col min="14083" max="14083" width="10.109375" style="120" customWidth="1"/>
    <col min="14084" max="14084" width="12.33203125" style="120" customWidth="1"/>
    <col min="14085" max="14085" width="12" style="120" customWidth="1"/>
    <col min="14086" max="14086" width="8.6640625" style="120" customWidth="1"/>
    <col min="14087" max="14087" width="9.5546875" style="120" customWidth="1"/>
    <col min="14088" max="14088" width="12.109375" style="120" customWidth="1"/>
    <col min="14089" max="14336" width="8.88671875" style="120"/>
    <col min="14337" max="14337" width="24.6640625" style="120" customWidth="1"/>
    <col min="14338" max="14338" width="16.109375" style="120" customWidth="1"/>
    <col min="14339" max="14339" width="10.109375" style="120" customWidth="1"/>
    <col min="14340" max="14340" width="12.33203125" style="120" customWidth="1"/>
    <col min="14341" max="14341" width="12" style="120" customWidth="1"/>
    <col min="14342" max="14342" width="8.6640625" style="120" customWidth="1"/>
    <col min="14343" max="14343" width="9.5546875" style="120" customWidth="1"/>
    <col min="14344" max="14344" width="12.109375" style="120" customWidth="1"/>
    <col min="14345" max="14592" width="8.88671875" style="120"/>
    <col min="14593" max="14593" width="24.6640625" style="120" customWidth="1"/>
    <col min="14594" max="14594" width="16.109375" style="120" customWidth="1"/>
    <col min="14595" max="14595" width="10.109375" style="120" customWidth="1"/>
    <col min="14596" max="14596" width="12.33203125" style="120" customWidth="1"/>
    <col min="14597" max="14597" width="12" style="120" customWidth="1"/>
    <col min="14598" max="14598" width="8.6640625" style="120" customWidth="1"/>
    <col min="14599" max="14599" width="9.5546875" style="120" customWidth="1"/>
    <col min="14600" max="14600" width="12.109375" style="120" customWidth="1"/>
    <col min="14601" max="14848" width="8.88671875" style="120"/>
    <col min="14849" max="14849" width="24.6640625" style="120" customWidth="1"/>
    <col min="14850" max="14850" width="16.109375" style="120" customWidth="1"/>
    <col min="14851" max="14851" width="10.109375" style="120" customWidth="1"/>
    <col min="14852" max="14852" width="12.33203125" style="120" customWidth="1"/>
    <col min="14853" max="14853" width="12" style="120" customWidth="1"/>
    <col min="14854" max="14854" width="8.6640625" style="120" customWidth="1"/>
    <col min="14855" max="14855" width="9.5546875" style="120" customWidth="1"/>
    <col min="14856" max="14856" width="12.109375" style="120" customWidth="1"/>
    <col min="14857" max="15104" width="8.88671875" style="120"/>
    <col min="15105" max="15105" width="24.6640625" style="120" customWidth="1"/>
    <col min="15106" max="15106" width="16.109375" style="120" customWidth="1"/>
    <col min="15107" max="15107" width="10.109375" style="120" customWidth="1"/>
    <col min="15108" max="15108" width="12.33203125" style="120" customWidth="1"/>
    <col min="15109" max="15109" width="12" style="120" customWidth="1"/>
    <col min="15110" max="15110" width="8.6640625" style="120" customWidth="1"/>
    <col min="15111" max="15111" width="9.5546875" style="120" customWidth="1"/>
    <col min="15112" max="15112" width="12.109375" style="120" customWidth="1"/>
    <col min="15113" max="15360" width="8.88671875" style="120"/>
    <col min="15361" max="15361" width="24.6640625" style="120" customWidth="1"/>
    <col min="15362" max="15362" width="16.109375" style="120" customWidth="1"/>
    <col min="15363" max="15363" width="10.109375" style="120" customWidth="1"/>
    <col min="15364" max="15364" width="12.33203125" style="120" customWidth="1"/>
    <col min="15365" max="15365" width="12" style="120" customWidth="1"/>
    <col min="15366" max="15366" width="8.6640625" style="120" customWidth="1"/>
    <col min="15367" max="15367" width="9.5546875" style="120" customWidth="1"/>
    <col min="15368" max="15368" width="12.109375" style="120" customWidth="1"/>
    <col min="15369" max="15616" width="8.88671875" style="120"/>
    <col min="15617" max="15617" width="24.6640625" style="120" customWidth="1"/>
    <col min="15618" max="15618" width="16.109375" style="120" customWidth="1"/>
    <col min="15619" max="15619" width="10.109375" style="120" customWidth="1"/>
    <col min="15620" max="15620" width="12.33203125" style="120" customWidth="1"/>
    <col min="15621" max="15621" width="12" style="120" customWidth="1"/>
    <col min="15622" max="15622" width="8.6640625" style="120" customWidth="1"/>
    <col min="15623" max="15623" width="9.5546875" style="120" customWidth="1"/>
    <col min="15624" max="15624" width="12.109375" style="120" customWidth="1"/>
    <col min="15625" max="15872" width="8.88671875" style="120"/>
    <col min="15873" max="15873" width="24.6640625" style="120" customWidth="1"/>
    <col min="15874" max="15874" width="16.109375" style="120" customWidth="1"/>
    <col min="15875" max="15875" width="10.109375" style="120" customWidth="1"/>
    <col min="15876" max="15876" width="12.33203125" style="120" customWidth="1"/>
    <col min="15877" max="15877" width="12" style="120" customWidth="1"/>
    <col min="15878" max="15878" width="8.6640625" style="120" customWidth="1"/>
    <col min="15879" max="15879" width="9.5546875" style="120" customWidth="1"/>
    <col min="15880" max="15880" width="12.109375" style="120" customWidth="1"/>
    <col min="15881" max="16128" width="8.88671875" style="120"/>
    <col min="16129" max="16129" width="24.6640625" style="120" customWidth="1"/>
    <col min="16130" max="16130" width="16.109375" style="120" customWidth="1"/>
    <col min="16131" max="16131" width="10.109375" style="120" customWidth="1"/>
    <col min="16132" max="16132" width="12.33203125" style="120" customWidth="1"/>
    <col min="16133" max="16133" width="12" style="120" customWidth="1"/>
    <col min="16134" max="16134" width="8.6640625" style="120" customWidth="1"/>
    <col min="16135" max="16135" width="9.5546875" style="120" customWidth="1"/>
    <col min="16136" max="16136" width="12.109375" style="120" customWidth="1"/>
    <col min="16137" max="16384" width="8.88671875" style="120"/>
  </cols>
  <sheetData>
    <row r="1" spans="1:12" s="114" customFormat="1" ht="20.399999999999999" hidden="1">
      <c r="A1" s="109" t="s">
        <v>154</v>
      </c>
      <c r="B1" s="110"/>
      <c r="C1" s="109"/>
      <c r="D1" s="111"/>
      <c r="E1" s="112" t="s">
        <v>155</v>
      </c>
      <c r="F1" s="113">
        <f>'[2]CAF Spring17'!BK27</f>
        <v>2.7235921972764018E-2</v>
      </c>
    </row>
    <row r="2" spans="1:12" s="116" customFormat="1" ht="15.6" hidden="1">
      <c r="A2" s="115" t="s">
        <v>156</v>
      </c>
    </row>
    <row r="3" spans="1:12" ht="27" hidden="1" customHeight="1">
      <c r="A3" s="117" t="s">
        <v>157</v>
      </c>
      <c r="B3" s="118">
        <v>5.07</v>
      </c>
      <c r="C3" s="119"/>
      <c r="D3" s="120"/>
      <c r="E3" s="120"/>
    </row>
    <row r="4" spans="1:12" s="125" customFormat="1" ht="31.2" hidden="1">
      <c r="A4" s="117"/>
      <c r="B4" s="121"/>
      <c r="C4" s="122"/>
      <c r="D4" s="123" t="s">
        <v>158</v>
      </c>
      <c r="E4" s="124" t="s">
        <v>159</v>
      </c>
    </row>
    <row r="5" spans="1:12" ht="40.5" hidden="1" customHeight="1">
      <c r="A5" s="126" t="s">
        <v>160</v>
      </c>
      <c r="B5" s="126" t="s">
        <v>161</v>
      </c>
      <c r="C5" s="127" t="s">
        <v>162</v>
      </c>
      <c r="D5" s="128" t="s">
        <v>163</v>
      </c>
      <c r="E5" s="129" t="s">
        <v>163</v>
      </c>
    </row>
    <row r="6" spans="1:12" ht="14.4" hidden="1">
      <c r="A6" s="130">
        <v>1</v>
      </c>
      <c r="B6" s="130">
        <v>6.34</v>
      </c>
      <c r="C6" s="131">
        <v>2</v>
      </c>
      <c r="D6" s="132">
        <f>B6/C6</f>
        <v>3.17</v>
      </c>
      <c r="E6" s="133">
        <f>D6*($F$1+1)</f>
        <v>3.256337872653662</v>
      </c>
      <c r="F6" s="134"/>
      <c r="G6" s="135"/>
    </row>
    <row r="7" spans="1:12" ht="14.4" hidden="1">
      <c r="A7" s="130">
        <v>1</v>
      </c>
      <c r="B7" s="130">
        <v>6.31</v>
      </c>
      <c r="C7" s="131">
        <v>3</v>
      </c>
      <c r="D7" s="132">
        <f>B7/C7</f>
        <v>2.1033333333333331</v>
      </c>
      <c r="E7" s="133">
        <f>D7*($F$1+1)</f>
        <v>2.1606195558827133</v>
      </c>
      <c r="F7" s="134"/>
      <c r="G7" s="135"/>
    </row>
    <row r="8" spans="1:12" ht="14.4" hidden="1">
      <c r="A8" s="130">
        <v>1</v>
      </c>
      <c r="B8" s="130">
        <v>5.03</v>
      </c>
      <c r="C8" s="131">
        <v>1</v>
      </c>
      <c r="D8" s="132">
        <f>B8/C8</f>
        <v>5.03</v>
      </c>
      <c r="E8" s="133">
        <f>D8*($F$1+1)</f>
        <v>5.1669966875230031</v>
      </c>
    </row>
    <row r="9" spans="1:12" hidden="1">
      <c r="J9" s="137"/>
    </row>
    <row r="10" spans="1:12" hidden="1">
      <c r="J10" s="138"/>
    </row>
    <row r="11" spans="1:12" hidden="1">
      <c r="J11" s="138"/>
    </row>
    <row r="13" spans="1:12" ht="15" customHeight="1">
      <c r="D13" s="139" t="s">
        <v>164</v>
      </c>
      <c r="E13" s="139"/>
      <c r="F13" s="139"/>
      <c r="G13" s="139"/>
      <c r="H13" s="139"/>
      <c r="I13" s="139"/>
      <c r="J13" s="139"/>
      <c r="K13" s="139"/>
      <c r="L13" s="139"/>
    </row>
    <row r="14" spans="1:12">
      <c r="D14" s="139"/>
      <c r="E14" s="139"/>
      <c r="F14" s="139"/>
      <c r="G14" s="139"/>
      <c r="H14" s="139"/>
      <c r="I14" s="139"/>
      <c r="J14" s="139"/>
      <c r="K14" s="139"/>
      <c r="L14" s="139"/>
    </row>
    <row r="15" spans="1:12" ht="13.8" thickBot="1"/>
    <row r="16" spans="1:12" ht="15.75" customHeight="1" thickBot="1">
      <c r="D16" s="140" t="s">
        <v>165</v>
      </c>
      <c r="E16" s="141"/>
      <c r="F16" s="141"/>
      <c r="G16" s="142"/>
      <c r="I16" s="143" t="s">
        <v>74</v>
      </c>
      <c r="J16" s="144"/>
      <c r="K16" s="144"/>
      <c r="L16" s="145"/>
    </row>
    <row r="17" spans="4:12" ht="15" customHeight="1">
      <c r="D17" s="146" t="s">
        <v>166</v>
      </c>
      <c r="E17" s="147"/>
      <c r="F17" s="147"/>
      <c r="G17" s="148" t="s">
        <v>167</v>
      </c>
      <c r="I17" s="149" t="s">
        <v>168</v>
      </c>
      <c r="J17" s="150"/>
      <c r="K17" s="150"/>
      <c r="L17" s="151">
        <v>1975</v>
      </c>
    </row>
    <row r="18" spans="4:12" ht="15" customHeight="1">
      <c r="D18" s="152" t="s">
        <v>169</v>
      </c>
      <c r="E18" s="153"/>
      <c r="F18" s="154">
        <f>Chart!C6</f>
        <v>34927.359999999993</v>
      </c>
      <c r="G18" s="155" t="s">
        <v>170</v>
      </c>
      <c r="I18" s="156" t="s">
        <v>171</v>
      </c>
      <c r="J18" s="157" t="s">
        <v>172</v>
      </c>
      <c r="K18" s="158" t="s">
        <v>173</v>
      </c>
      <c r="L18" s="159" t="s">
        <v>174</v>
      </c>
    </row>
    <row r="19" spans="4:12" ht="13.8">
      <c r="D19" s="160"/>
      <c r="E19" s="161"/>
      <c r="F19" s="162"/>
      <c r="G19" s="163"/>
      <c r="I19" s="164" t="str">
        <f>D18</f>
        <v>Direct Care I</v>
      </c>
      <c r="J19" s="165">
        <f>F18</f>
        <v>34927.359999999993</v>
      </c>
      <c r="K19" s="166">
        <v>1</v>
      </c>
      <c r="L19" s="167">
        <f>J19*K19</f>
        <v>34927.359999999993</v>
      </c>
    </row>
    <row r="20" spans="4:12" ht="15" customHeight="1">
      <c r="D20" s="152" t="s">
        <v>175</v>
      </c>
      <c r="E20" s="153"/>
      <c r="F20" s="168">
        <v>1</v>
      </c>
      <c r="G20" s="155" t="s">
        <v>176</v>
      </c>
      <c r="I20" s="169"/>
      <c r="J20" s="170"/>
      <c r="K20" s="171"/>
      <c r="L20" s="172"/>
    </row>
    <row r="21" spans="4:12" ht="15.75" customHeight="1" thickBot="1">
      <c r="D21" s="173" t="s">
        <v>177</v>
      </c>
      <c r="E21" s="174"/>
      <c r="F21" s="175"/>
      <c r="G21" s="176"/>
      <c r="I21" s="177" t="s">
        <v>178</v>
      </c>
      <c r="J21" s="178">
        <f>F26</f>
        <v>0.224</v>
      </c>
      <c r="K21" s="179"/>
      <c r="L21" s="180">
        <f>J21*L19</f>
        <v>7823.7286399999984</v>
      </c>
    </row>
    <row r="22" spans="4:12" ht="16.5" customHeight="1" thickTop="1" thickBot="1">
      <c r="D22" s="181" t="s">
        <v>179</v>
      </c>
      <c r="E22" s="182"/>
      <c r="F22" s="183">
        <f>'Master Look Up'!E7</f>
        <v>1056.8783932396871</v>
      </c>
      <c r="G22" s="184" t="s">
        <v>180</v>
      </c>
      <c r="I22" s="185" t="s">
        <v>181</v>
      </c>
      <c r="J22" s="186"/>
      <c r="K22" s="186"/>
      <c r="L22" s="187">
        <f>SUM(L19:L21)</f>
        <v>42751.088639999994</v>
      </c>
    </row>
    <row r="23" spans="4:12" ht="15.75" customHeight="1" thickTop="1">
      <c r="D23" s="181"/>
      <c r="E23" s="182"/>
      <c r="F23" s="183"/>
      <c r="G23" s="184"/>
      <c r="I23" s="169" t="str">
        <f>D22</f>
        <v xml:space="preserve">Staff Mileage / Travel </v>
      </c>
      <c r="J23" s="170"/>
      <c r="K23" s="170"/>
      <c r="L23" s="172">
        <f>F22</f>
        <v>1056.8783932396871</v>
      </c>
    </row>
    <row r="24" spans="4:12" ht="15.75" customHeight="1">
      <c r="D24" s="188"/>
      <c r="E24" s="189"/>
      <c r="F24" s="190"/>
      <c r="G24" s="184"/>
      <c r="I24" s="169"/>
      <c r="J24" s="191"/>
      <c r="K24" s="170"/>
      <c r="L24" s="167"/>
    </row>
    <row r="25" spans="4:12" ht="15.75" customHeight="1">
      <c r="D25" s="192" t="s">
        <v>182</v>
      </c>
      <c r="E25" s="193"/>
      <c r="F25" s="190"/>
      <c r="G25" s="184"/>
      <c r="I25" s="169"/>
      <c r="J25" s="191"/>
      <c r="K25" s="170"/>
      <c r="L25" s="167"/>
    </row>
    <row r="26" spans="4:12" ht="13.8">
      <c r="D26" s="194" t="s">
        <v>183</v>
      </c>
      <c r="E26" s="195"/>
      <c r="F26" s="196">
        <f>'Master Look Up'!D25</f>
        <v>0.224</v>
      </c>
      <c r="G26" s="197" t="s">
        <v>143</v>
      </c>
      <c r="I26" s="198" t="s">
        <v>184</v>
      </c>
      <c r="J26" s="199"/>
      <c r="K26" s="199"/>
      <c r="L26" s="200">
        <f>SUM(L22:L24)</f>
        <v>43807.967033239678</v>
      </c>
    </row>
    <row r="27" spans="4:12" ht="15.75" customHeight="1">
      <c r="D27" s="201" t="s">
        <v>185</v>
      </c>
      <c r="E27" s="202"/>
      <c r="F27" s="196">
        <f>'Master Look Up'!D30</f>
        <v>0.12</v>
      </c>
      <c r="G27" s="197" t="s">
        <v>151</v>
      </c>
      <c r="I27" s="203" t="str">
        <f>D28</f>
        <v>PFMLA</v>
      </c>
      <c r="J27" s="204">
        <f>F28</f>
        <v>3.7000000000000002E-3</v>
      </c>
      <c r="K27" s="205"/>
      <c r="L27" s="206">
        <f>L19*(J27)</f>
        <v>129.23123199999998</v>
      </c>
    </row>
    <row r="28" spans="4:12" ht="14.4" thickBot="1">
      <c r="D28" s="207" t="s">
        <v>61</v>
      </c>
      <c r="E28" s="208"/>
      <c r="F28" s="209">
        <v>3.7000000000000002E-3</v>
      </c>
      <c r="G28" s="210" t="s">
        <v>186</v>
      </c>
      <c r="I28" s="169" t="s">
        <v>185</v>
      </c>
      <c r="J28" s="191">
        <f>F27</f>
        <v>0.12</v>
      </c>
      <c r="K28" s="170"/>
      <c r="L28" s="167">
        <f>J28*L26</f>
        <v>5256.9560439887609</v>
      </c>
    </row>
    <row r="29" spans="4:12" ht="14.4" thickBot="1">
      <c r="D29" s="211" t="s">
        <v>187</v>
      </c>
      <c r="E29" s="212"/>
      <c r="F29" s="213">
        <f>'Master Look Up'!D33</f>
        <v>1.0633805350099574E-2</v>
      </c>
      <c r="G29" s="214" t="s">
        <v>153</v>
      </c>
      <c r="I29" s="185" t="s">
        <v>188</v>
      </c>
      <c r="J29" s="186"/>
      <c r="K29" s="186"/>
      <c r="L29" s="187">
        <f>SUM(L26:L28)</f>
        <v>49194.154309228441</v>
      </c>
    </row>
    <row r="30" spans="4:12" ht="16.5" customHeight="1">
      <c r="D30" s="215"/>
      <c r="E30" s="215"/>
      <c r="F30" s="216"/>
      <c r="G30" s="217"/>
      <c r="I30" s="169"/>
      <c r="J30" s="218"/>
      <c r="K30" s="219"/>
      <c r="L30" s="220"/>
    </row>
    <row r="31" spans="4:12" ht="13.8">
      <c r="I31" s="221" t="s">
        <v>189</v>
      </c>
      <c r="J31" s="222">
        <f>F29</f>
        <v>1.0633805350099574E-2</v>
      </c>
      <c r="K31" s="223"/>
      <c r="L31" s="224">
        <f>L29*(1+J31)</f>
        <v>49717.275370515541</v>
      </c>
    </row>
    <row r="32" spans="4:12" ht="13.8">
      <c r="I32" s="169"/>
      <c r="J32" s="219"/>
      <c r="K32" s="219"/>
      <c r="L32" s="225"/>
    </row>
    <row r="33" spans="4:12" ht="14.4" thickBot="1">
      <c r="D33" s="226"/>
      <c r="I33" s="227" t="s">
        <v>190</v>
      </c>
      <c r="J33" s="228"/>
      <c r="K33" s="229"/>
      <c r="L33" s="230">
        <f>L31/L17</f>
        <v>25.173303985071161</v>
      </c>
    </row>
    <row r="34" spans="4:12" ht="14.4" thickBot="1">
      <c r="D34" s="226"/>
      <c r="I34" s="231" t="s">
        <v>191</v>
      </c>
      <c r="J34" s="232"/>
      <c r="K34" s="233"/>
      <c r="L34" s="234">
        <f>L33*0.25</f>
        <v>6.2933259962677903</v>
      </c>
    </row>
    <row r="35" spans="4:12" ht="13.8" thickBot="1">
      <c r="D35" s="235" t="s">
        <v>192</v>
      </c>
    </row>
    <row r="36" spans="4:12" ht="15" customHeight="1" thickBot="1">
      <c r="D36" s="235" t="s">
        <v>193</v>
      </c>
      <c r="I36" s="236"/>
      <c r="J36" s="237" t="s">
        <v>158</v>
      </c>
      <c r="K36" s="237" t="s">
        <v>159</v>
      </c>
      <c r="L36" s="238" t="s">
        <v>194</v>
      </c>
    </row>
    <row r="37" spans="4:12" ht="13.8">
      <c r="D37" s="235" t="s">
        <v>195</v>
      </c>
      <c r="I37" s="239" t="s">
        <v>74</v>
      </c>
      <c r="J37" s="240">
        <v>5.677117699695275</v>
      </c>
      <c r="K37" s="241">
        <f>L34</f>
        <v>6.2933259962677903</v>
      </c>
      <c r="L37" s="242">
        <f>(K37-J37)/J37</f>
        <v>0.10854245572636109</v>
      </c>
    </row>
    <row r="38" spans="4:12" ht="13.8">
      <c r="D38" s="235" t="s">
        <v>196</v>
      </c>
      <c r="I38" s="239" t="s">
        <v>197</v>
      </c>
      <c r="J38" s="240">
        <v>3.6503754834332534</v>
      </c>
      <c r="K38" s="241">
        <f>(J38/J37)*K37</f>
        <v>4.0465962027284013</v>
      </c>
      <c r="L38" s="242">
        <f t="shared" ref="L38:L39" si="0">(K38-J38)/J38</f>
        <v>0.10854245572636111</v>
      </c>
    </row>
    <row r="39" spans="4:12" ht="14.4" thickBot="1">
      <c r="D39" s="226"/>
      <c r="I39" s="243" t="s">
        <v>198</v>
      </c>
      <c r="J39" s="244">
        <v>2.4186536945447328</v>
      </c>
      <c r="K39" s="245">
        <f>(J39/J37)*K37</f>
        <v>2.6811803061022541</v>
      </c>
      <c r="L39" s="246">
        <f t="shared" si="0"/>
        <v>0.10854245572636109</v>
      </c>
    </row>
    <row r="40" spans="4:12">
      <c r="L40" s="247">
        <f>AVERAGE(L37:L39)</f>
        <v>0.10854245572636108</v>
      </c>
    </row>
    <row r="41" spans="4:12" ht="13.8" thickBot="1"/>
    <row r="42" spans="4:12" ht="15" customHeight="1" thickBot="1">
      <c r="D42" s="143" t="s">
        <v>199</v>
      </c>
      <c r="E42" s="144"/>
      <c r="F42" s="248"/>
      <c r="G42" s="249" t="s">
        <v>200</v>
      </c>
    </row>
    <row r="43" spans="4:12" ht="28.2" thickBot="1">
      <c r="D43" s="250" t="s">
        <v>201</v>
      </c>
      <c r="E43" s="251" t="s">
        <v>202</v>
      </c>
      <c r="F43" s="252" t="s">
        <v>203</v>
      </c>
      <c r="G43" s="253">
        <v>2080</v>
      </c>
    </row>
    <row r="44" spans="4:12" ht="13.8">
      <c r="D44" s="254" t="s">
        <v>204</v>
      </c>
      <c r="E44" s="255">
        <v>40</v>
      </c>
      <c r="F44" s="256">
        <v>1</v>
      </c>
      <c r="G44" s="257">
        <f>F44*E44</f>
        <v>40</v>
      </c>
    </row>
    <row r="45" spans="4:12" ht="13.8">
      <c r="D45" s="258" t="s">
        <v>205</v>
      </c>
      <c r="E45" s="255">
        <v>40</v>
      </c>
      <c r="F45" s="259">
        <v>1</v>
      </c>
      <c r="G45" s="257">
        <f>F45*E45</f>
        <v>40</v>
      </c>
    </row>
    <row r="46" spans="4:12" ht="14.4" thickBot="1">
      <c r="D46" s="260" t="s">
        <v>206</v>
      </c>
      <c r="E46" s="255">
        <v>40</v>
      </c>
      <c r="F46" s="261">
        <v>0.60499899999999995</v>
      </c>
      <c r="G46" s="257">
        <v>25</v>
      </c>
    </row>
    <row r="47" spans="4:12" ht="42" thickBot="1">
      <c r="D47" s="262" t="s">
        <v>207</v>
      </c>
      <c r="E47" s="263"/>
      <c r="F47" s="264"/>
      <c r="G47" s="253">
        <f>SUM(G44:G46)</f>
        <v>105</v>
      </c>
    </row>
    <row r="48" spans="4:12" ht="27.6">
      <c r="D48" s="265" t="s">
        <v>208</v>
      </c>
      <c r="E48" s="266"/>
      <c r="F48" s="267"/>
      <c r="G48" s="268">
        <f>L17</f>
        <v>1975</v>
      </c>
    </row>
  </sheetData>
  <mergeCells count="11">
    <mergeCell ref="D26:E26"/>
    <mergeCell ref="D27:E27"/>
    <mergeCell ref="D29:E29"/>
    <mergeCell ref="D30:E30"/>
    <mergeCell ref="D42:F42"/>
    <mergeCell ref="D13:L14"/>
    <mergeCell ref="D16:G16"/>
    <mergeCell ref="I16:L16"/>
    <mergeCell ref="D17:F17"/>
    <mergeCell ref="D21:E21"/>
    <mergeCell ref="D25:E25"/>
  </mergeCells>
  <pageMargins left="0.75" right="0.7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40"/>
  <sheetViews>
    <sheetView zoomScale="80" zoomScaleNormal="80" workbookViewId="0">
      <selection activeCell="W17" sqref="W17"/>
    </sheetView>
  </sheetViews>
  <sheetFormatPr defaultColWidth="9.109375" defaultRowHeight="14.4"/>
  <cols>
    <col min="1" max="1" width="5.109375" style="269" customWidth="1"/>
    <col min="2" max="2" width="24.5546875" style="269" customWidth="1"/>
    <col min="3" max="3" width="10.88671875" style="269" customWidth="1"/>
    <col min="4" max="4" width="11.109375" style="269" customWidth="1"/>
    <col min="5" max="5" width="12" style="269" bestFit="1" customWidth="1"/>
    <col min="6" max="6" width="16.88671875" style="270" customWidth="1"/>
    <col min="7" max="7" width="3.5546875" style="271" customWidth="1"/>
    <col min="8" max="8" width="22.109375" style="269" customWidth="1"/>
    <col min="9" max="9" width="11.33203125" style="269" customWidth="1"/>
    <col min="10" max="10" width="13.109375" style="269" customWidth="1"/>
    <col min="11" max="11" width="9.109375" style="269"/>
    <col min="12" max="12" width="14.44140625" style="270" customWidth="1"/>
    <col min="13" max="13" width="4.44140625" style="269" customWidth="1"/>
    <col min="14" max="14" width="23.33203125" style="269" customWidth="1"/>
    <col min="15" max="15" width="12.88671875" style="269" customWidth="1"/>
    <col min="16" max="16" width="12.5546875" style="269" customWidth="1"/>
    <col min="17" max="17" width="12.109375" style="269" customWidth="1"/>
    <col min="18" max="18" width="14.33203125" style="270" customWidth="1"/>
    <col min="19" max="19" width="14.33203125" style="271" customWidth="1"/>
    <col min="20" max="20" width="9.109375" style="269"/>
    <col min="21" max="21" width="14.109375" style="269" customWidth="1"/>
    <col min="22" max="22" width="11.44140625" style="269" customWidth="1"/>
    <col min="23" max="23" width="12.6640625" style="269" customWidth="1"/>
    <col min="24" max="24" width="14" style="269" customWidth="1"/>
    <col min="25" max="25" width="15.44140625" style="269" customWidth="1"/>
    <col min="26" max="26" width="9" style="269" customWidth="1"/>
    <col min="27" max="27" width="14.33203125" style="269" customWidth="1"/>
    <col min="28" max="28" width="13.5546875" style="269" customWidth="1"/>
    <col min="29" max="29" width="9.109375" style="269"/>
    <col min="30" max="30" width="10.6640625" style="269" customWidth="1"/>
    <col min="31" max="31" width="10.44140625" style="269" hidden="1" customWidth="1"/>
    <col min="32" max="35" width="0" style="269" hidden="1" customWidth="1"/>
    <col min="36" max="16384" width="9.109375" style="269"/>
  </cols>
  <sheetData>
    <row r="1" spans="2:29" ht="26.25" customHeight="1">
      <c r="I1" s="272"/>
      <c r="R1" s="273" t="s">
        <v>209</v>
      </c>
      <c r="S1" s="273"/>
      <c r="T1" s="273"/>
      <c r="U1" s="273"/>
      <c r="V1" s="273"/>
      <c r="W1" s="273"/>
    </row>
    <row r="2" spans="2:29" ht="26.25" customHeight="1">
      <c r="I2" s="272"/>
      <c r="R2" s="273"/>
      <c r="S2" s="273"/>
      <c r="T2" s="273"/>
      <c r="U2" s="273"/>
      <c r="V2" s="273"/>
      <c r="W2" s="273"/>
    </row>
    <row r="3" spans="2:29" ht="15" thickBot="1">
      <c r="I3" s="272"/>
    </row>
    <row r="4" spans="2:29" ht="15" customHeight="1" thickBot="1">
      <c r="B4" s="274" t="s">
        <v>210</v>
      </c>
      <c r="C4" s="275"/>
      <c r="D4" s="275"/>
      <c r="E4" s="275"/>
      <c r="F4" s="276"/>
      <c r="G4" s="269"/>
      <c r="H4" s="274" t="s">
        <v>211</v>
      </c>
      <c r="I4" s="275"/>
      <c r="J4" s="275"/>
      <c r="K4" s="275"/>
      <c r="L4" s="276"/>
      <c r="N4" s="274" t="s">
        <v>212</v>
      </c>
      <c r="O4" s="275"/>
      <c r="P4" s="275"/>
      <c r="Q4" s="275"/>
      <c r="R4" s="276"/>
      <c r="S4" s="277"/>
      <c r="U4" s="278" t="s">
        <v>213</v>
      </c>
      <c r="V4" s="279"/>
      <c r="W4" s="279"/>
      <c r="X4" s="279"/>
      <c r="Y4" s="279"/>
      <c r="Z4" s="279"/>
      <c r="AA4" s="279"/>
      <c r="AB4" s="280"/>
      <c r="AC4" s="281"/>
    </row>
    <row r="5" spans="2:29" ht="31.5" customHeight="1" thickBot="1">
      <c r="B5" s="282"/>
      <c r="C5" s="283" t="s">
        <v>214</v>
      </c>
      <c r="D5" s="284" t="s">
        <v>215</v>
      </c>
      <c r="E5" s="285" t="s">
        <v>216</v>
      </c>
      <c r="F5" s="286" t="s">
        <v>217</v>
      </c>
      <c r="G5" s="269"/>
      <c r="H5" s="282"/>
      <c r="I5" s="283" t="s">
        <v>214</v>
      </c>
      <c r="J5" s="284" t="s">
        <v>215</v>
      </c>
      <c r="K5" s="285" t="s">
        <v>216</v>
      </c>
      <c r="L5" s="286" t="s">
        <v>217</v>
      </c>
      <c r="N5" s="282"/>
      <c r="O5" s="283" t="s">
        <v>214</v>
      </c>
      <c r="P5" s="284" t="s">
        <v>215</v>
      </c>
      <c r="Q5" s="285" t="s">
        <v>216</v>
      </c>
      <c r="R5" s="286" t="s">
        <v>217</v>
      </c>
      <c r="S5" s="287"/>
      <c r="U5" s="288" t="s">
        <v>218</v>
      </c>
      <c r="V5" s="289"/>
      <c r="W5" s="290" t="s">
        <v>219</v>
      </c>
      <c r="X5" s="291" t="s">
        <v>167</v>
      </c>
      <c r="Y5" s="292"/>
      <c r="Z5" s="292"/>
      <c r="AA5" s="292"/>
      <c r="AB5" s="293"/>
    </row>
    <row r="6" spans="2:29">
      <c r="B6" s="294" t="s">
        <v>85</v>
      </c>
      <c r="C6" s="295"/>
      <c r="D6" s="295">
        <f>W6</f>
        <v>69600</v>
      </c>
      <c r="E6" s="296">
        <f>V27</f>
        <v>0.08</v>
      </c>
      <c r="F6" s="297">
        <f>D6*E6</f>
        <v>5568</v>
      </c>
      <c r="G6" s="269"/>
      <c r="H6" s="294" t="s">
        <v>85</v>
      </c>
      <c r="I6" s="295"/>
      <c r="J6" s="295">
        <f>W6</f>
        <v>69600</v>
      </c>
      <c r="K6" s="296">
        <f>V28</f>
        <v>0.16</v>
      </c>
      <c r="L6" s="297">
        <f>J6*K6</f>
        <v>11136</v>
      </c>
      <c r="N6" s="294" t="s">
        <v>85</v>
      </c>
      <c r="O6" s="295"/>
      <c r="P6" s="295">
        <f>W6</f>
        <v>69600</v>
      </c>
      <c r="Q6" s="296">
        <f>V29</f>
        <v>0.24</v>
      </c>
      <c r="R6" s="297">
        <f>Q6*P6</f>
        <v>16704</v>
      </c>
      <c r="S6" s="298"/>
      <c r="U6" s="299" t="s">
        <v>85</v>
      </c>
      <c r="V6" s="300"/>
      <c r="W6" s="301">
        <f>'Master Look Up'!N6</f>
        <v>69600</v>
      </c>
      <c r="X6" s="302" t="s">
        <v>220</v>
      </c>
      <c r="Y6" s="303"/>
      <c r="Z6" s="303"/>
      <c r="AA6" s="303"/>
      <c r="AB6" s="304"/>
    </row>
    <row r="7" spans="2:29" ht="15" thickBot="1">
      <c r="B7" s="305" t="s">
        <v>117</v>
      </c>
      <c r="C7" s="306"/>
      <c r="D7" s="295">
        <f>W7</f>
        <v>45375.199999999997</v>
      </c>
      <c r="E7" s="296">
        <f>U27</f>
        <v>0.5</v>
      </c>
      <c r="F7" s="297">
        <f>E7*D7</f>
        <v>22687.599999999999</v>
      </c>
      <c r="G7" s="269"/>
      <c r="H7" s="305" t="s">
        <v>117</v>
      </c>
      <c r="I7" s="306"/>
      <c r="J7" s="295">
        <f>W7</f>
        <v>45375.199999999997</v>
      </c>
      <c r="K7" s="296">
        <f>U28</f>
        <v>1</v>
      </c>
      <c r="L7" s="297">
        <f>J7*K7</f>
        <v>45375.199999999997</v>
      </c>
      <c r="N7" s="305" t="s">
        <v>117</v>
      </c>
      <c r="O7" s="306"/>
      <c r="P7" s="295">
        <f>W7</f>
        <v>45375.199999999997</v>
      </c>
      <c r="Q7" s="296">
        <f>U29</f>
        <v>1.5</v>
      </c>
      <c r="R7" s="297">
        <f>Q7*P7</f>
        <v>68062.799999999988</v>
      </c>
      <c r="S7" s="298"/>
      <c r="U7" s="307" t="s">
        <v>117</v>
      </c>
      <c r="V7" s="308"/>
      <c r="W7" s="309">
        <f>'Master Look Up'!N5</f>
        <v>45375.199999999997</v>
      </c>
      <c r="X7" s="310" t="s">
        <v>221</v>
      </c>
      <c r="Y7" s="311"/>
      <c r="Z7" s="311"/>
      <c r="AA7" s="311"/>
      <c r="AB7" s="312"/>
    </row>
    <row r="8" spans="2:29">
      <c r="B8" s="305"/>
      <c r="C8" s="306"/>
      <c r="D8" s="295"/>
      <c r="E8" s="296"/>
      <c r="F8" s="297"/>
      <c r="G8" s="269"/>
      <c r="H8" s="305"/>
      <c r="I8" s="306"/>
      <c r="J8" s="295"/>
      <c r="K8" s="296"/>
      <c r="L8" s="297"/>
      <c r="N8" s="305"/>
      <c r="O8" s="306"/>
      <c r="P8" s="295"/>
      <c r="Q8" s="296"/>
      <c r="R8" s="297"/>
      <c r="S8" s="298"/>
      <c r="T8" s="313"/>
      <c r="U8" s="314"/>
      <c r="V8" s="315"/>
      <c r="W8" s="316"/>
      <c r="X8" s="317"/>
      <c r="Y8" s="315"/>
      <c r="Z8" s="315"/>
      <c r="AA8" s="315"/>
      <c r="AB8" s="318"/>
    </row>
    <row r="9" spans="2:29" ht="15" customHeight="1">
      <c r="B9" s="319" t="s">
        <v>222</v>
      </c>
      <c r="C9" s="320"/>
      <c r="D9" s="321">
        <f>SUM(D6:D7)</f>
        <v>114975.2</v>
      </c>
      <c r="E9" s="322">
        <f>SUM(E6:E8)</f>
        <v>0.57999999999999996</v>
      </c>
      <c r="F9" s="323">
        <f>SUM(F6:F7)</f>
        <v>28255.599999999999</v>
      </c>
      <c r="G9" s="269"/>
      <c r="H9" s="319" t="s">
        <v>222</v>
      </c>
      <c r="I9" s="320"/>
      <c r="J9" s="321"/>
      <c r="K9" s="322">
        <f>SUM(K6:K8)</f>
        <v>1.1599999999999999</v>
      </c>
      <c r="L9" s="323">
        <f>SUM(L6:L7)</f>
        <v>56511.199999999997</v>
      </c>
      <c r="N9" s="319" t="s">
        <v>222</v>
      </c>
      <c r="O9" s="320"/>
      <c r="P9" s="321"/>
      <c r="Q9" s="322">
        <f>SUM(Q6:Q8)</f>
        <v>1.74</v>
      </c>
      <c r="R9" s="323">
        <f>SUM(R6:R7)</f>
        <v>84766.799999999988</v>
      </c>
      <c r="S9" s="324"/>
      <c r="U9" s="325"/>
      <c r="V9" s="326"/>
      <c r="W9" s="327"/>
      <c r="X9" s="328"/>
      <c r="Y9" s="329"/>
      <c r="Z9" s="329"/>
      <c r="AA9" s="329"/>
      <c r="AB9" s="330"/>
    </row>
    <row r="10" spans="2:29">
      <c r="B10" s="282"/>
      <c r="C10" s="331"/>
      <c r="D10" s="332"/>
      <c r="E10" s="333"/>
      <c r="F10" s="334"/>
      <c r="G10" s="269"/>
      <c r="H10" s="282"/>
      <c r="I10" s="331"/>
      <c r="J10" s="332"/>
      <c r="K10" s="335"/>
      <c r="L10" s="334"/>
      <c r="N10" s="282"/>
      <c r="O10" s="331"/>
      <c r="P10" s="332"/>
      <c r="Q10" s="333"/>
      <c r="R10" s="334"/>
      <c r="S10" s="324"/>
      <c r="U10" s="336" t="s">
        <v>223</v>
      </c>
      <c r="V10" s="326"/>
      <c r="W10" s="327">
        <f>'Master Look Up'!E4</f>
        <v>5963.9694954316819</v>
      </c>
      <c r="X10" s="337" t="s">
        <v>180</v>
      </c>
      <c r="Y10" s="338"/>
      <c r="Z10" s="338"/>
      <c r="AA10" s="338"/>
      <c r="AB10" s="339"/>
    </row>
    <row r="11" spans="2:29" ht="16.5" customHeight="1">
      <c r="B11" s="282" t="s">
        <v>224</v>
      </c>
      <c r="C11" s="331"/>
      <c r="D11" s="332"/>
      <c r="E11" s="340"/>
      <c r="F11" s="334"/>
      <c r="G11" s="269"/>
      <c r="H11" s="282" t="s">
        <v>224</v>
      </c>
      <c r="I11" s="331"/>
      <c r="J11" s="332"/>
      <c r="K11" s="340"/>
      <c r="L11" s="334"/>
      <c r="N11" s="282" t="s">
        <v>224</v>
      </c>
      <c r="O11" s="331"/>
      <c r="P11" s="332"/>
      <c r="Q11" s="340"/>
      <c r="R11" s="334"/>
      <c r="S11" s="324"/>
      <c r="U11" s="336" t="s">
        <v>84</v>
      </c>
      <c r="V11" s="326"/>
      <c r="W11" s="327">
        <f>'Master Look Up'!E6</f>
        <v>159.61973086509079</v>
      </c>
      <c r="X11" s="337" t="s">
        <v>180</v>
      </c>
      <c r="Y11" s="338"/>
      <c r="Z11" s="338"/>
      <c r="AA11" s="338"/>
      <c r="AB11" s="339"/>
    </row>
    <row r="12" spans="2:29" ht="15" customHeight="1">
      <c r="B12" s="336" t="s">
        <v>183</v>
      </c>
      <c r="C12" s="341">
        <f>W17</f>
        <v>0.224</v>
      </c>
      <c r="D12" s="342"/>
      <c r="E12" s="343"/>
      <c r="F12" s="344">
        <f>C12*F9</f>
        <v>6329.2543999999998</v>
      </c>
      <c r="G12" s="269"/>
      <c r="H12" s="336" t="s">
        <v>183</v>
      </c>
      <c r="I12" s="341">
        <f>W17</f>
        <v>0.224</v>
      </c>
      <c r="J12" s="342"/>
      <c r="K12" s="343"/>
      <c r="L12" s="297">
        <f>I12*L9</f>
        <v>12658.5088</v>
      </c>
      <c r="N12" s="336" t="s">
        <v>183</v>
      </c>
      <c r="O12" s="341">
        <f>W17</f>
        <v>0.224</v>
      </c>
      <c r="P12" s="342"/>
      <c r="Q12" s="343"/>
      <c r="R12" s="297">
        <f>O12*R9</f>
        <v>18987.763199999998</v>
      </c>
      <c r="S12" s="298"/>
      <c r="U12" s="336" t="s">
        <v>88</v>
      </c>
      <c r="V12" s="326"/>
      <c r="W12" s="327">
        <f>'Master Look Up'!E7</f>
        <v>1056.8783932396871</v>
      </c>
      <c r="X12" s="337" t="s">
        <v>180</v>
      </c>
      <c r="Y12" s="338"/>
      <c r="Z12" s="338"/>
      <c r="AA12" s="338"/>
      <c r="AB12" s="339"/>
    </row>
    <row r="13" spans="2:29" ht="15" customHeight="1">
      <c r="B13" s="345" t="s">
        <v>225</v>
      </c>
      <c r="C13" s="346"/>
      <c r="D13" s="347"/>
      <c r="E13" s="348"/>
      <c r="F13" s="323">
        <f>F12+F9</f>
        <v>34584.854399999997</v>
      </c>
      <c r="G13" s="269"/>
      <c r="H13" s="345" t="s">
        <v>225</v>
      </c>
      <c r="I13" s="346"/>
      <c r="J13" s="347"/>
      <c r="K13" s="348"/>
      <c r="L13" s="323">
        <f>L9+L12</f>
        <v>69169.708799999993</v>
      </c>
      <c r="N13" s="345" t="s">
        <v>225</v>
      </c>
      <c r="O13" s="346"/>
      <c r="P13" s="347"/>
      <c r="Q13" s="348"/>
      <c r="R13" s="323">
        <f>R12+R9</f>
        <v>103754.56319999999</v>
      </c>
      <c r="S13" s="324"/>
      <c r="U13" s="336" t="s">
        <v>125</v>
      </c>
      <c r="V13" s="326"/>
      <c r="W13" s="327">
        <f>'Master Look Up'!E17</f>
        <v>1347.3502436316674</v>
      </c>
      <c r="X13" s="337" t="s">
        <v>180</v>
      </c>
      <c r="Y13" s="338"/>
      <c r="Z13" s="338"/>
      <c r="AA13" s="338"/>
      <c r="AB13" s="339"/>
    </row>
    <row r="14" spans="2:29" ht="15" customHeight="1">
      <c r="B14" s="349" t="s">
        <v>223</v>
      </c>
      <c r="C14" s="350"/>
      <c r="D14" s="295">
        <f>W10</f>
        <v>5963.9694954316819</v>
      </c>
      <c r="E14" s="343"/>
      <c r="F14" s="297">
        <f>D14*E7*W27</f>
        <v>7454.961869289602</v>
      </c>
      <c r="G14" s="269"/>
      <c r="H14" s="349" t="s">
        <v>223</v>
      </c>
      <c r="I14" s="350"/>
      <c r="J14" s="295">
        <f>W10</f>
        <v>5963.9694954316819</v>
      </c>
      <c r="K14" s="343"/>
      <c r="L14" s="297">
        <f>J14*K7*W28</f>
        <v>14909.923738579204</v>
      </c>
      <c r="N14" s="349" t="s">
        <v>223</v>
      </c>
      <c r="O14" s="350"/>
      <c r="P14" s="295">
        <f>W10</f>
        <v>5963.9694954316819</v>
      </c>
      <c r="Q14" s="343"/>
      <c r="R14" s="297">
        <f>P14*Q7*W29</f>
        <v>22364.885607868811</v>
      </c>
      <c r="S14" s="298"/>
      <c r="U14" s="336" t="s">
        <v>129</v>
      </c>
      <c r="V14" s="326"/>
      <c r="W14" s="327">
        <f>'Master Look Up'!E18</f>
        <v>2996.7173855870574</v>
      </c>
      <c r="X14" s="337" t="s">
        <v>180</v>
      </c>
      <c r="Y14" s="338"/>
      <c r="Z14" s="338"/>
      <c r="AA14" s="338"/>
      <c r="AB14" s="339"/>
    </row>
    <row r="15" spans="2:29">
      <c r="B15" s="336" t="s">
        <v>84</v>
      </c>
      <c r="C15" s="351"/>
      <c r="D15" s="295">
        <f t="shared" ref="D15:D18" si="0">W11</f>
        <v>159.61973086509079</v>
      </c>
      <c r="E15" s="352"/>
      <c r="F15" s="297">
        <f>D15*E7*W27</f>
        <v>199.52466358136348</v>
      </c>
      <c r="G15" s="269"/>
      <c r="H15" s="336" t="s">
        <v>84</v>
      </c>
      <c r="I15" s="351"/>
      <c r="J15" s="295">
        <f t="shared" ref="J15:J18" si="1">W11</f>
        <v>159.61973086509079</v>
      </c>
      <c r="K15" s="352"/>
      <c r="L15" s="297">
        <f>J15*K7*W28</f>
        <v>399.04932716272697</v>
      </c>
      <c r="N15" s="336" t="s">
        <v>84</v>
      </c>
      <c r="O15" s="351"/>
      <c r="P15" s="295">
        <f t="shared" ref="P15:P18" si="2">W11</f>
        <v>159.61973086509079</v>
      </c>
      <c r="Q15" s="352"/>
      <c r="R15" s="297">
        <f>P15*Q7*W29</f>
        <v>598.57399074409045</v>
      </c>
      <c r="S15" s="298"/>
      <c r="U15" s="336" t="s">
        <v>226</v>
      </c>
      <c r="V15" s="326"/>
      <c r="W15" s="327">
        <v>1000</v>
      </c>
      <c r="X15" s="337" t="s">
        <v>176</v>
      </c>
      <c r="Y15" s="338"/>
      <c r="Z15" s="338"/>
      <c r="AA15" s="338"/>
      <c r="AB15" s="339"/>
    </row>
    <row r="16" spans="2:29" ht="15" thickBot="1">
      <c r="B16" s="336" t="s">
        <v>88</v>
      </c>
      <c r="C16" s="351"/>
      <c r="D16" s="295">
        <f t="shared" si="0"/>
        <v>1056.8783932396871</v>
      </c>
      <c r="E16" s="352"/>
      <c r="F16" s="297">
        <f>D16*E7*W27</f>
        <v>1321.0979915496089</v>
      </c>
      <c r="G16" s="269"/>
      <c r="H16" s="336" t="s">
        <v>88</v>
      </c>
      <c r="I16" s="351"/>
      <c r="J16" s="295">
        <f t="shared" si="1"/>
        <v>1056.8783932396871</v>
      </c>
      <c r="K16" s="352"/>
      <c r="L16" s="297">
        <f>J16*K7*W28</f>
        <v>2642.1959830992178</v>
      </c>
      <c r="N16" s="336" t="s">
        <v>88</v>
      </c>
      <c r="O16" s="351"/>
      <c r="P16" s="295">
        <f t="shared" si="2"/>
        <v>1056.8783932396871</v>
      </c>
      <c r="Q16" s="352"/>
      <c r="R16" s="297">
        <f>P16*Q7*W29</f>
        <v>3963.2939746488264</v>
      </c>
      <c r="S16" s="298"/>
      <c r="U16" s="353"/>
      <c r="V16" s="354"/>
      <c r="W16" s="355"/>
      <c r="X16" s="356"/>
      <c r="Y16" s="357"/>
      <c r="Z16" s="357"/>
      <c r="AA16" s="357"/>
      <c r="AB16" s="358"/>
    </row>
    <row r="17" spans="1:41">
      <c r="B17" s="336" t="s">
        <v>125</v>
      </c>
      <c r="C17" s="351"/>
      <c r="D17" s="295">
        <f t="shared" si="0"/>
        <v>1347.3502436316674</v>
      </c>
      <c r="E17" s="352"/>
      <c r="F17" s="297">
        <f>D17*E7*W27</f>
        <v>1684.1878045395842</v>
      </c>
      <c r="G17" s="269"/>
      <c r="H17" s="336" t="s">
        <v>125</v>
      </c>
      <c r="I17" s="351"/>
      <c r="J17" s="295">
        <f t="shared" si="1"/>
        <v>1347.3502436316674</v>
      </c>
      <c r="K17" s="352"/>
      <c r="L17" s="297">
        <f>J17*K7*W28</f>
        <v>3368.3756090791685</v>
      </c>
      <c r="N17" s="336" t="s">
        <v>125</v>
      </c>
      <c r="O17" s="351"/>
      <c r="P17" s="295">
        <f t="shared" si="2"/>
        <v>1347.3502436316674</v>
      </c>
      <c r="Q17" s="352"/>
      <c r="R17" s="297">
        <f>P17*Q7*W29</f>
        <v>5052.5634136187527</v>
      </c>
      <c r="S17" s="298"/>
      <c r="U17" s="359" t="s">
        <v>183</v>
      </c>
      <c r="V17" s="360"/>
      <c r="W17" s="361">
        <f>'Master Look Up'!D25</f>
        <v>0.224</v>
      </c>
      <c r="X17" s="362" t="s">
        <v>143</v>
      </c>
      <c r="Y17" s="363"/>
      <c r="Z17" s="363"/>
      <c r="AA17" s="363"/>
      <c r="AB17" s="364"/>
    </row>
    <row r="18" spans="1:41">
      <c r="A18" s="365"/>
      <c r="B18" s="336" t="s">
        <v>129</v>
      </c>
      <c r="C18" s="366"/>
      <c r="D18" s="295">
        <f t="shared" si="0"/>
        <v>2996.7173855870574</v>
      </c>
      <c r="E18" s="367"/>
      <c r="F18" s="297">
        <f>D18*E7*W27</f>
        <v>3745.8967319838216</v>
      </c>
      <c r="G18" s="269"/>
      <c r="H18" s="336" t="s">
        <v>129</v>
      </c>
      <c r="I18" s="366"/>
      <c r="J18" s="295">
        <f t="shared" si="1"/>
        <v>2996.7173855870574</v>
      </c>
      <c r="K18" s="367"/>
      <c r="L18" s="297">
        <f>J18*K7*W28</f>
        <v>7491.7934639676432</v>
      </c>
      <c r="N18" s="336" t="s">
        <v>129</v>
      </c>
      <c r="O18" s="366"/>
      <c r="P18" s="295">
        <f t="shared" si="2"/>
        <v>2996.7173855870574</v>
      </c>
      <c r="Q18" s="367"/>
      <c r="R18" s="297">
        <f>P18*Q7*W29</f>
        <v>11237.690195951465</v>
      </c>
      <c r="S18" s="298"/>
      <c r="U18" s="368" t="s">
        <v>227</v>
      </c>
      <c r="V18" s="369"/>
      <c r="W18" s="370">
        <f>'Master Look Up'!D30</f>
        <v>0.12</v>
      </c>
      <c r="X18" s="371" t="s">
        <v>151</v>
      </c>
      <c r="Y18" s="372"/>
      <c r="Z18" s="372"/>
      <c r="AA18" s="372"/>
      <c r="AB18" s="373"/>
    </row>
    <row r="19" spans="1:41" ht="15.75" customHeight="1">
      <c r="B19" s="374" t="str">
        <f>U15</f>
        <v>Flex Funding Administration</v>
      </c>
      <c r="C19" s="375"/>
      <c r="D19" s="376">
        <f>$W$15</f>
        <v>1000</v>
      </c>
      <c r="E19" s="377"/>
      <c r="F19" s="378">
        <f>D19*E7</f>
        <v>500</v>
      </c>
      <c r="G19" s="269"/>
      <c r="H19" s="374" t="str">
        <f>U15</f>
        <v>Flex Funding Administration</v>
      </c>
      <c r="I19" s="375"/>
      <c r="J19" s="376">
        <f>$W$15</f>
        <v>1000</v>
      </c>
      <c r="K19" s="377"/>
      <c r="L19" s="378">
        <f>J19*K7</f>
        <v>1000</v>
      </c>
      <c r="N19" s="374" t="str">
        <f>U15</f>
        <v>Flex Funding Administration</v>
      </c>
      <c r="O19" s="375"/>
      <c r="P19" s="376">
        <f>$W$15</f>
        <v>1000</v>
      </c>
      <c r="Q19" s="377"/>
      <c r="R19" s="378">
        <f>P19*Q7</f>
        <v>1500</v>
      </c>
      <c r="S19" s="324"/>
      <c r="U19" s="368" t="s">
        <v>61</v>
      </c>
      <c r="V19" s="369"/>
      <c r="W19" s="370">
        <v>3.7000000000000002E-3</v>
      </c>
      <c r="X19" s="371" t="s">
        <v>186</v>
      </c>
      <c r="Y19" s="372"/>
      <c r="Z19" s="372"/>
      <c r="AA19" s="372"/>
      <c r="AB19" s="373"/>
    </row>
    <row r="20" spans="1:41" ht="15" thickBot="1">
      <c r="B20" s="379" t="s">
        <v>188</v>
      </c>
      <c r="C20" s="380"/>
      <c r="D20" s="381"/>
      <c r="E20" s="382"/>
      <c r="F20" s="383">
        <f>SUM(F13:F19)</f>
        <v>49490.523460943972</v>
      </c>
      <c r="G20" s="324"/>
      <c r="H20" s="379" t="s">
        <v>188</v>
      </c>
      <c r="I20" s="380"/>
      <c r="J20" s="381"/>
      <c r="K20" s="382"/>
      <c r="L20" s="383">
        <f>SUM(L13:L19)</f>
        <v>98981.046921887944</v>
      </c>
      <c r="N20" s="379" t="s">
        <v>188</v>
      </c>
      <c r="O20" s="380"/>
      <c r="P20" s="381"/>
      <c r="Q20" s="382"/>
      <c r="R20" s="383">
        <f>SUM(R13:R19)</f>
        <v>148471.57038283194</v>
      </c>
      <c r="S20" s="324"/>
      <c r="U20" s="368"/>
      <c r="V20" s="369"/>
      <c r="W20" s="370"/>
      <c r="X20" s="371"/>
      <c r="Y20" s="372"/>
      <c r="Z20" s="372"/>
      <c r="AA20" s="372"/>
      <c r="AB20" s="373"/>
    </row>
    <row r="21" spans="1:41" ht="15.6" thickTop="1" thickBot="1">
      <c r="B21" s="368" t="s">
        <v>227</v>
      </c>
      <c r="C21" s="384">
        <f>W18</f>
        <v>0.12</v>
      </c>
      <c r="D21" s="332"/>
      <c r="E21" s="335"/>
      <c r="F21" s="334">
        <f>C21*F20</f>
        <v>5938.8628153132768</v>
      </c>
      <c r="G21" s="324"/>
      <c r="H21" s="368" t="s">
        <v>227</v>
      </c>
      <c r="I21" s="384">
        <f>W18</f>
        <v>0.12</v>
      </c>
      <c r="J21" s="332"/>
      <c r="K21" s="335"/>
      <c r="L21" s="334">
        <f>I21*L20</f>
        <v>11877.725630626554</v>
      </c>
      <c r="N21" s="368" t="s">
        <v>227</v>
      </c>
      <c r="O21" s="384">
        <f>W18</f>
        <v>0.12</v>
      </c>
      <c r="P21" s="332"/>
      <c r="Q21" s="335"/>
      <c r="R21" s="334">
        <f>O21*R20</f>
        <v>17816.588445939833</v>
      </c>
      <c r="S21" s="324"/>
      <c r="U21" s="385" t="s">
        <v>228</v>
      </c>
      <c r="V21" s="386"/>
      <c r="W21" s="387">
        <f>'Master Look Up'!D33</f>
        <v>1.0633805350099574E-2</v>
      </c>
      <c r="X21" s="388" t="s">
        <v>153</v>
      </c>
      <c r="Y21" s="389"/>
      <c r="Z21" s="389"/>
      <c r="AA21" s="389"/>
      <c r="AB21" s="390"/>
    </row>
    <row r="22" spans="1:41" ht="15.75" customHeight="1">
      <c r="B22" s="368" t="s">
        <v>61</v>
      </c>
      <c r="C22" s="384">
        <f>W19</f>
        <v>3.7000000000000002E-3</v>
      </c>
      <c r="D22" s="332"/>
      <c r="E22" s="335"/>
      <c r="F22" s="334">
        <f>C22*F9</f>
        <v>104.54572</v>
      </c>
      <c r="G22" s="324"/>
      <c r="H22" s="368" t="s">
        <v>61</v>
      </c>
      <c r="I22" s="384">
        <f>W19</f>
        <v>3.7000000000000002E-3</v>
      </c>
      <c r="J22" s="332"/>
      <c r="K22" s="335"/>
      <c r="L22" s="334">
        <f>I22*L9</f>
        <v>209.09144000000001</v>
      </c>
      <c r="N22" s="368" t="s">
        <v>61</v>
      </c>
      <c r="O22" s="384">
        <f>W19</f>
        <v>3.7000000000000002E-3</v>
      </c>
      <c r="P22" s="332"/>
      <c r="Q22" s="335"/>
      <c r="R22" s="334">
        <f>O22*R9</f>
        <v>313.63715999999999</v>
      </c>
      <c r="S22" s="324"/>
      <c r="W22" s="391"/>
    </row>
    <row r="23" spans="1:41" ht="15" thickBot="1">
      <c r="B23" s="368"/>
      <c r="C23" s="384"/>
      <c r="D23" s="332"/>
      <c r="E23" s="335"/>
      <c r="F23" s="392">
        <f>C23*(F14+F15+F16+F17+F18)</f>
        <v>0</v>
      </c>
      <c r="G23" s="324"/>
      <c r="H23" s="368"/>
      <c r="I23" s="384"/>
      <c r="J23" s="332"/>
      <c r="K23" s="335"/>
      <c r="L23" s="392">
        <f>I23*(L14+L15+L16+L17+L18)</f>
        <v>0</v>
      </c>
      <c r="N23" s="368"/>
      <c r="O23" s="384"/>
      <c r="P23" s="332"/>
      <c r="Q23" s="335"/>
      <c r="R23" s="392">
        <f>O23*(R14+R15+R16+R17+R18)</f>
        <v>0</v>
      </c>
      <c r="S23" s="393"/>
    </row>
    <row r="24" spans="1:41" ht="15" customHeight="1" thickBot="1">
      <c r="B24" s="368"/>
      <c r="C24" s="384"/>
      <c r="D24" s="332"/>
      <c r="E24" s="335"/>
      <c r="F24" s="394">
        <f>SUM(F20:F23)</f>
        <v>55533.931996257248</v>
      </c>
      <c r="G24" s="324"/>
      <c r="H24" s="368"/>
      <c r="I24" s="384"/>
      <c r="J24" s="332"/>
      <c r="K24" s="335"/>
      <c r="L24" s="394">
        <f>SUM(L20:L23)</f>
        <v>111067.8639925145</v>
      </c>
      <c r="N24" s="368"/>
      <c r="O24" s="384"/>
      <c r="P24" s="332"/>
      <c r="Q24" s="335"/>
      <c r="R24" s="394">
        <f>SUM(R20:R23)</f>
        <v>166601.79598877177</v>
      </c>
      <c r="S24" s="393"/>
      <c r="T24" s="395" t="s">
        <v>229</v>
      </c>
      <c r="U24" s="396" t="s">
        <v>230</v>
      </c>
      <c r="V24" s="397"/>
      <c r="W24" s="398"/>
      <c r="X24" s="399" t="s">
        <v>231</v>
      </c>
      <c r="Y24" s="400"/>
      <c r="Z24" s="401"/>
    </row>
    <row r="25" spans="1:41" ht="15" customHeight="1">
      <c r="B25" s="282" t="s">
        <v>189</v>
      </c>
      <c r="C25" s="384">
        <f>W21</f>
        <v>1.0633805350099574E-2</v>
      </c>
      <c r="D25" s="332"/>
      <c r="E25" s="335"/>
      <c r="F25" s="394">
        <f>F24*C25</f>
        <v>590.53702317386626</v>
      </c>
      <c r="G25" s="324"/>
      <c r="H25" s="282" t="s">
        <v>189</v>
      </c>
      <c r="I25" s="384">
        <f>W21</f>
        <v>1.0633805350099574E-2</v>
      </c>
      <c r="J25" s="332"/>
      <c r="K25" s="335"/>
      <c r="L25" s="394">
        <f>I25*L24</f>
        <v>1181.0740463477325</v>
      </c>
      <c r="N25" s="282" t="s">
        <v>189</v>
      </c>
      <c r="O25" s="384">
        <f>W21</f>
        <v>1.0633805350099574E-2</v>
      </c>
      <c r="P25" s="332"/>
      <c r="Q25" s="335"/>
      <c r="R25" s="394">
        <f>R24*O25</f>
        <v>1771.6110695215991</v>
      </c>
      <c r="S25" s="393"/>
      <c r="T25" s="402"/>
      <c r="U25" s="403" t="s">
        <v>81</v>
      </c>
      <c r="V25" s="401" t="s">
        <v>232</v>
      </c>
      <c r="W25" s="401" t="s">
        <v>233</v>
      </c>
      <c r="X25" s="404" t="s">
        <v>234</v>
      </c>
      <c r="Y25" s="404" t="s">
        <v>235</v>
      </c>
      <c r="Z25" s="405"/>
      <c r="AO25" s="406"/>
    </row>
    <row r="26" spans="1:41" ht="18" customHeight="1" thickBot="1">
      <c r="B26" s="349"/>
      <c r="C26" s="350"/>
      <c r="D26" s="332"/>
      <c r="E26" s="335"/>
      <c r="F26" s="383">
        <f>SUM(F24:F25)</f>
        <v>56124.469019431112</v>
      </c>
      <c r="G26" s="324"/>
      <c r="H26" s="349"/>
      <c r="I26" s="350"/>
      <c r="J26" s="332"/>
      <c r="K26" s="335"/>
      <c r="L26" s="383">
        <f>SUM(L24:L25)</f>
        <v>112248.93803886222</v>
      </c>
      <c r="N26" s="349"/>
      <c r="O26" s="350"/>
      <c r="P26" s="332"/>
      <c r="Q26" s="335"/>
      <c r="R26" s="383">
        <f>SUM(R24:R25)</f>
        <v>168373.40705829338</v>
      </c>
      <c r="S26" s="324"/>
      <c r="T26" s="407"/>
      <c r="U26" s="408"/>
      <c r="V26" s="405"/>
      <c r="W26" s="405"/>
      <c r="X26" s="409"/>
      <c r="Y26" s="409"/>
      <c r="Z26" s="410"/>
    </row>
    <row r="27" spans="1:41" ht="20.25" customHeight="1" thickTop="1" thickBot="1">
      <c r="B27" s="282"/>
      <c r="C27" s="384"/>
      <c r="D27" s="332"/>
      <c r="E27" s="335"/>
      <c r="F27" s="297"/>
      <c r="G27" s="324"/>
      <c r="H27" s="282"/>
      <c r="I27" s="384"/>
      <c r="J27" s="332"/>
      <c r="K27" s="335"/>
      <c r="L27" s="411"/>
      <c r="N27" s="282"/>
      <c r="O27" s="384"/>
      <c r="P27" s="332"/>
      <c r="Q27" s="335"/>
      <c r="R27" s="411"/>
      <c r="S27" s="324"/>
      <c r="T27" s="395" t="s">
        <v>236</v>
      </c>
      <c r="U27" s="412">
        <v>0.5</v>
      </c>
      <c r="V27" s="413">
        <v>0.08</v>
      </c>
      <c r="W27" s="414">
        <v>2.5</v>
      </c>
      <c r="X27" s="415">
        <v>4162.4640968546137</v>
      </c>
      <c r="Y27" s="416">
        <f>F28</f>
        <v>4677.0390849525929</v>
      </c>
      <c r="Z27" s="417"/>
    </row>
    <row r="28" spans="1:41" ht="15" customHeight="1" thickTop="1" thickBot="1">
      <c r="B28" s="418" t="s">
        <v>237</v>
      </c>
      <c r="C28" s="419"/>
      <c r="D28" s="419"/>
      <c r="E28" s="419"/>
      <c r="F28" s="420">
        <f>F26/12</f>
        <v>4677.0390849525929</v>
      </c>
      <c r="G28" s="324"/>
      <c r="H28" s="418" t="s">
        <v>237</v>
      </c>
      <c r="I28" s="419"/>
      <c r="J28" s="419"/>
      <c r="K28" s="419"/>
      <c r="L28" s="421">
        <f>L26/12</f>
        <v>9354.0781699051859</v>
      </c>
      <c r="N28" s="418" t="s">
        <v>237</v>
      </c>
      <c r="O28" s="419"/>
      <c r="P28" s="419"/>
      <c r="Q28" s="419"/>
      <c r="R28" s="421">
        <f>R26/12</f>
        <v>14031.117254857782</v>
      </c>
      <c r="S28" s="393"/>
      <c r="T28" s="402"/>
      <c r="U28" s="422">
        <f t="shared" ref="U28:U50" si="3">U27+0.5</f>
        <v>1</v>
      </c>
      <c r="V28" s="423">
        <v>0.16</v>
      </c>
      <c r="W28" s="424">
        <v>2.5</v>
      </c>
      <c r="X28" s="425">
        <v>8324.9281937092273</v>
      </c>
      <c r="Y28" s="426">
        <f>L28</f>
        <v>9354.0781699051859</v>
      </c>
      <c r="Z28" s="417"/>
    </row>
    <row r="29" spans="1:41">
      <c r="B29" s="313"/>
      <c r="C29" s="313"/>
      <c r="D29" s="313"/>
      <c r="E29" s="313"/>
      <c r="F29" s="427"/>
      <c r="G29" s="298"/>
      <c r="H29" s="313"/>
      <c r="R29" s="428"/>
      <c r="S29" s="313"/>
      <c r="T29" s="402"/>
      <c r="U29" s="429">
        <f t="shared" si="3"/>
        <v>1.5</v>
      </c>
      <c r="V29" s="423">
        <v>0.24</v>
      </c>
      <c r="W29" s="424">
        <v>2.5</v>
      </c>
      <c r="X29" s="425">
        <v>12487.392290563845</v>
      </c>
      <c r="Y29" s="426">
        <f>R28</f>
        <v>14031.117254857782</v>
      </c>
      <c r="Z29" s="417"/>
    </row>
    <row r="30" spans="1:41" ht="15" customHeight="1" thickBot="1">
      <c r="B30" s="313"/>
      <c r="C30" s="313"/>
      <c r="D30" s="313"/>
      <c r="E30" s="313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0"/>
      <c r="R30" s="430"/>
      <c r="S30" s="430"/>
      <c r="T30" s="402"/>
      <c r="U30" s="431">
        <f t="shared" si="3"/>
        <v>2</v>
      </c>
      <c r="V30" s="432">
        <v>0.32</v>
      </c>
      <c r="W30" s="433">
        <v>2.5</v>
      </c>
      <c r="X30" s="425">
        <v>16649.856387418455</v>
      </c>
      <c r="Y30" s="426">
        <f>F56</f>
        <v>18708.156339810372</v>
      </c>
      <c r="Z30" s="417"/>
    </row>
    <row r="31" spans="1:41" ht="15" thickBot="1">
      <c r="B31" s="313"/>
      <c r="C31" s="313"/>
      <c r="D31" s="313"/>
      <c r="E31" s="313"/>
      <c r="F31" s="434"/>
      <c r="G31" s="298"/>
      <c r="H31" s="313"/>
      <c r="R31" s="269"/>
      <c r="S31" s="313"/>
      <c r="T31" s="395" t="s">
        <v>238</v>
      </c>
      <c r="U31" s="412">
        <f t="shared" si="3"/>
        <v>2.5</v>
      </c>
      <c r="V31" s="413">
        <v>0.33750000000000002</v>
      </c>
      <c r="W31" s="414">
        <v>2.2000000000000002</v>
      </c>
      <c r="X31" s="415">
        <v>19768.500680712325</v>
      </c>
      <c r="Y31" s="416">
        <f>L56</f>
        <v>22066.315562471787</v>
      </c>
      <c r="Z31" s="435"/>
    </row>
    <row r="32" spans="1:41">
      <c r="B32" s="274" t="s">
        <v>239</v>
      </c>
      <c r="C32" s="275"/>
      <c r="D32" s="275"/>
      <c r="E32" s="275"/>
      <c r="F32" s="276"/>
      <c r="G32" s="269"/>
      <c r="H32" s="274" t="s">
        <v>240</v>
      </c>
      <c r="I32" s="275"/>
      <c r="J32" s="275"/>
      <c r="K32" s="275"/>
      <c r="L32" s="276"/>
      <c r="N32" s="274" t="s">
        <v>241</v>
      </c>
      <c r="O32" s="275"/>
      <c r="P32" s="275"/>
      <c r="Q32" s="275"/>
      <c r="R32" s="276"/>
      <c r="S32" s="277"/>
      <c r="T32" s="402"/>
      <c r="U32" s="422">
        <f>U31+0.5</f>
        <v>3</v>
      </c>
      <c r="V32" s="423">
        <v>0.36</v>
      </c>
      <c r="W32" s="436">
        <f t="shared" ref="W32:W37" si="4">W31*(1+(U31-U32)/U32/2)</f>
        <v>2.0166666666666666</v>
      </c>
      <c r="X32" s="425">
        <v>22962.065046254731</v>
      </c>
      <c r="Y32" s="426">
        <f>R56</f>
        <v>25519.114561530707</v>
      </c>
      <c r="Z32" s="417"/>
    </row>
    <row r="33" spans="2:26" ht="18.75" customHeight="1">
      <c r="B33" s="282"/>
      <c r="C33" s="283" t="s">
        <v>214</v>
      </c>
      <c r="D33" s="284" t="s">
        <v>215</v>
      </c>
      <c r="E33" s="285" t="s">
        <v>216</v>
      </c>
      <c r="F33" s="286" t="s">
        <v>217</v>
      </c>
      <c r="G33" s="269"/>
      <c r="H33" s="282"/>
      <c r="I33" s="283" t="s">
        <v>214</v>
      </c>
      <c r="J33" s="284" t="s">
        <v>215</v>
      </c>
      <c r="K33" s="285" t="s">
        <v>216</v>
      </c>
      <c r="L33" s="286" t="s">
        <v>217</v>
      </c>
      <c r="N33" s="282"/>
      <c r="O33" s="283" t="s">
        <v>214</v>
      </c>
      <c r="P33" s="284" t="s">
        <v>215</v>
      </c>
      <c r="Q33" s="285" t="s">
        <v>216</v>
      </c>
      <c r="R33" s="286" t="s">
        <v>217</v>
      </c>
      <c r="S33" s="287"/>
      <c r="T33" s="402"/>
      <c r="U33" s="429">
        <f t="shared" si="3"/>
        <v>3.5</v>
      </c>
      <c r="V33" s="423">
        <v>0.38500000000000001</v>
      </c>
      <c r="W33" s="436">
        <f t="shared" si="4"/>
        <v>1.8726190476190476</v>
      </c>
      <c r="X33" s="425">
        <v>26132.275404330849</v>
      </c>
      <c r="Y33" s="426">
        <f>F84</f>
        <v>28942.233276305746</v>
      </c>
      <c r="Z33" s="417"/>
    </row>
    <row r="34" spans="2:26">
      <c r="B34" s="294" t="s">
        <v>85</v>
      </c>
      <c r="C34" s="295"/>
      <c r="D34" s="295">
        <f>W6</f>
        <v>69600</v>
      </c>
      <c r="E34" s="296">
        <f>V30</f>
        <v>0.32</v>
      </c>
      <c r="F34" s="297">
        <f>D34*E34</f>
        <v>22272</v>
      </c>
      <c r="G34" s="269"/>
      <c r="H34" s="294" t="s">
        <v>85</v>
      </c>
      <c r="I34" s="295"/>
      <c r="J34" s="295">
        <f>W6</f>
        <v>69600</v>
      </c>
      <c r="K34" s="296">
        <f>V31</f>
        <v>0.33750000000000002</v>
      </c>
      <c r="L34" s="297">
        <f>J34*K34</f>
        <v>23490</v>
      </c>
      <c r="N34" s="294" t="s">
        <v>85</v>
      </c>
      <c r="O34" s="295"/>
      <c r="P34" s="295">
        <f>W6</f>
        <v>69600</v>
      </c>
      <c r="Q34" s="296">
        <f>V32</f>
        <v>0.36</v>
      </c>
      <c r="R34" s="297">
        <f>P34*Q34</f>
        <v>25056</v>
      </c>
      <c r="S34" s="298"/>
      <c r="T34" s="402"/>
      <c r="U34" s="422">
        <f>U33+0.5</f>
        <v>4</v>
      </c>
      <c r="V34" s="423">
        <v>0.42</v>
      </c>
      <c r="W34" s="436">
        <f t="shared" si="4"/>
        <v>1.7555803571428572</v>
      </c>
      <c r="X34" s="425">
        <v>29335.552722362492</v>
      </c>
      <c r="Y34" s="426">
        <f>L84</f>
        <v>32406.778271503663</v>
      </c>
      <c r="Z34" s="417"/>
    </row>
    <row r="35" spans="2:26">
      <c r="B35" s="305" t="s">
        <v>117</v>
      </c>
      <c r="C35" s="306"/>
      <c r="D35" s="295">
        <f>W7</f>
        <v>45375.199999999997</v>
      </c>
      <c r="E35" s="296">
        <f>U30</f>
        <v>2</v>
      </c>
      <c r="F35" s="297">
        <f t="shared" ref="F35" si="5">D35*E35</f>
        <v>90750.399999999994</v>
      </c>
      <c r="G35" s="269"/>
      <c r="H35" s="305" t="s">
        <v>117</v>
      </c>
      <c r="I35" s="306"/>
      <c r="J35" s="295">
        <f>W7</f>
        <v>45375.199999999997</v>
      </c>
      <c r="K35" s="296">
        <f>U31</f>
        <v>2.5</v>
      </c>
      <c r="L35" s="297">
        <f t="shared" ref="L35" si="6">J35*K35</f>
        <v>113438</v>
      </c>
      <c r="N35" s="305" t="s">
        <v>117</v>
      </c>
      <c r="O35" s="306"/>
      <c r="P35" s="295">
        <f>W7</f>
        <v>45375.199999999997</v>
      </c>
      <c r="Q35" s="296">
        <f>U32</f>
        <v>3</v>
      </c>
      <c r="R35" s="297">
        <f t="shared" ref="R35" si="7">P35*Q35</f>
        <v>136125.59999999998</v>
      </c>
      <c r="S35" s="298"/>
      <c r="T35" s="402"/>
      <c r="U35" s="429">
        <f t="shared" si="3"/>
        <v>4.5</v>
      </c>
      <c r="V35" s="423">
        <v>0.47249999999999998</v>
      </c>
      <c r="W35" s="436">
        <f t="shared" si="4"/>
        <v>1.6580481150793651</v>
      </c>
      <c r="X35" s="425">
        <v>32625.682905483573</v>
      </c>
      <c r="Y35" s="426">
        <f>R84</f>
        <v>35980.519707298772</v>
      </c>
      <c r="Z35" s="417"/>
    </row>
    <row r="36" spans="2:26">
      <c r="B36" s="305"/>
      <c r="C36" s="306"/>
      <c r="D36" s="295"/>
      <c r="E36" s="296"/>
      <c r="F36" s="297"/>
      <c r="G36" s="269"/>
      <c r="H36" s="305"/>
      <c r="I36" s="306"/>
      <c r="J36" s="295"/>
      <c r="K36" s="296"/>
      <c r="L36" s="297"/>
      <c r="N36" s="305"/>
      <c r="O36" s="306"/>
      <c r="P36" s="295"/>
      <c r="Q36" s="296"/>
      <c r="R36" s="297"/>
      <c r="S36" s="298"/>
      <c r="T36" s="402"/>
      <c r="U36" s="422">
        <f t="shared" si="3"/>
        <v>5</v>
      </c>
      <c r="V36" s="423">
        <v>0.52</v>
      </c>
      <c r="W36" s="436">
        <f t="shared" si="4"/>
        <v>1.5751457093253969</v>
      </c>
      <c r="X36" s="425">
        <v>35862.88647058358</v>
      </c>
      <c r="Y36" s="426">
        <f>F112</f>
        <v>39487.468549172932</v>
      </c>
      <c r="Z36" s="417"/>
    </row>
    <row r="37" spans="2:26" ht="15" thickBot="1">
      <c r="B37" s="319" t="s">
        <v>222</v>
      </c>
      <c r="C37" s="320"/>
      <c r="D37" s="321"/>
      <c r="E37" s="322">
        <f>SUM(E34:E36)</f>
        <v>2.3199999999999998</v>
      </c>
      <c r="F37" s="323">
        <f>SUM(F34:F35)</f>
        <v>113022.39999999999</v>
      </c>
      <c r="G37" s="269"/>
      <c r="H37" s="319" t="s">
        <v>222</v>
      </c>
      <c r="I37" s="320"/>
      <c r="J37" s="321"/>
      <c r="K37" s="322">
        <f>SUM(K34:K36)</f>
        <v>2.8374999999999999</v>
      </c>
      <c r="L37" s="323">
        <f>SUM(L34:L35)</f>
        <v>136928</v>
      </c>
      <c r="N37" s="319" t="s">
        <v>222</v>
      </c>
      <c r="O37" s="320"/>
      <c r="P37" s="321"/>
      <c r="Q37" s="322">
        <f>SUM(Q34:Q36)</f>
        <v>3.36</v>
      </c>
      <c r="R37" s="323">
        <f>SUM(R34:R35)</f>
        <v>161181.59999999998</v>
      </c>
      <c r="S37" s="324"/>
      <c r="T37" s="407"/>
      <c r="U37" s="437">
        <f t="shared" si="3"/>
        <v>5.5</v>
      </c>
      <c r="V37" s="438">
        <v>0.57199999999999995</v>
      </c>
      <c r="W37" s="439">
        <f t="shared" si="4"/>
        <v>1.5035481770833334</v>
      </c>
      <c r="X37" s="440">
        <v>39111.08930648282</v>
      </c>
      <c r="Y37" s="441">
        <f>L112</f>
        <v>43008.145434784288</v>
      </c>
      <c r="Z37" s="442"/>
    </row>
    <row r="38" spans="2:26">
      <c r="B38" s="282"/>
      <c r="C38" s="331"/>
      <c r="D38" s="332"/>
      <c r="E38" s="333"/>
      <c r="F38" s="334"/>
      <c r="G38" s="269"/>
      <c r="H38" s="282"/>
      <c r="I38" s="331"/>
      <c r="J38" s="332"/>
      <c r="K38" s="335"/>
      <c r="L38" s="334"/>
      <c r="N38" s="282"/>
      <c r="O38" s="331"/>
      <c r="P38" s="332"/>
      <c r="Q38" s="333"/>
      <c r="R38" s="334"/>
      <c r="S38" s="324"/>
      <c r="T38" s="402" t="s">
        <v>242</v>
      </c>
      <c r="U38" s="443">
        <f t="shared" si="3"/>
        <v>6</v>
      </c>
      <c r="V38" s="413">
        <v>0.61799999999999999</v>
      </c>
      <c r="W38" s="444">
        <f t="shared" ref="W38:W45" si="8">W37*(1+(U37-U38)/U38/3)</f>
        <v>1.4617829499421298</v>
      </c>
      <c r="X38" s="415">
        <v>42413.106349126945</v>
      </c>
      <c r="Y38" s="416">
        <f>R112</f>
        <v>46597.224619498593</v>
      </c>
      <c r="Z38" s="435"/>
    </row>
    <row r="39" spans="2:26">
      <c r="B39" s="282" t="s">
        <v>224</v>
      </c>
      <c r="C39" s="331"/>
      <c r="D39" s="332"/>
      <c r="E39" s="340"/>
      <c r="F39" s="334"/>
      <c r="G39" s="269"/>
      <c r="H39" s="282" t="s">
        <v>224</v>
      </c>
      <c r="I39" s="331"/>
      <c r="J39" s="332"/>
      <c r="K39" s="340"/>
      <c r="L39" s="334"/>
      <c r="N39" s="282" t="s">
        <v>224</v>
      </c>
      <c r="O39" s="331"/>
      <c r="P39" s="332"/>
      <c r="Q39" s="340"/>
      <c r="R39" s="334"/>
      <c r="S39" s="324"/>
      <c r="T39" s="402"/>
      <c r="U39" s="429">
        <f t="shared" si="3"/>
        <v>6.5</v>
      </c>
      <c r="V39" s="423">
        <v>0.66949999999999998</v>
      </c>
      <c r="W39" s="445">
        <f t="shared" si="8"/>
        <v>1.4243013358410495</v>
      </c>
      <c r="X39" s="425">
        <v>45738.362626367358</v>
      </c>
      <c r="Y39" s="426">
        <f>F140</f>
        <v>50215.485402234692</v>
      </c>
      <c r="Z39" s="417"/>
    </row>
    <row r="40" spans="2:26">
      <c r="B40" s="336" t="s">
        <v>183</v>
      </c>
      <c r="C40" s="341">
        <f>W17</f>
        <v>0.224</v>
      </c>
      <c r="D40" s="342"/>
      <c r="E40" s="343"/>
      <c r="F40" s="344">
        <f>C40*F37</f>
        <v>25317.017599999999</v>
      </c>
      <c r="G40" s="269"/>
      <c r="H40" s="336" t="s">
        <v>183</v>
      </c>
      <c r="I40" s="341">
        <f>W17</f>
        <v>0.224</v>
      </c>
      <c r="J40" s="342"/>
      <c r="K40" s="343"/>
      <c r="L40" s="297">
        <f>I40*L37</f>
        <v>30671.871999999999</v>
      </c>
      <c r="N40" s="336" t="s">
        <v>183</v>
      </c>
      <c r="O40" s="341">
        <f>W17</f>
        <v>0.224</v>
      </c>
      <c r="P40" s="342"/>
      <c r="Q40" s="343"/>
      <c r="R40" s="297">
        <f>O40*R37</f>
        <v>36104.678399999997</v>
      </c>
      <c r="S40" s="298"/>
      <c r="T40" s="402"/>
      <c r="U40" s="422">
        <f t="shared" si="3"/>
        <v>7</v>
      </c>
      <c r="V40" s="423">
        <v>0.71399999999999997</v>
      </c>
      <c r="W40" s="445">
        <f t="shared" si="8"/>
        <v>1.3903893992734053</v>
      </c>
      <c r="X40" s="425">
        <v>49008.102758413872</v>
      </c>
      <c r="Y40" s="426">
        <f>L140</f>
        <v>53763.763182582021</v>
      </c>
      <c r="Z40" s="417"/>
    </row>
    <row r="41" spans="2:26">
      <c r="B41" s="345" t="s">
        <v>225</v>
      </c>
      <c r="C41" s="346"/>
      <c r="D41" s="347"/>
      <c r="E41" s="348"/>
      <c r="F41" s="323">
        <f>F40+F37</f>
        <v>138339.41759999999</v>
      </c>
      <c r="G41" s="269"/>
      <c r="H41" s="345" t="s">
        <v>225</v>
      </c>
      <c r="I41" s="346"/>
      <c r="J41" s="347"/>
      <c r="K41" s="348"/>
      <c r="L41" s="323">
        <f>L40+L37</f>
        <v>167599.872</v>
      </c>
      <c r="N41" s="345" t="s">
        <v>225</v>
      </c>
      <c r="O41" s="346"/>
      <c r="P41" s="347"/>
      <c r="Q41" s="348"/>
      <c r="R41" s="323">
        <f>R40+R37</f>
        <v>197286.27839999998</v>
      </c>
      <c r="S41" s="324"/>
      <c r="T41" s="402"/>
      <c r="U41" s="429">
        <f t="shared" si="3"/>
        <v>7.5</v>
      </c>
      <c r="V41" s="423">
        <v>0.76500000000000001</v>
      </c>
      <c r="W41" s="445">
        <f t="shared" si="8"/>
        <v>1.3594918570673296</v>
      </c>
      <c r="X41" s="425">
        <v>52309.728111494878</v>
      </c>
      <c r="Y41" s="426">
        <f>R140</f>
        <v>57352.125572956516</v>
      </c>
      <c r="Z41" s="417"/>
    </row>
    <row r="42" spans="2:26">
      <c r="B42" s="349" t="s">
        <v>223</v>
      </c>
      <c r="C42" s="350"/>
      <c r="D42" s="295">
        <f>W10</f>
        <v>5963.9694954316819</v>
      </c>
      <c r="E42" s="343"/>
      <c r="F42" s="297">
        <f>D42*E35*W30</f>
        <v>29819.847477158408</v>
      </c>
      <c r="G42" s="269"/>
      <c r="H42" s="349" t="s">
        <v>223</v>
      </c>
      <c r="I42" s="350"/>
      <c r="J42" s="295">
        <f>W10</f>
        <v>5963.9694954316819</v>
      </c>
      <c r="K42" s="343"/>
      <c r="L42" s="297">
        <f>J42*K35*W31</f>
        <v>32801.832224874248</v>
      </c>
      <c r="N42" s="349" t="s">
        <v>223</v>
      </c>
      <c r="O42" s="350"/>
      <c r="P42" s="295">
        <f>W10</f>
        <v>5963.9694954316819</v>
      </c>
      <c r="Q42" s="343"/>
      <c r="R42" s="297">
        <f>P42*$Q$35*$W$32</f>
        <v>36082.015447361679</v>
      </c>
      <c r="S42" s="298"/>
      <c r="T42" s="402"/>
      <c r="U42" s="422">
        <f t="shared" si="3"/>
        <v>8</v>
      </c>
      <c r="V42" s="423">
        <v>0.8</v>
      </c>
      <c r="W42" s="445">
        <f t="shared" si="8"/>
        <v>1.3311691100450935</v>
      </c>
      <c r="X42" s="425">
        <v>55500.135051944817</v>
      </c>
      <c r="Y42" s="426">
        <f>F168</f>
        <v>60800.374639858979</v>
      </c>
      <c r="Z42" s="417"/>
    </row>
    <row r="43" spans="2:26">
      <c r="B43" s="336" t="s">
        <v>84</v>
      </c>
      <c r="C43" s="351"/>
      <c r="D43" s="295">
        <f t="shared" ref="D43:D46" si="9">W11</f>
        <v>159.61973086509079</v>
      </c>
      <c r="E43" s="352"/>
      <c r="F43" s="297">
        <f>D43*E35*W30</f>
        <v>798.09865432545394</v>
      </c>
      <c r="G43" s="269"/>
      <c r="H43" s="336" t="s">
        <v>84</v>
      </c>
      <c r="I43" s="351"/>
      <c r="J43" s="295">
        <f t="shared" ref="J43:J46" si="10">W11</f>
        <v>159.61973086509079</v>
      </c>
      <c r="K43" s="352"/>
      <c r="L43" s="297">
        <f>J43*K35*W31</f>
        <v>877.90851975799944</v>
      </c>
      <c r="N43" s="336" t="s">
        <v>84</v>
      </c>
      <c r="O43" s="351"/>
      <c r="P43" s="295">
        <f t="shared" ref="P43:P46" si="11">W11</f>
        <v>159.61973086509079</v>
      </c>
      <c r="Q43" s="352"/>
      <c r="R43" s="297">
        <f>P43*$Q$35*$W$32</f>
        <v>965.69937173379924</v>
      </c>
      <c r="S43" s="298"/>
      <c r="T43" s="402"/>
      <c r="U43" s="429">
        <f t="shared" si="3"/>
        <v>8.5</v>
      </c>
      <c r="V43" s="423">
        <v>0.81</v>
      </c>
      <c r="W43" s="445">
        <f t="shared" si="8"/>
        <v>1.30506775494617</v>
      </c>
      <c r="X43" s="425">
        <v>58522.473922544574</v>
      </c>
      <c r="Y43" s="426">
        <f>L168</f>
        <v>64036.927285743739</v>
      </c>
      <c r="Z43" s="417"/>
    </row>
    <row r="44" spans="2:26" ht="15" customHeight="1">
      <c r="B44" s="336" t="s">
        <v>88</v>
      </c>
      <c r="C44" s="351"/>
      <c r="D44" s="295">
        <f t="shared" si="9"/>
        <v>1056.8783932396871</v>
      </c>
      <c r="E44" s="352"/>
      <c r="F44" s="297">
        <f>D44*E35*W30</f>
        <v>5284.3919661984355</v>
      </c>
      <c r="G44" s="269"/>
      <c r="H44" s="336" t="s">
        <v>88</v>
      </c>
      <c r="I44" s="351"/>
      <c r="J44" s="295">
        <f t="shared" si="10"/>
        <v>1056.8783932396871</v>
      </c>
      <c r="K44" s="352"/>
      <c r="L44" s="297">
        <f>J44*K35*W31</f>
        <v>5812.8311628182792</v>
      </c>
      <c r="N44" s="336" t="s">
        <v>88</v>
      </c>
      <c r="O44" s="351"/>
      <c r="P44" s="295">
        <f t="shared" si="11"/>
        <v>1056.8783932396871</v>
      </c>
      <c r="Q44" s="352"/>
      <c r="R44" s="297">
        <f>P44*$Q$35*$W$32</f>
        <v>6394.1142791001057</v>
      </c>
      <c r="S44" s="298"/>
      <c r="T44" s="402"/>
      <c r="U44" s="422">
        <f t="shared" si="3"/>
        <v>9</v>
      </c>
      <c r="V44" s="423">
        <v>0.81</v>
      </c>
      <c r="W44" s="445">
        <f t="shared" si="8"/>
        <v>1.280899833558278</v>
      </c>
      <c r="X44" s="425">
        <v>61473.357985731534</v>
      </c>
      <c r="Y44" s="426">
        <f>R168</f>
        <v>67183.448580716547</v>
      </c>
      <c r="Z44" s="417"/>
    </row>
    <row r="45" spans="2:26" ht="15" customHeight="1" thickBot="1">
      <c r="B45" s="336" t="s">
        <v>125</v>
      </c>
      <c r="C45" s="351"/>
      <c r="D45" s="295">
        <f t="shared" si="9"/>
        <v>1347.3502436316674</v>
      </c>
      <c r="E45" s="352"/>
      <c r="F45" s="297">
        <f>D45*E35*W30</f>
        <v>6736.751218158337</v>
      </c>
      <c r="G45" s="269"/>
      <c r="H45" s="336" t="s">
        <v>125</v>
      </c>
      <c r="I45" s="351"/>
      <c r="J45" s="295">
        <f t="shared" si="10"/>
        <v>1347.3502436316674</v>
      </c>
      <c r="K45" s="352"/>
      <c r="L45" s="297">
        <f>J45*K35*W31</f>
        <v>7410.4263399741712</v>
      </c>
      <c r="N45" s="336" t="s">
        <v>125</v>
      </c>
      <c r="O45" s="351"/>
      <c r="P45" s="295">
        <f t="shared" si="11"/>
        <v>1347.3502436316674</v>
      </c>
      <c r="Q45" s="352"/>
      <c r="R45" s="297">
        <f>P45*$Q$35*$W$32</f>
        <v>8151.4689739715868</v>
      </c>
      <c r="S45" s="298"/>
      <c r="T45" s="402"/>
      <c r="U45" s="437">
        <f t="shared" si="3"/>
        <v>9.5</v>
      </c>
      <c r="V45" s="438">
        <v>0.81</v>
      </c>
      <c r="W45" s="446">
        <f t="shared" si="8"/>
        <v>1.2584279066537467</v>
      </c>
      <c r="X45" s="440">
        <v>64417.325582919555</v>
      </c>
      <c r="Y45" s="441">
        <f>F196</f>
        <v>70321.212538675594</v>
      </c>
      <c r="Z45" s="442"/>
    </row>
    <row r="46" spans="2:26" ht="15" customHeight="1">
      <c r="B46" s="336" t="s">
        <v>129</v>
      </c>
      <c r="C46" s="366"/>
      <c r="D46" s="295">
        <f t="shared" si="9"/>
        <v>2996.7173855870574</v>
      </c>
      <c r="E46" s="367"/>
      <c r="F46" s="297">
        <f>D46*E35*W30</f>
        <v>14983.586927935286</v>
      </c>
      <c r="G46" s="269"/>
      <c r="H46" s="336" t="s">
        <v>129</v>
      </c>
      <c r="I46" s="366"/>
      <c r="J46" s="295">
        <f t="shared" si="10"/>
        <v>2996.7173855870574</v>
      </c>
      <c r="K46" s="367"/>
      <c r="L46" s="297">
        <f>J46*K35*W31</f>
        <v>16481.945620728817</v>
      </c>
      <c r="N46" s="336" t="s">
        <v>129</v>
      </c>
      <c r="O46" s="366"/>
      <c r="P46" s="295">
        <f t="shared" si="11"/>
        <v>2996.7173855870574</v>
      </c>
      <c r="Q46" s="367"/>
      <c r="R46" s="297">
        <f>P46*$Q$35*$W$32</f>
        <v>18130.140182801697</v>
      </c>
      <c r="S46" s="298"/>
      <c r="T46" s="395" t="s">
        <v>243</v>
      </c>
      <c r="U46" s="443">
        <f t="shared" si="3"/>
        <v>10</v>
      </c>
      <c r="V46" s="413">
        <v>0.8</v>
      </c>
      <c r="W46" s="444">
        <f>W45*(1+(U45-U46)/U46/3.5)</f>
        <v>1.2404503651301217</v>
      </c>
      <c r="X46" s="447">
        <v>67316.601455865413</v>
      </c>
      <c r="Y46" s="416">
        <f>L196</f>
        <v>73402.831430841004</v>
      </c>
      <c r="Z46" s="435"/>
    </row>
    <row r="47" spans="2:26">
      <c r="B47" s="374" t="str">
        <f>B19</f>
        <v>Flex Funding Administration</v>
      </c>
      <c r="C47" s="375"/>
      <c r="D47" s="376">
        <f>$W$15</f>
        <v>1000</v>
      </c>
      <c r="E47" s="377"/>
      <c r="F47" s="378">
        <f>D47*E35</f>
        <v>2000</v>
      </c>
      <c r="G47" s="269"/>
      <c r="H47" s="374" t="str">
        <f>H19</f>
        <v>Flex Funding Administration</v>
      </c>
      <c r="I47" s="375"/>
      <c r="J47" s="376">
        <f>$W$15</f>
        <v>1000</v>
      </c>
      <c r="K47" s="377"/>
      <c r="L47" s="378">
        <f>J47*K35</f>
        <v>2500</v>
      </c>
      <c r="N47" s="374" t="str">
        <f>N19</f>
        <v>Flex Funding Administration</v>
      </c>
      <c r="O47" s="375"/>
      <c r="P47" s="376">
        <f>$W$15</f>
        <v>1000</v>
      </c>
      <c r="Q47" s="377"/>
      <c r="R47" s="378">
        <f>P47*Q35</f>
        <v>3000</v>
      </c>
      <c r="S47" s="324"/>
      <c r="T47" s="402"/>
      <c r="U47" s="429">
        <f t="shared" si="3"/>
        <v>10.5</v>
      </c>
      <c r="V47" s="423">
        <v>0.79</v>
      </c>
      <c r="W47" s="436">
        <f>W46*(1+(U46-U47)/U47/3.5)</f>
        <v>1.2235734894140657</v>
      </c>
      <c r="X47" s="448">
        <v>70210.364957413665</v>
      </c>
      <c r="Y47" s="426">
        <f>R196</f>
        <v>76477.470791251122</v>
      </c>
      <c r="Z47" s="417"/>
    </row>
    <row r="48" spans="2:26" ht="15" customHeight="1" thickBot="1">
      <c r="B48" s="379" t="s">
        <v>188</v>
      </c>
      <c r="C48" s="380"/>
      <c r="D48" s="381"/>
      <c r="E48" s="382"/>
      <c r="F48" s="383">
        <f>SUM(F41:F47)</f>
        <v>197962.09384377589</v>
      </c>
      <c r="G48" s="324"/>
      <c r="H48" s="379" t="s">
        <v>188</v>
      </c>
      <c r="I48" s="380"/>
      <c r="J48" s="381"/>
      <c r="K48" s="382"/>
      <c r="L48" s="383">
        <f>SUM(L41:L47)</f>
        <v>233484.81586815353</v>
      </c>
      <c r="N48" s="379" t="s">
        <v>188</v>
      </c>
      <c r="O48" s="380"/>
      <c r="P48" s="381"/>
      <c r="Q48" s="382"/>
      <c r="R48" s="383">
        <f>SUM(R41:R47)</f>
        <v>270009.71665496886</v>
      </c>
      <c r="S48" s="324"/>
      <c r="T48" s="402"/>
      <c r="U48" s="422">
        <f t="shared" si="3"/>
        <v>11</v>
      </c>
      <c r="V48" s="423">
        <v>0.77</v>
      </c>
      <c r="W48" s="436">
        <f>W47*(1+(U47-U48)/U48/3.5)</f>
        <v>1.2076829246164804</v>
      </c>
      <c r="X48" s="448">
        <v>73034.968555556654</v>
      </c>
      <c r="Y48" s="426">
        <f>F224</f>
        <v>79464.984511239498</v>
      </c>
      <c r="Z48" s="417"/>
    </row>
    <row r="49" spans="1:35" ht="14.25" customHeight="1" thickTop="1">
      <c r="B49" s="368" t="s">
        <v>227</v>
      </c>
      <c r="C49" s="384">
        <f>W18</f>
        <v>0.12</v>
      </c>
      <c r="D49" s="332"/>
      <c r="E49" s="335"/>
      <c r="F49" s="334">
        <f>C49*F48</f>
        <v>23755.451261253107</v>
      </c>
      <c r="G49" s="324"/>
      <c r="H49" s="368" t="s">
        <v>227</v>
      </c>
      <c r="I49" s="384">
        <f>W18</f>
        <v>0.12</v>
      </c>
      <c r="J49" s="332"/>
      <c r="K49" s="335"/>
      <c r="L49" s="334">
        <f>I49*L48</f>
        <v>28018.177904178421</v>
      </c>
      <c r="N49" s="368" t="s">
        <v>227</v>
      </c>
      <c r="O49" s="384">
        <f>W18</f>
        <v>0.12</v>
      </c>
      <c r="P49" s="332"/>
      <c r="Q49" s="335"/>
      <c r="R49" s="334">
        <f>O49*R48</f>
        <v>32401.165998596261</v>
      </c>
      <c r="S49" s="324"/>
      <c r="T49" s="402"/>
      <c r="U49" s="429">
        <f t="shared" si="3"/>
        <v>11.5</v>
      </c>
      <c r="V49" s="423">
        <v>0.75</v>
      </c>
      <c r="W49" s="436">
        <f>W48*(1+(U48-U49)/U49/3.5)</f>
        <v>1.1926806522609961</v>
      </c>
      <c r="X49" s="448">
        <v>75854.699702437749</v>
      </c>
      <c r="Y49" s="426">
        <f>L224</f>
        <v>82446.328939310653</v>
      </c>
      <c r="Z49" s="417"/>
    </row>
    <row r="50" spans="1:35" ht="15" thickBot="1">
      <c r="B50" s="368" t="s">
        <v>61</v>
      </c>
      <c r="C50" s="384">
        <f>C22</f>
        <v>3.7000000000000002E-3</v>
      </c>
      <c r="D50" s="332"/>
      <c r="E50" s="335"/>
      <c r="F50" s="334">
        <f>C50*F37</f>
        <v>418.18288000000001</v>
      </c>
      <c r="G50" s="324"/>
      <c r="H50" s="368" t="s">
        <v>61</v>
      </c>
      <c r="I50" s="384">
        <f>I22</f>
        <v>3.7000000000000002E-3</v>
      </c>
      <c r="J50" s="332"/>
      <c r="K50" s="335"/>
      <c r="L50" s="334">
        <f>I50*L37</f>
        <v>506.6336</v>
      </c>
      <c r="N50" s="368" t="s">
        <v>61</v>
      </c>
      <c r="O50" s="384">
        <f>O22</f>
        <v>3.7000000000000002E-3</v>
      </c>
      <c r="P50" s="332"/>
      <c r="Q50" s="335"/>
      <c r="R50" s="334">
        <f>O50*R37</f>
        <v>596.37191999999993</v>
      </c>
      <c r="S50" s="324"/>
      <c r="T50" s="407"/>
      <c r="U50" s="449">
        <f t="shared" si="3"/>
        <v>12</v>
      </c>
      <c r="V50" s="438">
        <v>0.72</v>
      </c>
      <c r="W50" s="439">
        <f>W49*(1+(U49-U50)/U50/3.5)</f>
        <v>1.1784820730674128</v>
      </c>
      <c r="X50" s="450">
        <v>78605.845746974926</v>
      </c>
      <c r="Y50" s="441">
        <f>R224</f>
        <v>85341.275515777306</v>
      </c>
      <c r="Z50" s="442"/>
    </row>
    <row r="51" spans="1:35" ht="15" thickBot="1">
      <c r="A51" s="350"/>
      <c r="B51" s="368"/>
      <c r="C51" s="384"/>
      <c r="D51" s="332"/>
      <c r="E51" s="335"/>
      <c r="F51" s="392">
        <f>C51*(F42+F43+F44+F45+F46)</f>
        <v>0</v>
      </c>
      <c r="G51" s="324"/>
      <c r="H51" s="368"/>
      <c r="I51" s="384"/>
      <c r="J51" s="332"/>
      <c r="K51" s="335"/>
      <c r="L51" s="392">
        <f>I51*(L42+L43+L44+L45+L46)</f>
        <v>0</v>
      </c>
      <c r="N51" s="368"/>
      <c r="O51" s="384"/>
      <c r="P51" s="332"/>
      <c r="Q51" s="335"/>
      <c r="R51" s="394">
        <f>O51*(R42+R43+R44+R45+R46)</f>
        <v>0</v>
      </c>
      <c r="S51" s="393"/>
      <c r="U51" s="451"/>
      <c r="V51" s="452"/>
      <c r="W51" s="350"/>
      <c r="X51" s="448"/>
      <c r="Y51" s="448"/>
      <c r="Z51" s="341"/>
      <c r="AC51" s="302"/>
    </row>
    <row r="52" spans="1:35" ht="15" thickBot="1">
      <c r="A52" s="350"/>
      <c r="B52" s="368"/>
      <c r="C52" s="384"/>
      <c r="D52" s="332"/>
      <c r="E52" s="335"/>
      <c r="F52" s="394">
        <f>SUM(F48:F51)</f>
        <v>222135.72798502899</v>
      </c>
      <c r="G52" s="324"/>
      <c r="H52" s="368"/>
      <c r="I52" s="384"/>
      <c r="J52" s="332"/>
      <c r="K52" s="335"/>
      <c r="L52" s="394">
        <f>SUM(L48:L51)</f>
        <v>262009.62737233195</v>
      </c>
      <c r="N52" s="368"/>
      <c r="O52" s="384"/>
      <c r="P52" s="332"/>
      <c r="Q52" s="335"/>
      <c r="R52" s="392">
        <f>SUM(R48:R51)</f>
        <v>303007.25457356515</v>
      </c>
      <c r="S52" s="393"/>
      <c r="U52" s="453"/>
      <c r="V52" s="453"/>
      <c r="W52" s="453"/>
      <c r="X52" s="453"/>
      <c r="Y52" s="453"/>
      <c r="Z52" s="453"/>
      <c r="AA52" s="302"/>
      <c r="AB52" s="302"/>
      <c r="AC52" s="302"/>
    </row>
    <row r="53" spans="1:35">
      <c r="A53" s="350"/>
      <c r="B53" s="282" t="s">
        <v>189</v>
      </c>
      <c r="C53" s="384">
        <f>W21</f>
        <v>1.0633805350099574E-2</v>
      </c>
      <c r="D53" s="332"/>
      <c r="E53" s="335"/>
      <c r="F53" s="394">
        <f>C53*F52</f>
        <v>2362.148092695465</v>
      </c>
      <c r="G53" s="324"/>
      <c r="H53" s="282" t="s">
        <v>189</v>
      </c>
      <c r="I53" s="384">
        <f>W21</f>
        <v>1.0633805350099574E-2</v>
      </c>
      <c r="J53" s="332"/>
      <c r="K53" s="335"/>
      <c r="L53" s="394">
        <f>I53*L52</f>
        <v>2786.1593773294994</v>
      </c>
      <c r="N53" s="282" t="s">
        <v>189</v>
      </c>
      <c r="O53" s="384">
        <f>W21</f>
        <v>1.0633805350099574E-2</v>
      </c>
      <c r="P53" s="332"/>
      <c r="Q53" s="335"/>
      <c r="R53" s="394">
        <f>R52*O53</f>
        <v>3222.1201648033607</v>
      </c>
      <c r="S53" s="393"/>
      <c r="U53" s="453"/>
      <c r="V53" s="453"/>
      <c r="W53" s="453"/>
      <c r="X53" s="453"/>
      <c r="Y53" s="453"/>
      <c r="Z53" s="453"/>
      <c r="AA53" s="302"/>
      <c r="AB53" s="302"/>
      <c r="AC53" s="302"/>
    </row>
    <row r="54" spans="1:35" ht="15.75" customHeight="1" thickBot="1">
      <c r="A54" s="350"/>
      <c r="B54" s="349"/>
      <c r="C54" s="350"/>
      <c r="D54" s="332"/>
      <c r="E54" s="335"/>
      <c r="F54" s="383">
        <f>SUM(F52:F53)</f>
        <v>224497.87607772445</v>
      </c>
      <c r="G54" s="324"/>
      <c r="H54" s="349"/>
      <c r="I54" s="350"/>
      <c r="J54" s="332"/>
      <c r="K54" s="335"/>
      <c r="L54" s="383">
        <f>SUM(L52:L53)</f>
        <v>264795.78674966143</v>
      </c>
      <c r="N54" s="349"/>
      <c r="O54" s="350"/>
      <c r="P54" s="332"/>
      <c r="Q54" s="335"/>
      <c r="R54" s="383">
        <f>SUM(R52:R53)</f>
        <v>306229.3747383685</v>
      </c>
      <c r="S54" s="324"/>
      <c r="U54" s="453"/>
      <c r="V54" s="453"/>
      <c r="W54" s="453"/>
      <c r="X54" s="453"/>
      <c r="Y54" s="453"/>
      <c r="Z54" s="453"/>
      <c r="AA54" s="302"/>
      <c r="AB54" s="302"/>
      <c r="AC54" s="302"/>
    </row>
    <row r="55" spans="1:35" ht="17.25" customHeight="1" thickTop="1" thickBot="1">
      <c r="A55" s="350"/>
      <c r="B55" s="282"/>
      <c r="C55" s="384"/>
      <c r="D55" s="332"/>
      <c r="E55" s="335"/>
      <c r="F55" s="411"/>
      <c r="G55" s="324"/>
      <c r="H55" s="282"/>
      <c r="I55" s="384"/>
      <c r="J55" s="332"/>
      <c r="K55" s="335"/>
      <c r="L55" s="411"/>
      <c r="N55" s="282"/>
      <c r="O55" s="384"/>
      <c r="P55" s="332"/>
      <c r="Q55" s="335"/>
      <c r="R55" s="454"/>
      <c r="S55" s="393"/>
      <c r="U55" s="453"/>
      <c r="V55" s="453"/>
      <c r="W55" s="453"/>
      <c r="X55" s="453"/>
      <c r="Y55" s="453"/>
      <c r="Z55" s="453"/>
      <c r="AA55" s="302"/>
      <c r="AB55" s="302"/>
      <c r="AC55" s="302"/>
    </row>
    <row r="56" spans="1:35" ht="15.6" thickTop="1" thickBot="1">
      <c r="A56" s="350"/>
      <c r="B56" s="418" t="s">
        <v>237</v>
      </c>
      <c r="C56" s="419"/>
      <c r="D56" s="419"/>
      <c r="E56" s="419"/>
      <c r="F56" s="421">
        <f>F54/12</f>
        <v>18708.156339810372</v>
      </c>
      <c r="G56" s="324"/>
      <c r="H56" s="418" t="s">
        <v>237</v>
      </c>
      <c r="I56" s="419"/>
      <c r="J56" s="419"/>
      <c r="K56" s="419"/>
      <c r="L56" s="421">
        <f>L54/12</f>
        <v>22066.315562471787</v>
      </c>
      <c r="N56" s="418" t="s">
        <v>237</v>
      </c>
      <c r="O56" s="419"/>
      <c r="P56" s="419"/>
      <c r="Q56" s="419"/>
      <c r="R56" s="421">
        <f>R54/12</f>
        <v>25519.114561530707</v>
      </c>
      <c r="S56" s="393"/>
      <c r="U56" s="453"/>
      <c r="V56" s="453"/>
      <c r="W56" s="453"/>
      <c r="X56" s="453"/>
      <c r="Y56" s="453"/>
      <c r="Z56" s="453"/>
      <c r="AA56" s="302"/>
      <c r="AB56" s="302"/>
      <c r="AC56" s="302"/>
    </row>
    <row r="57" spans="1:35" ht="15" thickBot="1">
      <c r="A57" s="350"/>
      <c r="C57" s="313"/>
      <c r="D57" s="313"/>
      <c r="E57" s="313"/>
      <c r="F57" s="434"/>
      <c r="G57" s="313"/>
      <c r="H57" s="313"/>
      <c r="I57" s="313"/>
      <c r="J57" s="313"/>
      <c r="K57" s="313"/>
      <c r="L57" s="434"/>
      <c r="M57" s="313"/>
      <c r="N57" s="313"/>
      <c r="O57" s="313"/>
      <c r="P57" s="313"/>
      <c r="Q57" s="313"/>
      <c r="R57" s="434"/>
      <c r="S57" s="434"/>
      <c r="U57" s="453"/>
      <c r="V57" s="453"/>
      <c r="W57" s="453"/>
      <c r="X57" s="453"/>
      <c r="Y57" s="453"/>
      <c r="Z57" s="453"/>
      <c r="AA57" s="302"/>
      <c r="AB57" s="302"/>
      <c r="AC57" s="302"/>
      <c r="AE57" s="396" t="s">
        <v>244</v>
      </c>
      <c r="AF57" s="397"/>
      <c r="AG57" s="455" t="s">
        <v>172</v>
      </c>
      <c r="AH57" s="455" t="s">
        <v>216</v>
      </c>
      <c r="AI57" s="456" t="s">
        <v>174</v>
      </c>
    </row>
    <row r="58" spans="1:35">
      <c r="A58" s="350"/>
      <c r="C58" s="313"/>
      <c r="D58" s="313"/>
      <c r="E58" s="313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U58" s="457"/>
      <c r="V58" s="458"/>
      <c r="W58" s="457"/>
      <c r="X58" s="457"/>
      <c r="Y58" s="457"/>
      <c r="Z58" s="457"/>
      <c r="AA58" s="302"/>
      <c r="AB58" s="302"/>
      <c r="AC58" s="302"/>
      <c r="AE58" s="459" t="s">
        <v>245</v>
      </c>
      <c r="AF58" s="460"/>
      <c r="AG58" s="461">
        <f>W7</f>
        <v>45375.199999999997</v>
      </c>
      <c r="AH58" s="462">
        <v>0.25</v>
      </c>
      <c r="AI58" s="463">
        <f>AH58*AG58</f>
        <v>11343.8</v>
      </c>
    </row>
    <row r="59" spans="1:35" ht="15" thickBot="1">
      <c r="A59" s="350"/>
      <c r="C59" s="313"/>
      <c r="D59" s="313"/>
      <c r="E59" s="313"/>
      <c r="F59" s="434"/>
      <c r="G59" s="313"/>
      <c r="H59" s="313"/>
      <c r="I59" s="313"/>
      <c r="J59" s="313"/>
      <c r="K59" s="313"/>
      <c r="L59" s="434"/>
      <c r="M59" s="313"/>
      <c r="N59" s="313"/>
      <c r="O59" s="313"/>
      <c r="P59" s="313"/>
      <c r="Q59" s="313"/>
      <c r="R59" s="434"/>
      <c r="S59" s="434"/>
      <c r="U59" s="464"/>
      <c r="V59" s="464"/>
      <c r="W59" s="457"/>
      <c r="X59" s="457"/>
      <c r="Y59" s="457"/>
      <c r="Z59" s="457"/>
      <c r="AA59" s="302"/>
      <c r="AB59" s="302"/>
      <c r="AC59" s="302"/>
      <c r="AE59" s="465" t="s">
        <v>183</v>
      </c>
      <c r="AF59" s="466"/>
      <c r="AG59" s="467">
        <f>W17</f>
        <v>0.224</v>
      </c>
      <c r="AH59" s="468"/>
      <c r="AI59" s="469">
        <f>AG59*AI58</f>
        <v>2541.0111999999999</v>
      </c>
    </row>
    <row r="60" spans="1:35">
      <c r="A60" s="350"/>
      <c r="B60" s="274" t="s">
        <v>246</v>
      </c>
      <c r="C60" s="275"/>
      <c r="D60" s="275"/>
      <c r="E60" s="275"/>
      <c r="F60" s="276"/>
      <c r="G60" s="269"/>
      <c r="H60" s="274" t="s">
        <v>247</v>
      </c>
      <c r="I60" s="275"/>
      <c r="J60" s="275"/>
      <c r="K60" s="275"/>
      <c r="L60" s="276"/>
      <c r="N60" s="274" t="s">
        <v>248</v>
      </c>
      <c r="O60" s="275"/>
      <c r="P60" s="275"/>
      <c r="Q60" s="275"/>
      <c r="R60" s="276"/>
      <c r="S60" s="277"/>
      <c r="U60" s="457"/>
      <c r="V60" s="470"/>
      <c r="W60" s="457"/>
      <c r="X60" s="457"/>
      <c r="Y60" s="457"/>
      <c r="Z60" s="457"/>
      <c r="AA60" s="302"/>
      <c r="AB60" s="302"/>
      <c r="AC60" s="302"/>
      <c r="AE60" s="336"/>
      <c r="AF60" s="302"/>
      <c r="AG60" s="471"/>
      <c r="AH60" s="472"/>
      <c r="AI60" s="463">
        <f>AI58+AI59</f>
        <v>13884.8112</v>
      </c>
    </row>
    <row r="61" spans="1:35" ht="28.8">
      <c r="A61" s="350"/>
      <c r="B61" s="282"/>
      <c r="C61" s="283" t="s">
        <v>214</v>
      </c>
      <c r="D61" s="284" t="s">
        <v>215</v>
      </c>
      <c r="E61" s="285" t="s">
        <v>216</v>
      </c>
      <c r="F61" s="286" t="s">
        <v>217</v>
      </c>
      <c r="G61" s="269"/>
      <c r="H61" s="282"/>
      <c r="I61" s="283" t="s">
        <v>214</v>
      </c>
      <c r="J61" s="284" t="s">
        <v>215</v>
      </c>
      <c r="K61" s="285" t="s">
        <v>216</v>
      </c>
      <c r="L61" s="286" t="s">
        <v>217</v>
      </c>
      <c r="N61" s="282"/>
      <c r="O61" s="283" t="s">
        <v>214</v>
      </c>
      <c r="P61" s="284" t="s">
        <v>215</v>
      </c>
      <c r="Q61" s="285" t="s">
        <v>216</v>
      </c>
      <c r="R61" s="286" t="s">
        <v>217</v>
      </c>
      <c r="S61" s="287"/>
      <c r="U61" s="457"/>
      <c r="V61" s="473"/>
      <c r="W61" s="457"/>
      <c r="X61" s="457"/>
      <c r="Y61" s="457"/>
      <c r="Z61" s="457"/>
      <c r="AA61" s="302"/>
      <c r="AB61" s="302"/>
      <c r="AC61" s="302"/>
      <c r="AE61" s="474" t="s">
        <v>189</v>
      </c>
      <c r="AF61" s="475"/>
      <c r="AG61" s="476">
        <f>W21</f>
        <v>1.0633805350099574E-2</v>
      </c>
      <c r="AH61" s="477"/>
      <c r="AI61" s="463">
        <f>AI60*(1+AG61)</f>
        <v>14032.459579623683</v>
      </c>
    </row>
    <row r="62" spans="1:35" ht="15" thickBot="1">
      <c r="A62" s="350"/>
      <c r="B62" s="294" t="s">
        <v>85</v>
      </c>
      <c r="C62" s="295"/>
      <c r="D62" s="295">
        <f>W6</f>
        <v>69600</v>
      </c>
      <c r="E62" s="296">
        <f>V33</f>
        <v>0.38500000000000001</v>
      </c>
      <c r="F62" s="297">
        <f>D62*E62</f>
        <v>26796</v>
      </c>
      <c r="G62" s="269"/>
      <c r="H62" s="294" t="s">
        <v>85</v>
      </c>
      <c r="I62" s="295"/>
      <c r="J62" s="295">
        <f>W6</f>
        <v>69600</v>
      </c>
      <c r="K62" s="296">
        <f>V34</f>
        <v>0.42</v>
      </c>
      <c r="L62" s="297">
        <f>J62*K62</f>
        <v>29232</v>
      </c>
      <c r="N62" s="294" t="s">
        <v>85</v>
      </c>
      <c r="O62" s="295"/>
      <c r="P62" s="295">
        <f>W6</f>
        <v>69600</v>
      </c>
      <c r="Q62" s="296">
        <f>V35</f>
        <v>0.47249999999999998</v>
      </c>
      <c r="R62" s="297">
        <f>P62*Q62</f>
        <v>32886</v>
      </c>
      <c r="S62" s="298"/>
      <c r="U62" s="464"/>
      <c r="V62" s="464"/>
      <c r="W62" s="457"/>
      <c r="X62" s="457"/>
      <c r="Y62" s="457"/>
      <c r="Z62" s="457"/>
      <c r="AA62" s="302"/>
      <c r="AB62" s="302"/>
      <c r="AC62" s="302"/>
      <c r="AE62" s="478" t="s">
        <v>231</v>
      </c>
      <c r="AF62" s="479"/>
      <c r="AG62" s="480"/>
      <c r="AH62" s="479"/>
      <c r="AI62" s="421">
        <f>AI61/12</f>
        <v>1169.3716316353068</v>
      </c>
    </row>
    <row r="63" spans="1:35">
      <c r="A63" s="350"/>
      <c r="B63" s="305" t="s">
        <v>117</v>
      </c>
      <c r="C63" s="306"/>
      <c r="D63" s="295">
        <f>W7</f>
        <v>45375.199999999997</v>
      </c>
      <c r="E63" s="296">
        <f>U33</f>
        <v>3.5</v>
      </c>
      <c r="F63" s="297">
        <f t="shared" ref="F63" si="12">D63*E63</f>
        <v>158813.19999999998</v>
      </c>
      <c r="G63" s="269"/>
      <c r="H63" s="305" t="s">
        <v>117</v>
      </c>
      <c r="I63" s="306"/>
      <c r="J63" s="295">
        <f>W7</f>
        <v>45375.199999999997</v>
      </c>
      <c r="K63" s="296">
        <f>U34</f>
        <v>4</v>
      </c>
      <c r="L63" s="297">
        <f t="shared" ref="L63" si="13">J63*K63</f>
        <v>181500.79999999999</v>
      </c>
      <c r="N63" s="305" t="s">
        <v>117</v>
      </c>
      <c r="O63" s="306"/>
      <c r="P63" s="295">
        <f>W7</f>
        <v>45375.199999999997</v>
      </c>
      <c r="Q63" s="296">
        <f>U35</f>
        <v>4.5</v>
      </c>
      <c r="R63" s="297">
        <f t="shared" ref="R63" si="14">P63*Q63</f>
        <v>204188.4</v>
      </c>
      <c r="S63" s="298"/>
      <c r="U63" s="457"/>
      <c r="V63" s="481"/>
      <c r="W63" s="457"/>
      <c r="X63" s="457"/>
      <c r="Y63" s="457"/>
      <c r="Z63" s="457"/>
      <c r="AA63" s="302"/>
      <c r="AB63" s="302"/>
      <c r="AC63" s="302"/>
    </row>
    <row r="64" spans="1:35" ht="15" customHeight="1">
      <c r="A64" s="350"/>
      <c r="B64" s="305"/>
      <c r="C64" s="306"/>
      <c r="D64" s="295"/>
      <c r="E64" s="296"/>
      <c r="F64" s="297"/>
      <c r="G64" s="269"/>
      <c r="H64" s="305"/>
      <c r="I64" s="306"/>
      <c r="J64" s="295"/>
      <c r="K64" s="296"/>
      <c r="L64" s="297"/>
      <c r="N64" s="305"/>
      <c r="O64" s="306"/>
      <c r="P64" s="295"/>
      <c r="Q64" s="296"/>
      <c r="R64" s="297"/>
      <c r="S64" s="298"/>
      <c r="U64" s="457"/>
      <c r="V64" s="481"/>
      <c r="W64" s="457"/>
      <c r="X64" s="457"/>
      <c r="Y64" s="457"/>
      <c r="Z64" s="457"/>
      <c r="AA64" s="302"/>
      <c r="AB64" s="302"/>
      <c r="AC64" s="302"/>
    </row>
    <row r="65" spans="1:31">
      <c r="A65" s="350"/>
      <c r="B65" s="319" t="s">
        <v>222</v>
      </c>
      <c r="C65" s="320"/>
      <c r="D65" s="321"/>
      <c r="E65" s="322">
        <f>SUM(E62:E64)</f>
        <v>3.8849999999999998</v>
      </c>
      <c r="F65" s="323">
        <f>SUM(F62:F63)</f>
        <v>185609.19999999998</v>
      </c>
      <c r="G65" s="269"/>
      <c r="H65" s="319" t="s">
        <v>222</v>
      </c>
      <c r="I65" s="320"/>
      <c r="J65" s="321"/>
      <c r="K65" s="322">
        <f>SUM(K62:K64)</f>
        <v>4.42</v>
      </c>
      <c r="L65" s="323">
        <f>SUM(L62:L63)</f>
        <v>210732.79999999999</v>
      </c>
      <c r="N65" s="319" t="s">
        <v>222</v>
      </c>
      <c r="O65" s="320"/>
      <c r="P65" s="321"/>
      <c r="Q65" s="322">
        <f>SUM(Q62:Q64)</f>
        <v>4.9725000000000001</v>
      </c>
      <c r="R65" s="323">
        <f>SUM(R62:R63)</f>
        <v>237074.4</v>
      </c>
      <c r="S65" s="324"/>
      <c r="T65" s="313"/>
      <c r="U65" s="457"/>
      <c r="V65" s="481"/>
      <c r="W65" s="457"/>
      <c r="X65" s="457"/>
      <c r="Y65" s="457"/>
      <c r="Z65" s="457"/>
      <c r="AA65" s="302"/>
      <c r="AB65" s="302"/>
      <c r="AC65" s="302"/>
    </row>
    <row r="66" spans="1:31" s="313" customFormat="1">
      <c r="A66" s="350"/>
      <c r="B66" s="282"/>
      <c r="C66" s="331"/>
      <c r="D66" s="332"/>
      <c r="E66" s="333"/>
      <c r="F66" s="334"/>
      <c r="G66" s="269"/>
      <c r="H66" s="282"/>
      <c r="I66" s="331"/>
      <c r="J66" s="332"/>
      <c r="K66" s="335"/>
      <c r="L66" s="334"/>
      <c r="M66" s="269"/>
      <c r="N66" s="282"/>
      <c r="O66" s="331"/>
      <c r="P66" s="332"/>
      <c r="Q66" s="333"/>
      <c r="R66" s="334"/>
      <c r="S66" s="324"/>
      <c r="T66" s="269"/>
      <c r="U66" s="457"/>
      <c r="V66" s="481"/>
      <c r="W66" s="457"/>
      <c r="X66" s="457"/>
      <c r="Y66" s="457"/>
      <c r="Z66" s="457"/>
      <c r="AA66" s="302"/>
      <c r="AB66" s="302"/>
      <c r="AC66" s="302"/>
      <c r="AD66" s="269"/>
      <c r="AE66" s="269"/>
    </row>
    <row r="67" spans="1:31">
      <c r="A67" s="302"/>
      <c r="B67" s="282" t="s">
        <v>224</v>
      </c>
      <c r="C67" s="331"/>
      <c r="D67" s="332"/>
      <c r="E67" s="340"/>
      <c r="F67" s="334"/>
      <c r="G67" s="269"/>
      <c r="H67" s="282" t="s">
        <v>224</v>
      </c>
      <c r="I67" s="331"/>
      <c r="J67" s="332"/>
      <c r="K67" s="340"/>
      <c r="L67" s="334"/>
      <c r="N67" s="282" t="s">
        <v>224</v>
      </c>
      <c r="O67" s="331"/>
      <c r="P67" s="332"/>
      <c r="Q67" s="340"/>
      <c r="R67" s="334"/>
      <c r="S67" s="324"/>
      <c r="U67" s="457"/>
      <c r="V67" s="481"/>
      <c r="W67" s="457"/>
      <c r="X67" s="457"/>
      <c r="Y67" s="457"/>
      <c r="Z67" s="457"/>
      <c r="AA67" s="302"/>
      <c r="AB67" s="302"/>
      <c r="AC67" s="302"/>
    </row>
    <row r="68" spans="1:31">
      <c r="A68" s="350"/>
      <c r="B68" s="336" t="s">
        <v>183</v>
      </c>
      <c r="C68" s="341">
        <f>W17</f>
        <v>0.224</v>
      </c>
      <c r="D68" s="342"/>
      <c r="E68" s="343"/>
      <c r="F68" s="344">
        <f>C68*F65</f>
        <v>41576.460799999993</v>
      </c>
      <c r="G68" s="269"/>
      <c r="H68" s="336" t="s">
        <v>183</v>
      </c>
      <c r="I68" s="341">
        <f>W17</f>
        <v>0.224</v>
      </c>
      <c r="J68" s="342"/>
      <c r="K68" s="343"/>
      <c r="L68" s="297">
        <f>I68*L65</f>
        <v>47204.147199999999</v>
      </c>
      <c r="N68" s="336" t="s">
        <v>183</v>
      </c>
      <c r="O68" s="341">
        <f>W17</f>
        <v>0.224</v>
      </c>
      <c r="P68" s="342"/>
      <c r="Q68" s="343"/>
      <c r="R68" s="297">
        <f>O68*R65</f>
        <v>53104.6656</v>
      </c>
      <c r="S68" s="298"/>
      <c r="U68" s="457"/>
      <c r="V68" s="481"/>
      <c r="W68" s="457"/>
      <c r="X68" s="457"/>
      <c r="Y68" s="457"/>
      <c r="Z68" s="457"/>
      <c r="AA68" s="302"/>
      <c r="AB68" s="302"/>
      <c r="AC68" s="302"/>
    </row>
    <row r="69" spans="1:31">
      <c r="A69" s="350"/>
      <c r="B69" s="345" t="s">
        <v>225</v>
      </c>
      <c r="C69" s="346"/>
      <c r="D69" s="347"/>
      <c r="E69" s="348"/>
      <c r="F69" s="323">
        <f>F68+F65</f>
        <v>227185.66079999998</v>
      </c>
      <c r="G69" s="269"/>
      <c r="H69" s="345" t="s">
        <v>225</v>
      </c>
      <c r="I69" s="346"/>
      <c r="J69" s="347"/>
      <c r="K69" s="348"/>
      <c r="L69" s="323">
        <f>L68+L65</f>
        <v>257936.9472</v>
      </c>
      <c r="N69" s="345" t="s">
        <v>225</v>
      </c>
      <c r="O69" s="346"/>
      <c r="P69" s="347"/>
      <c r="Q69" s="348"/>
      <c r="R69" s="323">
        <f>R68+R65</f>
        <v>290179.06559999997</v>
      </c>
      <c r="S69" s="324"/>
      <c r="U69" s="482"/>
      <c r="V69" s="481"/>
      <c r="W69" s="457"/>
      <c r="X69" s="482"/>
      <c r="Y69" s="482"/>
      <c r="Z69" s="482"/>
      <c r="AA69" s="302"/>
      <c r="AB69" s="302"/>
      <c r="AC69" s="302"/>
    </row>
    <row r="70" spans="1:31" ht="15" customHeight="1">
      <c r="A70" s="350"/>
      <c r="B70" s="349" t="s">
        <v>223</v>
      </c>
      <c r="C70" s="350"/>
      <c r="D70" s="295">
        <f>W10</f>
        <v>5963.9694954316819</v>
      </c>
      <c r="E70" s="343"/>
      <c r="F70" s="297">
        <f>D70*$E$63*$W$33</f>
        <v>39088.850067975152</v>
      </c>
      <c r="G70" s="269"/>
      <c r="H70" s="349" t="s">
        <v>223</v>
      </c>
      <c r="I70" s="350"/>
      <c r="J70" s="295">
        <f>W10</f>
        <v>5963.9694954316819</v>
      </c>
      <c r="K70" s="343"/>
      <c r="L70" s="297">
        <f>J70*$K$63*$W$34</f>
        <v>41880.910787116234</v>
      </c>
      <c r="N70" s="349" t="s">
        <v>223</v>
      </c>
      <c r="O70" s="350"/>
      <c r="P70" s="295">
        <f>W10</f>
        <v>5963.9694954316819</v>
      </c>
      <c r="Q70" s="343"/>
      <c r="R70" s="297">
        <f>P70*$Q$63*$W$35</f>
        <v>44498.467711310994</v>
      </c>
      <c r="S70" s="298"/>
      <c r="U70" s="482"/>
      <c r="V70" s="481"/>
      <c r="W70" s="457"/>
      <c r="X70" s="482"/>
      <c r="Y70" s="482"/>
      <c r="Z70" s="482"/>
      <c r="AA70" s="302"/>
      <c r="AB70" s="302"/>
      <c r="AC70" s="302"/>
    </row>
    <row r="71" spans="1:31">
      <c r="B71" s="336" t="s">
        <v>84</v>
      </c>
      <c r="C71" s="351"/>
      <c r="D71" s="295">
        <f t="shared" ref="D71:D74" si="15">W11</f>
        <v>159.61973086509079</v>
      </c>
      <c r="E71" s="352"/>
      <c r="F71" s="297">
        <f>D71*$E$63*$W$33</f>
        <v>1046.1743193782825</v>
      </c>
      <c r="G71" s="269"/>
      <c r="H71" s="336" t="s">
        <v>84</v>
      </c>
      <c r="I71" s="351"/>
      <c r="J71" s="295">
        <f t="shared" ref="J71:J74" si="16">W11</f>
        <v>159.61973086509079</v>
      </c>
      <c r="K71" s="352"/>
      <c r="L71" s="297">
        <f>J71*$K$63*$W$34</f>
        <v>1120.9010564767314</v>
      </c>
      <c r="N71" s="336" t="s">
        <v>84</v>
      </c>
      <c r="O71" s="351"/>
      <c r="P71" s="295">
        <f t="shared" ref="P71:P74" si="17">W11</f>
        <v>159.61973086509079</v>
      </c>
      <c r="Q71" s="352"/>
      <c r="R71" s="297">
        <f>P71*$Q$63*$W$35</f>
        <v>1190.957372506527</v>
      </c>
      <c r="S71" s="298"/>
      <c r="U71" s="482"/>
      <c r="V71" s="482"/>
      <c r="W71" s="482"/>
      <c r="X71" s="482"/>
      <c r="Y71" s="482"/>
      <c r="Z71" s="482"/>
      <c r="AA71" s="302"/>
      <c r="AB71" s="302"/>
      <c r="AC71" s="302"/>
    </row>
    <row r="72" spans="1:31">
      <c r="B72" s="336" t="s">
        <v>88</v>
      </c>
      <c r="C72" s="351"/>
      <c r="D72" s="295">
        <f t="shared" si="15"/>
        <v>1056.8783932396871</v>
      </c>
      <c r="E72" s="352"/>
      <c r="F72" s="297">
        <f>D72*$E$63*$W$33</f>
        <v>6926.9571356917822</v>
      </c>
      <c r="G72" s="269"/>
      <c r="H72" s="336" t="s">
        <v>88</v>
      </c>
      <c r="I72" s="351"/>
      <c r="J72" s="295">
        <f t="shared" si="16"/>
        <v>1056.8783932396871</v>
      </c>
      <c r="K72" s="352"/>
      <c r="L72" s="297">
        <f>J72*$K$63*$W$34</f>
        <v>7421.7397882411951</v>
      </c>
      <c r="N72" s="336" t="s">
        <v>88</v>
      </c>
      <c r="O72" s="351"/>
      <c r="P72" s="295">
        <f t="shared" si="17"/>
        <v>1056.8783932396871</v>
      </c>
      <c r="Q72" s="352"/>
      <c r="R72" s="297">
        <f>P72*$Q$63*$W$35</f>
        <v>7885.5985250062704</v>
      </c>
      <c r="S72" s="298"/>
      <c r="U72" s="457"/>
      <c r="V72" s="483"/>
      <c r="W72" s="457"/>
      <c r="X72" s="457"/>
      <c r="Y72" s="457"/>
      <c r="Z72" s="457"/>
      <c r="AA72" s="302"/>
      <c r="AB72" s="302"/>
      <c r="AC72" s="302"/>
    </row>
    <row r="73" spans="1:31">
      <c r="B73" s="336" t="s">
        <v>125</v>
      </c>
      <c r="C73" s="351"/>
      <c r="D73" s="295">
        <f t="shared" si="15"/>
        <v>1347.3502436316674</v>
      </c>
      <c r="E73" s="352"/>
      <c r="F73" s="297">
        <f>D73*$E$63*$W$33</f>
        <v>8830.7580551358878</v>
      </c>
      <c r="G73" s="269"/>
      <c r="H73" s="336" t="s">
        <v>125</v>
      </c>
      <c r="I73" s="351"/>
      <c r="J73" s="295">
        <f t="shared" si="16"/>
        <v>1347.3502436316674</v>
      </c>
      <c r="K73" s="352"/>
      <c r="L73" s="297">
        <f>J73*$K$63*$W$34</f>
        <v>9461.5264876455931</v>
      </c>
      <c r="N73" s="336" t="s">
        <v>125</v>
      </c>
      <c r="O73" s="351"/>
      <c r="P73" s="295">
        <f t="shared" si="17"/>
        <v>1347.3502436316674</v>
      </c>
      <c r="Q73" s="352"/>
      <c r="R73" s="297">
        <f>P73*$Q$63*$W$35</f>
        <v>10052.871893123442</v>
      </c>
      <c r="S73" s="298"/>
      <c r="U73" s="457"/>
      <c r="V73" s="483"/>
      <c r="W73" s="457"/>
      <c r="X73" s="457"/>
      <c r="Y73" s="457"/>
      <c r="Z73" s="457"/>
      <c r="AA73" s="302"/>
      <c r="AB73" s="302"/>
      <c r="AC73" s="302"/>
      <c r="AD73" s="313"/>
      <c r="AE73" s="313"/>
    </row>
    <row r="74" spans="1:31">
      <c r="B74" s="336" t="s">
        <v>129</v>
      </c>
      <c r="C74" s="366"/>
      <c r="D74" s="295">
        <f t="shared" si="15"/>
        <v>2996.7173855870574</v>
      </c>
      <c r="E74" s="367"/>
      <c r="F74" s="297">
        <f>D74*$E$63*$W$33</f>
        <v>19640.985198035174</v>
      </c>
      <c r="G74" s="269"/>
      <c r="H74" s="336" t="s">
        <v>129</v>
      </c>
      <c r="I74" s="366"/>
      <c r="J74" s="295">
        <f t="shared" si="16"/>
        <v>2996.7173855870574</v>
      </c>
      <c r="K74" s="367"/>
      <c r="L74" s="297">
        <f>J74*$K$63*$W$34</f>
        <v>21043.912712180543</v>
      </c>
      <c r="N74" s="336" t="s">
        <v>129</v>
      </c>
      <c r="O74" s="366"/>
      <c r="P74" s="295">
        <f t="shared" si="17"/>
        <v>2996.7173855870574</v>
      </c>
      <c r="Q74" s="367"/>
      <c r="R74" s="297">
        <f>P74*$Q$63*$W$35</f>
        <v>22359.157256691826</v>
      </c>
      <c r="S74" s="298"/>
      <c r="U74" s="457"/>
      <c r="V74" s="483"/>
      <c r="W74" s="457"/>
      <c r="X74" s="457"/>
      <c r="Y74" s="457"/>
      <c r="Z74" s="457"/>
      <c r="AA74" s="302"/>
      <c r="AB74" s="302"/>
      <c r="AC74" s="302"/>
    </row>
    <row r="75" spans="1:31">
      <c r="B75" s="374" t="str">
        <f>B47</f>
        <v>Flex Funding Administration</v>
      </c>
      <c r="C75" s="375"/>
      <c r="D75" s="376">
        <f>$W$15</f>
        <v>1000</v>
      </c>
      <c r="E75" s="377"/>
      <c r="F75" s="378">
        <f>D75*E63</f>
        <v>3500</v>
      </c>
      <c r="G75" s="269"/>
      <c r="H75" s="374" t="str">
        <f>H47</f>
        <v>Flex Funding Administration</v>
      </c>
      <c r="I75" s="375"/>
      <c r="J75" s="376">
        <f>$W$15</f>
        <v>1000</v>
      </c>
      <c r="K75" s="377"/>
      <c r="L75" s="378">
        <f>J75*K63</f>
        <v>4000</v>
      </c>
      <c r="N75" s="374" t="str">
        <f>N47</f>
        <v>Flex Funding Administration</v>
      </c>
      <c r="O75" s="375"/>
      <c r="P75" s="376">
        <f>$W$15</f>
        <v>1000</v>
      </c>
      <c r="Q75" s="377"/>
      <c r="R75" s="378">
        <f>P75*Q63</f>
        <v>4500</v>
      </c>
      <c r="S75" s="324"/>
      <c r="U75" s="457"/>
      <c r="V75" s="484"/>
      <c r="W75" s="485"/>
      <c r="X75" s="457"/>
      <c r="Y75" s="457"/>
      <c r="Z75" s="457"/>
      <c r="AA75" s="302"/>
      <c r="AB75" s="302"/>
      <c r="AC75" s="302"/>
    </row>
    <row r="76" spans="1:31" ht="15" thickBot="1">
      <c r="B76" s="379" t="s">
        <v>188</v>
      </c>
      <c r="C76" s="380"/>
      <c r="D76" s="381"/>
      <c r="E76" s="382"/>
      <c r="F76" s="383">
        <f>SUM(F69:F75)</f>
        <v>306219.38557621627</v>
      </c>
      <c r="G76" s="324"/>
      <c r="H76" s="379" t="s">
        <v>188</v>
      </c>
      <c r="I76" s="380"/>
      <c r="J76" s="381"/>
      <c r="K76" s="382"/>
      <c r="L76" s="383">
        <f>SUM(L69:L75)</f>
        <v>342865.93803166028</v>
      </c>
      <c r="N76" s="379" t="s">
        <v>188</v>
      </c>
      <c r="O76" s="380"/>
      <c r="P76" s="381"/>
      <c r="Q76" s="382"/>
      <c r="R76" s="383">
        <f>SUM(R69:R75)</f>
        <v>380666.11835863901</v>
      </c>
      <c r="S76" s="324"/>
      <c r="U76" s="457"/>
      <c r="V76" s="483"/>
      <c r="W76" s="457"/>
      <c r="X76" s="457"/>
      <c r="Y76" s="457"/>
      <c r="Z76" s="457"/>
      <c r="AA76" s="302"/>
      <c r="AB76" s="302"/>
      <c r="AC76" s="302"/>
    </row>
    <row r="77" spans="1:31" ht="15" thickTop="1">
      <c r="B77" s="368" t="s">
        <v>227</v>
      </c>
      <c r="C77" s="384">
        <f>W18</f>
        <v>0.12</v>
      </c>
      <c r="D77" s="332"/>
      <c r="E77" s="335"/>
      <c r="F77" s="334">
        <f>C77*F76</f>
        <v>36746.326269145953</v>
      </c>
      <c r="G77" s="324"/>
      <c r="H77" s="368" t="s">
        <v>227</v>
      </c>
      <c r="I77" s="384">
        <f>W18</f>
        <v>0.12</v>
      </c>
      <c r="J77" s="332"/>
      <c r="K77" s="335"/>
      <c r="L77" s="334">
        <f>I77*L76</f>
        <v>41143.912563799233</v>
      </c>
      <c r="N77" s="368" t="s">
        <v>227</v>
      </c>
      <c r="O77" s="384">
        <f>W18</f>
        <v>0.12</v>
      </c>
      <c r="P77" s="332"/>
      <c r="Q77" s="335"/>
      <c r="R77" s="334">
        <f>O77*R76</f>
        <v>45679.934203036682</v>
      </c>
      <c r="S77" s="324"/>
      <c r="U77" s="457"/>
      <c r="V77" s="483"/>
      <c r="W77" s="457"/>
      <c r="X77" s="457"/>
      <c r="Y77" s="457"/>
      <c r="Z77" s="457"/>
      <c r="AA77" s="302"/>
      <c r="AB77" s="302"/>
      <c r="AC77" s="302"/>
    </row>
    <row r="78" spans="1:31">
      <c r="B78" s="368" t="s">
        <v>61</v>
      </c>
      <c r="C78" s="384">
        <f>C50</f>
        <v>3.7000000000000002E-3</v>
      </c>
      <c r="D78" s="332"/>
      <c r="E78" s="335"/>
      <c r="F78" s="334">
        <f>C78*F65</f>
        <v>686.75403999999992</v>
      </c>
      <c r="G78" s="324"/>
      <c r="H78" s="368" t="s">
        <v>61</v>
      </c>
      <c r="I78" s="384">
        <f>I50</f>
        <v>3.7000000000000002E-3</v>
      </c>
      <c r="J78" s="332"/>
      <c r="K78" s="335"/>
      <c r="L78" s="334">
        <f>I78*L65</f>
        <v>779.71136000000001</v>
      </c>
      <c r="N78" s="368" t="s">
        <v>61</v>
      </c>
      <c r="O78" s="384">
        <f>O50</f>
        <v>3.7000000000000002E-3</v>
      </c>
      <c r="P78" s="332"/>
      <c r="Q78" s="335"/>
      <c r="R78" s="334">
        <f>O78*R65</f>
        <v>877.17528000000004</v>
      </c>
      <c r="S78" s="324"/>
      <c r="U78" s="298"/>
      <c r="V78" s="298"/>
      <c r="W78" s="302"/>
      <c r="X78" s="302"/>
      <c r="Y78" s="302"/>
      <c r="Z78" s="302"/>
      <c r="AA78" s="302"/>
      <c r="AB78" s="302"/>
    </row>
    <row r="79" spans="1:31" ht="15" thickBot="1">
      <c r="B79" s="368"/>
      <c r="C79" s="384"/>
      <c r="D79" s="332"/>
      <c r="E79" s="335"/>
      <c r="F79" s="392">
        <f>C79*(F70+F71+F72+F73+F74)</f>
        <v>0</v>
      </c>
      <c r="G79" s="324"/>
      <c r="H79" s="368"/>
      <c r="I79" s="384"/>
      <c r="J79" s="332"/>
      <c r="K79" s="335"/>
      <c r="L79" s="392">
        <f>I79*(L70+L71+L72+L73+L74)</f>
        <v>0</v>
      </c>
      <c r="N79" s="368"/>
      <c r="O79" s="384"/>
      <c r="P79" s="332"/>
      <c r="Q79" s="335"/>
      <c r="R79" s="392">
        <f>O79*(R70+R71+R72+R73+R74)</f>
        <v>0</v>
      </c>
      <c r="S79" s="393"/>
      <c r="U79" s="298"/>
      <c r="V79" s="298"/>
      <c r="W79" s="302"/>
      <c r="X79" s="302"/>
      <c r="Y79" s="302"/>
      <c r="Z79" s="302"/>
    </row>
    <row r="80" spans="1:31">
      <c r="B80" s="368"/>
      <c r="C80" s="384"/>
      <c r="D80" s="332"/>
      <c r="E80" s="335"/>
      <c r="F80" s="394">
        <f>SUM(F76:F79)</f>
        <v>343652.46588536224</v>
      </c>
      <c r="G80" s="324"/>
      <c r="H80" s="368"/>
      <c r="I80" s="384"/>
      <c r="J80" s="332"/>
      <c r="K80" s="335"/>
      <c r="L80" s="394">
        <f>SUM(L76:L79)</f>
        <v>384789.56195545953</v>
      </c>
      <c r="N80" s="368"/>
      <c r="O80" s="384"/>
      <c r="P80" s="332"/>
      <c r="Q80" s="335"/>
      <c r="R80" s="394">
        <f>SUM(R76:R79)</f>
        <v>427223.22784167569</v>
      </c>
      <c r="S80" s="393"/>
      <c r="U80" s="270"/>
      <c r="V80" s="270"/>
    </row>
    <row r="81" spans="1:22">
      <c r="B81" s="282" t="s">
        <v>189</v>
      </c>
      <c r="C81" s="384">
        <f>W21</f>
        <v>1.0633805350099574E-2</v>
      </c>
      <c r="D81" s="332"/>
      <c r="E81" s="335"/>
      <c r="F81" s="394">
        <f>C81*F80</f>
        <v>3654.3334303066763</v>
      </c>
      <c r="G81" s="324"/>
      <c r="H81" s="282" t="s">
        <v>189</v>
      </c>
      <c r="I81" s="384">
        <f>W21</f>
        <v>1.0633805350099574E-2</v>
      </c>
      <c r="J81" s="332"/>
      <c r="K81" s="335"/>
      <c r="L81" s="394">
        <f>I81*L80</f>
        <v>4091.7773025844372</v>
      </c>
      <c r="N81" s="282" t="s">
        <v>189</v>
      </c>
      <c r="O81" s="384">
        <f>W21</f>
        <v>1.0633805350099574E-2</v>
      </c>
      <c r="P81" s="332"/>
      <c r="Q81" s="335"/>
      <c r="R81" s="394">
        <f>O81*R80</f>
        <v>4543.0086459096201</v>
      </c>
      <c r="S81" s="393"/>
      <c r="U81" s="270"/>
      <c r="V81" s="270"/>
    </row>
    <row r="82" spans="1:22" ht="15" thickBot="1">
      <c r="B82" s="349"/>
      <c r="C82" s="350"/>
      <c r="D82" s="332"/>
      <c r="E82" s="335"/>
      <c r="F82" s="383">
        <f>SUM(F80:F81)</f>
        <v>347306.79931566893</v>
      </c>
      <c r="G82" s="324"/>
      <c r="H82" s="349"/>
      <c r="I82" s="350"/>
      <c r="J82" s="332"/>
      <c r="K82" s="335"/>
      <c r="L82" s="383">
        <f>SUM(L80:L81)</f>
        <v>388881.33925804397</v>
      </c>
      <c r="N82" s="349"/>
      <c r="O82" s="350"/>
      <c r="P82" s="332"/>
      <c r="Q82" s="335"/>
      <c r="R82" s="383">
        <f>SUM(R80:R81)</f>
        <v>431766.23648758529</v>
      </c>
      <c r="S82" s="324"/>
      <c r="T82" s="302"/>
      <c r="U82" s="270"/>
      <c r="V82" s="270"/>
    </row>
    <row r="83" spans="1:22" ht="15.6" thickTop="1" thickBot="1">
      <c r="B83" s="282"/>
      <c r="C83" s="384"/>
      <c r="D83" s="332"/>
      <c r="E83" s="335"/>
      <c r="F83" s="411"/>
      <c r="G83" s="324"/>
      <c r="H83" s="282"/>
      <c r="I83" s="384"/>
      <c r="J83" s="332"/>
      <c r="K83" s="335"/>
      <c r="L83" s="411"/>
      <c r="N83" s="282"/>
      <c r="O83" s="384"/>
      <c r="P83" s="332"/>
      <c r="Q83" s="335"/>
      <c r="R83" s="411"/>
      <c r="S83" s="324"/>
      <c r="T83" s="302"/>
      <c r="U83" s="270"/>
      <c r="V83" s="270"/>
    </row>
    <row r="84" spans="1:22" ht="15" customHeight="1" thickTop="1" thickBot="1">
      <c r="B84" s="418" t="s">
        <v>237</v>
      </c>
      <c r="C84" s="419"/>
      <c r="D84" s="419"/>
      <c r="E84" s="419"/>
      <c r="F84" s="421">
        <f>F82/12</f>
        <v>28942.233276305746</v>
      </c>
      <c r="G84" s="324"/>
      <c r="H84" s="418" t="s">
        <v>237</v>
      </c>
      <c r="I84" s="419"/>
      <c r="J84" s="419"/>
      <c r="K84" s="419"/>
      <c r="L84" s="421">
        <f>L82/12</f>
        <v>32406.778271503663</v>
      </c>
      <c r="N84" s="418" t="s">
        <v>237</v>
      </c>
      <c r="O84" s="419"/>
      <c r="P84" s="419"/>
      <c r="Q84" s="419"/>
      <c r="R84" s="421">
        <f>R82/12</f>
        <v>35980.519707298772</v>
      </c>
      <c r="S84" s="393"/>
      <c r="T84" s="302"/>
      <c r="U84" s="270"/>
      <c r="V84" s="270"/>
    </row>
    <row r="85" spans="1:22">
      <c r="B85" s="313"/>
      <c r="C85" s="313"/>
      <c r="D85" s="313"/>
      <c r="E85" s="313"/>
      <c r="F85" s="486"/>
      <c r="G85" s="298"/>
      <c r="H85" s="313"/>
      <c r="L85" s="486"/>
      <c r="R85" s="486"/>
      <c r="S85" s="313"/>
      <c r="T85" s="302"/>
      <c r="U85" s="270"/>
      <c r="V85" s="270"/>
    </row>
    <row r="86" spans="1:22">
      <c r="B86" s="313"/>
      <c r="C86" s="313"/>
      <c r="D86" s="313"/>
      <c r="E86" s="313"/>
      <c r="F86" s="430"/>
      <c r="G86" s="430"/>
      <c r="H86" s="430"/>
      <c r="I86" s="430"/>
      <c r="J86" s="430"/>
      <c r="K86" s="430"/>
      <c r="L86" s="430"/>
      <c r="M86" s="430"/>
      <c r="N86" s="430"/>
      <c r="O86" s="430"/>
      <c r="P86" s="430"/>
      <c r="Q86" s="430"/>
      <c r="R86" s="430"/>
      <c r="S86" s="430"/>
      <c r="T86" s="302"/>
      <c r="U86" s="270"/>
      <c r="V86" s="270"/>
    </row>
    <row r="87" spans="1:22" ht="15" thickBot="1">
      <c r="A87" s="302"/>
      <c r="B87" s="313"/>
      <c r="C87" s="313"/>
      <c r="D87" s="313"/>
      <c r="E87" s="313"/>
      <c r="F87" s="434"/>
      <c r="G87" s="298"/>
      <c r="H87" s="313"/>
      <c r="R87" s="269"/>
      <c r="S87" s="313"/>
      <c r="T87" s="302"/>
      <c r="U87" s="270"/>
      <c r="V87" s="270"/>
    </row>
    <row r="88" spans="1:22">
      <c r="A88" s="302"/>
      <c r="B88" s="274" t="s">
        <v>249</v>
      </c>
      <c r="C88" s="275"/>
      <c r="D88" s="275"/>
      <c r="E88" s="275"/>
      <c r="F88" s="276"/>
      <c r="G88" s="269"/>
      <c r="H88" s="274" t="s">
        <v>250</v>
      </c>
      <c r="I88" s="275"/>
      <c r="J88" s="275"/>
      <c r="K88" s="275"/>
      <c r="L88" s="276"/>
      <c r="N88" s="274" t="s">
        <v>251</v>
      </c>
      <c r="O88" s="275"/>
      <c r="P88" s="275"/>
      <c r="Q88" s="275"/>
      <c r="R88" s="276"/>
      <c r="S88" s="277"/>
      <c r="T88" s="302"/>
      <c r="U88" s="270"/>
      <c r="V88" s="270"/>
    </row>
    <row r="89" spans="1:22" ht="28.8">
      <c r="A89" s="302"/>
      <c r="B89" s="282"/>
      <c r="C89" s="283" t="s">
        <v>214</v>
      </c>
      <c r="D89" s="284" t="s">
        <v>215</v>
      </c>
      <c r="E89" s="285" t="s">
        <v>216</v>
      </c>
      <c r="F89" s="286" t="s">
        <v>217</v>
      </c>
      <c r="G89" s="269"/>
      <c r="H89" s="282"/>
      <c r="I89" s="283" t="s">
        <v>214</v>
      </c>
      <c r="J89" s="284" t="s">
        <v>215</v>
      </c>
      <c r="K89" s="285" t="s">
        <v>216</v>
      </c>
      <c r="L89" s="286" t="s">
        <v>217</v>
      </c>
      <c r="N89" s="282"/>
      <c r="O89" s="283" t="s">
        <v>214</v>
      </c>
      <c r="P89" s="284" t="s">
        <v>215</v>
      </c>
      <c r="Q89" s="285" t="s">
        <v>216</v>
      </c>
      <c r="R89" s="286" t="s">
        <v>217</v>
      </c>
      <c r="S89" s="287"/>
      <c r="U89" s="270"/>
      <c r="V89" s="270"/>
    </row>
    <row r="90" spans="1:22">
      <c r="B90" s="294" t="s">
        <v>85</v>
      </c>
      <c r="C90" s="295"/>
      <c r="D90" s="295">
        <f>W6</f>
        <v>69600</v>
      </c>
      <c r="E90" s="296">
        <f>V36</f>
        <v>0.52</v>
      </c>
      <c r="F90" s="297">
        <f>D90*E90</f>
        <v>36192</v>
      </c>
      <c r="G90" s="269"/>
      <c r="H90" s="294" t="s">
        <v>85</v>
      </c>
      <c r="I90" s="295"/>
      <c r="J90" s="295">
        <f t="shared" ref="J90:J91" si="18">W6</f>
        <v>69600</v>
      </c>
      <c r="K90" s="296">
        <f>V37</f>
        <v>0.57199999999999995</v>
      </c>
      <c r="L90" s="297">
        <f>J90*K90</f>
        <v>39811.199999999997</v>
      </c>
      <c r="N90" s="294" t="s">
        <v>85</v>
      </c>
      <c r="O90" s="295"/>
      <c r="P90" s="295">
        <f>W6</f>
        <v>69600</v>
      </c>
      <c r="Q90" s="296">
        <f>V38</f>
        <v>0.61799999999999999</v>
      </c>
      <c r="R90" s="297">
        <f>P90*Q90</f>
        <v>43012.800000000003</v>
      </c>
      <c r="S90" s="298"/>
      <c r="U90" s="270"/>
      <c r="V90" s="270"/>
    </row>
    <row r="91" spans="1:22">
      <c r="B91" s="305" t="s">
        <v>117</v>
      </c>
      <c r="C91" s="306"/>
      <c r="D91" s="295">
        <f>W7</f>
        <v>45375.199999999997</v>
      </c>
      <c r="E91" s="296">
        <f>U36</f>
        <v>5</v>
      </c>
      <c r="F91" s="297">
        <f t="shared" ref="F91" si="19">D91*E91</f>
        <v>226876</v>
      </c>
      <c r="G91" s="269"/>
      <c r="H91" s="305" t="s">
        <v>117</v>
      </c>
      <c r="I91" s="306"/>
      <c r="J91" s="295">
        <f t="shared" si="18"/>
        <v>45375.199999999997</v>
      </c>
      <c r="K91" s="296">
        <f>U37</f>
        <v>5.5</v>
      </c>
      <c r="L91" s="297">
        <f t="shared" ref="L91" si="20">J91*K91</f>
        <v>249563.59999999998</v>
      </c>
      <c r="N91" s="305" t="s">
        <v>117</v>
      </c>
      <c r="O91" s="306"/>
      <c r="P91" s="295">
        <f>W7</f>
        <v>45375.199999999997</v>
      </c>
      <c r="Q91" s="296">
        <f>U38</f>
        <v>6</v>
      </c>
      <c r="R91" s="297">
        <f t="shared" ref="R91" si="21">P91*Q91</f>
        <v>272251.19999999995</v>
      </c>
      <c r="S91" s="298"/>
      <c r="U91" s="270"/>
      <c r="V91" s="270"/>
    </row>
    <row r="92" spans="1:22" ht="15" customHeight="1">
      <c r="B92" s="305"/>
      <c r="C92" s="306"/>
      <c r="D92" s="295"/>
      <c r="E92" s="296"/>
      <c r="F92" s="297"/>
      <c r="G92" s="269"/>
      <c r="H92" s="305"/>
      <c r="I92" s="306"/>
      <c r="J92" s="295"/>
      <c r="K92" s="296"/>
      <c r="L92" s="297"/>
      <c r="N92" s="305"/>
      <c r="O92" s="306"/>
      <c r="P92" s="295"/>
      <c r="Q92" s="296"/>
      <c r="R92" s="297"/>
      <c r="S92" s="298"/>
      <c r="U92" s="270"/>
      <c r="V92" s="270"/>
    </row>
    <row r="93" spans="1:22">
      <c r="B93" s="319" t="s">
        <v>222</v>
      </c>
      <c r="C93" s="320"/>
      <c r="D93" s="321"/>
      <c r="E93" s="322">
        <f>SUM(E90:E92)</f>
        <v>5.52</v>
      </c>
      <c r="F93" s="323">
        <f>SUM(F90:F91)</f>
        <v>263068</v>
      </c>
      <c r="G93" s="269"/>
      <c r="H93" s="319" t="s">
        <v>222</v>
      </c>
      <c r="I93" s="320"/>
      <c r="J93" s="321"/>
      <c r="K93" s="322">
        <f>SUM(K90:K92)</f>
        <v>6.0720000000000001</v>
      </c>
      <c r="L93" s="323">
        <f>SUM(L90:L91)</f>
        <v>289374.8</v>
      </c>
      <c r="N93" s="319" t="s">
        <v>222</v>
      </c>
      <c r="O93" s="320"/>
      <c r="P93" s="321"/>
      <c r="Q93" s="322">
        <f>SUM(Q90:Q92)</f>
        <v>6.6180000000000003</v>
      </c>
      <c r="R93" s="323">
        <f>SUM(R90:R91)</f>
        <v>315263.99999999994</v>
      </c>
      <c r="S93" s="324"/>
      <c r="U93" s="270"/>
      <c r="V93" s="270"/>
    </row>
    <row r="94" spans="1:22">
      <c r="B94" s="282"/>
      <c r="C94" s="331"/>
      <c r="D94" s="332"/>
      <c r="E94" s="333"/>
      <c r="F94" s="334"/>
      <c r="G94" s="269"/>
      <c r="H94" s="282"/>
      <c r="I94" s="331"/>
      <c r="J94" s="332"/>
      <c r="K94" s="335"/>
      <c r="L94" s="334"/>
      <c r="N94" s="282"/>
      <c r="O94" s="331"/>
      <c r="P94" s="332"/>
      <c r="Q94" s="333"/>
      <c r="R94" s="334"/>
      <c r="S94" s="324"/>
      <c r="U94" s="270"/>
      <c r="V94" s="270"/>
    </row>
    <row r="95" spans="1:22">
      <c r="B95" s="282" t="s">
        <v>224</v>
      </c>
      <c r="C95" s="331"/>
      <c r="D95" s="332"/>
      <c r="E95" s="340"/>
      <c r="F95" s="334"/>
      <c r="G95" s="269"/>
      <c r="H95" s="282" t="s">
        <v>224</v>
      </c>
      <c r="I95" s="331"/>
      <c r="J95" s="332"/>
      <c r="K95" s="340"/>
      <c r="L95" s="334"/>
      <c r="N95" s="282" t="s">
        <v>224</v>
      </c>
      <c r="O95" s="331"/>
      <c r="P95" s="332"/>
      <c r="Q95" s="340"/>
      <c r="R95" s="334"/>
      <c r="S95" s="324"/>
      <c r="U95" s="270"/>
      <c r="V95" s="270"/>
    </row>
    <row r="96" spans="1:22">
      <c r="B96" s="336" t="s">
        <v>183</v>
      </c>
      <c r="C96" s="341">
        <f>W17</f>
        <v>0.224</v>
      </c>
      <c r="D96" s="342"/>
      <c r="E96" s="343"/>
      <c r="F96" s="344">
        <f>C96*F93</f>
        <v>58927.232000000004</v>
      </c>
      <c r="G96" s="269"/>
      <c r="H96" s="336" t="s">
        <v>183</v>
      </c>
      <c r="I96" s="341">
        <f>W17</f>
        <v>0.224</v>
      </c>
      <c r="J96" s="342"/>
      <c r="K96" s="343"/>
      <c r="L96" s="297">
        <f>I96*L93</f>
        <v>64819.955199999997</v>
      </c>
      <c r="N96" s="336" t="s">
        <v>183</v>
      </c>
      <c r="O96" s="341">
        <f>W17</f>
        <v>0.224</v>
      </c>
      <c r="P96" s="342"/>
      <c r="Q96" s="343"/>
      <c r="R96" s="297">
        <f>O96*R93</f>
        <v>70619.135999999984</v>
      </c>
      <c r="S96" s="298"/>
      <c r="U96" s="270"/>
      <c r="V96" s="270"/>
    </row>
    <row r="97" spans="2:22">
      <c r="B97" s="345" t="s">
        <v>225</v>
      </c>
      <c r="C97" s="346"/>
      <c r="D97" s="347"/>
      <c r="E97" s="348"/>
      <c r="F97" s="323">
        <f>F96+F93</f>
        <v>321995.23200000002</v>
      </c>
      <c r="G97" s="269"/>
      <c r="H97" s="345" t="s">
        <v>225</v>
      </c>
      <c r="I97" s="346"/>
      <c r="J97" s="347"/>
      <c r="K97" s="348"/>
      <c r="L97" s="323">
        <f>L96+L93</f>
        <v>354194.75520000001</v>
      </c>
      <c r="N97" s="345" t="s">
        <v>225</v>
      </c>
      <c r="O97" s="346"/>
      <c r="P97" s="347"/>
      <c r="Q97" s="348"/>
      <c r="R97" s="323">
        <f>R96+R93</f>
        <v>385883.13599999994</v>
      </c>
      <c r="S97" s="324"/>
      <c r="U97" s="270"/>
      <c r="V97" s="270"/>
    </row>
    <row r="98" spans="2:22">
      <c r="B98" s="349" t="s">
        <v>223</v>
      </c>
      <c r="C98" s="350"/>
      <c r="D98" s="295">
        <f>W10</f>
        <v>5963.9694954316819</v>
      </c>
      <c r="E98" s="343"/>
      <c r="F98" s="297">
        <f>D98*$E$91*$W$36</f>
        <v>46970.604806383824</v>
      </c>
      <c r="G98" s="269"/>
      <c r="H98" s="349" t="s">
        <v>223</v>
      </c>
      <c r="I98" s="350"/>
      <c r="J98" s="295">
        <f>W10</f>
        <v>5963.9694954316819</v>
      </c>
      <c r="K98" s="343"/>
      <c r="L98" s="297">
        <f>J98*$K$91*$W$37</f>
        <v>49319.135046703021</v>
      </c>
      <c r="N98" s="349" t="s">
        <v>223</v>
      </c>
      <c r="O98" s="350"/>
      <c r="P98" s="295">
        <f>W10</f>
        <v>5963.9694954316819</v>
      </c>
      <c r="Q98" s="343"/>
      <c r="R98" s="297">
        <f>P98*$Q$91*$W$38</f>
        <v>52308.173534382004</v>
      </c>
      <c r="S98" s="298"/>
      <c r="U98" s="270"/>
      <c r="V98" s="270"/>
    </row>
    <row r="99" spans="2:22">
      <c r="B99" s="336" t="s">
        <v>84</v>
      </c>
      <c r="C99" s="351"/>
      <c r="D99" s="295">
        <f t="shared" ref="D99:D102" si="22">W11</f>
        <v>159.61973086509079</v>
      </c>
      <c r="E99" s="352"/>
      <c r="F99" s="297">
        <f>D99*$E$91*$W$36</f>
        <v>1257.121670979112</v>
      </c>
      <c r="G99" s="269"/>
      <c r="H99" s="336" t="s">
        <v>84</v>
      </c>
      <c r="I99" s="351"/>
      <c r="J99" s="295">
        <f t="shared" ref="J99:J102" si="23">W11</f>
        <v>159.61973086509079</v>
      </c>
      <c r="K99" s="352"/>
      <c r="L99" s="297">
        <f>J99*$K$91*$W$37</f>
        <v>1319.9777545280674</v>
      </c>
      <c r="N99" s="336" t="s">
        <v>84</v>
      </c>
      <c r="O99" s="351"/>
      <c r="P99" s="295">
        <f t="shared" ref="P99:P102" si="24">W11</f>
        <v>159.61973086509079</v>
      </c>
      <c r="Q99" s="352"/>
      <c r="R99" s="297">
        <f>P99*$Q$91*$W$38</f>
        <v>1399.9764063176474</v>
      </c>
      <c r="S99" s="298"/>
      <c r="U99" s="270"/>
      <c r="V99" s="270"/>
    </row>
    <row r="100" spans="2:22">
      <c r="B100" s="336" t="s">
        <v>88</v>
      </c>
      <c r="C100" s="351"/>
      <c r="D100" s="295">
        <f t="shared" si="22"/>
        <v>1056.8783932396871</v>
      </c>
      <c r="E100" s="352"/>
      <c r="F100" s="297">
        <f>D100*$E$91*$W$36</f>
        <v>8323.6873319510632</v>
      </c>
      <c r="G100" s="269"/>
      <c r="H100" s="336" t="s">
        <v>88</v>
      </c>
      <c r="I100" s="351"/>
      <c r="J100" s="295">
        <f t="shared" si="23"/>
        <v>1056.8783932396871</v>
      </c>
      <c r="K100" s="352"/>
      <c r="L100" s="297">
        <f>J100*$K$91*$W$37</f>
        <v>8739.8716985486171</v>
      </c>
      <c r="N100" s="336" t="s">
        <v>88</v>
      </c>
      <c r="O100" s="351"/>
      <c r="P100" s="295">
        <f t="shared" si="24"/>
        <v>1056.8783932396871</v>
      </c>
      <c r="Q100" s="352"/>
      <c r="R100" s="297">
        <f>P100*$Q$91*$W$38</f>
        <v>9269.560892400048</v>
      </c>
      <c r="S100" s="298"/>
      <c r="U100" s="270"/>
      <c r="V100" s="270"/>
    </row>
    <row r="101" spans="2:22">
      <c r="B101" s="336" t="s">
        <v>125</v>
      </c>
      <c r="C101" s="351"/>
      <c r="D101" s="295">
        <f t="shared" si="22"/>
        <v>1347.3502436316674</v>
      </c>
      <c r="E101" s="352"/>
      <c r="F101" s="297">
        <f>D101*$E$91*$W$36</f>
        <v>10611.364776074744</v>
      </c>
      <c r="G101" s="269"/>
      <c r="H101" s="336" t="s">
        <v>125</v>
      </c>
      <c r="I101" s="351"/>
      <c r="J101" s="295">
        <f t="shared" si="23"/>
        <v>1347.3502436316674</v>
      </c>
      <c r="K101" s="352"/>
      <c r="L101" s="297">
        <f>J101*$K$91*$W$37</f>
        <v>11141.933014878483</v>
      </c>
      <c r="N101" s="336" t="s">
        <v>125</v>
      </c>
      <c r="O101" s="351"/>
      <c r="P101" s="295">
        <f t="shared" si="24"/>
        <v>1347.3502436316674</v>
      </c>
      <c r="Q101" s="352"/>
      <c r="R101" s="297">
        <f>P101*$Q$91*$W$38</f>
        <v>11817.201682446876</v>
      </c>
      <c r="S101" s="298"/>
      <c r="U101" s="270"/>
      <c r="V101" s="270"/>
    </row>
    <row r="102" spans="2:22">
      <c r="B102" s="336" t="s">
        <v>129</v>
      </c>
      <c r="C102" s="351"/>
      <c r="D102" s="295">
        <f t="shared" si="22"/>
        <v>2996.7173855870574</v>
      </c>
      <c r="E102" s="367"/>
      <c r="F102" s="297">
        <f>D102*$E$91*$W$36</f>
        <v>23601.33265984137</v>
      </c>
      <c r="G102" s="269"/>
      <c r="H102" s="336" t="s">
        <v>129</v>
      </c>
      <c r="I102" s="366"/>
      <c r="J102" s="295">
        <f t="shared" si="23"/>
        <v>2996.7173855870574</v>
      </c>
      <c r="K102" s="367"/>
      <c r="L102" s="297">
        <f>J102*$K$91*$W$37</f>
        <v>24781.399292833445</v>
      </c>
      <c r="N102" s="336" t="s">
        <v>129</v>
      </c>
      <c r="O102" s="366"/>
      <c r="P102" s="295">
        <f t="shared" si="24"/>
        <v>2996.7173855870574</v>
      </c>
      <c r="Q102" s="367"/>
      <c r="R102" s="297">
        <f>P102*$Q$91*$W$38</f>
        <v>26283.302280277894</v>
      </c>
      <c r="S102" s="298"/>
      <c r="U102" s="270"/>
      <c r="V102" s="270"/>
    </row>
    <row r="103" spans="2:22">
      <c r="B103" s="374" t="str">
        <f>B75</f>
        <v>Flex Funding Administration</v>
      </c>
      <c r="C103" s="375"/>
      <c r="D103" s="376">
        <f>$W$15</f>
        <v>1000</v>
      </c>
      <c r="E103" s="377"/>
      <c r="F103" s="378">
        <f>D103*E91</f>
        <v>5000</v>
      </c>
      <c r="G103" s="269"/>
      <c r="H103" s="374" t="str">
        <f>H75</f>
        <v>Flex Funding Administration</v>
      </c>
      <c r="I103" s="375"/>
      <c r="J103" s="376">
        <f>$W$15</f>
        <v>1000</v>
      </c>
      <c r="K103" s="377"/>
      <c r="L103" s="378">
        <f>J103*K91</f>
        <v>5500</v>
      </c>
      <c r="N103" s="374" t="str">
        <f>N75</f>
        <v>Flex Funding Administration</v>
      </c>
      <c r="O103" s="375"/>
      <c r="P103" s="376">
        <f>$W$15</f>
        <v>1000</v>
      </c>
      <c r="Q103" s="377"/>
      <c r="R103" s="378">
        <f>P103*Q91</f>
        <v>6000</v>
      </c>
      <c r="S103" s="324"/>
      <c r="U103" s="270"/>
      <c r="V103" s="270"/>
    </row>
    <row r="104" spans="2:22" ht="15" customHeight="1" thickBot="1">
      <c r="B104" s="379" t="s">
        <v>188</v>
      </c>
      <c r="C104" s="380"/>
      <c r="D104" s="381"/>
      <c r="E104" s="382"/>
      <c r="F104" s="383">
        <f>SUM(F97:F103)</f>
        <v>417759.34324523015</v>
      </c>
      <c r="G104" s="324"/>
      <c r="H104" s="379" t="s">
        <v>188</v>
      </c>
      <c r="I104" s="380"/>
      <c r="J104" s="381"/>
      <c r="K104" s="382"/>
      <c r="L104" s="383">
        <f>SUM(L97:L103)</f>
        <v>454997.07200749166</v>
      </c>
      <c r="N104" s="379" t="s">
        <v>188</v>
      </c>
      <c r="O104" s="380"/>
      <c r="P104" s="381"/>
      <c r="Q104" s="382"/>
      <c r="R104" s="383">
        <f>SUM(R97:R103)</f>
        <v>492961.35079582443</v>
      </c>
      <c r="S104" s="324"/>
    </row>
    <row r="105" spans="2:22" ht="15" thickTop="1">
      <c r="B105" s="368" t="s">
        <v>227</v>
      </c>
      <c r="C105" s="384">
        <f>C77</f>
        <v>0.12</v>
      </c>
      <c r="D105" s="332"/>
      <c r="E105" s="335"/>
      <c r="F105" s="334">
        <f>C105*F104</f>
        <v>50131.121189427613</v>
      </c>
      <c r="G105" s="324"/>
      <c r="H105" s="368" t="s">
        <v>227</v>
      </c>
      <c r="I105" s="384">
        <f>I77</f>
        <v>0.12</v>
      </c>
      <c r="J105" s="332"/>
      <c r="K105" s="335"/>
      <c r="L105" s="334">
        <f>I105*L104</f>
        <v>54599.648640898995</v>
      </c>
      <c r="N105" s="368" t="s">
        <v>227</v>
      </c>
      <c r="O105" s="384">
        <f>O77</f>
        <v>0.12</v>
      </c>
      <c r="P105" s="332"/>
      <c r="Q105" s="335"/>
      <c r="R105" s="334">
        <f>O105*R104</f>
        <v>59155.362095498931</v>
      </c>
      <c r="S105" s="324"/>
    </row>
    <row r="106" spans="2:22">
      <c r="B106" s="368" t="s">
        <v>61</v>
      </c>
      <c r="C106" s="384">
        <f>C78</f>
        <v>3.7000000000000002E-3</v>
      </c>
      <c r="D106" s="332"/>
      <c r="E106" s="335"/>
      <c r="F106" s="334">
        <f>C106*F93</f>
        <v>973.35160000000008</v>
      </c>
      <c r="G106" s="324"/>
      <c r="H106" s="368" t="s">
        <v>61</v>
      </c>
      <c r="I106" s="384">
        <f>I78</f>
        <v>3.7000000000000002E-3</v>
      </c>
      <c r="J106" s="332"/>
      <c r="K106" s="335"/>
      <c r="L106" s="334">
        <f>I106*L93</f>
        <v>1070.68676</v>
      </c>
      <c r="N106" s="368" t="s">
        <v>61</v>
      </c>
      <c r="O106" s="384">
        <f>O78</f>
        <v>3.7000000000000002E-3</v>
      </c>
      <c r="P106" s="332"/>
      <c r="Q106" s="335"/>
      <c r="R106" s="334">
        <f>O106*R93</f>
        <v>1166.4767999999999</v>
      </c>
      <c r="S106" s="324"/>
    </row>
    <row r="107" spans="2:22" ht="15" thickBot="1">
      <c r="B107" s="368"/>
      <c r="C107" s="384"/>
      <c r="D107" s="332"/>
      <c r="E107" s="335"/>
      <c r="F107" s="392">
        <f>C107*(F98+F99+F100+F101+F102)</f>
        <v>0</v>
      </c>
      <c r="G107" s="324"/>
      <c r="H107" s="368"/>
      <c r="I107" s="384"/>
      <c r="J107" s="332"/>
      <c r="K107" s="335"/>
      <c r="L107" s="392">
        <f>I107*(L98+L99+L100+L101+L102)</f>
        <v>0</v>
      </c>
      <c r="N107" s="368"/>
      <c r="O107" s="384"/>
      <c r="P107" s="332"/>
      <c r="Q107" s="335"/>
      <c r="R107" s="392">
        <f>O107*(R98+R99+R100+R101+R102)</f>
        <v>0</v>
      </c>
      <c r="S107" s="393"/>
    </row>
    <row r="108" spans="2:22">
      <c r="B108" s="368"/>
      <c r="C108" s="384"/>
      <c r="D108" s="332"/>
      <c r="E108" s="335"/>
      <c r="F108" s="394">
        <f>SUM(F104:F107)</f>
        <v>468863.81603465776</v>
      </c>
      <c r="G108" s="324"/>
      <c r="H108" s="368"/>
      <c r="I108" s="384"/>
      <c r="J108" s="332"/>
      <c r="K108" s="335"/>
      <c r="L108" s="394">
        <f>SUM(L104:L107)</f>
        <v>510667.40740839066</v>
      </c>
      <c r="N108" s="368"/>
      <c r="O108" s="384"/>
      <c r="P108" s="332"/>
      <c r="Q108" s="335"/>
      <c r="R108" s="334">
        <f>SUM(R104:R107)</f>
        <v>553283.18969132332</v>
      </c>
      <c r="S108" s="393"/>
    </row>
    <row r="109" spans="2:22">
      <c r="B109" s="282" t="s">
        <v>189</v>
      </c>
      <c r="C109" s="384">
        <f>W21</f>
        <v>1.0633805350099574E-2</v>
      </c>
      <c r="D109" s="332"/>
      <c r="E109" s="335"/>
      <c r="F109" s="394">
        <f>C109*F108</f>
        <v>4985.8065554174464</v>
      </c>
      <c r="G109" s="324"/>
      <c r="H109" s="282" t="s">
        <v>189</v>
      </c>
      <c r="I109" s="384">
        <f>W21</f>
        <v>1.0633805350099574E-2</v>
      </c>
      <c r="J109" s="332"/>
      <c r="K109" s="335"/>
      <c r="L109" s="394">
        <f>I109*L108</f>
        <v>5430.3378090208234</v>
      </c>
      <c r="N109" s="282" t="s">
        <v>189</v>
      </c>
      <c r="O109" s="384">
        <f>AG61</f>
        <v>1.0633805350099574E-2</v>
      </c>
      <c r="P109" s="332"/>
      <c r="Q109" s="335"/>
      <c r="R109" s="334">
        <f>O109*R108</f>
        <v>5883.5057426597514</v>
      </c>
      <c r="S109" s="393"/>
    </row>
    <row r="110" spans="2:22" ht="15" thickBot="1">
      <c r="B110" s="349"/>
      <c r="C110" s="350"/>
      <c r="D110" s="332"/>
      <c r="E110" s="335"/>
      <c r="F110" s="383">
        <f>SUM(F108:F109)</f>
        <v>473849.62259007519</v>
      </c>
      <c r="G110" s="324"/>
      <c r="H110" s="349"/>
      <c r="I110" s="350"/>
      <c r="J110" s="332"/>
      <c r="K110" s="335"/>
      <c r="L110" s="383">
        <f>SUM(L108:L109)</f>
        <v>516097.74521741149</v>
      </c>
      <c r="N110" s="349"/>
      <c r="O110" s="350"/>
      <c r="P110" s="332"/>
      <c r="Q110" s="335"/>
      <c r="R110" s="383">
        <f>SUM(R108:R109)</f>
        <v>559166.69543398311</v>
      </c>
      <c r="S110" s="324"/>
    </row>
    <row r="111" spans="2:22" ht="15.6" thickTop="1" thickBot="1">
      <c r="B111" s="282"/>
      <c r="C111" s="384"/>
      <c r="D111" s="332"/>
      <c r="E111" s="335"/>
      <c r="F111" s="411"/>
      <c r="G111" s="324"/>
      <c r="H111" s="282"/>
      <c r="I111" s="384"/>
      <c r="J111" s="332"/>
      <c r="K111" s="335"/>
      <c r="L111" s="411"/>
      <c r="N111" s="282"/>
      <c r="O111" s="384"/>
      <c r="P111" s="332"/>
      <c r="Q111" s="335"/>
      <c r="R111" s="411"/>
      <c r="S111" s="324"/>
    </row>
    <row r="112" spans="2:22" ht="15.75" customHeight="1" thickTop="1" thickBot="1">
      <c r="B112" s="418" t="s">
        <v>237</v>
      </c>
      <c r="C112" s="419"/>
      <c r="D112" s="419"/>
      <c r="E112" s="419"/>
      <c r="F112" s="421">
        <f>F110/12</f>
        <v>39487.468549172932</v>
      </c>
      <c r="G112" s="324"/>
      <c r="H112" s="418" t="s">
        <v>237</v>
      </c>
      <c r="I112" s="419"/>
      <c r="J112" s="419"/>
      <c r="K112" s="419"/>
      <c r="L112" s="421">
        <f>L110/12</f>
        <v>43008.145434784288</v>
      </c>
      <c r="N112" s="418" t="s">
        <v>237</v>
      </c>
      <c r="O112" s="419"/>
      <c r="P112" s="419"/>
      <c r="Q112" s="419"/>
      <c r="R112" s="421">
        <f>R110/12</f>
        <v>46597.224619498593</v>
      </c>
      <c r="S112" s="393"/>
    </row>
    <row r="113" spans="2:22" ht="15" thickBot="1">
      <c r="B113" s="487"/>
      <c r="C113" s="487"/>
      <c r="D113" s="487"/>
      <c r="E113" s="487"/>
      <c r="F113" s="486"/>
      <c r="G113" s="324"/>
      <c r="H113" s="488"/>
      <c r="I113" s="352"/>
      <c r="J113" s="488"/>
      <c r="K113" s="488"/>
      <c r="L113" s="489"/>
      <c r="M113" s="302"/>
      <c r="N113" s="488"/>
      <c r="O113" s="352"/>
      <c r="P113" s="488"/>
      <c r="Q113" s="488"/>
      <c r="R113" s="490"/>
      <c r="S113" s="324"/>
    </row>
    <row r="114" spans="2:22">
      <c r="B114" s="487"/>
      <c r="C114" s="487"/>
      <c r="D114" s="487"/>
      <c r="E114" s="487"/>
      <c r="F114" s="352"/>
      <c r="G114" s="352"/>
      <c r="H114" s="352"/>
      <c r="I114" s="352"/>
      <c r="J114" s="352"/>
      <c r="K114" s="352"/>
      <c r="L114" s="352"/>
      <c r="M114" s="352"/>
      <c r="N114" s="352"/>
      <c r="O114" s="352"/>
      <c r="P114" s="352"/>
      <c r="Q114" s="352"/>
      <c r="R114" s="352"/>
      <c r="S114" s="352"/>
      <c r="U114" s="270"/>
      <c r="V114" s="270"/>
    </row>
    <row r="115" spans="2:22" ht="15" thickBot="1">
      <c r="B115" s="487"/>
      <c r="C115" s="487"/>
      <c r="D115" s="487"/>
      <c r="E115" s="487"/>
      <c r="F115" s="324"/>
      <c r="G115" s="324"/>
      <c r="H115" s="488"/>
      <c r="I115" s="352"/>
      <c r="J115" s="488"/>
      <c r="K115" s="488"/>
      <c r="L115" s="324"/>
      <c r="M115" s="302"/>
      <c r="N115" s="488"/>
      <c r="O115" s="352"/>
      <c r="P115" s="488"/>
      <c r="Q115" s="488"/>
      <c r="R115" s="324"/>
      <c r="S115" s="324"/>
      <c r="U115" s="270"/>
      <c r="V115" s="270"/>
    </row>
    <row r="116" spans="2:22">
      <c r="B116" s="274" t="s">
        <v>252</v>
      </c>
      <c r="C116" s="275"/>
      <c r="D116" s="275"/>
      <c r="E116" s="275"/>
      <c r="F116" s="276"/>
      <c r="G116" s="269"/>
      <c r="H116" s="274" t="s">
        <v>253</v>
      </c>
      <c r="I116" s="275"/>
      <c r="J116" s="275"/>
      <c r="K116" s="275"/>
      <c r="L116" s="276"/>
      <c r="N116" s="274" t="s">
        <v>254</v>
      </c>
      <c r="O116" s="275"/>
      <c r="P116" s="275"/>
      <c r="Q116" s="275"/>
      <c r="R116" s="276"/>
      <c r="S116" s="277"/>
      <c r="U116" s="270"/>
      <c r="V116" s="270"/>
    </row>
    <row r="117" spans="2:22" ht="28.8">
      <c r="B117" s="282"/>
      <c r="C117" s="283" t="s">
        <v>214</v>
      </c>
      <c r="D117" s="284" t="s">
        <v>215</v>
      </c>
      <c r="E117" s="285" t="s">
        <v>216</v>
      </c>
      <c r="F117" s="286" t="s">
        <v>217</v>
      </c>
      <c r="G117" s="269"/>
      <c r="H117" s="282"/>
      <c r="I117" s="283" t="s">
        <v>214</v>
      </c>
      <c r="J117" s="284" t="s">
        <v>215</v>
      </c>
      <c r="K117" s="285" t="s">
        <v>216</v>
      </c>
      <c r="L117" s="286" t="s">
        <v>217</v>
      </c>
      <c r="N117" s="282"/>
      <c r="O117" s="283" t="s">
        <v>214</v>
      </c>
      <c r="P117" s="284" t="s">
        <v>215</v>
      </c>
      <c r="Q117" s="285" t="s">
        <v>216</v>
      </c>
      <c r="R117" s="286" t="s">
        <v>217</v>
      </c>
      <c r="S117" s="287"/>
      <c r="U117" s="270"/>
      <c r="V117" s="270"/>
    </row>
    <row r="118" spans="2:22">
      <c r="B118" s="294" t="s">
        <v>85</v>
      </c>
      <c r="C118" s="295"/>
      <c r="D118" s="295">
        <f>W6</f>
        <v>69600</v>
      </c>
      <c r="E118" s="296">
        <f>V39</f>
        <v>0.66949999999999998</v>
      </c>
      <c r="F118" s="297">
        <f>D118*E118</f>
        <v>46597.2</v>
      </c>
      <c r="G118" s="269"/>
      <c r="H118" s="294" t="s">
        <v>85</v>
      </c>
      <c r="I118" s="295"/>
      <c r="J118" s="295">
        <f>W6</f>
        <v>69600</v>
      </c>
      <c r="K118" s="296">
        <f>V40</f>
        <v>0.71399999999999997</v>
      </c>
      <c r="L118" s="297">
        <f>J118*K118</f>
        <v>49694.399999999994</v>
      </c>
      <c r="N118" s="294" t="s">
        <v>85</v>
      </c>
      <c r="O118" s="295"/>
      <c r="P118" s="295">
        <f>W6</f>
        <v>69600</v>
      </c>
      <c r="Q118" s="296">
        <f>V41</f>
        <v>0.76500000000000001</v>
      </c>
      <c r="R118" s="297">
        <f>P118*Q118</f>
        <v>53244</v>
      </c>
      <c r="S118" s="298"/>
      <c r="U118" s="270"/>
      <c r="V118" s="270"/>
    </row>
    <row r="119" spans="2:22">
      <c r="B119" s="305" t="s">
        <v>117</v>
      </c>
      <c r="C119" s="306"/>
      <c r="D119" s="295">
        <f>W7</f>
        <v>45375.199999999997</v>
      </c>
      <c r="E119" s="296">
        <f>U39</f>
        <v>6.5</v>
      </c>
      <c r="F119" s="297">
        <f t="shared" ref="F119" si="25">D119*E119</f>
        <v>294938.8</v>
      </c>
      <c r="G119" s="269"/>
      <c r="H119" s="305" t="s">
        <v>117</v>
      </c>
      <c r="I119" s="306"/>
      <c r="J119" s="295">
        <f>W7</f>
        <v>45375.199999999997</v>
      </c>
      <c r="K119" s="296">
        <f>U40</f>
        <v>7</v>
      </c>
      <c r="L119" s="297">
        <f t="shared" ref="L119" si="26">J119*K119</f>
        <v>317626.39999999997</v>
      </c>
      <c r="N119" s="305" t="s">
        <v>117</v>
      </c>
      <c r="O119" s="306"/>
      <c r="P119" s="295">
        <f>W7</f>
        <v>45375.199999999997</v>
      </c>
      <c r="Q119" s="296">
        <f>U41</f>
        <v>7.5</v>
      </c>
      <c r="R119" s="297">
        <f t="shared" ref="R119" si="27">P119*Q119</f>
        <v>340314</v>
      </c>
      <c r="S119" s="298"/>
      <c r="U119" s="270"/>
      <c r="V119" s="270"/>
    </row>
    <row r="120" spans="2:22">
      <c r="B120" s="305"/>
      <c r="C120" s="306"/>
      <c r="D120" s="295"/>
      <c r="E120" s="296"/>
      <c r="F120" s="297"/>
      <c r="G120" s="269"/>
      <c r="H120" s="305"/>
      <c r="I120" s="306"/>
      <c r="J120" s="295"/>
      <c r="K120" s="296"/>
      <c r="L120" s="297"/>
      <c r="N120" s="305"/>
      <c r="O120" s="306"/>
      <c r="P120" s="295"/>
      <c r="Q120" s="296"/>
      <c r="R120" s="297"/>
      <c r="S120" s="298"/>
      <c r="U120" s="270"/>
      <c r="V120" s="270"/>
    </row>
    <row r="121" spans="2:22">
      <c r="B121" s="319" t="s">
        <v>222</v>
      </c>
      <c r="C121" s="320"/>
      <c r="D121" s="321"/>
      <c r="E121" s="322">
        <f>SUM(E118:E120)</f>
        <v>7.1695000000000002</v>
      </c>
      <c r="F121" s="323">
        <f>SUM(F118:F119)</f>
        <v>341536</v>
      </c>
      <c r="G121" s="269"/>
      <c r="H121" s="319" t="s">
        <v>222</v>
      </c>
      <c r="I121" s="320"/>
      <c r="J121" s="321"/>
      <c r="K121" s="322">
        <f>SUM(K118:K120)</f>
        <v>7.7140000000000004</v>
      </c>
      <c r="L121" s="323">
        <f>SUM(L118:L119)</f>
        <v>367320.79999999993</v>
      </c>
      <c r="N121" s="319" t="s">
        <v>222</v>
      </c>
      <c r="O121" s="320"/>
      <c r="P121" s="321"/>
      <c r="Q121" s="322">
        <f>SUM(Q118:Q120)</f>
        <v>8.2650000000000006</v>
      </c>
      <c r="R121" s="323">
        <f>SUM(R118:R119)</f>
        <v>393558</v>
      </c>
      <c r="S121" s="324"/>
      <c r="U121" s="270"/>
      <c r="V121" s="270"/>
    </row>
    <row r="122" spans="2:22">
      <c r="B122" s="282"/>
      <c r="C122" s="331"/>
      <c r="D122" s="332"/>
      <c r="E122" s="333"/>
      <c r="F122" s="334"/>
      <c r="G122" s="269"/>
      <c r="H122" s="282"/>
      <c r="I122" s="331"/>
      <c r="J122" s="332"/>
      <c r="K122" s="335"/>
      <c r="L122" s="334"/>
      <c r="N122" s="282"/>
      <c r="O122" s="331"/>
      <c r="P122" s="332"/>
      <c r="Q122" s="333"/>
      <c r="R122" s="334"/>
      <c r="S122" s="324"/>
      <c r="U122" s="270"/>
      <c r="V122" s="270"/>
    </row>
    <row r="123" spans="2:22">
      <c r="B123" s="282" t="s">
        <v>224</v>
      </c>
      <c r="C123" s="331"/>
      <c r="D123" s="332"/>
      <c r="E123" s="340"/>
      <c r="F123" s="334"/>
      <c r="G123" s="269"/>
      <c r="H123" s="282" t="s">
        <v>224</v>
      </c>
      <c r="I123" s="331"/>
      <c r="J123" s="332"/>
      <c r="K123" s="340"/>
      <c r="L123" s="334"/>
      <c r="N123" s="282" t="s">
        <v>224</v>
      </c>
      <c r="O123" s="331"/>
      <c r="P123" s="332"/>
      <c r="Q123" s="340"/>
      <c r="R123" s="334"/>
      <c r="S123" s="324"/>
    </row>
    <row r="124" spans="2:22" ht="15" customHeight="1">
      <c r="B124" s="336" t="s">
        <v>183</v>
      </c>
      <c r="C124" s="341">
        <f>W17</f>
        <v>0.224</v>
      </c>
      <c r="D124" s="342"/>
      <c r="E124" s="343"/>
      <c r="F124" s="344">
        <f>C124*F121</f>
        <v>76504.063999999998</v>
      </c>
      <c r="G124" s="269"/>
      <c r="H124" s="336" t="s">
        <v>183</v>
      </c>
      <c r="I124" s="341">
        <f>W17</f>
        <v>0.224</v>
      </c>
      <c r="J124" s="342"/>
      <c r="K124" s="343"/>
      <c r="L124" s="297">
        <f>I124*L121</f>
        <v>82279.859199999992</v>
      </c>
      <c r="N124" s="336" t="s">
        <v>183</v>
      </c>
      <c r="O124" s="341">
        <f>W17</f>
        <v>0.224</v>
      </c>
      <c r="P124" s="342"/>
      <c r="Q124" s="343"/>
      <c r="R124" s="297">
        <f>O124*R121</f>
        <v>88156.991999999998</v>
      </c>
      <c r="S124" s="298"/>
    </row>
    <row r="125" spans="2:22">
      <c r="B125" s="345" t="s">
        <v>225</v>
      </c>
      <c r="C125" s="346"/>
      <c r="D125" s="347"/>
      <c r="E125" s="348"/>
      <c r="F125" s="323">
        <f>F121+F124</f>
        <v>418040.06400000001</v>
      </c>
      <c r="G125" s="269"/>
      <c r="H125" s="345" t="s">
        <v>225</v>
      </c>
      <c r="I125" s="346"/>
      <c r="J125" s="347"/>
      <c r="K125" s="348"/>
      <c r="L125" s="323">
        <f>L121+L124</f>
        <v>449600.65919999994</v>
      </c>
      <c r="N125" s="345" t="s">
        <v>225</v>
      </c>
      <c r="O125" s="346"/>
      <c r="P125" s="347"/>
      <c r="Q125" s="348"/>
      <c r="R125" s="323">
        <f>R124+R121</f>
        <v>481714.99199999997</v>
      </c>
      <c r="S125" s="324"/>
    </row>
    <row r="126" spans="2:22">
      <c r="B126" s="349" t="s">
        <v>223</v>
      </c>
      <c r="C126" s="350"/>
      <c r="D126" s="295">
        <f>W10</f>
        <v>5963.9694954316819</v>
      </c>
      <c r="E126" s="343"/>
      <c r="F126" s="297">
        <f>D126*$E$119*$W$39</f>
        <v>55214.183175180995</v>
      </c>
      <c r="G126" s="269"/>
      <c r="H126" s="349" t="s">
        <v>223</v>
      </c>
      <c r="I126" s="350"/>
      <c r="J126" s="295">
        <f>W10</f>
        <v>5963.9694954316819</v>
      </c>
      <c r="K126" s="343"/>
      <c r="L126" s="297">
        <f>J126*$K$119*$W$40</f>
        <v>58045.679748267197</v>
      </c>
      <c r="N126" s="349" t="s">
        <v>223</v>
      </c>
      <c r="O126" s="350"/>
      <c r="P126" s="295">
        <f>W10</f>
        <v>5963.9694954316819</v>
      </c>
      <c r="Q126" s="343"/>
      <c r="R126" s="297">
        <f>P126*$Q$119*$W$41</f>
        <v>60809.759736279913</v>
      </c>
      <c r="S126" s="298"/>
    </row>
    <row r="127" spans="2:22">
      <c r="B127" s="336" t="s">
        <v>84</v>
      </c>
      <c r="C127" s="351"/>
      <c r="D127" s="295">
        <f t="shared" ref="D127:D130" si="28">W11</f>
        <v>159.61973086509079</v>
      </c>
      <c r="E127" s="352"/>
      <c r="F127" s="297">
        <f>D127*$E$119*$W$39</f>
        <v>1477.7528733352945</v>
      </c>
      <c r="G127" s="269"/>
      <c r="H127" s="336" t="s">
        <v>84</v>
      </c>
      <c r="I127" s="351"/>
      <c r="J127" s="295">
        <f t="shared" ref="J127:J130" si="29">W11</f>
        <v>159.61973086509079</v>
      </c>
      <c r="K127" s="352"/>
      <c r="L127" s="297">
        <f>J127*$K$119*$W$40</f>
        <v>1553.5350719678736</v>
      </c>
      <c r="N127" s="336" t="s">
        <v>84</v>
      </c>
      <c r="O127" s="351"/>
      <c r="P127" s="295">
        <f t="shared" ref="P127:P130" si="30">W11</f>
        <v>159.61973086509079</v>
      </c>
      <c r="Q127" s="352"/>
      <c r="R127" s="297">
        <f>P127*$Q$119*$W$41</f>
        <v>1627.512932537772</v>
      </c>
      <c r="S127" s="298"/>
    </row>
    <row r="128" spans="2:22">
      <c r="B128" s="336" t="s">
        <v>88</v>
      </c>
      <c r="C128" s="351"/>
      <c r="D128" s="295">
        <f t="shared" si="28"/>
        <v>1056.8783932396871</v>
      </c>
      <c r="E128" s="352"/>
      <c r="F128" s="297">
        <f>D128*$E$119*$W$39</f>
        <v>9784.5364975333832</v>
      </c>
      <c r="G128" s="269"/>
      <c r="H128" s="336" t="s">
        <v>88</v>
      </c>
      <c r="I128" s="351"/>
      <c r="J128" s="295">
        <f t="shared" si="29"/>
        <v>1056.8783932396871</v>
      </c>
      <c r="K128" s="352"/>
      <c r="L128" s="297">
        <f>J128*$K$119*$W$40</f>
        <v>10286.307599970993</v>
      </c>
      <c r="N128" s="336" t="s">
        <v>88</v>
      </c>
      <c r="O128" s="351"/>
      <c r="P128" s="295">
        <f t="shared" si="30"/>
        <v>1056.8783932396871</v>
      </c>
      <c r="Q128" s="352"/>
      <c r="R128" s="297">
        <f>P128*$Q$119*$W$41</f>
        <v>10776.131771398181</v>
      </c>
      <c r="S128" s="298"/>
    </row>
    <row r="129" spans="2:19">
      <c r="B129" s="336" t="s">
        <v>125</v>
      </c>
      <c r="C129" s="351"/>
      <c r="D129" s="295">
        <f t="shared" si="28"/>
        <v>1347.3502436316674</v>
      </c>
      <c r="E129" s="352"/>
      <c r="F129" s="297">
        <f>D129*$E$119*$W$39</f>
        <v>12473.712887027255</v>
      </c>
      <c r="G129" s="269"/>
      <c r="H129" s="336" t="s">
        <v>125</v>
      </c>
      <c r="I129" s="351"/>
      <c r="J129" s="295">
        <f t="shared" si="29"/>
        <v>1347.3502436316674</v>
      </c>
      <c r="K129" s="352"/>
      <c r="L129" s="297">
        <f>J129*$K$119*$W$40</f>
        <v>13113.390470977372</v>
      </c>
      <c r="N129" s="336" t="s">
        <v>125</v>
      </c>
      <c r="O129" s="351"/>
      <c r="P129" s="295">
        <f t="shared" si="30"/>
        <v>1347.3502436316674</v>
      </c>
      <c r="Q129" s="352"/>
      <c r="R129" s="297">
        <f>P129*$Q$119*$W$41</f>
        <v>13737.837636262007</v>
      </c>
      <c r="S129" s="298"/>
    </row>
    <row r="130" spans="2:19">
      <c r="B130" s="336" t="s">
        <v>129</v>
      </c>
      <c r="C130" s="366"/>
      <c r="D130" s="295">
        <f t="shared" si="28"/>
        <v>2996.7173855870574</v>
      </c>
      <c r="E130" s="367"/>
      <c r="F130" s="297">
        <f>D130*$E$119*$W$39</f>
        <v>27743.48574029333</v>
      </c>
      <c r="G130" s="269"/>
      <c r="H130" s="336" t="s">
        <v>129</v>
      </c>
      <c r="I130" s="366"/>
      <c r="J130" s="295">
        <f t="shared" si="29"/>
        <v>2996.7173855870574</v>
      </c>
      <c r="K130" s="367"/>
      <c r="L130" s="297">
        <f>J130*$K$119*$W$40</f>
        <v>29166.228598769911</v>
      </c>
      <c r="N130" s="336" t="s">
        <v>129</v>
      </c>
      <c r="O130" s="366"/>
      <c r="P130" s="295">
        <f t="shared" si="30"/>
        <v>2996.7173855870574</v>
      </c>
      <c r="Q130" s="367"/>
      <c r="R130" s="297">
        <f>P130*$Q$119*$W$41</f>
        <v>30555.096627282761</v>
      </c>
      <c r="S130" s="298"/>
    </row>
    <row r="131" spans="2:19">
      <c r="B131" s="374" t="str">
        <f>B103</f>
        <v>Flex Funding Administration</v>
      </c>
      <c r="C131" s="375"/>
      <c r="D131" s="376">
        <f>$W$15</f>
        <v>1000</v>
      </c>
      <c r="E131" s="377"/>
      <c r="F131" s="378">
        <f>D131*E119</f>
        <v>6500</v>
      </c>
      <c r="G131" s="269"/>
      <c r="H131" s="374" t="str">
        <f>H103</f>
        <v>Flex Funding Administration</v>
      </c>
      <c r="I131" s="375"/>
      <c r="J131" s="376">
        <f>$W$15</f>
        <v>1000</v>
      </c>
      <c r="K131" s="377"/>
      <c r="L131" s="378">
        <f>J131*K119</f>
        <v>7000</v>
      </c>
      <c r="N131" s="374" t="str">
        <f>N103</f>
        <v>Flex Funding Administration</v>
      </c>
      <c r="O131" s="375"/>
      <c r="P131" s="376">
        <f>$W$15</f>
        <v>1000</v>
      </c>
      <c r="Q131" s="377"/>
      <c r="R131" s="378">
        <f>P131*Q119</f>
        <v>7500</v>
      </c>
      <c r="S131" s="324"/>
    </row>
    <row r="132" spans="2:19" ht="15" customHeight="1" thickBot="1">
      <c r="B132" s="379" t="s">
        <v>188</v>
      </c>
      <c r="C132" s="380"/>
      <c r="D132" s="381"/>
      <c r="E132" s="382"/>
      <c r="F132" s="383">
        <f>SUM(F125:F131)</f>
        <v>531233.73517337022</v>
      </c>
      <c r="G132" s="324"/>
      <c r="H132" s="379" t="s">
        <v>188</v>
      </c>
      <c r="I132" s="380"/>
      <c r="J132" s="381"/>
      <c r="K132" s="382"/>
      <c r="L132" s="383">
        <f>SUM(L125:L131)</f>
        <v>568765.80068995326</v>
      </c>
      <c r="N132" s="379" t="s">
        <v>188</v>
      </c>
      <c r="O132" s="380"/>
      <c r="P132" s="381"/>
      <c r="Q132" s="382"/>
      <c r="R132" s="383">
        <f>SUM(R125:R131)</f>
        <v>606721.33070376073</v>
      </c>
      <c r="S132" s="324"/>
    </row>
    <row r="133" spans="2:19" ht="15" thickTop="1">
      <c r="B133" s="368" t="s">
        <v>227</v>
      </c>
      <c r="C133" s="384">
        <f>C105</f>
        <v>0.12</v>
      </c>
      <c r="D133" s="332"/>
      <c r="E133" s="335"/>
      <c r="F133" s="334">
        <f>C133*F132</f>
        <v>63748.048220804427</v>
      </c>
      <c r="G133" s="324"/>
      <c r="H133" s="368" t="s">
        <v>227</v>
      </c>
      <c r="I133" s="384">
        <f>I105</f>
        <v>0.12</v>
      </c>
      <c r="J133" s="332"/>
      <c r="K133" s="335"/>
      <c r="L133" s="334">
        <f>I133*L132</f>
        <v>68251.896082794396</v>
      </c>
      <c r="N133" s="368" t="s">
        <v>227</v>
      </c>
      <c r="O133" s="384">
        <f>O105</f>
        <v>0.12</v>
      </c>
      <c r="P133" s="332"/>
      <c r="Q133" s="335"/>
      <c r="R133" s="334">
        <f>O133*R132</f>
        <v>72806.559684451291</v>
      </c>
      <c r="S133" s="324"/>
    </row>
    <row r="134" spans="2:19">
      <c r="B134" s="368" t="s">
        <v>61</v>
      </c>
      <c r="C134" s="384">
        <f>C106</f>
        <v>3.7000000000000002E-3</v>
      </c>
      <c r="D134" s="332"/>
      <c r="E134" s="335"/>
      <c r="F134" s="334">
        <f>C134*F121</f>
        <v>1263.6831999999999</v>
      </c>
      <c r="G134" s="324"/>
      <c r="H134" s="368" t="s">
        <v>61</v>
      </c>
      <c r="I134" s="384">
        <f>I106</f>
        <v>3.7000000000000002E-3</v>
      </c>
      <c r="J134" s="332"/>
      <c r="K134" s="335"/>
      <c r="L134" s="334">
        <f>I134*L121</f>
        <v>1359.0869599999999</v>
      </c>
      <c r="N134" s="368" t="s">
        <v>61</v>
      </c>
      <c r="O134" s="384">
        <f>O106</f>
        <v>3.7000000000000002E-3</v>
      </c>
      <c r="P134" s="332"/>
      <c r="Q134" s="335"/>
      <c r="R134" s="334">
        <f>O134*R121</f>
        <v>1456.1646000000001</v>
      </c>
      <c r="S134" s="324"/>
    </row>
    <row r="135" spans="2:19" ht="15" thickBot="1">
      <c r="B135" s="368"/>
      <c r="C135" s="384"/>
      <c r="D135" s="332"/>
      <c r="E135" s="335"/>
      <c r="F135" s="392">
        <f>C135*(F126+F127+F128+F129+F130)</f>
        <v>0</v>
      </c>
      <c r="G135" s="324"/>
      <c r="H135" s="368"/>
      <c r="I135" s="384"/>
      <c r="J135" s="332"/>
      <c r="K135" s="335"/>
      <c r="L135" s="392">
        <f>I135*(L126+L127+L128+L129+L130)</f>
        <v>0</v>
      </c>
      <c r="N135" s="368"/>
      <c r="O135" s="384"/>
      <c r="P135" s="332"/>
      <c r="Q135" s="335"/>
      <c r="R135" s="392">
        <f>O135*(R126+R127+R128+R129+R130)</f>
        <v>0</v>
      </c>
      <c r="S135" s="393"/>
    </row>
    <row r="136" spans="2:19">
      <c r="B136" s="368"/>
      <c r="C136" s="384"/>
      <c r="D136" s="332"/>
      <c r="E136" s="335"/>
      <c r="F136" s="394">
        <f>SUM(F132:F135)</f>
        <v>596245.46659417462</v>
      </c>
      <c r="G136" s="324"/>
      <c r="H136" s="368"/>
      <c r="I136" s="384"/>
      <c r="J136" s="332"/>
      <c r="K136" s="335"/>
      <c r="L136" s="394">
        <f>SUM(L132:L135)</f>
        <v>638376.78373274766</v>
      </c>
      <c r="N136" s="368"/>
      <c r="O136" s="384"/>
      <c r="P136" s="332"/>
      <c r="Q136" s="335"/>
      <c r="R136" s="394">
        <f>SUM(R132:R135)</f>
        <v>680984.05498821207</v>
      </c>
      <c r="S136" s="393"/>
    </row>
    <row r="137" spans="2:19">
      <c r="B137" s="282" t="s">
        <v>189</v>
      </c>
      <c r="C137" s="384">
        <f>$W$21</f>
        <v>1.0633805350099574E-2</v>
      </c>
      <c r="D137" s="332"/>
      <c r="E137" s="335"/>
      <c r="F137" s="394">
        <f>C137*F136</f>
        <v>6340.3582326417509</v>
      </c>
      <c r="G137" s="324"/>
      <c r="H137" s="282" t="s">
        <v>189</v>
      </c>
      <c r="I137" s="384">
        <f>$W$21</f>
        <v>1.0633805350099574E-2</v>
      </c>
      <c r="J137" s="332"/>
      <c r="K137" s="335"/>
      <c r="L137" s="394">
        <f>I137*L136</f>
        <v>6788.3744582366508</v>
      </c>
      <c r="N137" s="282" t="s">
        <v>189</v>
      </c>
      <c r="O137" s="384">
        <f>$W$21</f>
        <v>1.0633805350099574E-2</v>
      </c>
      <c r="P137" s="332"/>
      <c r="Q137" s="335"/>
      <c r="R137" s="394">
        <f>O137*R136</f>
        <v>7241.451887266152</v>
      </c>
      <c r="S137" s="393"/>
    </row>
    <row r="138" spans="2:19" ht="15" thickBot="1">
      <c r="B138" s="349"/>
      <c r="C138" s="350"/>
      <c r="D138" s="332"/>
      <c r="E138" s="335"/>
      <c r="F138" s="383">
        <f>SUM(F136:F137)</f>
        <v>602585.82482681633</v>
      </c>
      <c r="G138" s="324"/>
      <c r="H138" s="349"/>
      <c r="I138" s="350"/>
      <c r="J138" s="332"/>
      <c r="K138" s="335"/>
      <c r="L138" s="383">
        <f>SUM(L136:L137)</f>
        <v>645165.15819098428</v>
      </c>
      <c r="N138" s="349"/>
      <c r="O138" s="350"/>
      <c r="P138" s="332"/>
      <c r="Q138" s="335"/>
      <c r="R138" s="383">
        <f>SUM(R136:R137)</f>
        <v>688225.5068754782</v>
      </c>
      <c r="S138" s="324"/>
    </row>
    <row r="139" spans="2:19" ht="15.6" thickTop="1" thickBot="1">
      <c r="B139" s="282"/>
      <c r="C139" s="384"/>
      <c r="D139" s="332"/>
      <c r="E139" s="335"/>
      <c r="F139" s="411"/>
      <c r="G139" s="324"/>
      <c r="H139" s="282"/>
      <c r="I139" s="384"/>
      <c r="J139" s="332"/>
      <c r="K139" s="335"/>
      <c r="L139" s="411"/>
      <c r="N139" s="282"/>
      <c r="O139" s="384"/>
      <c r="P139" s="332"/>
      <c r="Q139" s="335"/>
      <c r="R139" s="411"/>
      <c r="S139" s="324"/>
    </row>
    <row r="140" spans="2:19" ht="15.6" thickTop="1" thickBot="1">
      <c r="B140" s="418" t="s">
        <v>237</v>
      </c>
      <c r="C140" s="419"/>
      <c r="D140" s="419"/>
      <c r="E140" s="419"/>
      <c r="F140" s="421">
        <f>F138/12</f>
        <v>50215.485402234692</v>
      </c>
      <c r="G140" s="324"/>
      <c r="H140" s="418" t="s">
        <v>237</v>
      </c>
      <c r="I140" s="419"/>
      <c r="J140" s="419"/>
      <c r="K140" s="419"/>
      <c r="L140" s="421">
        <f>L138/12</f>
        <v>53763.763182582021</v>
      </c>
      <c r="N140" s="418" t="s">
        <v>237</v>
      </c>
      <c r="O140" s="419"/>
      <c r="P140" s="419"/>
      <c r="Q140" s="419"/>
      <c r="R140" s="421">
        <f>R138/12</f>
        <v>57352.125572956516</v>
      </c>
      <c r="S140" s="393"/>
    </row>
    <row r="141" spans="2:19">
      <c r="B141" s="313"/>
      <c r="C141" s="313"/>
      <c r="D141" s="313"/>
      <c r="E141" s="313"/>
      <c r="F141" s="486"/>
      <c r="G141" s="298"/>
      <c r="H141" s="313"/>
      <c r="L141" s="486"/>
      <c r="R141" s="486"/>
      <c r="S141" s="313"/>
    </row>
    <row r="142" spans="2:19">
      <c r="B142" s="313"/>
      <c r="C142" s="313"/>
      <c r="D142" s="313"/>
      <c r="E142" s="313"/>
      <c r="F142" s="430"/>
      <c r="G142" s="430"/>
      <c r="H142" s="430"/>
      <c r="I142" s="430"/>
      <c r="J142" s="430"/>
      <c r="K142" s="430"/>
      <c r="L142" s="430"/>
      <c r="M142" s="430"/>
      <c r="N142" s="430"/>
      <c r="O142" s="430"/>
      <c r="P142" s="430"/>
      <c r="Q142" s="430"/>
      <c r="R142" s="430"/>
      <c r="S142" s="430"/>
    </row>
    <row r="143" spans="2:19" ht="15" customHeight="1" thickBot="1">
      <c r="B143" s="313"/>
      <c r="C143" s="313"/>
      <c r="D143" s="313"/>
      <c r="E143" s="313"/>
      <c r="F143" s="434"/>
      <c r="G143" s="298"/>
      <c r="H143" s="313"/>
      <c r="R143" s="269"/>
      <c r="S143" s="313"/>
    </row>
    <row r="144" spans="2:19">
      <c r="B144" s="274" t="s">
        <v>255</v>
      </c>
      <c r="C144" s="275"/>
      <c r="D144" s="275"/>
      <c r="E144" s="275"/>
      <c r="F144" s="276"/>
      <c r="G144" s="269"/>
      <c r="H144" s="274" t="s">
        <v>256</v>
      </c>
      <c r="I144" s="275"/>
      <c r="J144" s="275"/>
      <c r="K144" s="275"/>
      <c r="L144" s="276"/>
      <c r="N144" s="274" t="s">
        <v>257</v>
      </c>
      <c r="O144" s="275"/>
      <c r="P144" s="275"/>
      <c r="Q144" s="275"/>
      <c r="R144" s="276"/>
      <c r="S144" s="277"/>
    </row>
    <row r="145" spans="2:22" ht="28.8">
      <c r="B145" s="282"/>
      <c r="C145" s="283" t="s">
        <v>214</v>
      </c>
      <c r="D145" s="284" t="s">
        <v>215</v>
      </c>
      <c r="E145" s="285" t="s">
        <v>216</v>
      </c>
      <c r="F145" s="286" t="s">
        <v>217</v>
      </c>
      <c r="G145" s="269"/>
      <c r="H145" s="282"/>
      <c r="I145" s="283" t="s">
        <v>214</v>
      </c>
      <c r="J145" s="284" t="s">
        <v>172</v>
      </c>
      <c r="K145" s="285" t="s">
        <v>216</v>
      </c>
      <c r="L145" s="286" t="s">
        <v>174</v>
      </c>
      <c r="N145" s="282"/>
      <c r="O145" s="283" t="s">
        <v>214</v>
      </c>
      <c r="P145" s="284" t="s">
        <v>172</v>
      </c>
      <c r="Q145" s="285" t="s">
        <v>216</v>
      </c>
      <c r="R145" s="286" t="s">
        <v>174</v>
      </c>
      <c r="S145" s="287"/>
    </row>
    <row r="146" spans="2:22">
      <c r="B146" s="294" t="s">
        <v>85</v>
      </c>
      <c r="C146" s="295"/>
      <c r="D146" s="295">
        <f>W6</f>
        <v>69600</v>
      </c>
      <c r="E146" s="296">
        <f>V42</f>
        <v>0.8</v>
      </c>
      <c r="F146" s="297">
        <f>D146*E146</f>
        <v>55680</v>
      </c>
      <c r="G146" s="269"/>
      <c r="H146" s="294" t="s">
        <v>85</v>
      </c>
      <c r="I146" s="295"/>
      <c r="J146" s="295">
        <f>W6</f>
        <v>69600</v>
      </c>
      <c r="K146" s="296">
        <f>V43</f>
        <v>0.81</v>
      </c>
      <c r="L146" s="297">
        <f>J146*K146</f>
        <v>56376.000000000007</v>
      </c>
      <c r="N146" s="294" t="s">
        <v>85</v>
      </c>
      <c r="O146" s="295"/>
      <c r="P146" s="295">
        <f>W6</f>
        <v>69600</v>
      </c>
      <c r="Q146" s="296">
        <f>V44</f>
        <v>0.81</v>
      </c>
      <c r="R146" s="297">
        <f>Q146*P146</f>
        <v>56376.000000000007</v>
      </c>
      <c r="S146" s="298"/>
    </row>
    <row r="147" spans="2:22">
      <c r="B147" s="305" t="s">
        <v>117</v>
      </c>
      <c r="C147" s="306"/>
      <c r="D147" s="295">
        <f>W7</f>
        <v>45375.199999999997</v>
      </c>
      <c r="E147" s="296">
        <f>U42</f>
        <v>8</v>
      </c>
      <c r="F147" s="297">
        <f t="shared" ref="F147" si="31">D147*E147</f>
        <v>363001.59999999998</v>
      </c>
      <c r="G147" s="269"/>
      <c r="H147" s="305" t="s">
        <v>117</v>
      </c>
      <c r="I147" s="306"/>
      <c r="J147" s="295">
        <f>W7</f>
        <v>45375.199999999997</v>
      </c>
      <c r="K147" s="296">
        <f>U43</f>
        <v>8.5</v>
      </c>
      <c r="L147" s="297">
        <f t="shared" ref="L147" si="32">J147*K147</f>
        <v>385689.19999999995</v>
      </c>
      <c r="N147" s="305" t="s">
        <v>117</v>
      </c>
      <c r="O147" s="306"/>
      <c r="P147" s="295">
        <f>W7</f>
        <v>45375.199999999997</v>
      </c>
      <c r="Q147" s="296">
        <f>U44</f>
        <v>9</v>
      </c>
      <c r="R147" s="297">
        <f t="shared" ref="R147" si="33">Q147*P147</f>
        <v>408376.8</v>
      </c>
      <c r="S147" s="298"/>
    </row>
    <row r="148" spans="2:22">
      <c r="B148" s="305"/>
      <c r="C148" s="306"/>
      <c r="D148" s="295"/>
      <c r="E148" s="296"/>
      <c r="F148" s="297"/>
      <c r="G148" s="269"/>
      <c r="H148" s="305"/>
      <c r="I148" s="306"/>
      <c r="J148" s="295"/>
      <c r="K148" s="296"/>
      <c r="L148" s="297"/>
      <c r="N148" s="305"/>
      <c r="O148" s="306"/>
      <c r="P148" s="295"/>
      <c r="Q148" s="296"/>
      <c r="R148" s="297"/>
      <c r="S148" s="298"/>
    </row>
    <row r="149" spans="2:22">
      <c r="B149" s="319" t="s">
        <v>222</v>
      </c>
      <c r="C149" s="320"/>
      <c r="D149" s="321"/>
      <c r="E149" s="322">
        <f>SUM(E146:E148)</f>
        <v>8.8000000000000007</v>
      </c>
      <c r="F149" s="323">
        <f>SUM(F146:F147)</f>
        <v>418681.59999999998</v>
      </c>
      <c r="G149" s="269"/>
      <c r="H149" s="319" t="s">
        <v>222</v>
      </c>
      <c r="I149" s="320"/>
      <c r="J149" s="321"/>
      <c r="K149" s="322">
        <f>SUM(K146:K148)</f>
        <v>9.31</v>
      </c>
      <c r="L149" s="323">
        <f>SUM(L146:L147)</f>
        <v>442065.19999999995</v>
      </c>
      <c r="N149" s="319" t="s">
        <v>222</v>
      </c>
      <c r="O149" s="320"/>
      <c r="P149" s="321"/>
      <c r="Q149" s="322">
        <f>SUM(Q146:Q148)</f>
        <v>9.81</v>
      </c>
      <c r="R149" s="323">
        <f>SUM(R146:R147)</f>
        <v>464752.8</v>
      </c>
      <c r="S149" s="324"/>
      <c r="U149" s="313"/>
      <c r="V149" s="313"/>
    </row>
    <row r="150" spans="2:22">
      <c r="B150" s="282"/>
      <c r="C150" s="331"/>
      <c r="D150" s="332"/>
      <c r="E150" s="333"/>
      <c r="F150" s="334"/>
      <c r="G150" s="269"/>
      <c r="H150" s="282"/>
      <c r="I150" s="331"/>
      <c r="J150" s="332"/>
      <c r="K150" s="335"/>
      <c r="L150" s="334"/>
      <c r="N150" s="282"/>
      <c r="O150" s="331"/>
      <c r="P150" s="332"/>
      <c r="Q150" s="333"/>
      <c r="R150" s="334"/>
      <c r="S150" s="324"/>
    </row>
    <row r="151" spans="2:22" ht="15" customHeight="1">
      <c r="B151" s="282" t="s">
        <v>224</v>
      </c>
      <c r="C151" s="331"/>
      <c r="D151" s="332"/>
      <c r="E151" s="340"/>
      <c r="F151" s="334"/>
      <c r="G151" s="269"/>
      <c r="H151" s="282" t="s">
        <v>224</v>
      </c>
      <c r="I151" s="331"/>
      <c r="J151" s="332"/>
      <c r="K151" s="340"/>
      <c r="L151" s="334"/>
      <c r="N151" s="282" t="s">
        <v>224</v>
      </c>
      <c r="O151" s="331"/>
      <c r="P151" s="332"/>
      <c r="Q151" s="340"/>
      <c r="R151" s="334"/>
      <c r="S151" s="324"/>
    </row>
    <row r="152" spans="2:22">
      <c r="B152" s="336" t="s">
        <v>183</v>
      </c>
      <c r="C152" s="341">
        <f>W17</f>
        <v>0.224</v>
      </c>
      <c r="D152" s="342"/>
      <c r="E152" s="343"/>
      <c r="F152" s="344">
        <f>C152*F149</f>
        <v>93784.67839999999</v>
      </c>
      <c r="G152" s="269"/>
      <c r="H152" s="336" t="s">
        <v>183</v>
      </c>
      <c r="I152" s="341">
        <f>W17</f>
        <v>0.224</v>
      </c>
      <c r="J152" s="342"/>
      <c r="K152" s="343"/>
      <c r="L152" s="297">
        <f>I152*L149</f>
        <v>99022.604799999986</v>
      </c>
      <c r="N152" s="336" t="s">
        <v>183</v>
      </c>
      <c r="O152" s="341">
        <f>W17</f>
        <v>0.224</v>
      </c>
      <c r="P152" s="342"/>
      <c r="Q152" s="343"/>
      <c r="R152" s="297">
        <f>O152*R149</f>
        <v>104104.6272</v>
      </c>
      <c r="S152" s="298"/>
    </row>
    <row r="153" spans="2:22">
      <c r="B153" s="345" t="s">
        <v>225</v>
      </c>
      <c r="C153" s="346"/>
      <c r="D153" s="347"/>
      <c r="E153" s="348"/>
      <c r="F153" s="323">
        <f>F149+F152</f>
        <v>512466.27839999995</v>
      </c>
      <c r="G153" s="269"/>
      <c r="H153" s="345" t="s">
        <v>225</v>
      </c>
      <c r="I153" s="346"/>
      <c r="J153" s="347"/>
      <c r="K153" s="348"/>
      <c r="L153" s="323">
        <f>L152+L149</f>
        <v>541087.80479999993</v>
      </c>
      <c r="N153" s="345" t="s">
        <v>225</v>
      </c>
      <c r="O153" s="346"/>
      <c r="P153" s="347"/>
      <c r="Q153" s="348"/>
      <c r="R153" s="323">
        <f>R149+R152</f>
        <v>568857.42720000003</v>
      </c>
      <c r="S153" s="324"/>
    </row>
    <row r="154" spans="2:22">
      <c r="B154" s="349" t="s">
        <v>223</v>
      </c>
      <c r="C154" s="350"/>
      <c r="D154" s="295">
        <f>W10</f>
        <v>5963.9694954316819</v>
      </c>
      <c r="E154" s="343"/>
      <c r="F154" s="297">
        <f>D154*$E$147*$W$42</f>
        <v>63512.415724559018</v>
      </c>
      <c r="G154" s="269"/>
      <c r="H154" s="349" t="s">
        <v>223</v>
      </c>
      <c r="I154" s="350"/>
      <c r="J154" s="295">
        <f>W10</f>
        <v>5963.9694954316819</v>
      </c>
      <c r="K154" s="343"/>
      <c r="L154" s="297">
        <f>J154*$K$147*$W$43</f>
        <v>66158.766379748966</v>
      </c>
      <c r="N154" s="349" t="s">
        <v>223</v>
      </c>
      <c r="O154" s="350"/>
      <c r="P154" s="295">
        <f>W10</f>
        <v>5963.9694954316819</v>
      </c>
      <c r="Q154" s="343"/>
      <c r="R154" s="297">
        <f>P154*$Q$147*$W$44</f>
        <v>68753.22780640579</v>
      </c>
      <c r="S154" s="298"/>
    </row>
    <row r="155" spans="2:22">
      <c r="B155" s="336" t="s">
        <v>84</v>
      </c>
      <c r="C155" s="351"/>
      <c r="D155" s="295">
        <f t="shared" ref="D155:D158" si="34">W11</f>
        <v>159.61973086509079</v>
      </c>
      <c r="E155" s="352"/>
      <c r="F155" s="297">
        <f>D155*$E$147*$W$42</f>
        <v>1699.8468406505619</v>
      </c>
      <c r="G155" s="269"/>
      <c r="H155" s="336" t="s">
        <v>84</v>
      </c>
      <c r="I155" s="351"/>
      <c r="J155" s="295">
        <f t="shared" ref="J155:J158" si="35">W11</f>
        <v>159.61973086509079</v>
      </c>
      <c r="K155" s="352"/>
      <c r="L155" s="297">
        <f>J155*$K$147*$W$43</f>
        <v>1770.6737923443352</v>
      </c>
      <c r="N155" s="336" t="s">
        <v>84</v>
      </c>
      <c r="O155" s="351"/>
      <c r="P155" s="295">
        <f t="shared" ref="P155:P158" si="36">W11</f>
        <v>159.61973086509079</v>
      </c>
      <c r="Q155" s="352"/>
      <c r="R155" s="297">
        <f>P155*$Q$147*$W$44</f>
        <v>1840.1119802794071</v>
      </c>
      <c r="S155" s="298"/>
    </row>
    <row r="156" spans="2:22">
      <c r="B156" s="336" t="s">
        <v>88</v>
      </c>
      <c r="C156" s="351"/>
      <c r="D156" s="295">
        <f t="shared" si="34"/>
        <v>1056.8783932396871</v>
      </c>
      <c r="E156" s="352"/>
      <c r="F156" s="297">
        <f>D156*$E$147*$W$42</f>
        <v>11255.070961238102</v>
      </c>
      <c r="G156" s="269"/>
      <c r="H156" s="336" t="s">
        <v>88</v>
      </c>
      <c r="I156" s="351"/>
      <c r="J156" s="295">
        <f t="shared" si="35"/>
        <v>1056.8783932396871</v>
      </c>
      <c r="K156" s="352"/>
      <c r="L156" s="297">
        <f>J156*$K$147*$W$43</f>
        <v>11724.032251289687</v>
      </c>
      <c r="N156" s="336" t="s">
        <v>88</v>
      </c>
      <c r="O156" s="351"/>
      <c r="P156" s="295">
        <f t="shared" si="36"/>
        <v>1056.8783932396871</v>
      </c>
      <c r="Q156" s="352"/>
      <c r="R156" s="297">
        <f>P156*$Q$147*$W$44</f>
        <v>12183.798221928499</v>
      </c>
      <c r="S156" s="298"/>
    </row>
    <row r="157" spans="2:22">
      <c r="B157" s="336" t="s">
        <v>125</v>
      </c>
      <c r="C157" s="351"/>
      <c r="D157" s="295">
        <f t="shared" si="34"/>
        <v>1347.3502436316674</v>
      </c>
      <c r="E157" s="352"/>
      <c r="F157" s="297">
        <f>D157*$E$147*$W$42</f>
        <v>14348.408197873652</v>
      </c>
      <c r="G157" s="269"/>
      <c r="H157" s="336" t="s">
        <v>125</v>
      </c>
      <c r="I157" s="351"/>
      <c r="J157" s="295">
        <f t="shared" si="35"/>
        <v>1347.3502436316674</v>
      </c>
      <c r="K157" s="352"/>
      <c r="L157" s="297">
        <f>J157*$K$147*$W$43</f>
        <v>14946.258539451719</v>
      </c>
      <c r="N157" s="336" t="s">
        <v>125</v>
      </c>
      <c r="O157" s="351"/>
      <c r="P157" s="295">
        <f t="shared" si="36"/>
        <v>1347.3502436316674</v>
      </c>
      <c r="Q157" s="352"/>
      <c r="R157" s="297">
        <f>P157*$Q$147*$W$44</f>
        <v>15532.386325312571</v>
      </c>
      <c r="S157" s="298"/>
    </row>
    <row r="158" spans="2:22">
      <c r="B158" s="336" t="s">
        <v>129</v>
      </c>
      <c r="C158" s="366"/>
      <c r="D158" s="295">
        <f t="shared" si="34"/>
        <v>2996.7173855870574</v>
      </c>
      <c r="E158" s="367"/>
      <c r="F158" s="297">
        <f>D158*$E$147*$W$42</f>
        <v>31913.10092182866</v>
      </c>
      <c r="G158" s="269"/>
      <c r="H158" s="336" t="s">
        <v>129</v>
      </c>
      <c r="I158" s="366"/>
      <c r="J158" s="295">
        <f t="shared" si="35"/>
        <v>2996.7173855870574</v>
      </c>
      <c r="K158" s="367"/>
      <c r="L158" s="297">
        <f>J158*$K$147*$W$43</f>
        <v>33242.813460238183</v>
      </c>
      <c r="N158" s="336" t="s">
        <v>129</v>
      </c>
      <c r="O158" s="366"/>
      <c r="P158" s="295">
        <f t="shared" si="36"/>
        <v>2996.7173855870574</v>
      </c>
      <c r="Q158" s="367"/>
      <c r="R158" s="297">
        <f>P158*$Q$147*$W$44</f>
        <v>34546.453203776939</v>
      </c>
      <c r="S158" s="298"/>
    </row>
    <row r="159" spans="2:22">
      <c r="B159" s="374" t="str">
        <f>B131</f>
        <v>Flex Funding Administration</v>
      </c>
      <c r="C159" s="375"/>
      <c r="D159" s="376">
        <f>$W$15</f>
        <v>1000</v>
      </c>
      <c r="E159" s="377"/>
      <c r="F159" s="378">
        <f>D159*E147</f>
        <v>8000</v>
      </c>
      <c r="G159" s="269"/>
      <c r="H159" s="374" t="str">
        <f>H131</f>
        <v>Flex Funding Administration</v>
      </c>
      <c r="I159" s="375"/>
      <c r="J159" s="376">
        <f>$W$15</f>
        <v>1000</v>
      </c>
      <c r="K159" s="377"/>
      <c r="L159" s="378">
        <f>J159*K147</f>
        <v>8500</v>
      </c>
      <c r="N159" s="374" t="str">
        <f>N131</f>
        <v>Flex Funding Administration</v>
      </c>
      <c r="O159" s="375"/>
      <c r="P159" s="376">
        <f>$W$15</f>
        <v>1000</v>
      </c>
      <c r="Q159" s="377"/>
      <c r="R159" s="378">
        <f>P159*Q147</f>
        <v>9000</v>
      </c>
      <c r="S159" s="324"/>
    </row>
    <row r="160" spans="2:22" ht="15" thickBot="1">
      <c r="B160" s="379" t="s">
        <v>188</v>
      </c>
      <c r="C160" s="380"/>
      <c r="D160" s="381"/>
      <c r="E160" s="382"/>
      <c r="F160" s="383">
        <f>SUM(F153:F159)</f>
        <v>643195.12104614987</v>
      </c>
      <c r="G160" s="324"/>
      <c r="H160" s="379" t="s">
        <v>188</v>
      </c>
      <c r="I160" s="380"/>
      <c r="J160" s="381"/>
      <c r="K160" s="382"/>
      <c r="L160" s="383">
        <f>SUM(L153:L159)</f>
        <v>677430.34922307276</v>
      </c>
      <c r="N160" s="379" t="s">
        <v>188</v>
      </c>
      <c r="O160" s="380"/>
      <c r="P160" s="381"/>
      <c r="Q160" s="382"/>
      <c r="R160" s="383">
        <f>SUM(R153:R159)</f>
        <v>710713.40473770327</v>
      </c>
      <c r="S160" s="324"/>
    </row>
    <row r="161" spans="2:19" ht="15" thickTop="1">
      <c r="B161" s="368" t="s">
        <v>227</v>
      </c>
      <c r="C161" s="384">
        <f>C133</f>
        <v>0.12</v>
      </c>
      <c r="D161" s="332"/>
      <c r="E161" s="335"/>
      <c r="F161" s="334">
        <f>C161*F160</f>
        <v>77183.414525537984</v>
      </c>
      <c r="G161" s="324"/>
      <c r="H161" s="368" t="s">
        <v>227</v>
      </c>
      <c r="I161" s="384">
        <f>I133</f>
        <v>0.12</v>
      </c>
      <c r="J161" s="332"/>
      <c r="K161" s="335"/>
      <c r="L161" s="334">
        <f>I161*L160</f>
        <v>81291.641906768724</v>
      </c>
      <c r="N161" s="368" t="s">
        <v>227</v>
      </c>
      <c r="O161" s="384">
        <f>O133</f>
        <v>0.12</v>
      </c>
      <c r="P161" s="332"/>
      <c r="Q161" s="335"/>
      <c r="R161" s="334">
        <f>O161*R160</f>
        <v>85285.608568524389</v>
      </c>
      <c r="S161" s="324"/>
    </row>
    <row r="162" spans="2:19">
      <c r="B162" s="368" t="s">
        <v>61</v>
      </c>
      <c r="C162" s="384">
        <f>C134</f>
        <v>3.7000000000000002E-3</v>
      </c>
      <c r="D162" s="332"/>
      <c r="E162" s="335"/>
      <c r="F162" s="334">
        <f>C162*F149</f>
        <v>1549.12192</v>
      </c>
      <c r="G162" s="324"/>
      <c r="H162" s="368" t="s">
        <v>61</v>
      </c>
      <c r="I162" s="384">
        <f>I134</f>
        <v>3.7000000000000002E-3</v>
      </c>
      <c r="J162" s="332"/>
      <c r="K162" s="335"/>
      <c r="L162" s="334">
        <f>I162*L149</f>
        <v>1635.6412399999999</v>
      </c>
      <c r="N162" s="368" t="s">
        <v>61</v>
      </c>
      <c r="O162" s="384">
        <f>O134</f>
        <v>3.7000000000000002E-3</v>
      </c>
      <c r="P162" s="332"/>
      <c r="Q162" s="335"/>
      <c r="R162" s="334">
        <f>O162*R149</f>
        <v>1719.58536</v>
      </c>
      <c r="S162" s="324"/>
    </row>
    <row r="163" spans="2:19" ht="15" thickBot="1">
      <c r="B163" s="368"/>
      <c r="C163" s="384"/>
      <c r="D163" s="332"/>
      <c r="E163" s="335"/>
      <c r="F163" s="392">
        <f>C163*(F154+F155+F156+F157+F158)</f>
        <v>0</v>
      </c>
      <c r="G163" s="324"/>
      <c r="H163" s="368"/>
      <c r="I163" s="384"/>
      <c r="J163" s="332"/>
      <c r="K163" s="335"/>
      <c r="L163" s="392">
        <f>I163*(L154+L155+L156+L157+L158)</f>
        <v>0</v>
      </c>
      <c r="N163" s="368"/>
      <c r="O163" s="384"/>
      <c r="P163" s="332"/>
      <c r="Q163" s="335"/>
      <c r="R163" s="392">
        <f>O163*(R154+R155+R156+R157+R158)</f>
        <v>0</v>
      </c>
      <c r="S163" s="393"/>
    </row>
    <row r="164" spans="2:19">
      <c r="B164" s="368"/>
      <c r="C164" s="384"/>
      <c r="D164" s="332"/>
      <c r="E164" s="335"/>
      <c r="F164" s="394">
        <f>SUM(F160:F163)</f>
        <v>721927.6574916878</v>
      </c>
      <c r="G164" s="324"/>
      <c r="H164" s="368"/>
      <c r="I164" s="384"/>
      <c r="J164" s="332"/>
      <c r="K164" s="335"/>
      <c r="L164" s="394">
        <f>SUM(L160:L163)</f>
        <v>760357.63236984145</v>
      </c>
      <c r="N164" s="368"/>
      <c r="O164" s="384"/>
      <c r="P164" s="332"/>
      <c r="Q164" s="335"/>
      <c r="R164" s="394">
        <f>SUM(R160:R163)</f>
        <v>797718.59866622766</v>
      </c>
      <c r="S164" s="393"/>
    </row>
    <row r="165" spans="2:19">
      <c r="B165" s="282" t="s">
        <v>189</v>
      </c>
      <c r="C165" s="384">
        <f>W21</f>
        <v>1.0633805350099574E-2</v>
      </c>
      <c r="D165" s="332"/>
      <c r="E165" s="335"/>
      <c r="F165" s="394">
        <f>C165*F164</f>
        <v>7676.8381866199625</v>
      </c>
      <c r="G165" s="324"/>
      <c r="H165" s="282" t="s">
        <v>189</v>
      </c>
      <c r="I165" s="384">
        <f>W21</f>
        <v>1.0633805350099574E-2</v>
      </c>
      <c r="J165" s="332"/>
      <c r="K165" s="335"/>
      <c r="L165" s="394">
        <f>I165*L164</f>
        <v>8085.4950590834651</v>
      </c>
      <c r="N165" s="282" t="s">
        <v>189</v>
      </c>
      <c r="O165" s="384">
        <f>W21</f>
        <v>1.0633805350099574E-2</v>
      </c>
      <c r="P165" s="332"/>
      <c r="Q165" s="335"/>
      <c r="R165" s="394">
        <f>O165*R164</f>
        <v>8482.7843023708665</v>
      </c>
      <c r="S165" s="393"/>
    </row>
    <row r="166" spans="2:19" ht="15" thickBot="1">
      <c r="B166" s="349"/>
      <c r="C166" s="350"/>
      <c r="D166" s="332"/>
      <c r="E166" s="335"/>
      <c r="F166" s="383">
        <f>SUM(F164:F165)</f>
        <v>729604.49567830772</v>
      </c>
      <c r="G166" s="324"/>
      <c r="H166" s="349"/>
      <c r="I166" s="350"/>
      <c r="J166" s="332"/>
      <c r="K166" s="335"/>
      <c r="L166" s="383">
        <f>SUM(L164:L165)</f>
        <v>768443.1274289249</v>
      </c>
      <c r="N166" s="349"/>
      <c r="O166" s="350"/>
      <c r="P166" s="332"/>
      <c r="Q166" s="335"/>
      <c r="R166" s="383">
        <f>SUM(R164:R165)</f>
        <v>806201.38296859851</v>
      </c>
      <c r="S166" s="324"/>
    </row>
    <row r="167" spans="2:19" ht="15.6" thickTop="1" thickBot="1">
      <c r="B167" s="282"/>
      <c r="C167" s="384"/>
      <c r="D167" s="332"/>
      <c r="E167" s="335"/>
      <c r="F167" s="411"/>
      <c r="G167" s="324"/>
      <c r="H167" s="282"/>
      <c r="I167" s="384"/>
      <c r="J167" s="332"/>
      <c r="K167" s="335"/>
      <c r="L167" s="411"/>
      <c r="N167" s="282"/>
      <c r="O167" s="384"/>
      <c r="P167" s="332"/>
      <c r="Q167" s="335"/>
      <c r="R167" s="411"/>
      <c r="S167" s="324"/>
    </row>
    <row r="168" spans="2:19" ht="15.6" thickTop="1" thickBot="1">
      <c r="B168" s="418" t="s">
        <v>237</v>
      </c>
      <c r="C168" s="419"/>
      <c r="D168" s="419"/>
      <c r="E168" s="419"/>
      <c r="F168" s="421">
        <f>F166/12</f>
        <v>60800.374639858979</v>
      </c>
      <c r="G168" s="324"/>
      <c r="H168" s="418" t="s">
        <v>237</v>
      </c>
      <c r="I168" s="419"/>
      <c r="J168" s="419"/>
      <c r="K168" s="419"/>
      <c r="L168" s="421">
        <f>L166/12</f>
        <v>64036.927285743739</v>
      </c>
      <c r="N168" s="418" t="s">
        <v>237</v>
      </c>
      <c r="O168" s="419"/>
      <c r="P168" s="419"/>
      <c r="Q168" s="419"/>
      <c r="R168" s="421">
        <f>R166/12</f>
        <v>67183.448580716547</v>
      </c>
      <c r="S168" s="393"/>
    </row>
    <row r="169" spans="2:19">
      <c r="F169" s="486"/>
      <c r="G169" s="324"/>
      <c r="L169" s="486"/>
      <c r="R169" s="486"/>
    </row>
    <row r="170" spans="2:19">
      <c r="F170" s="491"/>
      <c r="G170" s="491"/>
      <c r="H170" s="491"/>
      <c r="I170" s="491"/>
      <c r="J170" s="491"/>
      <c r="K170" s="491"/>
      <c r="L170" s="491"/>
      <c r="M170" s="491"/>
      <c r="N170" s="491"/>
      <c r="O170" s="491"/>
      <c r="P170" s="491"/>
      <c r="Q170" s="491"/>
      <c r="R170" s="491"/>
      <c r="S170" s="430"/>
    </row>
    <row r="171" spans="2:19" ht="15" thickBot="1">
      <c r="G171" s="324"/>
    </row>
    <row r="172" spans="2:19">
      <c r="B172" s="274" t="s">
        <v>258</v>
      </c>
      <c r="C172" s="275"/>
      <c r="D172" s="275"/>
      <c r="E172" s="275"/>
      <c r="F172" s="276"/>
      <c r="G172" s="269"/>
      <c r="H172" s="274" t="s">
        <v>259</v>
      </c>
      <c r="I172" s="275"/>
      <c r="J172" s="275"/>
      <c r="K172" s="275"/>
      <c r="L172" s="276"/>
      <c r="N172" s="274" t="s">
        <v>260</v>
      </c>
      <c r="O172" s="275"/>
      <c r="P172" s="275"/>
      <c r="Q172" s="275"/>
      <c r="R172" s="276"/>
      <c r="S172" s="277"/>
    </row>
    <row r="173" spans="2:19" ht="28.8">
      <c r="B173" s="282"/>
      <c r="C173" s="283" t="s">
        <v>214</v>
      </c>
      <c r="D173" s="284" t="s">
        <v>172</v>
      </c>
      <c r="E173" s="285" t="s">
        <v>216</v>
      </c>
      <c r="F173" s="286" t="s">
        <v>174</v>
      </c>
      <c r="G173" s="269"/>
      <c r="H173" s="282"/>
      <c r="I173" s="283" t="s">
        <v>214</v>
      </c>
      <c r="J173" s="284" t="s">
        <v>172</v>
      </c>
      <c r="K173" s="285" t="s">
        <v>216</v>
      </c>
      <c r="L173" s="286" t="s">
        <v>174</v>
      </c>
      <c r="N173" s="282"/>
      <c r="O173" s="283" t="s">
        <v>214</v>
      </c>
      <c r="P173" s="284" t="s">
        <v>172</v>
      </c>
      <c r="Q173" s="285" t="s">
        <v>216</v>
      </c>
      <c r="R173" s="286" t="s">
        <v>174</v>
      </c>
      <c r="S173" s="287"/>
    </row>
    <row r="174" spans="2:19">
      <c r="B174" s="294" t="s">
        <v>85</v>
      </c>
      <c r="C174" s="295"/>
      <c r="D174" s="295">
        <f>W6</f>
        <v>69600</v>
      </c>
      <c r="E174" s="296">
        <f>V45</f>
        <v>0.81</v>
      </c>
      <c r="F174" s="297">
        <f>D174*E174</f>
        <v>56376.000000000007</v>
      </c>
      <c r="G174" s="269"/>
      <c r="H174" s="294" t="s">
        <v>85</v>
      </c>
      <c r="I174" s="295"/>
      <c r="J174" s="295">
        <f>W6</f>
        <v>69600</v>
      </c>
      <c r="K174" s="296">
        <f>V46</f>
        <v>0.8</v>
      </c>
      <c r="L174" s="297">
        <f>J174*K174</f>
        <v>55680</v>
      </c>
      <c r="N174" s="294" t="s">
        <v>85</v>
      </c>
      <c r="O174" s="295"/>
      <c r="P174" s="295">
        <f>W6</f>
        <v>69600</v>
      </c>
      <c r="Q174" s="296">
        <f>V47</f>
        <v>0.79</v>
      </c>
      <c r="R174" s="297">
        <f>P174*Q174</f>
        <v>54984</v>
      </c>
      <c r="S174" s="298"/>
    </row>
    <row r="175" spans="2:19">
      <c r="B175" s="305" t="s">
        <v>117</v>
      </c>
      <c r="C175" s="306"/>
      <c r="D175" s="295">
        <f>W7</f>
        <v>45375.199999999997</v>
      </c>
      <c r="E175" s="296">
        <f>U45</f>
        <v>9.5</v>
      </c>
      <c r="F175" s="297">
        <f t="shared" ref="F175" si="37">D175*E175</f>
        <v>431064.39999999997</v>
      </c>
      <c r="G175" s="269"/>
      <c r="H175" s="305" t="s">
        <v>117</v>
      </c>
      <c r="I175" s="306"/>
      <c r="J175" s="295">
        <f>W7</f>
        <v>45375.199999999997</v>
      </c>
      <c r="K175" s="296">
        <f>U46</f>
        <v>10</v>
      </c>
      <c r="L175" s="297">
        <f t="shared" ref="L175" si="38">J175*K175</f>
        <v>453752</v>
      </c>
      <c r="N175" s="305" t="s">
        <v>117</v>
      </c>
      <c r="O175" s="306"/>
      <c r="P175" s="295">
        <f>W7</f>
        <v>45375.199999999997</v>
      </c>
      <c r="Q175" s="296">
        <f>U47</f>
        <v>10.5</v>
      </c>
      <c r="R175" s="297">
        <f t="shared" ref="R175" si="39">P175*Q175</f>
        <v>476439.6</v>
      </c>
      <c r="S175" s="298"/>
    </row>
    <row r="176" spans="2:19">
      <c r="B176" s="305"/>
      <c r="C176" s="306"/>
      <c r="D176" s="295"/>
      <c r="E176" s="296"/>
      <c r="F176" s="297"/>
      <c r="G176" s="269"/>
      <c r="H176" s="305"/>
      <c r="I176" s="306"/>
      <c r="J176" s="295"/>
      <c r="K176" s="296"/>
      <c r="L176" s="297"/>
      <c r="N176" s="305"/>
      <c r="O176" s="306"/>
      <c r="P176" s="295"/>
      <c r="Q176" s="296"/>
      <c r="R176" s="297"/>
      <c r="S176" s="298"/>
    </row>
    <row r="177" spans="2:19">
      <c r="B177" s="319" t="s">
        <v>222</v>
      </c>
      <c r="C177" s="320"/>
      <c r="D177" s="321"/>
      <c r="E177" s="322">
        <f>SUM(E174:E176)</f>
        <v>10.31</v>
      </c>
      <c r="F177" s="323">
        <f>SUM(F174:F175)</f>
        <v>487440.39999999997</v>
      </c>
      <c r="G177" s="269"/>
      <c r="H177" s="319" t="s">
        <v>222</v>
      </c>
      <c r="I177" s="320"/>
      <c r="J177" s="321"/>
      <c r="K177" s="322">
        <f>SUM(K174:K176)</f>
        <v>10.8</v>
      </c>
      <c r="L177" s="323">
        <f>SUM(L174:L175)</f>
        <v>509432</v>
      </c>
      <c r="N177" s="319" t="s">
        <v>222</v>
      </c>
      <c r="O177" s="320"/>
      <c r="P177" s="321"/>
      <c r="Q177" s="322">
        <f>SUM(Q174:Q176)</f>
        <v>11.29</v>
      </c>
      <c r="R177" s="323">
        <f>R174+R175</f>
        <v>531423.6</v>
      </c>
      <c r="S177" s="324"/>
    </row>
    <row r="178" spans="2:19">
      <c r="B178" s="282"/>
      <c r="C178" s="331"/>
      <c r="D178" s="332"/>
      <c r="E178" s="333"/>
      <c r="F178" s="334"/>
      <c r="G178" s="269"/>
      <c r="H178" s="282"/>
      <c r="I178" s="331"/>
      <c r="J178" s="332"/>
      <c r="K178" s="335"/>
      <c r="L178" s="334"/>
      <c r="N178" s="282"/>
      <c r="O178" s="331"/>
      <c r="P178" s="332"/>
      <c r="Q178" s="333"/>
      <c r="R178" s="334"/>
      <c r="S178" s="324"/>
    </row>
    <row r="179" spans="2:19">
      <c r="B179" s="282" t="s">
        <v>224</v>
      </c>
      <c r="C179" s="331"/>
      <c r="D179" s="332"/>
      <c r="E179" s="340"/>
      <c r="F179" s="334"/>
      <c r="G179" s="269"/>
      <c r="H179" s="282" t="s">
        <v>224</v>
      </c>
      <c r="I179" s="331"/>
      <c r="J179" s="332"/>
      <c r="K179" s="340"/>
      <c r="L179" s="334"/>
      <c r="N179" s="282" t="s">
        <v>224</v>
      </c>
      <c r="O179" s="331"/>
      <c r="P179" s="332"/>
      <c r="Q179" s="340"/>
      <c r="R179" s="334"/>
      <c r="S179" s="324"/>
    </row>
    <row r="180" spans="2:19">
      <c r="B180" s="336" t="s">
        <v>183</v>
      </c>
      <c r="C180" s="341">
        <f>W17</f>
        <v>0.224</v>
      </c>
      <c r="D180" s="342"/>
      <c r="E180" s="343"/>
      <c r="F180" s="344">
        <f>C180*F177</f>
        <v>109186.64959999999</v>
      </c>
      <c r="G180" s="269"/>
      <c r="H180" s="336" t="s">
        <v>183</v>
      </c>
      <c r="I180" s="341">
        <f>W17</f>
        <v>0.224</v>
      </c>
      <c r="J180" s="342"/>
      <c r="K180" s="343"/>
      <c r="L180" s="297">
        <f>I180*L177</f>
        <v>114112.768</v>
      </c>
      <c r="N180" s="336" t="s">
        <v>183</v>
      </c>
      <c r="O180" s="341">
        <f>W17</f>
        <v>0.224</v>
      </c>
      <c r="P180" s="342"/>
      <c r="Q180" s="343"/>
      <c r="R180" s="297">
        <f>R177*O180</f>
        <v>119038.8864</v>
      </c>
      <c r="S180" s="298"/>
    </row>
    <row r="181" spans="2:19">
      <c r="B181" s="345" t="s">
        <v>225</v>
      </c>
      <c r="C181" s="346"/>
      <c r="D181" s="347"/>
      <c r="E181" s="348"/>
      <c r="F181" s="323">
        <f>F180+F177</f>
        <v>596627.04959999991</v>
      </c>
      <c r="G181" s="269"/>
      <c r="H181" s="345" t="s">
        <v>225</v>
      </c>
      <c r="I181" s="346"/>
      <c r="J181" s="347"/>
      <c r="K181" s="348"/>
      <c r="L181" s="323">
        <f>L180+L177</f>
        <v>623544.76800000004</v>
      </c>
      <c r="N181" s="345" t="s">
        <v>225</v>
      </c>
      <c r="O181" s="346"/>
      <c r="P181" s="347"/>
      <c r="Q181" s="348"/>
      <c r="R181" s="323">
        <f>SUM(R177:R180)</f>
        <v>650462.48639999994</v>
      </c>
      <c r="S181" s="324"/>
    </row>
    <row r="182" spans="2:19">
      <c r="B182" s="349" t="s">
        <v>223</v>
      </c>
      <c r="C182" s="350"/>
      <c r="D182" s="295">
        <f>W10</f>
        <v>5963.9694954316819</v>
      </c>
      <c r="E182" s="343"/>
      <c r="F182" s="297">
        <f>D182*$E$175*$W$45</f>
        <v>71299.643651087492</v>
      </c>
      <c r="G182" s="269"/>
      <c r="H182" s="349" t="s">
        <v>223</v>
      </c>
      <c r="I182" s="350"/>
      <c r="J182" s="295">
        <f>W10</f>
        <v>5963.9694954316819</v>
      </c>
      <c r="K182" s="343"/>
      <c r="L182" s="297">
        <f>J182*$K$175*$W$46</f>
        <v>73980.08138233138</v>
      </c>
      <c r="N182" s="349" t="s">
        <v>223</v>
      </c>
      <c r="O182" s="350"/>
      <c r="P182" s="295">
        <f>W10</f>
        <v>5963.9694954316819</v>
      </c>
      <c r="Q182" s="343"/>
      <c r="R182" s="297">
        <f>P182*$Q$175*$W$47</f>
        <v>76622.227145986079</v>
      </c>
      <c r="S182" s="298"/>
    </row>
    <row r="183" spans="2:19">
      <c r="B183" s="336" t="s">
        <v>84</v>
      </c>
      <c r="C183" s="351"/>
      <c r="D183" s="295">
        <f t="shared" ref="D183:D186" si="40">W11</f>
        <v>159.61973086509079</v>
      </c>
      <c r="E183" s="352"/>
      <c r="F183" s="297">
        <f>D183*$E$175*$W$45</f>
        <v>1908.2642758453112</v>
      </c>
      <c r="G183" s="269"/>
      <c r="H183" s="336" t="s">
        <v>84</v>
      </c>
      <c r="I183" s="351"/>
      <c r="J183" s="295">
        <f t="shared" ref="J183:J186" si="41">W11</f>
        <v>159.61973086509079</v>
      </c>
      <c r="K183" s="352"/>
      <c r="L183" s="297">
        <f>J183*$K$175*$W$46</f>
        <v>1980.0035343357363</v>
      </c>
      <c r="N183" s="336" t="s">
        <v>84</v>
      </c>
      <c r="O183" s="351"/>
      <c r="P183" s="295">
        <f t="shared" ref="P183:P186" si="42">W11</f>
        <v>159.61973086509079</v>
      </c>
      <c r="Q183" s="352"/>
      <c r="R183" s="297">
        <f>P183*$Q$175*$W$47</f>
        <v>2050.7179462762983</v>
      </c>
      <c r="S183" s="298"/>
    </row>
    <row r="184" spans="2:19">
      <c r="B184" s="336" t="s">
        <v>88</v>
      </c>
      <c r="C184" s="351"/>
      <c r="D184" s="295">
        <f t="shared" si="40"/>
        <v>1056.8783932396871</v>
      </c>
      <c r="E184" s="352"/>
      <c r="F184" s="297">
        <f>D184*$E$175*$W$45</f>
        <v>12635.050007925851</v>
      </c>
      <c r="G184" s="269"/>
      <c r="H184" s="336" t="s">
        <v>88</v>
      </c>
      <c r="I184" s="351"/>
      <c r="J184" s="295">
        <f t="shared" si="41"/>
        <v>1056.8783932396871</v>
      </c>
      <c r="K184" s="352"/>
      <c r="L184" s="297">
        <f>J184*$K$175*$W$46</f>
        <v>13110.051887923062</v>
      </c>
      <c r="N184" s="336" t="s">
        <v>88</v>
      </c>
      <c r="O184" s="351"/>
      <c r="P184" s="295">
        <f t="shared" si="42"/>
        <v>1056.8783932396871</v>
      </c>
      <c r="Q184" s="352"/>
      <c r="R184" s="297">
        <f>P184*$Q$175*$W$47</f>
        <v>13578.268026777459</v>
      </c>
      <c r="S184" s="298"/>
    </row>
    <row r="185" spans="2:19">
      <c r="B185" s="336" t="s">
        <v>125</v>
      </c>
      <c r="C185" s="351"/>
      <c r="D185" s="295">
        <f t="shared" si="40"/>
        <v>1347.3502436316674</v>
      </c>
      <c r="E185" s="352"/>
      <c r="F185" s="297">
        <f>D185*$E$175*$W$45</f>
        <v>16107.659892916741</v>
      </c>
      <c r="G185" s="269"/>
      <c r="H185" s="336" t="s">
        <v>125</v>
      </c>
      <c r="I185" s="351"/>
      <c r="J185" s="295">
        <f t="shared" si="41"/>
        <v>1347.3502436316674</v>
      </c>
      <c r="K185" s="352"/>
      <c r="L185" s="297">
        <f>J185*$K$175*$W$46</f>
        <v>16713.211016710604</v>
      </c>
      <c r="N185" s="336" t="s">
        <v>125</v>
      </c>
      <c r="O185" s="351"/>
      <c r="P185" s="295">
        <f t="shared" si="42"/>
        <v>1347.3502436316674</v>
      </c>
      <c r="Q185" s="352"/>
      <c r="R185" s="297">
        <f>P185*$Q$175*$W$47</f>
        <v>17310.111410164554</v>
      </c>
      <c r="S185" s="298"/>
    </row>
    <row r="186" spans="2:19">
      <c r="B186" s="336" t="s">
        <v>129</v>
      </c>
      <c r="C186" s="366"/>
      <c r="D186" s="295">
        <f t="shared" si="40"/>
        <v>2996.7173855870574</v>
      </c>
      <c r="E186" s="367"/>
      <c r="F186" s="297">
        <f>D186*$E$175*$W$45</f>
        <v>35825.951470583488</v>
      </c>
      <c r="G186" s="269"/>
      <c r="H186" s="336" t="s">
        <v>129</v>
      </c>
      <c r="I186" s="366"/>
      <c r="J186" s="295">
        <f t="shared" si="41"/>
        <v>2996.7173855870574</v>
      </c>
      <c r="K186" s="367"/>
      <c r="L186" s="297">
        <f>J186*$K$175*$W$46</f>
        <v>37172.791751432487</v>
      </c>
      <c r="N186" s="336" t="s">
        <v>129</v>
      </c>
      <c r="O186" s="366"/>
      <c r="P186" s="295">
        <f t="shared" si="42"/>
        <v>2996.7173855870574</v>
      </c>
      <c r="Q186" s="367"/>
      <c r="R186" s="297">
        <f>P186*$Q$175*$W$47</f>
        <v>38500.391456840793</v>
      </c>
      <c r="S186" s="298"/>
    </row>
    <row r="187" spans="2:19">
      <c r="B187" s="374" t="str">
        <f>B159</f>
        <v>Flex Funding Administration</v>
      </c>
      <c r="C187" s="375"/>
      <c r="D187" s="376">
        <f>$W$15</f>
        <v>1000</v>
      </c>
      <c r="E187" s="377"/>
      <c r="F187" s="378">
        <f>D187*E175</f>
        <v>9500</v>
      </c>
      <c r="G187" s="269"/>
      <c r="H187" s="374" t="str">
        <f>H159</f>
        <v>Flex Funding Administration</v>
      </c>
      <c r="I187" s="375"/>
      <c r="J187" s="376">
        <f>$W$15</f>
        <v>1000</v>
      </c>
      <c r="K187" s="377"/>
      <c r="L187" s="378">
        <f>J187*K175</f>
        <v>10000</v>
      </c>
      <c r="N187" s="374" t="str">
        <f>N159</f>
        <v>Flex Funding Administration</v>
      </c>
      <c r="O187" s="375"/>
      <c r="P187" s="376">
        <f>$W$15</f>
        <v>1000</v>
      </c>
      <c r="Q187" s="377"/>
      <c r="R187" s="378">
        <f>P187*Q175</f>
        <v>10500</v>
      </c>
      <c r="S187" s="324"/>
    </row>
    <row r="188" spans="2:19" ht="15" thickBot="1">
      <c r="B188" s="379" t="s">
        <v>188</v>
      </c>
      <c r="C188" s="380"/>
      <c r="D188" s="381"/>
      <c r="E188" s="382"/>
      <c r="F188" s="383">
        <f>SUM(F181:F187)</f>
        <v>743903.61889835878</v>
      </c>
      <c r="G188" s="324"/>
      <c r="H188" s="379" t="s">
        <v>188</v>
      </c>
      <c r="I188" s="380"/>
      <c r="J188" s="381"/>
      <c r="K188" s="382"/>
      <c r="L188" s="383">
        <f>SUM(L181:L187)</f>
        <v>776500.90757273324</v>
      </c>
      <c r="N188" s="379" t="s">
        <v>188</v>
      </c>
      <c r="O188" s="380"/>
      <c r="P188" s="381"/>
      <c r="Q188" s="382"/>
      <c r="R188" s="383">
        <f>SUM(R181:R187)</f>
        <v>809024.20238604501</v>
      </c>
      <c r="S188" s="324"/>
    </row>
    <row r="189" spans="2:19" ht="15" thickTop="1">
      <c r="B189" s="368" t="s">
        <v>227</v>
      </c>
      <c r="C189" s="384">
        <f>C161</f>
        <v>0.12</v>
      </c>
      <c r="D189" s="332"/>
      <c r="E189" s="335"/>
      <c r="F189" s="334">
        <f>C189*F188</f>
        <v>89268.434267803052</v>
      </c>
      <c r="G189" s="324"/>
      <c r="H189" s="368" t="s">
        <v>227</v>
      </c>
      <c r="I189" s="384">
        <f>I161</f>
        <v>0.12</v>
      </c>
      <c r="J189" s="332"/>
      <c r="K189" s="335"/>
      <c r="L189" s="334">
        <f>I189*L188</f>
        <v>93180.108908727983</v>
      </c>
      <c r="N189" s="368" t="s">
        <v>227</v>
      </c>
      <c r="O189" s="384">
        <f>O161</f>
        <v>0.12</v>
      </c>
      <c r="P189" s="332"/>
      <c r="Q189" s="335"/>
      <c r="R189" s="334">
        <f>O189*R188</f>
        <v>97082.9042863254</v>
      </c>
      <c r="S189" s="324"/>
    </row>
    <row r="190" spans="2:19">
      <c r="B190" s="368" t="s">
        <v>61</v>
      </c>
      <c r="C190" s="384">
        <f>C162</f>
        <v>3.7000000000000002E-3</v>
      </c>
      <c r="D190" s="332"/>
      <c r="E190" s="335"/>
      <c r="F190" s="334">
        <f>C190*F177</f>
        <v>1803.5294799999999</v>
      </c>
      <c r="G190" s="324"/>
      <c r="H190" s="368" t="s">
        <v>61</v>
      </c>
      <c r="I190" s="384">
        <f>I162</f>
        <v>3.7000000000000002E-3</v>
      </c>
      <c r="J190" s="332"/>
      <c r="K190" s="335"/>
      <c r="L190" s="334">
        <f>I190*L177</f>
        <v>1884.8984</v>
      </c>
      <c r="N190" s="368" t="s">
        <v>61</v>
      </c>
      <c r="O190" s="384">
        <f>O162</f>
        <v>3.7000000000000002E-3</v>
      </c>
      <c r="P190" s="332"/>
      <c r="Q190" s="335"/>
      <c r="R190" s="334">
        <f>O190*R177</f>
        <v>1966.2673199999999</v>
      </c>
      <c r="S190" s="324"/>
    </row>
    <row r="191" spans="2:19" ht="15" thickBot="1">
      <c r="B191" s="368"/>
      <c r="C191" s="384"/>
      <c r="D191" s="332"/>
      <c r="E191" s="335"/>
      <c r="F191" s="392">
        <f>C191*(F182+F183+F184+F185+F186)</f>
        <v>0</v>
      </c>
      <c r="G191" s="324"/>
      <c r="H191" s="368"/>
      <c r="I191" s="384"/>
      <c r="J191" s="332"/>
      <c r="K191" s="335"/>
      <c r="L191" s="392">
        <f>I191*(L182+L183+L184+L185+L186)</f>
        <v>0</v>
      </c>
      <c r="N191" s="368"/>
      <c r="O191" s="384"/>
      <c r="P191" s="332"/>
      <c r="Q191" s="335"/>
      <c r="R191" s="392">
        <f>O191*(R182+R183+R184+R185+R186)</f>
        <v>0</v>
      </c>
      <c r="S191" s="393"/>
    </row>
    <row r="192" spans="2:19">
      <c r="B192" s="368"/>
      <c r="C192" s="384"/>
      <c r="D192" s="332"/>
      <c r="E192" s="335"/>
      <c r="F192" s="394">
        <f>SUM(F188:F191)</f>
        <v>834975.5826461619</v>
      </c>
      <c r="G192" s="324"/>
      <c r="H192" s="368"/>
      <c r="I192" s="384"/>
      <c r="J192" s="332"/>
      <c r="K192" s="335"/>
      <c r="L192" s="394">
        <f>SUM(L188:L191)</f>
        <v>871565.91488146118</v>
      </c>
      <c r="N192" s="368"/>
      <c r="O192" s="384"/>
      <c r="P192" s="332"/>
      <c r="Q192" s="335"/>
      <c r="R192" s="394">
        <f>SUM(R188:R191)</f>
        <v>908073.37399237044</v>
      </c>
      <c r="S192" s="393"/>
    </row>
    <row r="193" spans="2:19">
      <c r="B193" s="282" t="s">
        <v>189</v>
      </c>
      <c r="C193" s="384">
        <f>$W$21</f>
        <v>1.0633805350099574E-2</v>
      </c>
      <c r="D193" s="332"/>
      <c r="E193" s="335"/>
      <c r="F193" s="394">
        <f>C193*F192</f>
        <v>8878.9678179452658</v>
      </c>
      <c r="G193" s="324"/>
      <c r="H193" s="282" t="s">
        <v>189</v>
      </c>
      <c r="I193" s="384">
        <f>$W$21</f>
        <v>1.0633805350099574E-2</v>
      </c>
      <c r="J193" s="332"/>
      <c r="K193" s="335"/>
      <c r="L193" s="394">
        <f>I193*L192</f>
        <v>9268.062288630912</v>
      </c>
      <c r="N193" s="282" t="s">
        <v>189</v>
      </c>
      <c r="O193" s="384">
        <f>$W$21</f>
        <v>1.0633805350099574E-2</v>
      </c>
      <c r="P193" s="332"/>
      <c r="Q193" s="335"/>
      <c r="R193" s="394">
        <f>O193*R192</f>
        <v>9656.2755026430405</v>
      </c>
      <c r="S193" s="393"/>
    </row>
    <row r="194" spans="2:19" ht="15" thickBot="1">
      <c r="B194" s="349"/>
      <c r="C194" s="350"/>
      <c r="D194" s="332"/>
      <c r="E194" s="335"/>
      <c r="F194" s="383">
        <f>SUM(F192:F193)</f>
        <v>843854.55046410719</v>
      </c>
      <c r="G194" s="324"/>
      <c r="H194" s="349"/>
      <c r="I194" s="350"/>
      <c r="J194" s="332"/>
      <c r="K194" s="335"/>
      <c r="L194" s="383">
        <f>SUM(L192:L193)</f>
        <v>880833.97717009205</v>
      </c>
      <c r="N194" s="349"/>
      <c r="O194" s="350"/>
      <c r="P194" s="332"/>
      <c r="Q194" s="335"/>
      <c r="R194" s="383">
        <f>SUM(R192:R193)</f>
        <v>917729.64949501352</v>
      </c>
      <c r="S194" s="324"/>
    </row>
    <row r="195" spans="2:19" ht="15.6" thickTop="1" thickBot="1">
      <c r="B195" s="282"/>
      <c r="C195" s="384"/>
      <c r="D195" s="332"/>
      <c r="E195" s="335"/>
      <c r="F195" s="411"/>
      <c r="G195" s="324"/>
      <c r="H195" s="282"/>
      <c r="I195" s="384"/>
      <c r="J195" s="332"/>
      <c r="K195" s="335"/>
      <c r="L195" s="411"/>
      <c r="N195" s="282"/>
      <c r="O195" s="384"/>
      <c r="P195" s="332"/>
      <c r="Q195" s="335"/>
      <c r="R195" s="411"/>
      <c r="S195" s="324"/>
    </row>
    <row r="196" spans="2:19" ht="15.6" thickTop="1" thickBot="1">
      <c r="B196" s="418" t="s">
        <v>237</v>
      </c>
      <c r="C196" s="419"/>
      <c r="D196" s="419"/>
      <c r="E196" s="419"/>
      <c r="F196" s="421">
        <f>F194/12</f>
        <v>70321.212538675594</v>
      </c>
      <c r="G196" s="324"/>
      <c r="H196" s="418" t="s">
        <v>237</v>
      </c>
      <c r="I196" s="419"/>
      <c r="J196" s="419"/>
      <c r="K196" s="419"/>
      <c r="L196" s="421">
        <f>L194/12</f>
        <v>73402.831430841004</v>
      </c>
      <c r="N196" s="418" t="s">
        <v>237</v>
      </c>
      <c r="O196" s="419"/>
      <c r="P196" s="419"/>
      <c r="Q196" s="419"/>
      <c r="R196" s="421">
        <f>R194/12</f>
        <v>76477.470791251122</v>
      </c>
      <c r="S196" s="393"/>
    </row>
    <row r="197" spans="2:19" ht="15" thickBot="1">
      <c r="B197" s="313"/>
      <c r="C197" s="313"/>
      <c r="D197" s="313"/>
      <c r="E197" s="313"/>
      <c r="F197" s="489"/>
      <c r="G197" s="298"/>
      <c r="H197" s="313"/>
      <c r="L197" s="492"/>
      <c r="R197" s="493"/>
      <c r="S197" s="313"/>
    </row>
    <row r="198" spans="2:19">
      <c r="B198" s="313"/>
      <c r="C198" s="313"/>
      <c r="D198" s="313"/>
      <c r="E198" s="313"/>
      <c r="F198" s="430"/>
      <c r="G198" s="430"/>
      <c r="H198" s="430"/>
      <c r="I198" s="430"/>
      <c r="J198" s="430"/>
      <c r="K198" s="430"/>
      <c r="L198" s="430"/>
      <c r="M198" s="430"/>
      <c r="N198" s="430"/>
      <c r="O198" s="430"/>
      <c r="P198" s="430"/>
      <c r="Q198" s="430"/>
      <c r="R198" s="430"/>
      <c r="S198" s="430"/>
    </row>
    <row r="199" spans="2:19" ht="15" thickBot="1">
      <c r="B199" s="313"/>
      <c r="C199" s="313"/>
      <c r="D199" s="313"/>
      <c r="E199" s="313"/>
      <c r="F199" s="434"/>
      <c r="G199" s="298"/>
      <c r="H199" s="313"/>
      <c r="R199" s="269"/>
      <c r="S199" s="313"/>
    </row>
    <row r="200" spans="2:19">
      <c r="B200" s="274" t="s">
        <v>261</v>
      </c>
      <c r="C200" s="275"/>
      <c r="D200" s="275"/>
      <c r="E200" s="275"/>
      <c r="F200" s="276"/>
      <c r="G200" s="269"/>
      <c r="H200" s="274" t="s">
        <v>262</v>
      </c>
      <c r="I200" s="275"/>
      <c r="J200" s="275"/>
      <c r="K200" s="275"/>
      <c r="L200" s="276"/>
      <c r="N200" s="274" t="s">
        <v>263</v>
      </c>
      <c r="O200" s="275"/>
      <c r="P200" s="275"/>
      <c r="Q200" s="275"/>
      <c r="R200" s="276"/>
      <c r="S200" s="277"/>
    </row>
    <row r="201" spans="2:19" ht="28.8">
      <c r="B201" s="282"/>
      <c r="C201" s="283" t="s">
        <v>214</v>
      </c>
      <c r="D201" s="284" t="s">
        <v>172</v>
      </c>
      <c r="E201" s="285" t="s">
        <v>216</v>
      </c>
      <c r="F201" s="286" t="s">
        <v>174</v>
      </c>
      <c r="G201" s="269"/>
      <c r="H201" s="282"/>
      <c r="I201" s="283" t="s">
        <v>214</v>
      </c>
      <c r="J201" s="284" t="s">
        <v>172</v>
      </c>
      <c r="K201" s="285" t="s">
        <v>216</v>
      </c>
      <c r="L201" s="286" t="s">
        <v>174</v>
      </c>
      <c r="N201" s="282"/>
      <c r="O201" s="283" t="s">
        <v>214</v>
      </c>
      <c r="P201" s="284" t="s">
        <v>172</v>
      </c>
      <c r="Q201" s="285" t="s">
        <v>216</v>
      </c>
      <c r="R201" s="286" t="s">
        <v>174</v>
      </c>
      <c r="S201" s="287"/>
    </row>
    <row r="202" spans="2:19">
      <c r="B202" s="294" t="s">
        <v>85</v>
      </c>
      <c r="C202" s="295"/>
      <c r="D202" s="295">
        <f>W6</f>
        <v>69600</v>
      </c>
      <c r="E202" s="296">
        <f>V48</f>
        <v>0.77</v>
      </c>
      <c r="F202" s="297">
        <f>D202*E202</f>
        <v>53592</v>
      </c>
      <c r="G202" s="269"/>
      <c r="H202" s="294" t="s">
        <v>85</v>
      </c>
      <c r="I202" s="295"/>
      <c r="J202" s="295">
        <f t="shared" ref="J202:J203" si="43">W6</f>
        <v>69600</v>
      </c>
      <c r="K202" s="296">
        <f>V49</f>
        <v>0.75</v>
      </c>
      <c r="L202" s="297">
        <f>J202*K202</f>
        <v>52200</v>
      </c>
      <c r="N202" s="294" t="s">
        <v>85</v>
      </c>
      <c r="O202" s="295"/>
      <c r="P202" s="295">
        <f>W6</f>
        <v>69600</v>
      </c>
      <c r="Q202" s="296">
        <f>V50</f>
        <v>0.72</v>
      </c>
      <c r="R202" s="297">
        <f>P202*Q202</f>
        <v>50112</v>
      </c>
      <c r="S202" s="298"/>
    </row>
    <row r="203" spans="2:19">
      <c r="B203" s="305" t="s">
        <v>117</v>
      </c>
      <c r="C203" s="306"/>
      <c r="D203" s="295">
        <f>W7</f>
        <v>45375.199999999997</v>
      </c>
      <c r="E203" s="296">
        <f>U48</f>
        <v>11</v>
      </c>
      <c r="F203" s="297">
        <f t="shared" ref="F203" si="44">D203*E203</f>
        <v>499127.19999999995</v>
      </c>
      <c r="G203" s="269"/>
      <c r="H203" s="305" t="s">
        <v>117</v>
      </c>
      <c r="I203" s="306"/>
      <c r="J203" s="295">
        <f t="shared" si="43"/>
        <v>45375.199999999997</v>
      </c>
      <c r="K203" s="296">
        <f>U49</f>
        <v>11.5</v>
      </c>
      <c r="L203" s="297">
        <f t="shared" ref="L203" si="45">J203*K203</f>
        <v>521814.8</v>
      </c>
      <c r="N203" s="305" t="s">
        <v>117</v>
      </c>
      <c r="O203" s="306"/>
      <c r="P203" s="295">
        <f>W7</f>
        <v>45375.199999999997</v>
      </c>
      <c r="Q203" s="296">
        <f>U50</f>
        <v>12</v>
      </c>
      <c r="R203" s="297">
        <f t="shared" ref="R203" si="46">P203*Q203</f>
        <v>544502.39999999991</v>
      </c>
      <c r="S203" s="298"/>
    </row>
    <row r="204" spans="2:19">
      <c r="B204" s="305"/>
      <c r="C204" s="306"/>
      <c r="D204" s="295"/>
      <c r="E204" s="296"/>
      <c r="F204" s="297"/>
      <c r="G204" s="269"/>
      <c r="H204" s="305"/>
      <c r="I204" s="306"/>
      <c r="J204" s="295"/>
      <c r="K204" s="296"/>
      <c r="L204" s="297"/>
      <c r="N204" s="305"/>
      <c r="O204" s="306"/>
      <c r="P204" s="295"/>
      <c r="Q204" s="296"/>
      <c r="R204" s="297"/>
      <c r="S204" s="298"/>
    </row>
    <row r="205" spans="2:19">
      <c r="B205" s="319" t="s">
        <v>222</v>
      </c>
      <c r="C205" s="320"/>
      <c r="D205" s="321"/>
      <c r="E205" s="322">
        <f>SUM(E202:E204)</f>
        <v>11.77</v>
      </c>
      <c r="F205" s="323">
        <f>SUM(F202:F203)</f>
        <v>552719.19999999995</v>
      </c>
      <c r="G205" s="269"/>
      <c r="H205" s="319" t="s">
        <v>222</v>
      </c>
      <c r="I205" s="320"/>
      <c r="J205" s="321"/>
      <c r="K205" s="322">
        <f>SUM(K202:K204)</f>
        <v>12.25</v>
      </c>
      <c r="L205" s="323">
        <f>SUM(L202:L203)</f>
        <v>574014.80000000005</v>
      </c>
      <c r="N205" s="319" t="s">
        <v>222</v>
      </c>
      <c r="O205" s="320"/>
      <c r="P205" s="321"/>
      <c r="Q205" s="322">
        <f>SUM(Q202:Q204)</f>
        <v>12.72</v>
      </c>
      <c r="R205" s="323">
        <f>SUM(R202:R203)</f>
        <v>594614.39999999991</v>
      </c>
      <c r="S205" s="324"/>
    </row>
    <row r="206" spans="2:19">
      <c r="B206" s="282"/>
      <c r="C206" s="331"/>
      <c r="D206" s="332"/>
      <c r="E206" s="333"/>
      <c r="F206" s="334"/>
      <c r="G206" s="269"/>
      <c r="H206" s="282"/>
      <c r="I206" s="331"/>
      <c r="J206" s="332"/>
      <c r="K206" s="335"/>
      <c r="L206" s="334"/>
      <c r="N206" s="282"/>
      <c r="O206" s="331"/>
      <c r="P206" s="332"/>
      <c r="Q206" s="333"/>
      <c r="R206" s="334"/>
      <c r="S206" s="324"/>
    </row>
    <row r="207" spans="2:19">
      <c r="B207" s="282" t="s">
        <v>224</v>
      </c>
      <c r="C207" s="331"/>
      <c r="D207" s="332"/>
      <c r="E207" s="340"/>
      <c r="F207" s="334"/>
      <c r="G207" s="269"/>
      <c r="H207" s="282" t="s">
        <v>224</v>
      </c>
      <c r="I207" s="331"/>
      <c r="J207" s="332"/>
      <c r="K207" s="340"/>
      <c r="L207" s="334"/>
      <c r="N207" s="282" t="s">
        <v>224</v>
      </c>
      <c r="O207" s="331"/>
      <c r="P207" s="332"/>
      <c r="Q207" s="340"/>
      <c r="R207" s="334"/>
      <c r="S207" s="324"/>
    </row>
    <row r="208" spans="2:19">
      <c r="B208" s="336" t="s">
        <v>183</v>
      </c>
      <c r="C208" s="341">
        <f>W17</f>
        <v>0.224</v>
      </c>
      <c r="D208" s="342"/>
      <c r="E208" s="343"/>
      <c r="F208" s="344">
        <f>C208*F205</f>
        <v>123809.10079999999</v>
      </c>
      <c r="G208" s="269"/>
      <c r="H208" s="336" t="s">
        <v>183</v>
      </c>
      <c r="I208" s="341">
        <f>W17</f>
        <v>0.224</v>
      </c>
      <c r="J208" s="342"/>
      <c r="K208" s="343"/>
      <c r="L208" s="297">
        <f>I208*L205</f>
        <v>128579.31520000001</v>
      </c>
      <c r="N208" s="336" t="s">
        <v>183</v>
      </c>
      <c r="O208" s="341">
        <f>W17</f>
        <v>0.224</v>
      </c>
      <c r="P208" s="342"/>
      <c r="Q208" s="343"/>
      <c r="R208" s="297">
        <f>O208*R205</f>
        <v>133193.62559999997</v>
      </c>
      <c r="S208" s="298"/>
    </row>
    <row r="209" spans="2:19">
      <c r="B209" s="345" t="s">
        <v>225</v>
      </c>
      <c r="C209" s="346"/>
      <c r="D209" s="347"/>
      <c r="E209" s="348"/>
      <c r="F209" s="323">
        <f>F208+F205</f>
        <v>676528.30079999997</v>
      </c>
      <c r="G209" s="269"/>
      <c r="H209" s="345" t="s">
        <v>225</v>
      </c>
      <c r="I209" s="346"/>
      <c r="J209" s="347"/>
      <c r="K209" s="348"/>
      <c r="L209" s="323">
        <f>L208+L205</f>
        <v>702594.11520000012</v>
      </c>
      <c r="N209" s="345" t="s">
        <v>225</v>
      </c>
      <c r="O209" s="346"/>
      <c r="P209" s="347"/>
      <c r="Q209" s="348"/>
      <c r="R209" s="323">
        <f>R208+R205</f>
        <v>727808.02559999982</v>
      </c>
      <c r="S209" s="324"/>
    </row>
    <row r="210" spans="2:19">
      <c r="B210" s="349" t="s">
        <v>223</v>
      </c>
      <c r="C210" s="350"/>
      <c r="D210" s="295">
        <f>W10</f>
        <v>5963.9694954316819</v>
      </c>
      <c r="E210" s="343"/>
      <c r="F210" s="297">
        <f>D210*$E$203*$W$48</f>
        <v>79228.425348230492</v>
      </c>
      <c r="G210" s="269"/>
      <c r="H210" s="349" t="s">
        <v>223</v>
      </c>
      <c r="I210" s="350"/>
      <c r="J210" s="295">
        <f>W10</f>
        <v>5963.9694954316819</v>
      </c>
      <c r="K210" s="343"/>
      <c r="L210" s="297">
        <f>J210*$K$203*$W$49</f>
        <v>81800.776820575629</v>
      </c>
      <c r="N210" s="349" t="s">
        <v>223</v>
      </c>
      <c r="O210" s="350"/>
      <c r="P210" s="295">
        <f>W10</f>
        <v>5963.9694954316819</v>
      </c>
      <c r="Q210" s="343"/>
      <c r="R210" s="297">
        <f>P210*$Q$203*$W$50</f>
        <v>84341.173616245695</v>
      </c>
      <c r="S210" s="298"/>
    </row>
    <row r="211" spans="2:19">
      <c r="B211" s="336" t="s">
        <v>84</v>
      </c>
      <c r="C211" s="351"/>
      <c r="D211" s="295">
        <f t="shared" ref="D211:D214" si="47">W11</f>
        <v>159.61973086509079</v>
      </c>
      <c r="E211" s="352"/>
      <c r="F211" s="297">
        <f>D211*$E$203*$W$48</f>
        <v>2120.4702573741315</v>
      </c>
      <c r="G211" s="269"/>
      <c r="H211" s="336" t="s">
        <v>84</v>
      </c>
      <c r="I211" s="351"/>
      <c r="J211" s="295">
        <f t="shared" ref="J211:J214" si="48">W11</f>
        <v>159.61973086509079</v>
      </c>
      <c r="K211" s="352"/>
      <c r="L211" s="297">
        <f>J211*$K$203*$W$49</f>
        <v>2189.3166943018628</v>
      </c>
      <c r="N211" s="336" t="s">
        <v>84</v>
      </c>
      <c r="O211" s="351"/>
      <c r="P211" s="295">
        <f t="shared" ref="P211:P214" si="49">W11</f>
        <v>159.61973086509079</v>
      </c>
      <c r="Q211" s="352"/>
      <c r="R211" s="297">
        <f>P211*$Q$203*$W$50</f>
        <v>2257.3078959882564</v>
      </c>
      <c r="S211" s="298"/>
    </row>
    <row r="212" spans="2:19">
      <c r="B212" s="336" t="s">
        <v>88</v>
      </c>
      <c r="C212" s="351"/>
      <c r="D212" s="295">
        <f t="shared" si="47"/>
        <v>1056.8783932396871</v>
      </c>
      <c r="E212" s="352"/>
      <c r="F212" s="297">
        <f>D212*$E$203*$W$48</f>
        <v>14040.113878028393</v>
      </c>
      <c r="G212" s="269"/>
      <c r="H212" s="336" t="s">
        <v>88</v>
      </c>
      <c r="I212" s="351"/>
      <c r="J212" s="295">
        <f t="shared" si="48"/>
        <v>1056.8783932396871</v>
      </c>
      <c r="K212" s="352"/>
      <c r="L212" s="297">
        <f>J212*$K$203*$W$49</f>
        <v>14495.961731211131</v>
      </c>
      <c r="N212" s="336" t="s">
        <v>88</v>
      </c>
      <c r="O212" s="351"/>
      <c r="P212" s="295">
        <f t="shared" si="49"/>
        <v>1056.8783932396871</v>
      </c>
      <c r="Q212" s="352"/>
      <c r="R212" s="297">
        <f>P212*$Q$203*$W$50</f>
        <v>14946.146878143152</v>
      </c>
      <c r="S212" s="298"/>
    </row>
    <row r="213" spans="2:19">
      <c r="B213" s="336" t="s">
        <v>125</v>
      </c>
      <c r="C213" s="351"/>
      <c r="D213" s="295">
        <f t="shared" si="47"/>
        <v>1347.3502436316674</v>
      </c>
      <c r="E213" s="352"/>
      <c r="F213" s="297">
        <f>D213*$E$203*$W$48</f>
        <v>17898.890709830015</v>
      </c>
      <c r="G213" s="269"/>
      <c r="H213" s="336" t="s">
        <v>125</v>
      </c>
      <c r="I213" s="351"/>
      <c r="J213" s="295">
        <f t="shared" si="48"/>
        <v>1347.3502436316674</v>
      </c>
      <c r="K213" s="352"/>
      <c r="L213" s="297">
        <f>J213*$K$203*$W$49</f>
        <v>18480.023525084234</v>
      </c>
      <c r="N213" s="336" t="s">
        <v>125</v>
      </c>
      <c r="O213" s="351"/>
      <c r="P213" s="295">
        <f t="shared" si="49"/>
        <v>1347.3502436316674</v>
      </c>
      <c r="Q213" s="352"/>
      <c r="R213" s="297">
        <f>P213*$Q$203*$W$50</f>
        <v>19053.937299155172</v>
      </c>
      <c r="S213" s="298"/>
    </row>
    <row r="214" spans="2:19">
      <c r="B214" s="336" t="s">
        <v>129</v>
      </c>
      <c r="C214" s="366"/>
      <c r="D214" s="295">
        <f t="shared" si="47"/>
        <v>2996.7173855870574</v>
      </c>
      <c r="E214" s="367"/>
      <c r="F214" s="297">
        <f>D214*$E$203*$W$48</f>
        <v>39809.928581223139</v>
      </c>
      <c r="G214" s="269"/>
      <c r="H214" s="336" t="s">
        <v>129</v>
      </c>
      <c r="I214" s="366"/>
      <c r="J214" s="295">
        <f t="shared" si="48"/>
        <v>2996.7173855870574</v>
      </c>
      <c r="K214" s="367"/>
      <c r="L214" s="297">
        <f>J214*$K$203*$W$49</f>
        <v>41102.458729964143</v>
      </c>
      <c r="N214" s="336" t="s">
        <v>129</v>
      </c>
      <c r="O214" s="366"/>
      <c r="P214" s="295">
        <f t="shared" si="49"/>
        <v>2996.7173855870574</v>
      </c>
      <c r="Q214" s="367"/>
      <c r="R214" s="297">
        <f>P214*$Q$203*$W$50</f>
        <v>42378.932603565518</v>
      </c>
      <c r="S214" s="298"/>
    </row>
    <row r="215" spans="2:19">
      <c r="B215" s="374" t="str">
        <f>B187</f>
        <v>Flex Funding Administration</v>
      </c>
      <c r="C215" s="375"/>
      <c r="D215" s="376">
        <f>$W$15</f>
        <v>1000</v>
      </c>
      <c r="E215" s="377"/>
      <c r="F215" s="378">
        <f>D215*E203</f>
        <v>11000</v>
      </c>
      <c r="G215" s="269"/>
      <c r="H215" s="374" t="str">
        <f>H187</f>
        <v>Flex Funding Administration</v>
      </c>
      <c r="I215" s="375"/>
      <c r="J215" s="376">
        <f>$W$15</f>
        <v>1000</v>
      </c>
      <c r="K215" s="377"/>
      <c r="L215" s="378">
        <f>J215*K203</f>
        <v>11500</v>
      </c>
      <c r="N215" s="374" t="str">
        <f>N187</f>
        <v>Flex Funding Administration</v>
      </c>
      <c r="O215" s="375"/>
      <c r="P215" s="376">
        <f>$W$15</f>
        <v>1000</v>
      </c>
      <c r="Q215" s="377"/>
      <c r="R215" s="378">
        <f>P215*Q203</f>
        <v>12000</v>
      </c>
      <c r="S215" s="324"/>
    </row>
    <row r="216" spans="2:19" ht="15" thickBot="1">
      <c r="B216" s="379" t="s">
        <v>188</v>
      </c>
      <c r="C216" s="380"/>
      <c r="D216" s="381"/>
      <c r="E216" s="382"/>
      <c r="F216" s="383">
        <f>SUM(F209:F215)</f>
        <v>840626.12957468606</v>
      </c>
      <c r="G216" s="324"/>
      <c r="H216" s="379" t="s">
        <v>188</v>
      </c>
      <c r="I216" s="380"/>
      <c r="J216" s="381"/>
      <c r="K216" s="382"/>
      <c r="L216" s="383">
        <f>SUM(L209:L215)</f>
        <v>872162.65270113712</v>
      </c>
      <c r="N216" s="379" t="s">
        <v>188</v>
      </c>
      <c r="O216" s="380"/>
      <c r="P216" s="381"/>
      <c r="Q216" s="382"/>
      <c r="R216" s="383">
        <f>SUM(R209:R215)</f>
        <v>902785.52389309765</v>
      </c>
      <c r="S216" s="324"/>
    </row>
    <row r="217" spans="2:19" ht="15" thickTop="1">
      <c r="B217" s="368" t="s">
        <v>227</v>
      </c>
      <c r="C217" s="384">
        <f>C189</f>
        <v>0.12</v>
      </c>
      <c r="D217" s="332"/>
      <c r="E217" s="335"/>
      <c r="F217" s="334">
        <f>C217*F216</f>
        <v>100875.13554896232</v>
      </c>
      <c r="G217" s="324"/>
      <c r="H217" s="368" t="s">
        <v>227</v>
      </c>
      <c r="I217" s="384">
        <f>I189</f>
        <v>0.12</v>
      </c>
      <c r="J217" s="332"/>
      <c r="K217" s="335"/>
      <c r="L217" s="334">
        <f>I217*L216</f>
        <v>104659.51832413646</v>
      </c>
      <c r="N217" s="368" t="s">
        <v>227</v>
      </c>
      <c r="O217" s="384">
        <f>O189</f>
        <v>0.12</v>
      </c>
      <c r="P217" s="332"/>
      <c r="Q217" s="335"/>
      <c r="R217" s="334">
        <f>O217*R216</f>
        <v>108334.26286717171</v>
      </c>
      <c r="S217" s="324"/>
    </row>
    <row r="218" spans="2:19">
      <c r="B218" s="368" t="s">
        <v>61</v>
      </c>
      <c r="C218" s="384">
        <f>C190</f>
        <v>3.7000000000000002E-3</v>
      </c>
      <c r="D218" s="332"/>
      <c r="E218" s="335"/>
      <c r="F218" s="334">
        <f>C218*F205</f>
        <v>2045.0610399999998</v>
      </c>
      <c r="G218" s="324"/>
      <c r="H218" s="368" t="s">
        <v>61</v>
      </c>
      <c r="I218" s="384">
        <f>I190</f>
        <v>3.7000000000000002E-3</v>
      </c>
      <c r="J218" s="332"/>
      <c r="K218" s="335"/>
      <c r="L218" s="334">
        <f>I218*L205</f>
        <v>2123.8547600000002</v>
      </c>
      <c r="N218" s="368" t="s">
        <v>61</v>
      </c>
      <c r="O218" s="384">
        <f>O190</f>
        <v>3.7000000000000002E-3</v>
      </c>
      <c r="P218" s="332"/>
      <c r="Q218" s="335"/>
      <c r="R218" s="334">
        <f>O218*R205</f>
        <v>2200.0732799999996</v>
      </c>
      <c r="S218" s="324"/>
    </row>
    <row r="219" spans="2:19" ht="15" thickBot="1">
      <c r="B219" s="368"/>
      <c r="C219" s="384"/>
      <c r="D219" s="332"/>
      <c r="E219" s="335"/>
      <c r="F219" s="392">
        <f>C219*(F210+F211+F212+F213+F214)</f>
        <v>0</v>
      </c>
      <c r="G219" s="324"/>
      <c r="H219" s="368"/>
      <c r="I219" s="384"/>
      <c r="J219" s="332"/>
      <c r="K219" s="335"/>
      <c r="L219" s="392">
        <f>I219*(L210+L211+L212+L213+L214)</f>
        <v>0</v>
      </c>
      <c r="N219" s="368"/>
      <c r="O219" s="384"/>
      <c r="P219" s="332"/>
      <c r="Q219" s="335"/>
      <c r="R219" s="392">
        <f>O219*(R210+R211+R212+R213+R214)</f>
        <v>0</v>
      </c>
      <c r="S219" s="393"/>
    </row>
    <row r="220" spans="2:19">
      <c r="B220" s="368"/>
      <c r="C220" s="384"/>
      <c r="D220" s="332"/>
      <c r="E220" s="335"/>
      <c r="F220" s="394">
        <f>SUM(F216:F219)</f>
        <v>943546.32616364828</v>
      </c>
      <c r="G220" s="324"/>
      <c r="H220" s="368"/>
      <c r="I220" s="384"/>
      <c r="J220" s="332"/>
      <c r="K220" s="335"/>
      <c r="L220" s="394">
        <f>SUM(L216:L219)</f>
        <v>978946.02578527364</v>
      </c>
      <c r="N220" s="368"/>
      <c r="O220" s="384"/>
      <c r="P220" s="332"/>
      <c r="Q220" s="335"/>
      <c r="R220" s="394">
        <f>SUM(R216:R219)</f>
        <v>1013319.8600402693</v>
      </c>
      <c r="S220" s="393"/>
    </row>
    <row r="221" spans="2:19">
      <c r="B221" s="282" t="s">
        <v>189</v>
      </c>
      <c r="C221" s="384">
        <f>$W$21</f>
        <v>1.0633805350099574E-2</v>
      </c>
      <c r="D221" s="332"/>
      <c r="E221" s="335"/>
      <c r="F221" s="394">
        <f>C221*F220</f>
        <v>10033.487971225801</v>
      </c>
      <c r="G221" s="324"/>
      <c r="H221" s="282" t="s">
        <v>189</v>
      </c>
      <c r="I221" s="384">
        <f>$W$21</f>
        <v>1.0633805350099574E-2</v>
      </c>
      <c r="J221" s="332"/>
      <c r="K221" s="335"/>
      <c r="L221" s="394">
        <f>I221*L220</f>
        <v>10409.921486454159</v>
      </c>
      <c r="N221" s="282" t="s">
        <v>189</v>
      </c>
      <c r="O221" s="384">
        <f>$W$21</f>
        <v>1.0633805350099574E-2</v>
      </c>
      <c r="P221" s="332"/>
      <c r="Q221" s="335"/>
      <c r="R221" s="394">
        <f>O221*R220</f>
        <v>10775.446149058367</v>
      </c>
      <c r="S221" s="393"/>
    </row>
    <row r="222" spans="2:19" ht="15" thickBot="1">
      <c r="B222" s="349"/>
      <c r="C222" s="350"/>
      <c r="D222" s="332"/>
      <c r="E222" s="335"/>
      <c r="F222" s="383">
        <f>SUM(F220:F221)</f>
        <v>953579.81413487403</v>
      </c>
      <c r="G222" s="324"/>
      <c r="H222" s="349"/>
      <c r="I222" s="350"/>
      <c r="J222" s="332"/>
      <c r="K222" s="335"/>
      <c r="L222" s="383">
        <f>SUM(L220:L221)</f>
        <v>989355.94727172784</v>
      </c>
      <c r="N222" s="349"/>
      <c r="O222" s="350"/>
      <c r="P222" s="332"/>
      <c r="Q222" s="335"/>
      <c r="R222" s="383">
        <f>SUM(R220:R221)</f>
        <v>1024095.3061893277</v>
      </c>
      <c r="S222" s="324"/>
    </row>
    <row r="223" spans="2:19" ht="15.6" thickTop="1" thickBot="1">
      <c r="B223" s="282"/>
      <c r="C223" s="384"/>
      <c r="D223" s="332"/>
      <c r="E223" s="335"/>
      <c r="F223" s="411"/>
      <c r="G223" s="324"/>
      <c r="H223" s="282"/>
      <c r="I223" s="384"/>
      <c r="J223" s="332"/>
      <c r="K223" s="335"/>
      <c r="L223" s="411"/>
      <c r="N223" s="282"/>
      <c r="O223" s="384"/>
      <c r="P223" s="332"/>
      <c r="Q223" s="335"/>
      <c r="R223" s="411"/>
      <c r="S223" s="324"/>
    </row>
    <row r="224" spans="2:19" ht="15.6" thickTop="1" thickBot="1">
      <c r="B224" s="418" t="s">
        <v>237</v>
      </c>
      <c r="C224" s="419"/>
      <c r="D224" s="419"/>
      <c r="E224" s="419"/>
      <c r="F224" s="421">
        <f>F222/12</f>
        <v>79464.984511239498</v>
      </c>
      <c r="G224" s="324"/>
      <c r="H224" s="418" t="s">
        <v>237</v>
      </c>
      <c r="I224" s="419"/>
      <c r="J224" s="419"/>
      <c r="K224" s="419"/>
      <c r="L224" s="421">
        <f>L222/12</f>
        <v>82446.328939310653</v>
      </c>
      <c r="N224" s="418" t="s">
        <v>237</v>
      </c>
      <c r="O224" s="419"/>
      <c r="P224" s="419"/>
      <c r="Q224" s="419"/>
      <c r="R224" s="421">
        <f>R222/12</f>
        <v>85341.275515777306</v>
      </c>
      <c r="S224" s="393"/>
    </row>
    <row r="225" spans="6:19" ht="15" thickBot="1">
      <c r="F225" s="493"/>
      <c r="G225" s="393"/>
      <c r="H225" s="494"/>
      <c r="I225" s="494"/>
      <c r="J225" s="494"/>
      <c r="K225" s="494"/>
      <c r="L225" s="493"/>
      <c r="M225" s="494"/>
      <c r="N225" s="494"/>
      <c r="O225" s="494"/>
      <c r="P225" s="494"/>
      <c r="Q225" s="494"/>
      <c r="R225" s="495"/>
      <c r="S225" s="496"/>
    </row>
    <row r="226" spans="6:19">
      <c r="F226" s="491"/>
      <c r="G226" s="491"/>
      <c r="H226" s="491"/>
      <c r="I226" s="491"/>
      <c r="J226" s="491"/>
      <c r="K226" s="491"/>
      <c r="L226" s="491"/>
      <c r="M226" s="491"/>
      <c r="N226" s="491"/>
      <c r="O226" s="491"/>
      <c r="P226" s="491"/>
      <c r="Q226" s="491"/>
      <c r="R226" s="491"/>
      <c r="S226" s="430"/>
    </row>
    <row r="227" spans="6:19">
      <c r="F227" s="269"/>
      <c r="G227" s="324"/>
    </row>
    <row r="228" spans="6:19">
      <c r="F228" s="269"/>
      <c r="G228" s="324"/>
    </row>
    <row r="229" spans="6:19">
      <c r="F229" s="269"/>
      <c r="G229" s="324"/>
    </row>
    <row r="230" spans="6:19">
      <c r="F230" s="269"/>
      <c r="G230" s="324"/>
    </row>
    <row r="231" spans="6:19">
      <c r="F231" s="269"/>
    </row>
    <row r="232" spans="6:19">
      <c r="F232" s="269"/>
    </row>
    <row r="233" spans="6:19">
      <c r="F233" s="269"/>
      <c r="G233" s="277"/>
    </row>
    <row r="234" spans="6:19">
      <c r="F234" s="269"/>
      <c r="G234" s="497"/>
    </row>
    <row r="235" spans="6:19">
      <c r="F235" s="269"/>
      <c r="G235" s="287"/>
    </row>
    <row r="236" spans="6:19">
      <c r="F236" s="269"/>
      <c r="G236" s="298"/>
    </row>
    <row r="237" spans="6:19">
      <c r="F237" s="269"/>
      <c r="G237" s="298"/>
    </row>
    <row r="238" spans="6:19">
      <c r="F238" s="269"/>
      <c r="G238" s="324"/>
    </row>
    <row r="239" spans="6:19">
      <c r="F239" s="269"/>
      <c r="G239" s="324"/>
    </row>
    <row r="240" spans="6:19">
      <c r="F240" s="269"/>
      <c r="G240" s="298"/>
    </row>
    <row r="241" spans="6:11">
      <c r="F241" s="269"/>
      <c r="G241" s="324"/>
    </row>
    <row r="242" spans="6:11">
      <c r="F242" s="269"/>
      <c r="G242" s="298"/>
    </row>
    <row r="243" spans="6:11">
      <c r="F243" s="269"/>
      <c r="G243" s="298"/>
    </row>
    <row r="244" spans="6:11">
      <c r="F244" s="269"/>
      <c r="G244" s="298"/>
    </row>
    <row r="245" spans="6:11">
      <c r="G245" s="298"/>
    </row>
    <row r="246" spans="6:11">
      <c r="G246" s="324"/>
    </row>
    <row r="247" spans="6:11">
      <c r="G247" s="324"/>
      <c r="K247" s="498"/>
    </row>
    <row r="248" spans="6:11">
      <c r="G248" s="298"/>
    </row>
    <row r="249" spans="6:11">
      <c r="G249" s="324"/>
    </row>
    <row r="250" spans="6:11">
      <c r="G250" s="324"/>
    </row>
    <row r="251" spans="6:11">
      <c r="G251" s="324"/>
    </row>
    <row r="252" spans="6:11">
      <c r="G252" s="324"/>
    </row>
    <row r="255" spans="6:11">
      <c r="G255" s="277"/>
    </row>
    <row r="256" spans="6:11">
      <c r="G256" s="497"/>
    </row>
    <row r="257" spans="7:12">
      <c r="G257" s="287"/>
    </row>
    <row r="258" spans="7:12">
      <c r="G258" s="298"/>
    </row>
    <row r="259" spans="7:12">
      <c r="G259" s="298"/>
    </row>
    <row r="260" spans="7:12">
      <c r="G260" s="324"/>
    </row>
    <row r="261" spans="7:12">
      <c r="G261" s="324"/>
    </row>
    <row r="262" spans="7:12">
      <c r="G262" s="298"/>
    </row>
    <row r="263" spans="7:12">
      <c r="G263" s="324"/>
    </row>
    <row r="264" spans="7:12">
      <c r="G264" s="298"/>
    </row>
    <row r="265" spans="7:12">
      <c r="G265" s="298"/>
    </row>
    <row r="266" spans="7:12">
      <c r="G266" s="298"/>
    </row>
    <row r="267" spans="7:12">
      <c r="G267" s="298"/>
    </row>
    <row r="268" spans="7:12">
      <c r="G268" s="324"/>
    </row>
    <row r="269" spans="7:12" ht="15" thickBot="1">
      <c r="G269" s="324"/>
    </row>
    <row r="270" spans="7:12">
      <c r="G270" s="298"/>
      <c r="H270" s="274" t="s">
        <v>264</v>
      </c>
      <c r="I270" s="275"/>
      <c r="J270" s="275"/>
      <c r="K270" s="275"/>
      <c r="L270" s="276"/>
    </row>
    <row r="271" spans="7:12" ht="28.8">
      <c r="G271" s="324"/>
      <c r="H271" s="282"/>
      <c r="I271" s="499" t="s">
        <v>214</v>
      </c>
      <c r="J271" s="332" t="s">
        <v>172</v>
      </c>
      <c r="K271" s="340" t="s">
        <v>216</v>
      </c>
      <c r="L271" s="334" t="s">
        <v>174</v>
      </c>
    </row>
    <row r="272" spans="7:12">
      <c r="G272" s="324"/>
      <c r="H272" s="294" t="s">
        <v>265</v>
      </c>
      <c r="I272" s="295"/>
      <c r="J272" s="295">
        <f t="shared" ref="J272:J273" si="50">W6</f>
        <v>69600</v>
      </c>
      <c r="K272" s="500">
        <f>V44</f>
        <v>0.81</v>
      </c>
      <c r="L272" s="297">
        <f>J272*K272</f>
        <v>56376.000000000007</v>
      </c>
    </row>
    <row r="273" spans="7:12">
      <c r="G273" s="324"/>
      <c r="H273" s="305" t="s">
        <v>245</v>
      </c>
      <c r="I273" s="306"/>
      <c r="J273" s="295">
        <f t="shared" si="50"/>
        <v>45375.199999999997</v>
      </c>
      <c r="K273" s="501">
        <f>U44</f>
        <v>9</v>
      </c>
      <c r="L273" s="378">
        <f>J273*K273</f>
        <v>408376.8</v>
      </c>
    </row>
    <row r="274" spans="7:12">
      <c r="G274" s="324"/>
      <c r="H274" s="319" t="s">
        <v>266</v>
      </c>
      <c r="I274" s="320"/>
      <c r="J274" s="321"/>
      <c r="K274" s="502">
        <v>9.81</v>
      </c>
      <c r="L274" s="323">
        <f>SUM(L272:L273)</f>
        <v>464752.8</v>
      </c>
    </row>
    <row r="275" spans="7:12">
      <c r="H275" s="282"/>
      <c r="I275" s="331"/>
      <c r="J275" s="332"/>
      <c r="K275" s="335"/>
      <c r="L275" s="334"/>
    </row>
    <row r="276" spans="7:12">
      <c r="H276" s="282" t="s">
        <v>224</v>
      </c>
      <c r="I276" s="331"/>
      <c r="J276" s="332"/>
      <c r="K276" s="340"/>
      <c r="L276" s="334"/>
    </row>
    <row r="277" spans="7:12">
      <c r="G277" s="277"/>
      <c r="H277" s="336" t="s">
        <v>183</v>
      </c>
      <c r="I277" s="503">
        <f>W17</f>
        <v>0.224</v>
      </c>
      <c r="J277" s="342"/>
      <c r="K277" s="343"/>
      <c r="L277" s="297">
        <f>I277*L274</f>
        <v>104104.6272</v>
      </c>
    </row>
    <row r="278" spans="7:12">
      <c r="G278" s="497"/>
      <c r="H278" s="345" t="s">
        <v>225</v>
      </c>
      <c r="I278" s="346">
        <v>0.75490568426383098</v>
      </c>
      <c r="J278" s="347"/>
      <c r="K278" s="348"/>
      <c r="L278" s="323">
        <f>L277+L274</f>
        <v>568857.42720000003</v>
      </c>
    </row>
    <row r="279" spans="7:12">
      <c r="G279" s="287"/>
      <c r="H279" s="349"/>
      <c r="I279" s="350"/>
      <c r="J279" s="295"/>
      <c r="K279" s="343"/>
      <c r="L279" s="297"/>
    </row>
    <row r="280" spans="7:12">
      <c r="G280" s="298"/>
      <c r="H280" s="336" t="s">
        <v>223</v>
      </c>
      <c r="I280" s="351">
        <v>7.4271004768536111E-2</v>
      </c>
      <c r="J280" s="295"/>
      <c r="K280" s="352"/>
      <c r="L280" s="297">
        <v>51247</v>
      </c>
    </row>
    <row r="281" spans="7:12">
      <c r="G281" s="298"/>
      <c r="H281" s="336" t="s">
        <v>267</v>
      </c>
      <c r="I281" s="351">
        <v>6.6843904291682493E-2</v>
      </c>
      <c r="J281" s="295"/>
      <c r="K281" s="352"/>
      <c r="L281" s="297">
        <v>46123</v>
      </c>
    </row>
    <row r="282" spans="7:12">
      <c r="G282" s="324"/>
      <c r="H282" s="336" t="s">
        <v>206</v>
      </c>
      <c r="I282" s="351">
        <v>2.228130143056083E-2</v>
      </c>
      <c r="J282" s="295"/>
      <c r="K282" s="352"/>
      <c r="L282" s="297">
        <v>15374</v>
      </c>
    </row>
    <row r="283" spans="7:12">
      <c r="G283" s="324"/>
      <c r="H283" s="336" t="s">
        <v>227</v>
      </c>
      <c r="I283" s="366">
        <v>8.1698105245389729E-2</v>
      </c>
      <c r="J283" s="504"/>
      <c r="K283" s="367"/>
      <c r="L283" s="297">
        <v>56372</v>
      </c>
    </row>
    <row r="284" spans="7:12">
      <c r="G284" s="298"/>
      <c r="H284" s="505" t="s">
        <v>268</v>
      </c>
      <c r="I284" s="375">
        <v>0.24509431573616919</v>
      </c>
      <c r="J284" s="506"/>
      <c r="K284" s="377"/>
      <c r="L284" s="507">
        <f>SUM(L280:L283)</f>
        <v>169116</v>
      </c>
    </row>
    <row r="285" spans="7:12" ht="15" thickBot="1">
      <c r="G285" s="324"/>
      <c r="H285" s="379" t="s">
        <v>188</v>
      </c>
      <c r="I285" s="380"/>
      <c r="J285" s="381"/>
      <c r="K285" s="382"/>
      <c r="L285" s="383">
        <f>L278+L284</f>
        <v>737973.42720000003</v>
      </c>
    </row>
    <row r="286" spans="7:12" ht="15.6" thickTop="1" thickBot="1">
      <c r="G286" s="298"/>
      <c r="H286" s="418" t="s">
        <v>237</v>
      </c>
      <c r="I286" s="419"/>
      <c r="J286" s="419"/>
      <c r="K286" s="419"/>
      <c r="L286" s="508">
        <f>L285/12</f>
        <v>61497.785600000003</v>
      </c>
    </row>
    <row r="287" spans="7:12" ht="15" thickBot="1">
      <c r="G287" s="298"/>
      <c r="H287" s="509"/>
      <c r="I287" s="510"/>
      <c r="J287" s="511"/>
      <c r="K287" s="511"/>
      <c r="L287" s="512"/>
    </row>
    <row r="288" spans="7:12" ht="15" thickBot="1">
      <c r="G288" s="298"/>
      <c r="H288" s="513"/>
      <c r="I288" s="514"/>
      <c r="J288" s="515"/>
      <c r="K288" s="515"/>
      <c r="L288" s="516"/>
    </row>
    <row r="289" spans="7:12" ht="15" thickBot="1">
      <c r="G289" s="298"/>
      <c r="H289" s="517" t="str">
        <f>X21</f>
        <v>Prospective rate period: 1/1/22-12/31/23</v>
      </c>
      <c r="I289" s="518">
        <f>W21</f>
        <v>1.0633805350099574E-2</v>
      </c>
      <c r="J289" s="519"/>
      <c r="K289" s="520"/>
      <c r="L289" s="521">
        <f>(L286*I289)+L286</f>
        <v>62151.741081532557</v>
      </c>
    </row>
    <row r="290" spans="7:12">
      <c r="G290" s="324"/>
      <c r="L290" s="522">
        <v>58943</v>
      </c>
    </row>
    <row r="291" spans="7:12">
      <c r="G291" s="324"/>
    </row>
    <row r="292" spans="7:12">
      <c r="G292" s="298"/>
    </row>
    <row r="293" spans="7:12">
      <c r="G293" s="324"/>
    </row>
    <row r="294" spans="7:12">
      <c r="G294" s="324"/>
    </row>
    <row r="295" spans="7:12">
      <c r="G295" s="324"/>
    </row>
    <row r="296" spans="7:12">
      <c r="G296" s="324"/>
    </row>
    <row r="299" spans="7:12">
      <c r="G299" s="277"/>
    </row>
    <row r="300" spans="7:12">
      <c r="G300" s="497"/>
    </row>
    <row r="301" spans="7:12">
      <c r="G301" s="287"/>
    </row>
    <row r="302" spans="7:12">
      <c r="G302" s="298"/>
    </row>
    <row r="303" spans="7:12">
      <c r="G303" s="298"/>
    </row>
    <row r="304" spans="7:12">
      <c r="G304" s="324"/>
    </row>
    <row r="305" spans="7:7">
      <c r="G305" s="324"/>
    </row>
    <row r="306" spans="7:7">
      <c r="G306" s="298"/>
    </row>
    <row r="307" spans="7:7">
      <c r="G307" s="324"/>
    </row>
    <row r="308" spans="7:7">
      <c r="G308" s="298"/>
    </row>
    <row r="309" spans="7:7">
      <c r="G309" s="298"/>
    </row>
    <row r="310" spans="7:7">
      <c r="G310" s="298"/>
    </row>
    <row r="311" spans="7:7">
      <c r="G311" s="298"/>
    </row>
    <row r="312" spans="7:7">
      <c r="G312" s="324"/>
    </row>
    <row r="313" spans="7:7">
      <c r="G313" s="324"/>
    </row>
    <row r="314" spans="7:7">
      <c r="G314" s="298"/>
    </row>
    <row r="315" spans="7:7">
      <c r="G315" s="324"/>
    </row>
    <row r="316" spans="7:7">
      <c r="G316" s="324"/>
    </row>
    <row r="317" spans="7:7">
      <c r="G317" s="324"/>
    </row>
    <row r="318" spans="7:7">
      <c r="G318" s="324"/>
    </row>
    <row r="321" spans="7:7">
      <c r="G321" s="277"/>
    </row>
    <row r="322" spans="7:7">
      <c r="G322" s="497"/>
    </row>
    <row r="323" spans="7:7">
      <c r="G323" s="287"/>
    </row>
    <row r="324" spans="7:7">
      <c r="G324" s="298"/>
    </row>
    <row r="325" spans="7:7">
      <c r="G325" s="298"/>
    </row>
    <row r="326" spans="7:7">
      <c r="G326" s="324"/>
    </row>
    <row r="327" spans="7:7">
      <c r="G327" s="324"/>
    </row>
    <row r="328" spans="7:7">
      <c r="G328" s="298"/>
    </row>
    <row r="329" spans="7:7">
      <c r="G329" s="324"/>
    </row>
    <row r="330" spans="7:7">
      <c r="G330" s="298"/>
    </row>
    <row r="331" spans="7:7">
      <c r="G331" s="298"/>
    </row>
    <row r="332" spans="7:7">
      <c r="G332" s="298"/>
    </row>
    <row r="333" spans="7:7">
      <c r="G333" s="298"/>
    </row>
    <row r="334" spans="7:7">
      <c r="G334" s="324"/>
    </row>
    <row r="335" spans="7:7">
      <c r="G335" s="324"/>
    </row>
    <row r="336" spans="7:7">
      <c r="G336" s="298"/>
    </row>
    <row r="337" spans="7:7">
      <c r="G337" s="324"/>
    </row>
    <row r="338" spans="7:7">
      <c r="G338" s="324"/>
    </row>
    <row r="339" spans="7:7">
      <c r="G339" s="324"/>
    </row>
    <row r="340" spans="7:7">
      <c r="G340" s="324"/>
    </row>
  </sheetData>
  <mergeCells count="48">
    <mergeCell ref="H270:L270"/>
    <mergeCell ref="B172:F172"/>
    <mergeCell ref="H172:L172"/>
    <mergeCell ref="N172:R172"/>
    <mergeCell ref="B200:F200"/>
    <mergeCell ref="H200:L200"/>
    <mergeCell ref="N200:R200"/>
    <mergeCell ref="B116:F116"/>
    <mergeCell ref="H116:L116"/>
    <mergeCell ref="N116:R116"/>
    <mergeCell ref="B144:F144"/>
    <mergeCell ref="H144:L144"/>
    <mergeCell ref="N144:R144"/>
    <mergeCell ref="T46:T50"/>
    <mergeCell ref="AE57:AF57"/>
    <mergeCell ref="B60:F60"/>
    <mergeCell ref="H60:L60"/>
    <mergeCell ref="N60:R60"/>
    <mergeCell ref="B88:F88"/>
    <mergeCell ref="H88:L88"/>
    <mergeCell ref="N88:R88"/>
    <mergeCell ref="T27:T30"/>
    <mergeCell ref="T31:T37"/>
    <mergeCell ref="B32:F32"/>
    <mergeCell ref="H32:L32"/>
    <mergeCell ref="N32:R32"/>
    <mergeCell ref="T38:T45"/>
    <mergeCell ref="T24:T26"/>
    <mergeCell ref="U24:W24"/>
    <mergeCell ref="X24:Y24"/>
    <mergeCell ref="Z24:Z26"/>
    <mergeCell ref="U25:U26"/>
    <mergeCell ref="V25:V26"/>
    <mergeCell ref="W25:W26"/>
    <mergeCell ref="X25:X26"/>
    <mergeCell ref="Y25:Y26"/>
    <mergeCell ref="X10:AB10"/>
    <mergeCell ref="X11:AB11"/>
    <mergeCell ref="X12:AB12"/>
    <mergeCell ref="X13:AB13"/>
    <mergeCell ref="X14:AB14"/>
    <mergeCell ref="X15:AB15"/>
    <mergeCell ref="R1:W2"/>
    <mergeCell ref="B4:F4"/>
    <mergeCell ref="H4:L4"/>
    <mergeCell ref="N4:R4"/>
    <mergeCell ref="U4:AB4"/>
    <mergeCell ref="X5:AB5"/>
  </mergeCells>
  <pageMargins left="0.2" right="0.2" top="0.2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70" zoomScaleNormal="70" workbookViewId="0">
      <selection activeCell="W17" sqref="W17"/>
    </sheetView>
  </sheetViews>
  <sheetFormatPr defaultColWidth="9.109375" defaultRowHeight="14.4"/>
  <cols>
    <col min="1" max="1" width="9.109375" style="460"/>
    <col min="2" max="2" width="27.5546875" style="460" customWidth="1"/>
    <col min="3" max="3" width="11.44140625" style="460" customWidth="1"/>
    <col min="4" max="4" width="11" style="460" customWidth="1"/>
    <col min="5" max="5" width="12.6640625" style="460" customWidth="1"/>
    <col min="6" max="6" width="11.5546875" style="460" customWidth="1"/>
    <col min="7" max="7" width="17.88671875" style="460" customWidth="1"/>
    <col min="8" max="8" width="3.5546875" style="460" customWidth="1"/>
    <col min="9" max="9" width="29.88671875" style="460" customWidth="1"/>
    <col min="10" max="10" width="10.88671875" style="460" customWidth="1"/>
    <col min="11" max="11" width="5.44140625" style="460" customWidth="1"/>
    <col min="12" max="12" width="12.109375" style="460" customWidth="1"/>
    <col min="13" max="13" width="7.88671875" style="460" bestFit="1" customWidth="1"/>
    <col min="14" max="14" width="12" style="460" customWidth="1"/>
    <col min="15" max="15" width="29.6640625" style="460" bestFit="1" customWidth="1"/>
    <col min="16" max="16" width="10.5546875" style="460" customWidth="1"/>
    <col min="17" max="17" width="4.6640625" style="460" bestFit="1" customWidth="1"/>
    <col min="18" max="18" width="10.77734375" style="659" customWidth="1"/>
    <col min="19" max="19" width="10.109375" style="460" customWidth="1"/>
    <col min="20" max="20" width="11.6640625" style="460" customWidth="1"/>
    <col min="21" max="16384" width="9.109375" style="460"/>
  </cols>
  <sheetData>
    <row r="1" spans="1:20">
      <c r="A1" s="457"/>
      <c r="B1" s="457"/>
      <c r="C1" s="457"/>
      <c r="D1" s="457"/>
      <c r="E1" s="523" t="s">
        <v>269</v>
      </c>
      <c r="F1" s="523"/>
      <c r="G1" s="523"/>
      <c r="H1" s="457"/>
      <c r="I1" s="457"/>
      <c r="J1" s="457"/>
      <c r="K1" s="524"/>
      <c r="L1" s="524"/>
      <c r="M1" s="525"/>
      <c r="N1" s="526"/>
      <c r="O1" s="457"/>
      <c r="P1" s="457"/>
      <c r="Q1" s="457"/>
      <c r="R1" s="457"/>
      <c r="S1" s="527"/>
      <c r="T1" s="457"/>
    </row>
    <row r="2" spans="1:20" ht="15" thickBot="1">
      <c r="A2" s="457"/>
      <c r="B2" s="528">
        <v>43633</v>
      </c>
      <c r="C2" s="457"/>
      <c r="D2" s="457"/>
      <c r="E2" s="529"/>
      <c r="F2" s="529"/>
      <c r="G2" s="529"/>
      <c r="H2" s="457"/>
      <c r="I2" s="524"/>
      <c r="J2" s="524"/>
      <c r="K2" s="525"/>
      <c r="L2" s="526"/>
      <c r="M2" s="526"/>
      <c r="N2" s="457"/>
      <c r="O2" s="457"/>
      <c r="P2" s="457"/>
      <c r="Q2" s="527"/>
      <c r="R2" s="457"/>
      <c r="S2" s="457"/>
      <c r="T2" s="457"/>
    </row>
    <row r="3" spans="1:20" ht="15" thickBot="1">
      <c r="A3" s="457"/>
      <c r="B3" s="530" t="s">
        <v>270</v>
      </c>
      <c r="C3" s="531"/>
      <c r="D3" s="531"/>
      <c r="E3" s="531"/>
      <c r="F3" s="531"/>
      <c r="G3" s="532"/>
      <c r="H3" s="457"/>
      <c r="I3" s="533" t="s">
        <v>271</v>
      </c>
      <c r="J3" s="534"/>
      <c r="K3" s="534"/>
      <c r="L3" s="535"/>
      <c r="M3" s="457"/>
      <c r="N3" s="457"/>
      <c r="O3" s="533" t="s">
        <v>272</v>
      </c>
      <c r="P3" s="534"/>
      <c r="Q3" s="534"/>
      <c r="R3" s="535"/>
      <c r="S3" s="536"/>
      <c r="T3" s="457"/>
    </row>
    <row r="4" spans="1:20">
      <c r="A4" s="457"/>
      <c r="B4" s="537" t="s">
        <v>273</v>
      </c>
      <c r="C4" s="538"/>
      <c r="D4" s="539" t="s">
        <v>274</v>
      </c>
      <c r="E4" s="540"/>
      <c r="F4" s="540"/>
      <c r="G4" s="541"/>
      <c r="H4" s="457"/>
      <c r="I4" s="542" t="s">
        <v>275</v>
      </c>
      <c r="J4" s="543" t="s">
        <v>276</v>
      </c>
      <c r="K4" s="543"/>
      <c r="L4" s="544">
        <f>G36</f>
        <v>2720</v>
      </c>
      <c r="M4" s="457"/>
      <c r="N4" s="457"/>
      <c r="O4" s="542" t="s">
        <v>277</v>
      </c>
      <c r="P4" s="543" t="s">
        <v>276</v>
      </c>
      <c r="Q4" s="543"/>
      <c r="R4" s="544">
        <v>5</v>
      </c>
      <c r="S4" s="457"/>
      <c r="T4" s="457"/>
    </row>
    <row r="5" spans="1:20">
      <c r="A5" s="457"/>
      <c r="B5" s="545" t="s">
        <v>85</v>
      </c>
      <c r="C5" s="546">
        <f>'Master Look Up'!N18</f>
        <v>69600</v>
      </c>
      <c r="D5" s="547" t="s">
        <v>220</v>
      </c>
      <c r="E5" s="548"/>
      <c r="F5" s="548"/>
      <c r="G5" s="549"/>
      <c r="H5" s="457"/>
      <c r="I5" s="550" t="s">
        <v>3</v>
      </c>
      <c r="J5" s="551" t="s">
        <v>172</v>
      </c>
      <c r="K5" s="551" t="s">
        <v>216</v>
      </c>
      <c r="L5" s="552" t="s">
        <v>174</v>
      </c>
      <c r="M5" s="457"/>
      <c r="N5" s="457"/>
      <c r="O5" s="550" t="s">
        <v>3</v>
      </c>
      <c r="P5" s="551" t="s">
        <v>172</v>
      </c>
      <c r="Q5" s="551" t="s">
        <v>216</v>
      </c>
      <c r="R5" s="552" t="s">
        <v>174</v>
      </c>
      <c r="S5" s="457"/>
      <c r="T5" s="457"/>
    </row>
    <row r="6" spans="1:20">
      <c r="A6" s="457"/>
      <c r="B6" s="545" t="s">
        <v>278</v>
      </c>
      <c r="C6" s="546">
        <f>'Master Look Up'!N7</f>
        <v>45375.199999999997</v>
      </c>
      <c r="D6" s="547" t="s">
        <v>279</v>
      </c>
      <c r="E6" s="548"/>
      <c r="F6" s="548"/>
      <c r="G6" s="549"/>
      <c r="H6" s="457"/>
      <c r="I6" s="553" t="s">
        <v>85</v>
      </c>
      <c r="J6" s="554">
        <f>C5</f>
        <v>69600</v>
      </c>
      <c r="K6" s="555">
        <f>C9</f>
        <v>0.08</v>
      </c>
      <c r="L6" s="556">
        <f>J6*K6</f>
        <v>5568</v>
      </c>
      <c r="M6" s="457"/>
      <c r="N6" s="457"/>
      <c r="O6" s="553" t="str">
        <f t="shared" ref="O6:P8" si="0">B5</f>
        <v>Program Director</v>
      </c>
      <c r="P6" s="554">
        <f t="shared" si="0"/>
        <v>69600</v>
      </c>
      <c r="Q6" s="555">
        <f>C9</f>
        <v>0.08</v>
      </c>
      <c r="R6" s="556">
        <f>Q6*P6</f>
        <v>5568</v>
      </c>
      <c r="S6" s="457"/>
      <c r="T6" s="457"/>
    </row>
    <row r="7" spans="1:20">
      <c r="A7" s="457"/>
      <c r="B7" s="545" t="s">
        <v>95</v>
      </c>
      <c r="C7" s="546">
        <f>'Master Look Up'!N9</f>
        <v>34927.359999999993</v>
      </c>
      <c r="D7" s="547" t="s">
        <v>170</v>
      </c>
      <c r="G7" s="557"/>
      <c r="H7" s="457"/>
      <c r="I7" s="553" t="str">
        <f>B6</f>
        <v>Family Navigator</v>
      </c>
      <c r="J7" s="554">
        <f>C6</f>
        <v>45375.199999999997</v>
      </c>
      <c r="K7" s="555">
        <f>C10</f>
        <v>2</v>
      </c>
      <c r="L7" s="556">
        <f>J7*K7</f>
        <v>90750.399999999994</v>
      </c>
      <c r="M7" s="457"/>
      <c r="N7" s="457"/>
      <c r="O7" s="553" t="str">
        <f t="shared" si="0"/>
        <v>Family Navigator</v>
      </c>
      <c r="P7" s="554">
        <f t="shared" si="0"/>
        <v>45375.199999999997</v>
      </c>
      <c r="Q7" s="555">
        <f>C10</f>
        <v>2</v>
      </c>
      <c r="R7" s="556">
        <f>Q7*P7</f>
        <v>90750.399999999994</v>
      </c>
      <c r="S7" s="457"/>
      <c r="T7" s="457"/>
    </row>
    <row r="8" spans="1:20">
      <c r="A8" s="457"/>
      <c r="B8" s="558" t="s">
        <v>280</v>
      </c>
      <c r="C8" s="559"/>
      <c r="D8" s="560"/>
      <c r="E8" s="561"/>
      <c r="F8" s="561"/>
      <c r="G8" s="562"/>
      <c r="H8" s="457"/>
      <c r="I8" s="553" t="str">
        <f>B7</f>
        <v>Clerical</v>
      </c>
      <c r="J8" s="554">
        <f>C7</f>
        <v>34927.359999999993</v>
      </c>
      <c r="K8" s="555">
        <v>0.1</v>
      </c>
      <c r="L8" s="556">
        <f>J8*K8</f>
        <v>3492.7359999999994</v>
      </c>
      <c r="M8" s="457"/>
      <c r="N8" s="457"/>
      <c r="O8" s="553" t="str">
        <f t="shared" si="0"/>
        <v>Clerical</v>
      </c>
      <c r="P8" s="554">
        <f t="shared" si="0"/>
        <v>34927.359999999993</v>
      </c>
      <c r="Q8" s="555">
        <v>0.1</v>
      </c>
      <c r="R8" s="556">
        <f>P8*Q8</f>
        <v>3492.7359999999994</v>
      </c>
      <c r="S8" s="457"/>
      <c r="T8" s="457"/>
    </row>
    <row r="9" spans="1:20">
      <c r="A9" s="457"/>
      <c r="B9" s="563" t="s">
        <v>85</v>
      </c>
      <c r="C9" s="564">
        <v>0.08</v>
      </c>
      <c r="D9" s="565" t="s">
        <v>176</v>
      </c>
      <c r="E9" s="566"/>
      <c r="F9" s="566"/>
      <c r="G9" s="567"/>
      <c r="H9" s="457"/>
      <c r="I9" s="568" t="s">
        <v>281</v>
      </c>
      <c r="J9" s="569"/>
      <c r="K9" s="570">
        <v>2.08</v>
      </c>
      <c r="L9" s="571">
        <f>SUM(L6:L8)</f>
        <v>99811.135999999999</v>
      </c>
      <c r="M9" s="457"/>
      <c r="N9" s="457"/>
      <c r="O9" s="568" t="s">
        <v>281</v>
      </c>
      <c r="P9" s="569"/>
      <c r="Q9" s="570">
        <f>SUM(Q6:Q8)</f>
        <v>2.1800000000000002</v>
      </c>
      <c r="R9" s="571">
        <f>SUM(R6:R8)</f>
        <v>99811.135999999999</v>
      </c>
      <c r="S9" s="457"/>
      <c r="T9" s="457"/>
    </row>
    <row r="10" spans="1:20">
      <c r="A10" s="457"/>
      <c r="B10" s="572" t="s">
        <v>245</v>
      </c>
      <c r="C10" s="573">
        <v>2</v>
      </c>
      <c r="D10" s="574" t="s">
        <v>176</v>
      </c>
      <c r="E10" s="575"/>
      <c r="F10" s="575"/>
      <c r="G10" s="576"/>
      <c r="H10" s="457"/>
      <c r="I10" s="577"/>
      <c r="J10" s="524"/>
      <c r="K10" s="536"/>
      <c r="L10" s="578"/>
      <c r="M10" s="457"/>
      <c r="N10" s="457"/>
      <c r="O10" s="577"/>
      <c r="P10" s="524"/>
      <c r="Q10" s="536"/>
      <c r="R10" s="578"/>
      <c r="S10" s="527"/>
      <c r="T10" s="457"/>
    </row>
    <row r="11" spans="1:20">
      <c r="A11" s="457"/>
      <c r="B11" s="579" t="s">
        <v>282</v>
      </c>
      <c r="C11" s="580"/>
      <c r="D11" s="565"/>
      <c r="E11" s="566"/>
      <c r="F11" s="566"/>
      <c r="G11" s="567"/>
      <c r="H11" s="457"/>
      <c r="I11" s="581" t="s">
        <v>178</v>
      </c>
      <c r="J11" s="582">
        <f>C17</f>
        <v>0.224</v>
      </c>
      <c r="K11" s="524"/>
      <c r="L11" s="556">
        <f>J11*L9</f>
        <v>22357.694464</v>
      </c>
      <c r="M11" s="457"/>
      <c r="N11" s="457"/>
      <c r="O11" s="581" t="s">
        <v>178</v>
      </c>
      <c r="P11" s="582">
        <f>C17</f>
        <v>0.224</v>
      </c>
      <c r="Q11" s="524"/>
      <c r="R11" s="556">
        <f>P11*R9</f>
        <v>22357.694464</v>
      </c>
      <c r="S11" s="527"/>
      <c r="T11" s="457"/>
    </row>
    <row r="12" spans="1:20" ht="15" thickBot="1">
      <c r="A12" s="457"/>
      <c r="B12" s="545" t="s">
        <v>88</v>
      </c>
      <c r="C12" s="583">
        <f>'Master Look Up'!E7</f>
        <v>1056.8783932396871</v>
      </c>
      <c r="D12" s="547" t="s">
        <v>283</v>
      </c>
      <c r="E12" s="548"/>
      <c r="F12" s="548"/>
      <c r="G12" s="549"/>
      <c r="H12" s="457"/>
      <c r="I12" s="584" t="s">
        <v>225</v>
      </c>
      <c r="J12" s="585"/>
      <c r="K12" s="586"/>
      <c r="L12" s="587">
        <f>SUM(L9:L11)</f>
        <v>122168.830464</v>
      </c>
      <c r="M12" s="457"/>
      <c r="N12" s="457"/>
      <c r="O12" s="584" t="s">
        <v>225</v>
      </c>
      <c r="P12" s="585"/>
      <c r="Q12" s="586"/>
      <c r="R12" s="587">
        <f>SUM(R9:R11)</f>
        <v>122168.830464</v>
      </c>
      <c r="S12" s="527"/>
      <c r="T12" s="457"/>
    </row>
    <row r="13" spans="1:20" ht="15" thickTop="1">
      <c r="A13" s="457"/>
      <c r="B13" s="545" t="s">
        <v>284</v>
      </c>
      <c r="C13" s="583">
        <f>'Master Look Up'!E17</f>
        <v>1347.3502436316674</v>
      </c>
      <c r="D13" s="547" t="s">
        <v>283</v>
      </c>
      <c r="E13" s="548"/>
      <c r="F13" s="548"/>
      <c r="G13" s="549"/>
      <c r="H13" s="457"/>
      <c r="I13" s="577"/>
      <c r="J13" s="536"/>
      <c r="K13" s="588"/>
      <c r="L13" s="589"/>
      <c r="M13" s="457"/>
      <c r="N13" s="457"/>
      <c r="O13" s="577"/>
      <c r="P13" s="536"/>
      <c r="Q13" s="588"/>
      <c r="R13" s="589"/>
      <c r="S13" s="527"/>
      <c r="T13" s="457"/>
    </row>
    <row r="14" spans="1:20">
      <c r="A14" s="457"/>
      <c r="B14" s="545" t="s">
        <v>129</v>
      </c>
      <c r="C14" s="583">
        <f>'Master Look Up'!E18</f>
        <v>2996.7173855870574</v>
      </c>
      <c r="D14" s="547" t="s">
        <v>283</v>
      </c>
      <c r="E14" s="548"/>
      <c r="F14" s="548"/>
      <c r="G14" s="549"/>
      <c r="H14" s="457"/>
      <c r="I14" s="581" t="s">
        <v>88</v>
      </c>
      <c r="J14" s="590">
        <f>C12</f>
        <v>1056.8783932396871</v>
      </c>
      <c r="K14" s="591"/>
      <c r="L14" s="556">
        <f t="shared" ref="L14:L15" si="1">J14*$K$9</f>
        <v>2198.307057938549</v>
      </c>
      <c r="M14" s="457"/>
      <c r="N14" s="457"/>
      <c r="O14" s="581" t="s">
        <v>88</v>
      </c>
      <c r="P14" s="590">
        <f>C12</f>
        <v>1056.8783932396871</v>
      </c>
      <c r="Q14" s="591"/>
      <c r="R14" s="556">
        <f t="shared" ref="R14:R15" si="2">P14*$Q$9</f>
        <v>2303.994897262518</v>
      </c>
      <c r="S14" s="457"/>
      <c r="T14" s="457"/>
    </row>
    <row r="15" spans="1:20">
      <c r="A15" s="457"/>
      <c r="B15" s="545" t="s">
        <v>285</v>
      </c>
      <c r="C15" s="583">
        <v>1000</v>
      </c>
      <c r="D15" s="547" t="s">
        <v>123</v>
      </c>
      <c r="E15" s="548"/>
      <c r="F15" s="548"/>
      <c r="G15" s="549"/>
      <c r="H15" s="457"/>
      <c r="I15" s="581" t="s">
        <v>129</v>
      </c>
      <c r="J15" s="590">
        <f>C14+C13</f>
        <v>4344.0676292187245</v>
      </c>
      <c r="K15" s="591"/>
      <c r="L15" s="556">
        <f t="shared" si="1"/>
        <v>9035.6606687749481</v>
      </c>
      <c r="M15" s="457"/>
      <c r="N15" s="457"/>
      <c r="O15" s="581" t="s">
        <v>129</v>
      </c>
      <c r="P15" s="590">
        <f>C14+C13</f>
        <v>4344.0676292187245</v>
      </c>
      <c r="Q15" s="591"/>
      <c r="R15" s="556">
        <f t="shared" si="2"/>
        <v>9470.0674316968198</v>
      </c>
      <c r="S15" s="457"/>
      <c r="T15" s="457"/>
    </row>
    <row r="16" spans="1:20">
      <c r="A16" s="457"/>
      <c r="B16" s="545"/>
      <c r="C16" s="592"/>
      <c r="D16" s="547"/>
      <c r="E16" s="548"/>
      <c r="F16" s="548"/>
      <c r="G16" s="549"/>
      <c r="H16" s="457"/>
      <c r="I16" s="581" t="str">
        <f>B15</f>
        <v xml:space="preserve">Flex Spending </v>
      </c>
      <c r="J16" s="590">
        <f>C15</f>
        <v>1000</v>
      </c>
      <c r="K16" s="591"/>
      <c r="L16" s="556">
        <f>J16*K7</f>
        <v>2000</v>
      </c>
      <c r="M16" s="457"/>
      <c r="N16" s="457"/>
      <c r="O16" s="581" t="str">
        <f>B15</f>
        <v xml:space="preserve">Flex Spending </v>
      </c>
      <c r="P16" s="590">
        <f>C15</f>
        <v>1000</v>
      </c>
      <c r="Q16" s="591"/>
      <c r="R16" s="556">
        <f>P16*Q7</f>
        <v>2000</v>
      </c>
      <c r="S16" s="457"/>
      <c r="T16" s="457"/>
    </row>
    <row r="17" spans="1:20">
      <c r="A17" s="457"/>
      <c r="B17" s="545" t="s">
        <v>286</v>
      </c>
      <c r="C17" s="593">
        <f>'Master Look Up'!D25</f>
        <v>0.224</v>
      </c>
      <c r="D17" s="547" t="s">
        <v>143</v>
      </c>
      <c r="E17" s="548"/>
      <c r="F17" s="548"/>
      <c r="G17" s="549"/>
      <c r="H17" s="457"/>
      <c r="I17" s="594"/>
      <c r="J17" s="554"/>
      <c r="K17" s="588"/>
      <c r="L17" s="556"/>
      <c r="M17" s="457"/>
      <c r="N17" s="457"/>
      <c r="O17" s="594"/>
      <c r="P17" s="554"/>
      <c r="Q17" s="588"/>
      <c r="R17" s="556"/>
      <c r="S17" s="457"/>
      <c r="T17" s="457"/>
    </row>
    <row r="18" spans="1:20" ht="15" customHeight="1">
      <c r="A18" s="457"/>
      <c r="B18" s="545" t="s">
        <v>62</v>
      </c>
      <c r="C18" s="593">
        <f>'Master Look Up'!D30</f>
        <v>0.12</v>
      </c>
      <c r="D18" s="547" t="s">
        <v>151</v>
      </c>
      <c r="E18" s="548"/>
      <c r="F18" s="548"/>
      <c r="G18" s="549"/>
      <c r="H18" s="457"/>
      <c r="I18" s="568" t="s">
        <v>287</v>
      </c>
      <c r="J18" s="569"/>
      <c r="K18" s="569"/>
      <c r="L18" s="571">
        <f>SUM(L12:L17)</f>
        <v>135402.79819071351</v>
      </c>
      <c r="M18" s="457"/>
      <c r="N18" s="457"/>
      <c r="O18" s="568" t="s">
        <v>287</v>
      </c>
      <c r="P18" s="569"/>
      <c r="Q18" s="569"/>
      <c r="R18" s="571">
        <f>SUM(R12:R17)</f>
        <v>135942.89279295932</v>
      </c>
      <c r="S18" s="457"/>
      <c r="T18" s="457"/>
    </row>
    <row r="19" spans="1:20" ht="15" thickBot="1">
      <c r="A19" s="457"/>
      <c r="B19" s="545" t="s">
        <v>61</v>
      </c>
      <c r="C19" s="595">
        <v>3.7000000000000002E-3</v>
      </c>
      <c r="D19" s="596" t="s">
        <v>186</v>
      </c>
      <c r="E19" s="548"/>
      <c r="F19" s="548"/>
      <c r="G19" s="549"/>
      <c r="H19" s="457"/>
      <c r="I19" s="581" t="s">
        <v>185</v>
      </c>
      <c r="J19" s="582">
        <f>C18</f>
        <v>0.12</v>
      </c>
      <c r="K19" s="524"/>
      <c r="L19" s="556">
        <f>J19*L18</f>
        <v>16248.335782885621</v>
      </c>
      <c r="M19" s="457"/>
      <c r="N19" s="457"/>
      <c r="O19" s="581" t="s">
        <v>185</v>
      </c>
      <c r="P19" s="582">
        <f>C18</f>
        <v>0.12</v>
      </c>
      <c r="Q19" s="524"/>
      <c r="R19" s="556">
        <f>P19*R18</f>
        <v>16313.147135155117</v>
      </c>
      <c r="S19" s="597"/>
      <c r="T19" s="457"/>
    </row>
    <row r="20" spans="1:20" ht="15" thickBot="1">
      <c r="A20" s="457"/>
      <c r="B20" s="598" t="s">
        <v>187</v>
      </c>
      <c r="C20" s="599">
        <f>'Master Look Up'!D33</f>
        <v>1.0633805350099574E-2</v>
      </c>
      <c r="D20" s="600" t="s">
        <v>153</v>
      </c>
      <c r="E20" s="601"/>
      <c r="F20" s="601"/>
      <c r="G20" s="602"/>
      <c r="H20" s="457"/>
      <c r="I20" s="581" t="str">
        <f>B19</f>
        <v>PFMLA</v>
      </c>
      <c r="J20" s="582">
        <f>C19</f>
        <v>3.7000000000000002E-3</v>
      </c>
      <c r="K20" s="524"/>
      <c r="L20" s="556">
        <f>L9*J20</f>
        <v>369.30120320000003</v>
      </c>
      <c r="M20" s="457"/>
      <c r="N20" s="457"/>
      <c r="O20" s="581" t="str">
        <f>B19</f>
        <v>PFMLA</v>
      </c>
      <c r="P20" s="582">
        <f>C19</f>
        <v>3.7000000000000002E-3</v>
      </c>
      <c r="Q20" s="524"/>
      <c r="R20" s="556">
        <f>R9*P20</f>
        <v>369.30120320000003</v>
      </c>
      <c r="S20" s="457"/>
      <c r="T20" s="457"/>
    </row>
    <row r="21" spans="1:20" ht="15" thickBot="1">
      <c r="A21" s="457"/>
      <c r="B21" s="457"/>
      <c r="C21" s="483"/>
      <c r="D21" s="457"/>
      <c r="E21" s="457"/>
      <c r="F21" s="457"/>
      <c r="G21" s="457"/>
      <c r="H21" s="457"/>
      <c r="I21" s="584" t="s">
        <v>188</v>
      </c>
      <c r="J21" s="603"/>
      <c r="K21" s="603"/>
      <c r="L21" s="587">
        <f>SUM(L18:L20)</f>
        <v>152020.43517679913</v>
      </c>
      <c r="M21" s="457"/>
      <c r="N21" s="457"/>
      <c r="O21" s="584" t="s">
        <v>188</v>
      </c>
      <c r="P21" s="603"/>
      <c r="Q21" s="603"/>
      <c r="R21" s="587">
        <f>SUM(R18:R20)</f>
        <v>152625.34113131446</v>
      </c>
      <c r="S21" s="527"/>
      <c r="T21" s="457"/>
    </row>
    <row r="22" spans="1:20" ht="15" thickTop="1">
      <c r="A22" s="457"/>
      <c r="B22" s="457"/>
      <c r="C22" s="470"/>
      <c r="D22" s="457"/>
      <c r="E22" s="457"/>
      <c r="F22" s="457"/>
      <c r="G22" s="457"/>
      <c r="H22" s="457"/>
      <c r="I22" s="581"/>
      <c r="J22" s="582"/>
      <c r="K22" s="524"/>
      <c r="L22" s="604"/>
      <c r="M22" s="457"/>
      <c r="N22" s="457"/>
      <c r="O22" s="581"/>
      <c r="P22" s="582"/>
      <c r="Q22" s="524"/>
      <c r="R22" s="604"/>
      <c r="S22" s="527"/>
      <c r="T22" s="457"/>
    </row>
    <row r="23" spans="1:20" ht="15" thickBot="1">
      <c r="A23" s="457"/>
      <c r="B23" s="457"/>
      <c r="C23" s="470"/>
      <c r="D23" s="457"/>
      <c r="E23" s="457"/>
      <c r="F23" s="457"/>
      <c r="G23" s="457"/>
      <c r="H23" s="457"/>
      <c r="I23" s="581" t="s">
        <v>189</v>
      </c>
      <c r="J23" s="582">
        <f>C20</f>
        <v>1.0633805350099574E-2</v>
      </c>
      <c r="K23" s="524"/>
      <c r="L23" s="604">
        <f>L21*(1+J23)</f>
        <v>153636.99089370665</v>
      </c>
      <c r="M23" s="457"/>
      <c r="N23" s="605"/>
      <c r="O23" s="581" t="s">
        <v>288</v>
      </c>
      <c r="P23" s="582">
        <f>C20</f>
        <v>1.0633805350099574E-2</v>
      </c>
      <c r="Q23" s="524"/>
      <c r="R23" s="604">
        <f>R21*(1+P23)</f>
        <v>154248.32930039742</v>
      </c>
      <c r="S23" s="527"/>
      <c r="T23" s="457"/>
    </row>
    <row r="24" spans="1:20" ht="18.75" customHeight="1" thickBot="1">
      <c r="A24" s="457"/>
      <c r="B24" s="606" t="s">
        <v>289</v>
      </c>
      <c r="C24" s="607"/>
      <c r="D24" s="608" t="s">
        <v>290</v>
      </c>
      <c r="E24" s="609" t="s">
        <v>203</v>
      </c>
      <c r="F24" s="609" t="s">
        <v>202</v>
      </c>
      <c r="G24" s="610" t="s">
        <v>291</v>
      </c>
      <c r="H24" s="457"/>
      <c r="I24" s="611" t="s">
        <v>292</v>
      </c>
      <c r="J24" s="612"/>
      <c r="K24" s="613"/>
      <c r="L24" s="614">
        <f>L23/L4</f>
        <v>56.484187828568622</v>
      </c>
      <c r="M24" s="457"/>
      <c r="N24" s="457"/>
      <c r="O24" s="611" t="s">
        <v>293</v>
      </c>
      <c r="P24" s="612"/>
      <c r="Q24" s="613"/>
      <c r="R24" s="614">
        <f>L24</f>
        <v>56.484187828568622</v>
      </c>
      <c r="S24" s="527"/>
      <c r="T24" s="457"/>
    </row>
    <row r="25" spans="1:20" ht="15" thickBot="1">
      <c r="A25" s="457"/>
      <c r="B25" s="615" t="s">
        <v>294</v>
      </c>
      <c r="C25" s="616"/>
      <c r="D25" s="617"/>
      <c r="E25" s="618">
        <v>52</v>
      </c>
      <c r="F25" s="619">
        <v>40</v>
      </c>
      <c r="G25" s="620">
        <v>2080</v>
      </c>
      <c r="H25" s="457"/>
      <c r="I25" s="621" t="s">
        <v>295</v>
      </c>
      <c r="J25" s="622"/>
      <c r="K25" s="623"/>
      <c r="L25" s="624">
        <f>L24*0.25</f>
        <v>14.121046957142156</v>
      </c>
      <c r="M25" s="457"/>
      <c r="N25" s="457"/>
      <c r="O25" s="621" t="s">
        <v>296</v>
      </c>
      <c r="P25" s="622"/>
      <c r="Q25" s="623"/>
      <c r="R25" s="624">
        <f>R24*R4+0.01</f>
        <v>282.4309391428431</v>
      </c>
      <c r="S25" s="527"/>
      <c r="T25" s="457"/>
    </row>
    <row r="26" spans="1:20">
      <c r="A26" s="457"/>
      <c r="B26" s="625" t="s">
        <v>297</v>
      </c>
      <c r="C26" s="626"/>
      <c r="D26" s="627"/>
      <c r="E26" s="628"/>
      <c r="F26" s="629"/>
      <c r="G26" s="630"/>
      <c r="H26" s="457"/>
      <c r="I26" s="457"/>
      <c r="J26" s="631"/>
      <c r="K26" s="631"/>
      <c r="L26" s="632"/>
      <c r="M26" s="457"/>
      <c r="N26" s="457"/>
      <c r="O26" s="457"/>
      <c r="P26" s="631"/>
      <c r="Q26" s="631"/>
      <c r="R26" s="632"/>
      <c r="S26" s="527"/>
      <c r="T26" s="457"/>
    </row>
    <row r="27" spans="1:20">
      <c r="A27" s="457"/>
      <c r="B27" s="633" t="s">
        <v>298</v>
      </c>
      <c r="C27" s="634"/>
      <c r="D27" s="635">
        <v>15</v>
      </c>
      <c r="E27" s="635">
        <v>3</v>
      </c>
      <c r="F27" s="636">
        <v>40</v>
      </c>
      <c r="G27" s="637">
        <f>F27*E27</f>
        <v>120</v>
      </c>
      <c r="H27" s="457"/>
      <c r="I27" s="457"/>
      <c r="J27" s="457"/>
      <c r="K27" s="457"/>
      <c r="L27" s="457"/>
      <c r="M27" s="638"/>
      <c r="N27" s="457"/>
      <c r="O27" s="525"/>
      <c r="P27" s="526"/>
      <c r="Q27" s="457"/>
      <c r="R27" s="457"/>
      <c r="S27" s="638"/>
      <c r="T27" s="457"/>
    </row>
    <row r="28" spans="1:20">
      <c r="A28" s="457"/>
      <c r="B28" s="633" t="s">
        <v>299</v>
      </c>
      <c r="C28" s="634"/>
      <c r="D28" s="635">
        <v>10</v>
      </c>
      <c r="E28" s="635">
        <v>2</v>
      </c>
      <c r="F28" s="636">
        <v>40</v>
      </c>
      <c r="G28" s="637">
        <f t="shared" ref="G28:G32" si="3">F28*E28</f>
        <v>80</v>
      </c>
      <c r="H28" s="457"/>
      <c r="J28" s="457"/>
      <c r="K28" s="457"/>
      <c r="L28" s="457"/>
      <c r="M28" s="524"/>
      <c r="N28" s="524"/>
      <c r="O28" s="526"/>
      <c r="P28" s="526"/>
      <c r="Q28" s="457"/>
      <c r="R28" s="457"/>
      <c r="S28" s="527"/>
      <c r="T28" s="457"/>
    </row>
    <row r="29" spans="1:20">
      <c r="A29" s="457"/>
      <c r="B29" s="633" t="s">
        <v>300</v>
      </c>
      <c r="C29" s="634"/>
      <c r="D29" s="635">
        <v>10</v>
      </c>
      <c r="E29" s="635">
        <v>2</v>
      </c>
      <c r="F29" s="636">
        <v>40</v>
      </c>
      <c r="G29" s="637">
        <f t="shared" si="3"/>
        <v>80</v>
      </c>
      <c r="H29" s="457"/>
      <c r="J29" s="457"/>
      <c r="K29" s="457"/>
      <c r="L29" s="457"/>
      <c r="M29" s="457"/>
      <c r="N29" s="526"/>
      <c r="O29" s="457"/>
      <c r="P29" s="457"/>
      <c r="Q29" s="457"/>
      <c r="R29" s="597"/>
      <c r="S29" s="527"/>
      <c r="T29" s="457"/>
    </row>
    <row r="30" spans="1:20">
      <c r="A30" s="457"/>
      <c r="B30" s="633" t="s">
        <v>301</v>
      </c>
      <c r="C30" s="634"/>
      <c r="D30" s="635">
        <v>3</v>
      </c>
      <c r="E30" s="635">
        <v>1</v>
      </c>
      <c r="F30" s="636">
        <v>24</v>
      </c>
      <c r="G30" s="637">
        <f t="shared" si="3"/>
        <v>24</v>
      </c>
      <c r="H30" s="457"/>
      <c r="I30" s="639"/>
      <c r="J30" s="457"/>
      <c r="K30" s="457"/>
      <c r="L30" s="457"/>
      <c r="M30" s="457"/>
      <c r="N30" s="457"/>
      <c r="O30" s="457"/>
      <c r="P30" s="457"/>
      <c r="Q30" s="457"/>
      <c r="R30" s="597"/>
      <c r="S30" s="457"/>
      <c r="T30" s="457"/>
    </row>
    <row r="31" spans="1:20">
      <c r="A31" s="457"/>
      <c r="B31" s="633" t="s">
        <v>302</v>
      </c>
      <c r="C31" s="634"/>
      <c r="D31" s="470"/>
      <c r="E31" s="470">
        <v>52</v>
      </c>
      <c r="F31" s="640">
        <v>4</v>
      </c>
      <c r="G31" s="637">
        <f t="shared" si="3"/>
        <v>208</v>
      </c>
      <c r="H31" s="457"/>
      <c r="I31" s="639"/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</row>
    <row r="32" spans="1:20">
      <c r="A32" s="457"/>
      <c r="B32" s="633" t="s">
        <v>303</v>
      </c>
      <c r="C32" s="634"/>
      <c r="D32" s="470"/>
      <c r="E32" s="470">
        <v>52</v>
      </c>
      <c r="F32" s="640">
        <v>4</v>
      </c>
      <c r="G32" s="637">
        <f t="shared" si="3"/>
        <v>208</v>
      </c>
      <c r="H32" s="457"/>
      <c r="I32" s="639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</row>
    <row r="33" spans="1:20">
      <c r="A33" s="457"/>
      <c r="B33" s="615" t="s">
        <v>304</v>
      </c>
      <c r="C33" s="641"/>
      <c r="D33" s="641"/>
      <c r="E33" s="642"/>
      <c r="F33" s="643"/>
      <c r="G33" s="644">
        <f>SUM(G27:G32)</f>
        <v>720</v>
      </c>
      <c r="H33" s="457"/>
      <c r="I33" s="457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</row>
    <row r="34" spans="1:20">
      <c r="A34" s="457"/>
      <c r="B34" s="645" t="s">
        <v>305</v>
      </c>
      <c r="C34" s="646"/>
      <c r="D34" s="634"/>
      <c r="E34" s="470"/>
      <c r="F34" s="640"/>
      <c r="G34" s="644">
        <f>G25-G33</f>
        <v>1360</v>
      </c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</row>
    <row r="35" spans="1:20" ht="15" thickBot="1">
      <c r="A35" s="457"/>
      <c r="B35" s="647" t="s">
        <v>306</v>
      </c>
      <c r="C35" s="648"/>
      <c r="D35" s="648"/>
      <c r="E35" s="649"/>
      <c r="F35" s="649"/>
      <c r="G35" s="650">
        <v>2</v>
      </c>
      <c r="H35" s="457"/>
      <c r="I35" s="457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</row>
    <row r="36" spans="1:20" ht="15" thickBot="1">
      <c r="A36" s="457"/>
      <c r="B36" s="651" t="s">
        <v>307</v>
      </c>
      <c r="C36" s="652"/>
      <c r="D36" s="653"/>
      <c r="E36" s="654"/>
      <c r="F36" s="655"/>
      <c r="G36" s="656">
        <f>G34*G35</f>
        <v>2720</v>
      </c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</row>
    <row r="37" spans="1:20" ht="15" thickTop="1">
      <c r="A37" s="457"/>
      <c r="B37" s="457"/>
      <c r="C37" s="457"/>
      <c r="D37" s="457"/>
      <c r="E37" s="457"/>
      <c r="F37" s="457"/>
      <c r="G37" s="457"/>
      <c r="H37" s="457"/>
      <c r="M37" s="457"/>
      <c r="N37" s="457"/>
      <c r="R37" s="460"/>
      <c r="S37" s="457"/>
      <c r="T37" s="457"/>
    </row>
    <row r="38" spans="1:20">
      <c r="A38" s="457"/>
      <c r="B38" s="457"/>
      <c r="C38" s="457"/>
      <c r="D38" s="457"/>
      <c r="E38" s="457"/>
      <c r="F38" s="457"/>
      <c r="G38" s="457"/>
      <c r="H38" s="457"/>
      <c r="R38" s="460"/>
    </row>
    <row r="39" spans="1:20">
      <c r="A39" s="457"/>
      <c r="R39" s="460"/>
    </row>
    <row r="40" spans="1:20">
      <c r="A40" s="457"/>
      <c r="R40" s="460"/>
    </row>
    <row r="41" spans="1:20">
      <c r="A41" s="457"/>
      <c r="G41" s="657"/>
      <c r="R41" s="460"/>
    </row>
    <row r="42" spans="1:20">
      <c r="R42" s="460"/>
    </row>
    <row r="43" spans="1:20">
      <c r="R43" s="460"/>
    </row>
    <row r="44" spans="1:20">
      <c r="R44" s="460"/>
    </row>
    <row r="45" spans="1:20">
      <c r="R45" s="460"/>
    </row>
    <row r="46" spans="1:20">
      <c r="G46" s="658"/>
      <c r="R46" s="460"/>
    </row>
    <row r="47" spans="1:20">
      <c r="G47" s="658"/>
      <c r="R47" s="460"/>
    </row>
    <row r="48" spans="1:20">
      <c r="R48" s="460"/>
    </row>
    <row r="49" spans="12:18">
      <c r="L49" s="659"/>
      <c r="R49" s="460"/>
    </row>
    <row r="50" spans="12:18">
      <c r="L50" s="659"/>
      <c r="R50" s="460"/>
    </row>
    <row r="51" spans="12:18">
      <c r="L51" s="659"/>
      <c r="R51" s="460"/>
    </row>
    <row r="52" spans="12:18">
      <c r="L52" s="659"/>
      <c r="R52" s="460"/>
    </row>
    <row r="53" spans="12:18">
      <c r="L53" s="659"/>
      <c r="R53" s="460"/>
    </row>
    <row r="54" spans="12:18">
      <c r="L54" s="659"/>
      <c r="R54" s="460"/>
    </row>
    <row r="55" spans="12:18">
      <c r="L55" s="659"/>
      <c r="R55" s="460"/>
    </row>
    <row r="56" spans="12:18">
      <c r="R56" s="460"/>
    </row>
    <row r="57" spans="12:18">
      <c r="R57" s="460"/>
    </row>
    <row r="58" spans="12:18">
      <c r="R58" s="460"/>
    </row>
  </sheetData>
  <mergeCells count="12">
    <mergeCell ref="B8:C8"/>
    <mergeCell ref="B11:C11"/>
    <mergeCell ref="J26:K26"/>
    <mergeCell ref="P26:Q26"/>
    <mergeCell ref="E1:G2"/>
    <mergeCell ref="B3:G3"/>
    <mergeCell ref="I3:L3"/>
    <mergeCell ref="O3:R3"/>
    <mergeCell ref="B4:C4"/>
    <mergeCell ref="D4:G4"/>
    <mergeCell ref="J4:K4"/>
    <mergeCell ref="P4:Q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5"/>
  <sheetViews>
    <sheetView zoomScale="82" zoomScaleNormal="82" workbookViewId="0">
      <selection activeCell="W17" sqref="W17"/>
    </sheetView>
  </sheetViews>
  <sheetFormatPr defaultRowHeight="13.8"/>
  <cols>
    <col min="1" max="1" width="4.44140625" style="660" customWidth="1"/>
    <col min="2" max="2" width="27" style="661" customWidth="1"/>
    <col min="3" max="3" width="10.44140625" style="660" customWidth="1"/>
    <col min="4" max="4" width="51.33203125" style="666" customWidth="1"/>
    <col min="5" max="5" width="5.33203125" style="663" customWidth="1"/>
    <col min="6" max="6" width="36" style="660" customWidth="1"/>
    <col min="7" max="7" width="10.6640625" style="660" customWidth="1"/>
    <col min="8" max="8" width="8.5546875" style="660" customWidth="1"/>
    <col min="9" max="9" width="10.5546875" style="660" customWidth="1"/>
    <col min="10" max="10" width="9.88671875" style="663" customWidth="1"/>
    <col min="11" max="11" width="33" style="660" customWidth="1"/>
    <col min="12" max="12" width="9.109375" style="664" customWidth="1"/>
    <col min="13" max="13" width="6.5546875" style="664" customWidth="1"/>
    <col min="14" max="14" width="12.33203125" style="660" customWidth="1"/>
    <col min="15" max="16" width="8.88671875" style="660"/>
    <col min="17" max="17" width="17.33203125" style="660" customWidth="1"/>
    <col min="18" max="18" width="10.44140625" style="660" bestFit="1" customWidth="1"/>
    <col min="19" max="256" width="8.88671875" style="660"/>
    <col min="257" max="257" width="4.44140625" style="660" customWidth="1"/>
    <col min="258" max="258" width="27" style="660" customWidth="1"/>
    <col min="259" max="259" width="10.44140625" style="660" customWidth="1"/>
    <col min="260" max="260" width="38.6640625" style="660" customWidth="1"/>
    <col min="261" max="261" width="5.33203125" style="660" customWidth="1"/>
    <col min="262" max="262" width="36" style="660" customWidth="1"/>
    <col min="263" max="263" width="10.6640625" style="660" customWidth="1"/>
    <col min="264" max="264" width="8.5546875" style="660" customWidth="1"/>
    <col min="265" max="265" width="10.5546875" style="660" customWidth="1"/>
    <col min="266" max="266" width="8.88671875" style="660"/>
    <col min="267" max="267" width="33" style="660" customWidth="1"/>
    <col min="268" max="268" width="9.109375" style="660" customWidth="1"/>
    <col min="269" max="269" width="6.5546875" style="660" customWidth="1"/>
    <col min="270" max="270" width="12.33203125" style="660" customWidth="1"/>
    <col min="271" max="272" width="8.88671875" style="660"/>
    <col min="273" max="273" width="17.33203125" style="660" customWidth="1"/>
    <col min="274" max="274" width="10.44140625" style="660" bestFit="1" customWidth="1"/>
    <col min="275" max="512" width="8.88671875" style="660"/>
    <col min="513" max="513" width="4.44140625" style="660" customWidth="1"/>
    <col min="514" max="514" width="27" style="660" customWidth="1"/>
    <col min="515" max="515" width="10.44140625" style="660" customWidth="1"/>
    <col min="516" max="516" width="38.6640625" style="660" customWidth="1"/>
    <col min="517" max="517" width="5.33203125" style="660" customWidth="1"/>
    <col min="518" max="518" width="36" style="660" customWidth="1"/>
    <col min="519" max="519" width="10.6640625" style="660" customWidth="1"/>
    <col min="520" max="520" width="8.5546875" style="660" customWidth="1"/>
    <col min="521" max="521" width="10.5546875" style="660" customWidth="1"/>
    <col min="522" max="522" width="8.88671875" style="660"/>
    <col min="523" max="523" width="33" style="660" customWidth="1"/>
    <col min="524" max="524" width="9.109375" style="660" customWidth="1"/>
    <col min="525" max="525" width="6.5546875" style="660" customWidth="1"/>
    <col min="526" max="526" width="12.33203125" style="660" customWidth="1"/>
    <col min="527" max="528" width="8.88671875" style="660"/>
    <col min="529" max="529" width="17.33203125" style="660" customWidth="1"/>
    <col min="530" max="530" width="10.44140625" style="660" bestFit="1" customWidth="1"/>
    <col min="531" max="768" width="8.88671875" style="660"/>
    <col min="769" max="769" width="4.44140625" style="660" customWidth="1"/>
    <col min="770" max="770" width="27" style="660" customWidth="1"/>
    <col min="771" max="771" width="10.44140625" style="660" customWidth="1"/>
    <col min="772" max="772" width="38.6640625" style="660" customWidth="1"/>
    <col min="773" max="773" width="5.33203125" style="660" customWidth="1"/>
    <col min="774" max="774" width="36" style="660" customWidth="1"/>
    <col min="775" max="775" width="10.6640625" style="660" customWidth="1"/>
    <col min="776" max="776" width="8.5546875" style="660" customWidth="1"/>
    <col min="777" max="777" width="10.5546875" style="660" customWidth="1"/>
    <col min="778" max="778" width="8.88671875" style="660"/>
    <col min="779" max="779" width="33" style="660" customWidth="1"/>
    <col min="780" max="780" width="9.109375" style="660" customWidth="1"/>
    <col min="781" max="781" width="6.5546875" style="660" customWidth="1"/>
    <col min="782" max="782" width="12.33203125" style="660" customWidth="1"/>
    <col min="783" max="784" width="8.88671875" style="660"/>
    <col min="785" max="785" width="17.33203125" style="660" customWidth="1"/>
    <col min="786" max="786" width="10.44140625" style="660" bestFit="1" customWidth="1"/>
    <col min="787" max="1024" width="8.88671875" style="660"/>
    <col min="1025" max="1025" width="4.44140625" style="660" customWidth="1"/>
    <col min="1026" max="1026" width="27" style="660" customWidth="1"/>
    <col min="1027" max="1027" width="10.44140625" style="660" customWidth="1"/>
    <col min="1028" max="1028" width="38.6640625" style="660" customWidth="1"/>
    <col min="1029" max="1029" width="5.33203125" style="660" customWidth="1"/>
    <col min="1030" max="1030" width="36" style="660" customWidth="1"/>
    <col min="1031" max="1031" width="10.6640625" style="660" customWidth="1"/>
    <col min="1032" max="1032" width="8.5546875" style="660" customWidth="1"/>
    <col min="1033" max="1033" width="10.5546875" style="660" customWidth="1"/>
    <col min="1034" max="1034" width="8.88671875" style="660"/>
    <col min="1035" max="1035" width="33" style="660" customWidth="1"/>
    <col min="1036" max="1036" width="9.109375" style="660" customWidth="1"/>
    <col min="1037" max="1037" width="6.5546875" style="660" customWidth="1"/>
    <col min="1038" max="1038" width="12.33203125" style="660" customWidth="1"/>
    <col min="1039" max="1040" width="8.88671875" style="660"/>
    <col min="1041" max="1041" width="17.33203125" style="660" customWidth="1"/>
    <col min="1042" max="1042" width="10.44140625" style="660" bestFit="1" customWidth="1"/>
    <col min="1043" max="1280" width="8.88671875" style="660"/>
    <col min="1281" max="1281" width="4.44140625" style="660" customWidth="1"/>
    <col min="1282" max="1282" width="27" style="660" customWidth="1"/>
    <col min="1283" max="1283" width="10.44140625" style="660" customWidth="1"/>
    <col min="1284" max="1284" width="38.6640625" style="660" customWidth="1"/>
    <col min="1285" max="1285" width="5.33203125" style="660" customWidth="1"/>
    <col min="1286" max="1286" width="36" style="660" customWidth="1"/>
    <col min="1287" max="1287" width="10.6640625" style="660" customWidth="1"/>
    <col min="1288" max="1288" width="8.5546875" style="660" customWidth="1"/>
    <col min="1289" max="1289" width="10.5546875" style="660" customWidth="1"/>
    <col min="1290" max="1290" width="8.88671875" style="660"/>
    <col min="1291" max="1291" width="33" style="660" customWidth="1"/>
    <col min="1292" max="1292" width="9.109375" style="660" customWidth="1"/>
    <col min="1293" max="1293" width="6.5546875" style="660" customWidth="1"/>
    <col min="1294" max="1294" width="12.33203125" style="660" customWidth="1"/>
    <col min="1295" max="1296" width="8.88671875" style="660"/>
    <col min="1297" max="1297" width="17.33203125" style="660" customWidth="1"/>
    <col min="1298" max="1298" width="10.44140625" style="660" bestFit="1" customWidth="1"/>
    <col min="1299" max="1536" width="8.88671875" style="660"/>
    <col min="1537" max="1537" width="4.44140625" style="660" customWidth="1"/>
    <col min="1538" max="1538" width="27" style="660" customWidth="1"/>
    <col min="1539" max="1539" width="10.44140625" style="660" customWidth="1"/>
    <col min="1540" max="1540" width="38.6640625" style="660" customWidth="1"/>
    <col min="1541" max="1541" width="5.33203125" style="660" customWidth="1"/>
    <col min="1542" max="1542" width="36" style="660" customWidth="1"/>
    <col min="1543" max="1543" width="10.6640625" style="660" customWidth="1"/>
    <col min="1544" max="1544" width="8.5546875" style="660" customWidth="1"/>
    <col min="1545" max="1545" width="10.5546875" style="660" customWidth="1"/>
    <col min="1546" max="1546" width="8.88671875" style="660"/>
    <col min="1547" max="1547" width="33" style="660" customWidth="1"/>
    <col min="1548" max="1548" width="9.109375" style="660" customWidth="1"/>
    <col min="1549" max="1549" width="6.5546875" style="660" customWidth="1"/>
    <col min="1550" max="1550" width="12.33203125" style="660" customWidth="1"/>
    <col min="1551" max="1552" width="8.88671875" style="660"/>
    <col min="1553" max="1553" width="17.33203125" style="660" customWidth="1"/>
    <col min="1554" max="1554" width="10.44140625" style="660" bestFit="1" customWidth="1"/>
    <col min="1555" max="1792" width="8.88671875" style="660"/>
    <col min="1793" max="1793" width="4.44140625" style="660" customWidth="1"/>
    <col min="1794" max="1794" width="27" style="660" customWidth="1"/>
    <col min="1795" max="1795" width="10.44140625" style="660" customWidth="1"/>
    <col min="1796" max="1796" width="38.6640625" style="660" customWidth="1"/>
    <col min="1797" max="1797" width="5.33203125" style="660" customWidth="1"/>
    <col min="1798" max="1798" width="36" style="660" customWidth="1"/>
    <col min="1799" max="1799" width="10.6640625" style="660" customWidth="1"/>
    <col min="1800" max="1800" width="8.5546875" style="660" customWidth="1"/>
    <col min="1801" max="1801" width="10.5546875" style="660" customWidth="1"/>
    <col min="1802" max="1802" width="8.88671875" style="660"/>
    <col min="1803" max="1803" width="33" style="660" customWidth="1"/>
    <col min="1804" max="1804" width="9.109375" style="660" customWidth="1"/>
    <col min="1805" max="1805" width="6.5546875" style="660" customWidth="1"/>
    <col min="1806" max="1806" width="12.33203125" style="660" customWidth="1"/>
    <col min="1807" max="1808" width="8.88671875" style="660"/>
    <col min="1809" max="1809" width="17.33203125" style="660" customWidth="1"/>
    <col min="1810" max="1810" width="10.44140625" style="660" bestFit="1" customWidth="1"/>
    <col min="1811" max="2048" width="8.88671875" style="660"/>
    <col min="2049" max="2049" width="4.44140625" style="660" customWidth="1"/>
    <col min="2050" max="2050" width="27" style="660" customWidth="1"/>
    <col min="2051" max="2051" width="10.44140625" style="660" customWidth="1"/>
    <col min="2052" max="2052" width="38.6640625" style="660" customWidth="1"/>
    <col min="2053" max="2053" width="5.33203125" style="660" customWidth="1"/>
    <col min="2054" max="2054" width="36" style="660" customWidth="1"/>
    <col min="2055" max="2055" width="10.6640625" style="660" customWidth="1"/>
    <col min="2056" max="2056" width="8.5546875" style="660" customWidth="1"/>
    <col min="2057" max="2057" width="10.5546875" style="660" customWidth="1"/>
    <col min="2058" max="2058" width="8.88671875" style="660"/>
    <col min="2059" max="2059" width="33" style="660" customWidth="1"/>
    <col min="2060" max="2060" width="9.109375" style="660" customWidth="1"/>
    <col min="2061" max="2061" width="6.5546875" style="660" customWidth="1"/>
    <col min="2062" max="2062" width="12.33203125" style="660" customWidth="1"/>
    <col min="2063" max="2064" width="8.88671875" style="660"/>
    <col min="2065" max="2065" width="17.33203125" style="660" customWidth="1"/>
    <col min="2066" max="2066" width="10.44140625" style="660" bestFit="1" customWidth="1"/>
    <col min="2067" max="2304" width="8.88671875" style="660"/>
    <col min="2305" max="2305" width="4.44140625" style="660" customWidth="1"/>
    <col min="2306" max="2306" width="27" style="660" customWidth="1"/>
    <col min="2307" max="2307" width="10.44140625" style="660" customWidth="1"/>
    <col min="2308" max="2308" width="38.6640625" style="660" customWidth="1"/>
    <col min="2309" max="2309" width="5.33203125" style="660" customWidth="1"/>
    <col min="2310" max="2310" width="36" style="660" customWidth="1"/>
    <col min="2311" max="2311" width="10.6640625" style="660" customWidth="1"/>
    <col min="2312" max="2312" width="8.5546875" style="660" customWidth="1"/>
    <col min="2313" max="2313" width="10.5546875" style="660" customWidth="1"/>
    <col min="2314" max="2314" width="8.88671875" style="660"/>
    <col min="2315" max="2315" width="33" style="660" customWidth="1"/>
    <col min="2316" max="2316" width="9.109375" style="660" customWidth="1"/>
    <col min="2317" max="2317" width="6.5546875" style="660" customWidth="1"/>
    <col min="2318" max="2318" width="12.33203125" style="660" customWidth="1"/>
    <col min="2319" max="2320" width="8.88671875" style="660"/>
    <col min="2321" max="2321" width="17.33203125" style="660" customWidth="1"/>
    <col min="2322" max="2322" width="10.44140625" style="660" bestFit="1" customWidth="1"/>
    <col min="2323" max="2560" width="8.88671875" style="660"/>
    <col min="2561" max="2561" width="4.44140625" style="660" customWidth="1"/>
    <col min="2562" max="2562" width="27" style="660" customWidth="1"/>
    <col min="2563" max="2563" width="10.44140625" style="660" customWidth="1"/>
    <col min="2564" max="2564" width="38.6640625" style="660" customWidth="1"/>
    <col min="2565" max="2565" width="5.33203125" style="660" customWidth="1"/>
    <col min="2566" max="2566" width="36" style="660" customWidth="1"/>
    <col min="2567" max="2567" width="10.6640625" style="660" customWidth="1"/>
    <col min="2568" max="2568" width="8.5546875" style="660" customWidth="1"/>
    <col min="2569" max="2569" width="10.5546875" style="660" customWidth="1"/>
    <col min="2570" max="2570" width="8.88671875" style="660"/>
    <col min="2571" max="2571" width="33" style="660" customWidth="1"/>
    <col min="2572" max="2572" width="9.109375" style="660" customWidth="1"/>
    <col min="2573" max="2573" width="6.5546875" style="660" customWidth="1"/>
    <col min="2574" max="2574" width="12.33203125" style="660" customWidth="1"/>
    <col min="2575" max="2576" width="8.88671875" style="660"/>
    <col min="2577" max="2577" width="17.33203125" style="660" customWidth="1"/>
    <col min="2578" max="2578" width="10.44140625" style="660" bestFit="1" customWidth="1"/>
    <col min="2579" max="2816" width="8.88671875" style="660"/>
    <col min="2817" max="2817" width="4.44140625" style="660" customWidth="1"/>
    <col min="2818" max="2818" width="27" style="660" customWidth="1"/>
    <col min="2819" max="2819" width="10.44140625" style="660" customWidth="1"/>
    <col min="2820" max="2820" width="38.6640625" style="660" customWidth="1"/>
    <col min="2821" max="2821" width="5.33203125" style="660" customWidth="1"/>
    <col min="2822" max="2822" width="36" style="660" customWidth="1"/>
    <col min="2823" max="2823" width="10.6640625" style="660" customWidth="1"/>
    <col min="2824" max="2824" width="8.5546875" style="660" customWidth="1"/>
    <col min="2825" max="2825" width="10.5546875" style="660" customWidth="1"/>
    <col min="2826" max="2826" width="8.88671875" style="660"/>
    <col min="2827" max="2827" width="33" style="660" customWidth="1"/>
    <col min="2828" max="2828" width="9.109375" style="660" customWidth="1"/>
    <col min="2829" max="2829" width="6.5546875" style="660" customWidth="1"/>
    <col min="2830" max="2830" width="12.33203125" style="660" customWidth="1"/>
    <col min="2831" max="2832" width="8.88671875" style="660"/>
    <col min="2833" max="2833" width="17.33203125" style="660" customWidth="1"/>
    <col min="2834" max="2834" width="10.44140625" style="660" bestFit="1" customWidth="1"/>
    <col min="2835" max="3072" width="8.88671875" style="660"/>
    <col min="3073" max="3073" width="4.44140625" style="660" customWidth="1"/>
    <col min="3074" max="3074" width="27" style="660" customWidth="1"/>
    <col min="3075" max="3075" width="10.44140625" style="660" customWidth="1"/>
    <col min="3076" max="3076" width="38.6640625" style="660" customWidth="1"/>
    <col min="3077" max="3077" width="5.33203125" style="660" customWidth="1"/>
    <col min="3078" max="3078" width="36" style="660" customWidth="1"/>
    <col min="3079" max="3079" width="10.6640625" style="660" customWidth="1"/>
    <col min="3080" max="3080" width="8.5546875" style="660" customWidth="1"/>
    <col min="3081" max="3081" width="10.5546875" style="660" customWidth="1"/>
    <col min="3082" max="3082" width="8.88671875" style="660"/>
    <col min="3083" max="3083" width="33" style="660" customWidth="1"/>
    <col min="3084" max="3084" width="9.109375" style="660" customWidth="1"/>
    <col min="3085" max="3085" width="6.5546875" style="660" customWidth="1"/>
    <col min="3086" max="3086" width="12.33203125" style="660" customWidth="1"/>
    <col min="3087" max="3088" width="8.88671875" style="660"/>
    <col min="3089" max="3089" width="17.33203125" style="660" customWidth="1"/>
    <col min="3090" max="3090" width="10.44140625" style="660" bestFit="1" customWidth="1"/>
    <col min="3091" max="3328" width="8.88671875" style="660"/>
    <col min="3329" max="3329" width="4.44140625" style="660" customWidth="1"/>
    <col min="3330" max="3330" width="27" style="660" customWidth="1"/>
    <col min="3331" max="3331" width="10.44140625" style="660" customWidth="1"/>
    <col min="3332" max="3332" width="38.6640625" style="660" customWidth="1"/>
    <col min="3333" max="3333" width="5.33203125" style="660" customWidth="1"/>
    <col min="3334" max="3334" width="36" style="660" customWidth="1"/>
    <col min="3335" max="3335" width="10.6640625" style="660" customWidth="1"/>
    <col min="3336" max="3336" width="8.5546875" style="660" customWidth="1"/>
    <col min="3337" max="3337" width="10.5546875" style="660" customWidth="1"/>
    <col min="3338" max="3338" width="8.88671875" style="660"/>
    <col min="3339" max="3339" width="33" style="660" customWidth="1"/>
    <col min="3340" max="3340" width="9.109375" style="660" customWidth="1"/>
    <col min="3341" max="3341" width="6.5546875" style="660" customWidth="1"/>
    <col min="3342" max="3342" width="12.33203125" style="660" customWidth="1"/>
    <col min="3343" max="3344" width="8.88671875" style="660"/>
    <col min="3345" max="3345" width="17.33203125" style="660" customWidth="1"/>
    <col min="3346" max="3346" width="10.44140625" style="660" bestFit="1" customWidth="1"/>
    <col min="3347" max="3584" width="8.88671875" style="660"/>
    <col min="3585" max="3585" width="4.44140625" style="660" customWidth="1"/>
    <col min="3586" max="3586" width="27" style="660" customWidth="1"/>
    <col min="3587" max="3587" width="10.44140625" style="660" customWidth="1"/>
    <col min="3588" max="3588" width="38.6640625" style="660" customWidth="1"/>
    <col min="3589" max="3589" width="5.33203125" style="660" customWidth="1"/>
    <col min="3590" max="3590" width="36" style="660" customWidth="1"/>
    <col min="3591" max="3591" width="10.6640625" style="660" customWidth="1"/>
    <col min="3592" max="3592" width="8.5546875" style="660" customWidth="1"/>
    <col min="3593" max="3593" width="10.5546875" style="660" customWidth="1"/>
    <col min="3594" max="3594" width="8.88671875" style="660"/>
    <col min="3595" max="3595" width="33" style="660" customWidth="1"/>
    <col min="3596" max="3596" width="9.109375" style="660" customWidth="1"/>
    <col min="3597" max="3597" width="6.5546875" style="660" customWidth="1"/>
    <col min="3598" max="3598" width="12.33203125" style="660" customWidth="1"/>
    <col min="3599" max="3600" width="8.88671875" style="660"/>
    <col min="3601" max="3601" width="17.33203125" style="660" customWidth="1"/>
    <col min="3602" max="3602" width="10.44140625" style="660" bestFit="1" customWidth="1"/>
    <col min="3603" max="3840" width="8.88671875" style="660"/>
    <col min="3841" max="3841" width="4.44140625" style="660" customWidth="1"/>
    <col min="3842" max="3842" width="27" style="660" customWidth="1"/>
    <col min="3843" max="3843" width="10.44140625" style="660" customWidth="1"/>
    <col min="3844" max="3844" width="38.6640625" style="660" customWidth="1"/>
    <col min="3845" max="3845" width="5.33203125" style="660" customWidth="1"/>
    <col min="3846" max="3846" width="36" style="660" customWidth="1"/>
    <col min="3847" max="3847" width="10.6640625" style="660" customWidth="1"/>
    <col min="3848" max="3848" width="8.5546875" style="660" customWidth="1"/>
    <col min="3849" max="3849" width="10.5546875" style="660" customWidth="1"/>
    <col min="3850" max="3850" width="8.88671875" style="660"/>
    <col min="3851" max="3851" width="33" style="660" customWidth="1"/>
    <col min="3852" max="3852" width="9.109375" style="660" customWidth="1"/>
    <col min="3853" max="3853" width="6.5546875" style="660" customWidth="1"/>
    <col min="3854" max="3854" width="12.33203125" style="660" customWidth="1"/>
    <col min="3855" max="3856" width="8.88671875" style="660"/>
    <col min="3857" max="3857" width="17.33203125" style="660" customWidth="1"/>
    <col min="3858" max="3858" width="10.44140625" style="660" bestFit="1" customWidth="1"/>
    <col min="3859" max="4096" width="8.88671875" style="660"/>
    <col min="4097" max="4097" width="4.44140625" style="660" customWidth="1"/>
    <col min="4098" max="4098" width="27" style="660" customWidth="1"/>
    <col min="4099" max="4099" width="10.44140625" style="660" customWidth="1"/>
    <col min="4100" max="4100" width="38.6640625" style="660" customWidth="1"/>
    <col min="4101" max="4101" width="5.33203125" style="660" customWidth="1"/>
    <col min="4102" max="4102" width="36" style="660" customWidth="1"/>
    <col min="4103" max="4103" width="10.6640625" style="660" customWidth="1"/>
    <col min="4104" max="4104" width="8.5546875" style="660" customWidth="1"/>
    <col min="4105" max="4105" width="10.5546875" style="660" customWidth="1"/>
    <col min="4106" max="4106" width="8.88671875" style="660"/>
    <col min="4107" max="4107" width="33" style="660" customWidth="1"/>
    <col min="4108" max="4108" width="9.109375" style="660" customWidth="1"/>
    <col min="4109" max="4109" width="6.5546875" style="660" customWidth="1"/>
    <col min="4110" max="4110" width="12.33203125" style="660" customWidth="1"/>
    <col min="4111" max="4112" width="8.88671875" style="660"/>
    <col min="4113" max="4113" width="17.33203125" style="660" customWidth="1"/>
    <col min="4114" max="4114" width="10.44140625" style="660" bestFit="1" customWidth="1"/>
    <col min="4115" max="4352" width="8.88671875" style="660"/>
    <col min="4353" max="4353" width="4.44140625" style="660" customWidth="1"/>
    <col min="4354" max="4354" width="27" style="660" customWidth="1"/>
    <col min="4355" max="4355" width="10.44140625" style="660" customWidth="1"/>
    <col min="4356" max="4356" width="38.6640625" style="660" customWidth="1"/>
    <col min="4357" max="4357" width="5.33203125" style="660" customWidth="1"/>
    <col min="4358" max="4358" width="36" style="660" customWidth="1"/>
    <col min="4359" max="4359" width="10.6640625" style="660" customWidth="1"/>
    <col min="4360" max="4360" width="8.5546875" style="660" customWidth="1"/>
    <col min="4361" max="4361" width="10.5546875" style="660" customWidth="1"/>
    <col min="4362" max="4362" width="8.88671875" style="660"/>
    <col min="4363" max="4363" width="33" style="660" customWidth="1"/>
    <col min="4364" max="4364" width="9.109375" style="660" customWidth="1"/>
    <col min="4365" max="4365" width="6.5546875" style="660" customWidth="1"/>
    <col min="4366" max="4366" width="12.33203125" style="660" customWidth="1"/>
    <col min="4367" max="4368" width="8.88671875" style="660"/>
    <col min="4369" max="4369" width="17.33203125" style="660" customWidth="1"/>
    <col min="4370" max="4370" width="10.44140625" style="660" bestFit="1" customWidth="1"/>
    <col min="4371" max="4608" width="8.88671875" style="660"/>
    <col min="4609" max="4609" width="4.44140625" style="660" customWidth="1"/>
    <col min="4610" max="4610" width="27" style="660" customWidth="1"/>
    <col min="4611" max="4611" width="10.44140625" style="660" customWidth="1"/>
    <col min="4612" max="4612" width="38.6640625" style="660" customWidth="1"/>
    <col min="4613" max="4613" width="5.33203125" style="660" customWidth="1"/>
    <col min="4614" max="4614" width="36" style="660" customWidth="1"/>
    <col min="4615" max="4615" width="10.6640625" style="660" customWidth="1"/>
    <col min="4616" max="4616" width="8.5546875" style="660" customWidth="1"/>
    <col min="4617" max="4617" width="10.5546875" style="660" customWidth="1"/>
    <col min="4618" max="4618" width="8.88671875" style="660"/>
    <col min="4619" max="4619" width="33" style="660" customWidth="1"/>
    <col min="4620" max="4620" width="9.109375" style="660" customWidth="1"/>
    <col min="4621" max="4621" width="6.5546875" style="660" customWidth="1"/>
    <col min="4622" max="4622" width="12.33203125" style="660" customWidth="1"/>
    <col min="4623" max="4624" width="8.88671875" style="660"/>
    <col min="4625" max="4625" width="17.33203125" style="660" customWidth="1"/>
    <col min="4626" max="4626" width="10.44140625" style="660" bestFit="1" customWidth="1"/>
    <col min="4627" max="4864" width="8.88671875" style="660"/>
    <col min="4865" max="4865" width="4.44140625" style="660" customWidth="1"/>
    <col min="4866" max="4866" width="27" style="660" customWidth="1"/>
    <col min="4867" max="4867" width="10.44140625" style="660" customWidth="1"/>
    <col min="4868" max="4868" width="38.6640625" style="660" customWidth="1"/>
    <col min="4869" max="4869" width="5.33203125" style="660" customWidth="1"/>
    <col min="4870" max="4870" width="36" style="660" customWidth="1"/>
    <col min="4871" max="4871" width="10.6640625" style="660" customWidth="1"/>
    <col min="4872" max="4872" width="8.5546875" style="660" customWidth="1"/>
    <col min="4873" max="4873" width="10.5546875" style="660" customWidth="1"/>
    <col min="4874" max="4874" width="8.88671875" style="660"/>
    <col min="4875" max="4875" width="33" style="660" customWidth="1"/>
    <col min="4876" max="4876" width="9.109375" style="660" customWidth="1"/>
    <col min="4877" max="4877" width="6.5546875" style="660" customWidth="1"/>
    <col min="4878" max="4878" width="12.33203125" style="660" customWidth="1"/>
    <col min="4879" max="4880" width="8.88671875" style="660"/>
    <col min="4881" max="4881" width="17.33203125" style="660" customWidth="1"/>
    <col min="4882" max="4882" width="10.44140625" style="660" bestFit="1" customWidth="1"/>
    <col min="4883" max="5120" width="8.88671875" style="660"/>
    <col min="5121" max="5121" width="4.44140625" style="660" customWidth="1"/>
    <col min="5122" max="5122" width="27" style="660" customWidth="1"/>
    <col min="5123" max="5123" width="10.44140625" style="660" customWidth="1"/>
    <col min="5124" max="5124" width="38.6640625" style="660" customWidth="1"/>
    <col min="5125" max="5125" width="5.33203125" style="660" customWidth="1"/>
    <col min="5126" max="5126" width="36" style="660" customWidth="1"/>
    <col min="5127" max="5127" width="10.6640625" style="660" customWidth="1"/>
    <col min="5128" max="5128" width="8.5546875" style="660" customWidth="1"/>
    <col min="5129" max="5129" width="10.5546875" style="660" customWidth="1"/>
    <col min="5130" max="5130" width="8.88671875" style="660"/>
    <col min="5131" max="5131" width="33" style="660" customWidth="1"/>
    <col min="5132" max="5132" width="9.109375" style="660" customWidth="1"/>
    <col min="5133" max="5133" width="6.5546875" style="660" customWidth="1"/>
    <col min="5134" max="5134" width="12.33203125" style="660" customWidth="1"/>
    <col min="5135" max="5136" width="8.88671875" style="660"/>
    <col min="5137" max="5137" width="17.33203125" style="660" customWidth="1"/>
    <col min="5138" max="5138" width="10.44140625" style="660" bestFit="1" customWidth="1"/>
    <col min="5139" max="5376" width="8.88671875" style="660"/>
    <col min="5377" max="5377" width="4.44140625" style="660" customWidth="1"/>
    <col min="5378" max="5378" width="27" style="660" customWidth="1"/>
    <col min="5379" max="5379" width="10.44140625" style="660" customWidth="1"/>
    <col min="5380" max="5380" width="38.6640625" style="660" customWidth="1"/>
    <col min="5381" max="5381" width="5.33203125" style="660" customWidth="1"/>
    <col min="5382" max="5382" width="36" style="660" customWidth="1"/>
    <col min="5383" max="5383" width="10.6640625" style="660" customWidth="1"/>
    <col min="5384" max="5384" width="8.5546875" style="660" customWidth="1"/>
    <col min="5385" max="5385" width="10.5546875" style="660" customWidth="1"/>
    <col min="5386" max="5386" width="8.88671875" style="660"/>
    <col min="5387" max="5387" width="33" style="660" customWidth="1"/>
    <col min="5388" max="5388" width="9.109375" style="660" customWidth="1"/>
    <col min="5389" max="5389" width="6.5546875" style="660" customWidth="1"/>
    <col min="5390" max="5390" width="12.33203125" style="660" customWidth="1"/>
    <col min="5391" max="5392" width="8.88671875" style="660"/>
    <col min="5393" max="5393" width="17.33203125" style="660" customWidth="1"/>
    <col min="5394" max="5394" width="10.44140625" style="660" bestFit="1" customWidth="1"/>
    <col min="5395" max="5632" width="8.88671875" style="660"/>
    <col min="5633" max="5633" width="4.44140625" style="660" customWidth="1"/>
    <col min="5634" max="5634" width="27" style="660" customWidth="1"/>
    <col min="5635" max="5635" width="10.44140625" style="660" customWidth="1"/>
    <col min="5636" max="5636" width="38.6640625" style="660" customWidth="1"/>
    <col min="5637" max="5637" width="5.33203125" style="660" customWidth="1"/>
    <col min="5638" max="5638" width="36" style="660" customWidth="1"/>
    <col min="5639" max="5639" width="10.6640625" style="660" customWidth="1"/>
    <col min="5640" max="5640" width="8.5546875" style="660" customWidth="1"/>
    <col min="5641" max="5641" width="10.5546875" style="660" customWidth="1"/>
    <col min="5642" max="5642" width="8.88671875" style="660"/>
    <col min="5643" max="5643" width="33" style="660" customWidth="1"/>
    <col min="5644" max="5644" width="9.109375" style="660" customWidth="1"/>
    <col min="5645" max="5645" width="6.5546875" style="660" customWidth="1"/>
    <col min="5646" max="5646" width="12.33203125" style="660" customWidth="1"/>
    <col min="5647" max="5648" width="8.88671875" style="660"/>
    <col min="5649" max="5649" width="17.33203125" style="660" customWidth="1"/>
    <col min="5650" max="5650" width="10.44140625" style="660" bestFit="1" customWidth="1"/>
    <col min="5651" max="5888" width="8.88671875" style="660"/>
    <col min="5889" max="5889" width="4.44140625" style="660" customWidth="1"/>
    <col min="5890" max="5890" width="27" style="660" customWidth="1"/>
    <col min="5891" max="5891" width="10.44140625" style="660" customWidth="1"/>
    <col min="5892" max="5892" width="38.6640625" style="660" customWidth="1"/>
    <col min="5893" max="5893" width="5.33203125" style="660" customWidth="1"/>
    <col min="5894" max="5894" width="36" style="660" customWidth="1"/>
    <col min="5895" max="5895" width="10.6640625" style="660" customWidth="1"/>
    <col min="5896" max="5896" width="8.5546875" style="660" customWidth="1"/>
    <col min="5897" max="5897" width="10.5546875" style="660" customWidth="1"/>
    <col min="5898" max="5898" width="8.88671875" style="660"/>
    <col min="5899" max="5899" width="33" style="660" customWidth="1"/>
    <col min="5900" max="5900" width="9.109375" style="660" customWidth="1"/>
    <col min="5901" max="5901" width="6.5546875" style="660" customWidth="1"/>
    <col min="5902" max="5902" width="12.33203125" style="660" customWidth="1"/>
    <col min="5903" max="5904" width="8.88671875" style="660"/>
    <col min="5905" max="5905" width="17.33203125" style="660" customWidth="1"/>
    <col min="5906" max="5906" width="10.44140625" style="660" bestFit="1" customWidth="1"/>
    <col min="5907" max="6144" width="8.88671875" style="660"/>
    <col min="6145" max="6145" width="4.44140625" style="660" customWidth="1"/>
    <col min="6146" max="6146" width="27" style="660" customWidth="1"/>
    <col min="6147" max="6147" width="10.44140625" style="660" customWidth="1"/>
    <col min="6148" max="6148" width="38.6640625" style="660" customWidth="1"/>
    <col min="6149" max="6149" width="5.33203125" style="660" customWidth="1"/>
    <col min="6150" max="6150" width="36" style="660" customWidth="1"/>
    <col min="6151" max="6151" width="10.6640625" style="660" customWidth="1"/>
    <col min="6152" max="6152" width="8.5546875" style="660" customWidth="1"/>
    <col min="6153" max="6153" width="10.5546875" style="660" customWidth="1"/>
    <col min="6154" max="6154" width="8.88671875" style="660"/>
    <col min="6155" max="6155" width="33" style="660" customWidth="1"/>
    <col min="6156" max="6156" width="9.109375" style="660" customWidth="1"/>
    <col min="6157" max="6157" width="6.5546875" style="660" customWidth="1"/>
    <col min="6158" max="6158" width="12.33203125" style="660" customWidth="1"/>
    <col min="6159" max="6160" width="8.88671875" style="660"/>
    <col min="6161" max="6161" width="17.33203125" style="660" customWidth="1"/>
    <col min="6162" max="6162" width="10.44140625" style="660" bestFit="1" customWidth="1"/>
    <col min="6163" max="6400" width="8.88671875" style="660"/>
    <col min="6401" max="6401" width="4.44140625" style="660" customWidth="1"/>
    <col min="6402" max="6402" width="27" style="660" customWidth="1"/>
    <col min="6403" max="6403" width="10.44140625" style="660" customWidth="1"/>
    <col min="6404" max="6404" width="38.6640625" style="660" customWidth="1"/>
    <col min="6405" max="6405" width="5.33203125" style="660" customWidth="1"/>
    <col min="6406" max="6406" width="36" style="660" customWidth="1"/>
    <col min="6407" max="6407" width="10.6640625" style="660" customWidth="1"/>
    <col min="6408" max="6408" width="8.5546875" style="660" customWidth="1"/>
    <col min="6409" max="6409" width="10.5546875" style="660" customWidth="1"/>
    <col min="6410" max="6410" width="8.88671875" style="660"/>
    <col min="6411" max="6411" width="33" style="660" customWidth="1"/>
    <col min="6412" max="6412" width="9.109375" style="660" customWidth="1"/>
    <col min="6413" max="6413" width="6.5546875" style="660" customWidth="1"/>
    <col min="6414" max="6414" width="12.33203125" style="660" customWidth="1"/>
    <col min="6415" max="6416" width="8.88671875" style="660"/>
    <col min="6417" max="6417" width="17.33203125" style="660" customWidth="1"/>
    <col min="6418" max="6418" width="10.44140625" style="660" bestFit="1" customWidth="1"/>
    <col min="6419" max="6656" width="8.88671875" style="660"/>
    <col min="6657" max="6657" width="4.44140625" style="660" customWidth="1"/>
    <col min="6658" max="6658" width="27" style="660" customWidth="1"/>
    <col min="6659" max="6659" width="10.44140625" style="660" customWidth="1"/>
    <col min="6660" max="6660" width="38.6640625" style="660" customWidth="1"/>
    <col min="6661" max="6661" width="5.33203125" style="660" customWidth="1"/>
    <col min="6662" max="6662" width="36" style="660" customWidth="1"/>
    <col min="6663" max="6663" width="10.6640625" style="660" customWidth="1"/>
    <col min="6664" max="6664" width="8.5546875" style="660" customWidth="1"/>
    <col min="6665" max="6665" width="10.5546875" style="660" customWidth="1"/>
    <col min="6666" max="6666" width="8.88671875" style="660"/>
    <col min="6667" max="6667" width="33" style="660" customWidth="1"/>
    <col min="6668" max="6668" width="9.109375" style="660" customWidth="1"/>
    <col min="6669" max="6669" width="6.5546875" style="660" customWidth="1"/>
    <col min="6670" max="6670" width="12.33203125" style="660" customWidth="1"/>
    <col min="6671" max="6672" width="8.88671875" style="660"/>
    <col min="6673" max="6673" width="17.33203125" style="660" customWidth="1"/>
    <col min="6674" max="6674" width="10.44140625" style="660" bestFit="1" customWidth="1"/>
    <col min="6675" max="6912" width="8.88671875" style="660"/>
    <col min="6913" max="6913" width="4.44140625" style="660" customWidth="1"/>
    <col min="6914" max="6914" width="27" style="660" customWidth="1"/>
    <col min="6915" max="6915" width="10.44140625" style="660" customWidth="1"/>
    <col min="6916" max="6916" width="38.6640625" style="660" customWidth="1"/>
    <col min="6917" max="6917" width="5.33203125" style="660" customWidth="1"/>
    <col min="6918" max="6918" width="36" style="660" customWidth="1"/>
    <col min="6919" max="6919" width="10.6640625" style="660" customWidth="1"/>
    <col min="6920" max="6920" width="8.5546875" style="660" customWidth="1"/>
    <col min="6921" max="6921" width="10.5546875" style="660" customWidth="1"/>
    <col min="6922" max="6922" width="8.88671875" style="660"/>
    <col min="6923" max="6923" width="33" style="660" customWidth="1"/>
    <col min="6924" max="6924" width="9.109375" style="660" customWidth="1"/>
    <col min="6925" max="6925" width="6.5546875" style="660" customWidth="1"/>
    <col min="6926" max="6926" width="12.33203125" style="660" customWidth="1"/>
    <col min="6927" max="6928" width="8.88671875" style="660"/>
    <col min="6929" max="6929" width="17.33203125" style="660" customWidth="1"/>
    <col min="6930" max="6930" width="10.44140625" style="660" bestFit="1" customWidth="1"/>
    <col min="6931" max="7168" width="8.88671875" style="660"/>
    <col min="7169" max="7169" width="4.44140625" style="660" customWidth="1"/>
    <col min="7170" max="7170" width="27" style="660" customWidth="1"/>
    <col min="7171" max="7171" width="10.44140625" style="660" customWidth="1"/>
    <col min="7172" max="7172" width="38.6640625" style="660" customWidth="1"/>
    <col min="7173" max="7173" width="5.33203125" style="660" customWidth="1"/>
    <col min="7174" max="7174" width="36" style="660" customWidth="1"/>
    <col min="7175" max="7175" width="10.6640625" style="660" customWidth="1"/>
    <col min="7176" max="7176" width="8.5546875" style="660" customWidth="1"/>
    <col min="7177" max="7177" width="10.5546875" style="660" customWidth="1"/>
    <col min="7178" max="7178" width="8.88671875" style="660"/>
    <col min="7179" max="7179" width="33" style="660" customWidth="1"/>
    <col min="7180" max="7180" width="9.109375" style="660" customWidth="1"/>
    <col min="7181" max="7181" width="6.5546875" style="660" customWidth="1"/>
    <col min="7182" max="7182" width="12.33203125" style="660" customWidth="1"/>
    <col min="7183" max="7184" width="8.88671875" style="660"/>
    <col min="7185" max="7185" width="17.33203125" style="660" customWidth="1"/>
    <col min="7186" max="7186" width="10.44140625" style="660" bestFit="1" customWidth="1"/>
    <col min="7187" max="7424" width="8.88671875" style="660"/>
    <col min="7425" max="7425" width="4.44140625" style="660" customWidth="1"/>
    <col min="7426" max="7426" width="27" style="660" customWidth="1"/>
    <col min="7427" max="7427" width="10.44140625" style="660" customWidth="1"/>
    <col min="7428" max="7428" width="38.6640625" style="660" customWidth="1"/>
    <col min="7429" max="7429" width="5.33203125" style="660" customWidth="1"/>
    <col min="7430" max="7430" width="36" style="660" customWidth="1"/>
    <col min="7431" max="7431" width="10.6640625" style="660" customWidth="1"/>
    <col min="7432" max="7432" width="8.5546875" style="660" customWidth="1"/>
    <col min="7433" max="7433" width="10.5546875" style="660" customWidth="1"/>
    <col min="7434" max="7434" width="8.88671875" style="660"/>
    <col min="7435" max="7435" width="33" style="660" customWidth="1"/>
    <col min="7436" max="7436" width="9.109375" style="660" customWidth="1"/>
    <col min="7437" max="7437" width="6.5546875" style="660" customWidth="1"/>
    <col min="7438" max="7438" width="12.33203125" style="660" customWidth="1"/>
    <col min="7439" max="7440" width="8.88671875" style="660"/>
    <col min="7441" max="7441" width="17.33203125" style="660" customWidth="1"/>
    <col min="7442" max="7442" width="10.44140625" style="660" bestFit="1" customWidth="1"/>
    <col min="7443" max="7680" width="8.88671875" style="660"/>
    <col min="7681" max="7681" width="4.44140625" style="660" customWidth="1"/>
    <col min="7682" max="7682" width="27" style="660" customWidth="1"/>
    <col min="7683" max="7683" width="10.44140625" style="660" customWidth="1"/>
    <col min="7684" max="7684" width="38.6640625" style="660" customWidth="1"/>
    <col min="7685" max="7685" width="5.33203125" style="660" customWidth="1"/>
    <col min="7686" max="7686" width="36" style="660" customWidth="1"/>
    <col min="7687" max="7687" width="10.6640625" style="660" customWidth="1"/>
    <col min="7688" max="7688" width="8.5546875" style="660" customWidth="1"/>
    <col min="7689" max="7689" width="10.5546875" style="660" customWidth="1"/>
    <col min="7690" max="7690" width="8.88671875" style="660"/>
    <col min="7691" max="7691" width="33" style="660" customWidth="1"/>
    <col min="7692" max="7692" width="9.109375" style="660" customWidth="1"/>
    <col min="7693" max="7693" width="6.5546875" style="660" customWidth="1"/>
    <col min="7694" max="7694" width="12.33203125" style="660" customWidth="1"/>
    <col min="7695" max="7696" width="8.88671875" style="660"/>
    <col min="7697" max="7697" width="17.33203125" style="660" customWidth="1"/>
    <col min="7698" max="7698" width="10.44140625" style="660" bestFit="1" customWidth="1"/>
    <col min="7699" max="7936" width="8.88671875" style="660"/>
    <col min="7937" max="7937" width="4.44140625" style="660" customWidth="1"/>
    <col min="7938" max="7938" width="27" style="660" customWidth="1"/>
    <col min="7939" max="7939" width="10.44140625" style="660" customWidth="1"/>
    <col min="7940" max="7940" width="38.6640625" style="660" customWidth="1"/>
    <col min="7941" max="7941" width="5.33203125" style="660" customWidth="1"/>
    <col min="7942" max="7942" width="36" style="660" customWidth="1"/>
    <col min="7943" max="7943" width="10.6640625" style="660" customWidth="1"/>
    <col min="7944" max="7944" width="8.5546875" style="660" customWidth="1"/>
    <col min="7945" max="7945" width="10.5546875" style="660" customWidth="1"/>
    <col min="7946" max="7946" width="8.88671875" style="660"/>
    <col min="7947" max="7947" width="33" style="660" customWidth="1"/>
    <col min="7948" max="7948" width="9.109375" style="660" customWidth="1"/>
    <col min="7949" max="7949" width="6.5546875" style="660" customWidth="1"/>
    <col min="7950" max="7950" width="12.33203125" style="660" customWidth="1"/>
    <col min="7951" max="7952" width="8.88671875" style="660"/>
    <col min="7953" max="7953" width="17.33203125" style="660" customWidth="1"/>
    <col min="7954" max="7954" width="10.44140625" style="660" bestFit="1" customWidth="1"/>
    <col min="7955" max="8192" width="8.88671875" style="660"/>
    <col min="8193" max="8193" width="4.44140625" style="660" customWidth="1"/>
    <col min="8194" max="8194" width="27" style="660" customWidth="1"/>
    <col min="8195" max="8195" width="10.44140625" style="660" customWidth="1"/>
    <col min="8196" max="8196" width="38.6640625" style="660" customWidth="1"/>
    <col min="8197" max="8197" width="5.33203125" style="660" customWidth="1"/>
    <col min="8198" max="8198" width="36" style="660" customWidth="1"/>
    <col min="8199" max="8199" width="10.6640625" style="660" customWidth="1"/>
    <col min="8200" max="8200" width="8.5546875" style="660" customWidth="1"/>
    <col min="8201" max="8201" width="10.5546875" style="660" customWidth="1"/>
    <col min="8202" max="8202" width="8.88671875" style="660"/>
    <col min="8203" max="8203" width="33" style="660" customWidth="1"/>
    <col min="8204" max="8204" width="9.109375" style="660" customWidth="1"/>
    <col min="8205" max="8205" width="6.5546875" style="660" customWidth="1"/>
    <col min="8206" max="8206" width="12.33203125" style="660" customWidth="1"/>
    <col min="8207" max="8208" width="8.88671875" style="660"/>
    <col min="8209" max="8209" width="17.33203125" style="660" customWidth="1"/>
    <col min="8210" max="8210" width="10.44140625" style="660" bestFit="1" customWidth="1"/>
    <col min="8211" max="8448" width="8.88671875" style="660"/>
    <col min="8449" max="8449" width="4.44140625" style="660" customWidth="1"/>
    <col min="8450" max="8450" width="27" style="660" customWidth="1"/>
    <col min="8451" max="8451" width="10.44140625" style="660" customWidth="1"/>
    <col min="8452" max="8452" width="38.6640625" style="660" customWidth="1"/>
    <col min="8453" max="8453" width="5.33203125" style="660" customWidth="1"/>
    <col min="8454" max="8454" width="36" style="660" customWidth="1"/>
    <col min="8455" max="8455" width="10.6640625" style="660" customWidth="1"/>
    <col min="8456" max="8456" width="8.5546875" style="660" customWidth="1"/>
    <col min="8457" max="8457" width="10.5546875" style="660" customWidth="1"/>
    <col min="8458" max="8458" width="8.88671875" style="660"/>
    <col min="8459" max="8459" width="33" style="660" customWidth="1"/>
    <col min="8460" max="8460" width="9.109375" style="660" customWidth="1"/>
    <col min="8461" max="8461" width="6.5546875" style="660" customWidth="1"/>
    <col min="8462" max="8462" width="12.33203125" style="660" customWidth="1"/>
    <col min="8463" max="8464" width="8.88671875" style="660"/>
    <col min="8465" max="8465" width="17.33203125" style="660" customWidth="1"/>
    <col min="8466" max="8466" width="10.44140625" style="660" bestFit="1" customWidth="1"/>
    <col min="8467" max="8704" width="8.88671875" style="660"/>
    <col min="8705" max="8705" width="4.44140625" style="660" customWidth="1"/>
    <col min="8706" max="8706" width="27" style="660" customWidth="1"/>
    <col min="8707" max="8707" width="10.44140625" style="660" customWidth="1"/>
    <col min="8708" max="8708" width="38.6640625" style="660" customWidth="1"/>
    <col min="8709" max="8709" width="5.33203125" style="660" customWidth="1"/>
    <col min="8710" max="8710" width="36" style="660" customWidth="1"/>
    <col min="8711" max="8711" width="10.6640625" style="660" customWidth="1"/>
    <col min="8712" max="8712" width="8.5546875" style="660" customWidth="1"/>
    <col min="8713" max="8713" width="10.5546875" style="660" customWidth="1"/>
    <col min="8714" max="8714" width="8.88671875" style="660"/>
    <col min="8715" max="8715" width="33" style="660" customWidth="1"/>
    <col min="8716" max="8716" width="9.109375" style="660" customWidth="1"/>
    <col min="8717" max="8717" width="6.5546875" style="660" customWidth="1"/>
    <col min="8718" max="8718" width="12.33203125" style="660" customWidth="1"/>
    <col min="8719" max="8720" width="8.88671875" style="660"/>
    <col min="8721" max="8721" width="17.33203125" style="660" customWidth="1"/>
    <col min="8722" max="8722" width="10.44140625" style="660" bestFit="1" customWidth="1"/>
    <col min="8723" max="8960" width="8.88671875" style="660"/>
    <col min="8961" max="8961" width="4.44140625" style="660" customWidth="1"/>
    <col min="8962" max="8962" width="27" style="660" customWidth="1"/>
    <col min="8963" max="8963" width="10.44140625" style="660" customWidth="1"/>
    <col min="8964" max="8964" width="38.6640625" style="660" customWidth="1"/>
    <col min="8965" max="8965" width="5.33203125" style="660" customWidth="1"/>
    <col min="8966" max="8966" width="36" style="660" customWidth="1"/>
    <col min="8967" max="8967" width="10.6640625" style="660" customWidth="1"/>
    <col min="8968" max="8968" width="8.5546875" style="660" customWidth="1"/>
    <col min="8969" max="8969" width="10.5546875" style="660" customWidth="1"/>
    <col min="8970" max="8970" width="8.88671875" style="660"/>
    <col min="8971" max="8971" width="33" style="660" customWidth="1"/>
    <col min="8972" max="8972" width="9.109375" style="660" customWidth="1"/>
    <col min="8973" max="8973" width="6.5546875" style="660" customWidth="1"/>
    <col min="8974" max="8974" width="12.33203125" style="660" customWidth="1"/>
    <col min="8975" max="8976" width="8.88671875" style="660"/>
    <col min="8977" max="8977" width="17.33203125" style="660" customWidth="1"/>
    <col min="8978" max="8978" width="10.44140625" style="660" bestFit="1" customWidth="1"/>
    <col min="8979" max="9216" width="8.88671875" style="660"/>
    <col min="9217" max="9217" width="4.44140625" style="660" customWidth="1"/>
    <col min="9218" max="9218" width="27" style="660" customWidth="1"/>
    <col min="9219" max="9219" width="10.44140625" style="660" customWidth="1"/>
    <col min="9220" max="9220" width="38.6640625" style="660" customWidth="1"/>
    <col min="9221" max="9221" width="5.33203125" style="660" customWidth="1"/>
    <col min="9222" max="9222" width="36" style="660" customWidth="1"/>
    <col min="9223" max="9223" width="10.6640625" style="660" customWidth="1"/>
    <col min="9224" max="9224" width="8.5546875" style="660" customWidth="1"/>
    <col min="9225" max="9225" width="10.5546875" style="660" customWidth="1"/>
    <col min="9226" max="9226" width="8.88671875" style="660"/>
    <col min="9227" max="9227" width="33" style="660" customWidth="1"/>
    <col min="9228" max="9228" width="9.109375" style="660" customWidth="1"/>
    <col min="9229" max="9229" width="6.5546875" style="660" customWidth="1"/>
    <col min="9230" max="9230" width="12.33203125" style="660" customWidth="1"/>
    <col min="9231" max="9232" width="8.88671875" style="660"/>
    <col min="9233" max="9233" width="17.33203125" style="660" customWidth="1"/>
    <col min="9234" max="9234" width="10.44140625" style="660" bestFit="1" customWidth="1"/>
    <col min="9235" max="9472" width="8.88671875" style="660"/>
    <col min="9473" max="9473" width="4.44140625" style="660" customWidth="1"/>
    <col min="9474" max="9474" width="27" style="660" customWidth="1"/>
    <col min="9475" max="9475" width="10.44140625" style="660" customWidth="1"/>
    <col min="9476" max="9476" width="38.6640625" style="660" customWidth="1"/>
    <col min="9477" max="9477" width="5.33203125" style="660" customWidth="1"/>
    <col min="9478" max="9478" width="36" style="660" customWidth="1"/>
    <col min="9479" max="9479" width="10.6640625" style="660" customWidth="1"/>
    <col min="9480" max="9480" width="8.5546875" style="660" customWidth="1"/>
    <col min="9481" max="9481" width="10.5546875" style="660" customWidth="1"/>
    <col min="9482" max="9482" width="8.88671875" style="660"/>
    <col min="9483" max="9483" width="33" style="660" customWidth="1"/>
    <col min="9484" max="9484" width="9.109375" style="660" customWidth="1"/>
    <col min="9485" max="9485" width="6.5546875" style="660" customWidth="1"/>
    <col min="9486" max="9486" width="12.33203125" style="660" customWidth="1"/>
    <col min="9487" max="9488" width="8.88671875" style="660"/>
    <col min="9489" max="9489" width="17.33203125" style="660" customWidth="1"/>
    <col min="9490" max="9490" width="10.44140625" style="660" bestFit="1" customWidth="1"/>
    <col min="9491" max="9728" width="8.88671875" style="660"/>
    <col min="9729" max="9729" width="4.44140625" style="660" customWidth="1"/>
    <col min="9730" max="9730" width="27" style="660" customWidth="1"/>
    <col min="9731" max="9731" width="10.44140625" style="660" customWidth="1"/>
    <col min="9732" max="9732" width="38.6640625" style="660" customWidth="1"/>
    <col min="9733" max="9733" width="5.33203125" style="660" customWidth="1"/>
    <col min="9734" max="9734" width="36" style="660" customWidth="1"/>
    <col min="9735" max="9735" width="10.6640625" style="660" customWidth="1"/>
    <col min="9736" max="9736" width="8.5546875" style="660" customWidth="1"/>
    <col min="9737" max="9737" width="10.5546875" style="660" customWidth="1"/>
    <col min="9738" max="9738" width="8.88671875" style="660"/>
    <col min="9739" max="9739" width="33" style="660" customWidth="1"/>
    <col min="9740" max="9740" width="9.109375" style="660" customWidth="1"/>
    <col min="9741" max="9741" width="6.5546875" style="660" customWidth="1"/>
    <col min="9742" max="9742" width="12.33203125" style="660" customWidth="1"/>
    <col min="9743" max="9744" width="8.88671875" style="660"/>
    <col min="9745" max="9745" width="17.33203125" style="660" customWidth="1"/>
    <col min="9746" max="9746" width="10.44140625" style="660" bestFit="1" customWidth="1"/>
    <col min="9747" max="9984" width="8.88671875" style="660"/>
    <col min="9985" max="9985" width="4.44140625" style="660" customWidth="1"/>
    <col min="9986" max="9986" width="27" style="660" customWidth="1"/>
    <col min="9987" max="9987" width="10.44140625" style="660" customWidth="1"/>
    <col min="9988" max="9988" width="38.6640625" style="660" customWidth="1"/>
    <col min="9989" max="9989" width="5.33203125" style="660" customWidth="1"/>
    <col min="9990" max="9990" width="36" style="660" customWidth="1"/>
    <col min="9991" max="9991" width="10.6640625" style="660" customWidth="1"/>
    <col min="9992" max="9992" width="8.5546875" style="660" customWidth="1"/>
    <col min="9993" max="9993" width="10.5546875" style="660" customWidth="1"/>
    <col min="9994" max="9994" width="8.88671875" style="660"/>
    <col min="9995" max="9995" width="33" style="660" customWidth="1"/>
    <col min="9996" max="9996" width="9.109375" style="660" customWidth="1"/>
    <col min="9997" max="9997" width="6.5546875" style="660" customWidth="1"/>
    <col min="9998" max="9998" width="12.33203125" style="660" customWidth="1"/>
    <col min="9999" max="10000" width="8.88671875" style="660"/>
    <col min="10001" max="10001" width="17.33203125" style="660" customWidth="1"/>
    <col min="10002" max="10002" width="10.44140625" style="660" bestFit="1" customWidth="1"/>
    <col min="10003" max="10240" width="8.88671875" style="660"/>
    <col min="10241" max="10241" width="4.44140625" style="660" customWidth="1"/>
    <col min="10242" max="10242" width="27" style="660" customWidth="1"/>
    <col min="10243" max="10243" width="10.44140625" style="660" customWidth="1"/>
    <col min="10244" max="10244" width="38.6640625" style="660" customWidth="1"/>
    <col min="10245" max="10245" width="5.33203125" style="660" customWidth="1"/>
    <col min="10246" max="10246" width="36" style="660" customWidth="1"/>
    <col min="10247" max="10247" width="10.6640625" style="660" customWidth="1"/>
    <col min="10248" max="10248" width="8.5546875" style="660" customWidth="1"/>
    <col min="10249" max="10249" width="10.5546875" style="660" customWidth="1"/>
    <col min="10250" max="10250" width="8.88671875" style="660"/>
    <col min="10251" max="10251" width="33" style="660" customWidth="1"/>
    <col min="10252" max="10252" width="9.109375" style="660" customWidth="1"/>
    <col min="10253" max="10253" width="6.5546875" style="660" customWidth="1"/>
    <col min="10254" max="10254" width="12.33203125" style="660" customWidth="1"/>
    <col min="10255" max="10256" width="8.88671875" style="660"/>
    <col min="10257" max="10257" width="17.33203125" style="660" customWidth="1"/>
    <col min="10258" max="10258" width="10.44140625" style="660" bestFit="1" customWidth="1"/>
    <col min="10259" max="10496" width="8.88671875" style="660"/>
    <col min="10497" max="10497" width="4.44140625" style="660" customWidth="1"/>
    <col min="10498" max="10498" width="27" style="660" customWidth="1"/>
    <col min="10499" max="10499" width="10.44140625" style="660" customWidth="1"/>
    <col min="10500" max="10500" width="38.6640625" style="660" customWidth="1"/>
    <col min="10501" max="10501" width="5.33203125" style="660" customWidth="1"/>
    <col min="10502" max="10502" width="36" style="660" customWidth="1"/>
    <col min="10503" max="10503" width="10.6640625" style="660" customWidth="1"/>
    <col min="10504" max="10504" width="8.5546875" style="660" customWidth="1"/>
    <col min="10505" max="10505" width="10.5546875" style="660" customWidth="1"/>
    <col min="10506" max="10506" width="8.88671875" style="660"/>
    <col min="10507" max="10507" width="33" style="660" customWidth="1"/>
    <col min="10508" max="10508" width="9.109375" style="660" customWidth="1"/>
    <col min="10509" max="10509" width="6.5546875" style="660" customWidth="1"/>
    <col min="10510" max="10510" width="12.33203125" style="660" customWidth="1"/>
    <col min="10511" max="10512" width="8.88671875" style="660"/>
    <col min="10513" max="10513" width="17.33203125" style="660" customWidth="1"/>
    <col min="10514" max="10514" width="10.44140625" style="660" bestFit="1" customWidth="1"/>
    <col min="10515" max="10752" width="8.88671875" style="660"/>
    <col min="10753" max="10753" width="4.44140625" style="660" customWidth="1"/>
    <col min="10754" max="10754" width="27" style="660" customWidth="1"/>
    <col min="10755" max="10755" width="10.44140625" style="660" customWidth="1"/>
    <col min="10756" max="10756" width="38.6640625" style="660" customWidth="1"/>
    <col min="10757" max="10757" width="5.33203125" style="660" customWidth="1"/>
    <col min="10758" max="10758" width="36" style="660" customWidth="1"/>
    <col min="10759" max="10759" width="10.6640625" style="660" customWidth="1"/>
    <col min="10760" max="10760" width="8.5546875" style="660" customWidth="1"/>
    <col min="10761" max="10761" width="10.5546875" style="660" customWidth="1"/>
    <col min="10762" max="10762" width="8.88671875" style="660"/>
    <col min="10763" max="10763" width="33" style="660" customWidth="1"/>
    <col min="10764" max="10764" width="9.109375" style="660" customWidth="1"/>
    <col min="10765" max="10765" width="6.5546875" style="660" customWidth="1"/>
    <col min="10766" max="10766" width="12.33203125" style="660" customWidth="1"/>
    <col min="10767" max="10768" width="8.88671875" style="660"/>
    <col min="10769" max="10769" width="17.33203125" style="660" customWidth="1"/>
    <col min="10770" max="10770" width="10.44140625" style="660" bestFit="1" customWidth="1"/>
    <col min="10771" max="11008" width="8.88671875" style="660"/>
    <col min="11009" max="11009" width="4.44140625" style="660" customWidth="1"/>
    <col min="11010" max="11010" width="27" style="660" customWidth="1"/>
    <col min="11011" max="11011" width="10.44140625" style="660" customWidth="1"/>
    <col min="11012" max="11012" width="38.6640625" style="660" customWidth="1"/>
    <col min="11013" max="11013" width="5.33203125" style="660" customWidth="1"/>
    <col min="11014" max="11014" width="36" style="660" customWidth="1"/>
    <col min="11015" max="11015" width="10.6640625" style="660" customWidth="1"/>
    <col min="11016" max="11016" width="8.5546875" style="660" customWidth="1"/>
    <col min="11017" max="11017" width="10.5546875" style="660" customWidth="1"/>
    <col min="11018" max="11018" width="8.88671875" style="660"/>
    <col min="11019" max="11019" width="33" style="660" customWidth="1"/>
    <col min="11020" max="11020" width="9.109375" style="660" customWidth="1"/>
    <col min="11021" max="11021" width="6.5546875" style="660" customWidth="1"/>
    <col min="11022" max="11022" width="12.33203125" style="660" customWidth="1"/>
    <col min="11023" max="11024" width="8.88671875" style="660"/>
    <col min="11025" max="11025" width="17.33203125" style="660" customWidth="1"/>
    <col min="11026" max="11026" width="10.44140625" style="660" bestFit="1" customWidth="1"/>
    <col min="11027" max="11264" width="8.88671875" style="660"/>
    <col min="11265" max="11265" width="4.44140625" style="660" customWidth="1"/>
    <col min="11266" max="11266" width="27" style="660" customWidth="1"/>
    <col min="11267" max="11267" width="10.44140625" style="660" customWidth="1"/>
    <col min="11268" max="11268" width="38.6640625" style="660" customWidth="1"/>
    <col min="11269" max="11269" width="5.33203125" style="660" customWidth="1"/>
    <col min="11270" max="11270" width="36" style="660" customWidth="1"/>
    <col min="11271" max="11271" width="10.6640625" style="660" customWidth="1"/>
    <col min="11272" max="11272" width="8.5546875" style="660" customWidth="1"/>
    <col min="11273" max="11273" width="10.5546875" style="660" customWidth="1"/>
    <col min="11274" max="11274" width="8.88671875" style="660"/>
    <col min="11275" max="11275" width="33" style="660" customWidth="1"/>
    <col min="11276" max="11276" width="9.109375" style="660" customWidth="1"/>
    <col min="11277" max="11277" width="6.5546875" style="660" customWidth="1"/>
    <col min="11278" max="11278" width="12.33203125" style="660" customWidth="1"/>
    <col min="11279" max="11280" width="8.88671875" style="660"/>
    <col min="11281" max="11281" width="17.33203125" style="660" customWidth="1"/>
    <col min="11282" max="11282" width="10.44140625" style="660" bestFit="1" customWidth="1"/>
    <col min="11283" max="11520" width="8.88671875" style="660"/>
    <col min="11521" max="11521" width="4.44140625" style="660" customWidth="1"/>
    <col min="11522" max="11522" width="27" style="660" customWidth="1"/>
    <col min="11523" max="11523" width="10.44140625" style="660" customWidth="1"/>
    <col min="11524" max="11524" width="38.6640625" style="660" customWidth="1"/>
    <col min="11525" max="11525" width="5.33203125" style="660" customWidth="1"/>
    <col min="11526" max="11526" width="36" style="660" customWidth="1"/>
    <col min="11527" max="11527" width="10.6640625" style="660" customWidth="1"/>
    <col min="11528" max="11528" width="8.5546875" style="660" customWidth="1"/>
    <col min="11529" max="11529" width="10.5546875" style="660" customWidth="1"/>
    <col min="11530" max="11530" width="8.88671875" style="660"/>
    <col min="11531" max="11531" width="33" style="660" customWidth="1"/>
    <col min="11532" max="11532" width="9.109375" style="660" customWidth="1"/>
    <col min="11533" max="11533" width="6.5546875" style="660" customWidth="1"/>
    <col min="11534" max="11534" width="12.33203125" style="660" customWidth="1"/>
    <col min="11535" max="11536" width="8.88671875" style="660"/>
    <col min="11537" max="11537" width="17.33203125" style="660" customWidth="1"/>
    <col min="11538" max="11538" width="10.44140625" style="660" bestFit="1" customWidth="1"/>
    <col min="11539" max="11776" width="8.88671875" style="660"/>
    <col min="11777" max="11777" width="4.44140625" style="660" customWidth="1"/>
    <col min="11778" max="11778" width="27" style="660" customWidth="1"/>
    <col min="11779" max="11779" width="10.44140625" style="660" customWidth="1"/>
    <col min="11780" max="11780" width="38.6640625" style="660" customWidth="1"/>
    <col min="11781" max="11781" width="5.33203125" style="660" customWidth="1"/>
    <col min="11782" max="11782" width="36" style="660" customWidth="1"/>
    <col min="11783" max="11783" width="10.6640625" style="660" customWidth="1"/>
    <col min="11784" max="11784" width="8.5546875" style="660" customWidth="1"/>
    <col min="11785" max="11785" width="10.5546875" style="660" customWidth="1"/>
    <col min="11786" max="11786" width="8.88671875" style="660"/>
    <col min="11787" max="11787" width="33" style="660" customWidth="1"/>
    <col min="11788" max="11788" width="9.109375" style="660" customWidth="1"/>
    <col min="11789" max="11789" width="6.5546875" style="660" customWidth="1"/>
    <col min="11790" max="11790" width="12.33203125" style="660" customWidth="1"/>
    <col min="11791" max="11792" width="8.88671875" style="660"/>
    <col min="11793" max="11793" width="17.33203125" style="660" customWidth="1"/>
    <col min="11794" max="11794" width="10.44140625" style="660" bestFit="1" customWidth="1"/>
    <col min="11795" max="12032" width="8.88671875" style="660"/>
    <col min="12033" max="12033" width="4.44140625" style="660" customWidth="1"/>
    <col min="12034" max="12034" width="27" style="660" customWidth="1"/>
    <col min="12035" max="12035" width="10.44140625" style="660" customWidth="1"/>
    <col min="12036" max="12036" width="38.6640625" style="660" customWidth="1"/>
    <col min="12037" max="12037" width="5.33203125" style="660" customWidth="1"/>
    <col min="12038" max="12038" width="36" style="660" customWidth="1"/>
    <col min="12039" max="12039" width="10.6640625" style="660" customWidth="1"/>
    <col min="12040" max="12040" width="8.5546875" style="660" customWidth="1"/>
    <col min="12041" max="12041" width="10.5546875" style="660" customWidth="1"/>
    <col min="12042" max="12042" width="8.88671875" style="660"/>
    <col min="12043" max="12043" width="33" style="660" customWidth="1"/>
    <col min="12044" max="12044" width="9.109375" style="660" customWidth="1"/>
    <col min="12045" max="12045" width="6.5546875" style="660" customWidth="1"/>
    <col min="12046" max="12046" width="12.33203125" style="660" customWidth="1"/>
    <col min="12047" max="12048" width="8.88671875" style="660"/>
    <col min="12049" max="12049" width="17.33203125" style="660" customWidth="1"/>
    <col min="12050" max="12050" width="10.44140625" style="660" bestFit="1" customWidth="1"/>
    <col min="12051" max="12288" width="8.88671875" style="660"/>
    <col min="12289" max="12289" width="4.44140625" style="660" customWidth="1"/>
    <col min="12290" max="12290" width="27" style="660" customWidth="1"/>
    <col min="12291" max="12291" width="10.44140625" style="660" customWidth="1"/>
    <col min="12292" max="12292" width="38.6640625" style="660" customWidth="1"/>
    <col min="12293" max="12293" width="5.33203125" style="660" customWidth="1"/>
    <col min="12294" max="12294" width="36" style="660" customWidth="1"/>
    <col min="12295" max="12295" width="10.6640625" style="660" customWidth="1"/>
    <col min="12296" max="12296" width="8.5546875" style="660" customWidth="1"/>
    <col min="12297" max="12297" width="10.5546875" style="660" customWidth="1"/>
    <col min="12298" max="12298" width="8.88671875" style="660"/>
    <col min="12299" max="12299" width="33" style="660" customWidth="1"/>
    <col min="12300" max="12300" width="9.109375" style="660" customWidth="1"/>
    <col min="12301" max="12301" width="6.5546875" style="660" customWidth="1"/>
    <col min="12302" max="12302" width="12.33203125" style="660" customWidth="1"/>
    <col min="12303" max="12304" width="8.88671875" style="660"/>
    <col min="12305" max="12305" width="17.33203125" style="660" customWidth="1"/>
    <col min="12306" max="12306" width="10.44140625" style="660" bestFit="1" customWidth="1"/>
    <col min="12307" max="12544" width="8.88671875" style="660"/>
    <col min="12545" max="12545" width="4.44140625" style="660" customWidth="1"/>
    <col min="12546" max="12546" width="27" style="660" customWidth="1"/>
    <col min="12547" max="12547" width="10.44140625" style="660" customWidth="1"/>
    <col min="12548" max="12548" width="38.6640625" style="660" customWidth="1"/>
    <col min="12549" max="12549" width="5.33203125" style="660" customWidth="1"/>
    <col min="12550" max="12550" width="36" style="660" customWidth="1"/>
    <col min="12551" max="12551" width="10.6640625" style="660" customWidth="1"/>
    <col min="12552" max="12552" width="8.5546875" style="660" customWidth="1"/>
    <col min="12553" max="12553" width="10.5546875" style="660" customWidth="1"/>
    <col min="12554" max="12554" width="8.88671875" style="660"/>
    <col min="12555" max="12555" width="33" style="660" customWidth="1"/>
    <col min="12556" max="12556" width="9.109375" style="660" customWidth="1"/>
    <col min="12557" max="12557" width="6.5546875" style="660" customWidth="1"/>
    <col min="12558" max="12558" width="12.33203125" style="660" customWidth="1"/>
    <col min="12559" max="12560" width="8.88671875" style="660"/>
    <col min="12561" max="12561" width="17.33203125" style="660" customWidth="1"/>
    <col min="12562" max="12562" width="10.44140625" style="660" bestFit="1" customWidth="1"/>
    <col min="12563" max="12800" width="8.88671875" style="660"/>
    <col min="12801" max="12801" width="4.44140625" style="660" customWidth="1"/>
    <col min="12802" max="12802" width="27" style="660" customWidth="1"/>
    <col min="12803" max="12803" width="10.44140625" style="660" customWidth="1"/>
    <col min="12804" max="12804" width="38.6640625" style="660" customWidth="1"/>
    <col min="12805" max="12805" width="5.33203125" style="660" customWidth="1"/>
    <col min="12806" max="12806" width="36" style="660" customWidth="1"/>
    <col min="12807" max="12807" width="10.6640625" style="660" customWidth="1"/>
    <col min="12808" max="12808" width="8.5546875" style="660" customWidth="1"/>
    <col min="12809" max="12809" width="10.5546875" style="660" customWidth="1"/>
    <col min="12810" max="12810" width="8.88671875" style="660"/>
    <col min="12811" max="12811" width="33" style="660" customWidth="1"/>
    <col min="12812" max="12812" width="9.109375" style="660" customWidth="1"/>
    <col min="12813" max="12813" width="6.5546875" style="660" customWidth="1"/>
    <col min="12814" max="12814" width="12.33203125" style="660" customWidth="1"/>
    <col min="12815" max="12816" width="8.88671875" style="660"/>
    <col min="12817" max="12817" width="17.33203125" style="660" customWidth="1"/>
    <col min="12818" max="12818" width="10.44140625" style="660" bestFit="1" customWidth="1"/>
    <col min="12819" max="13056" width="8.88671875" style="660"/>
    <col min="13057" max="13057" width="4.44140625" style="660" customWidth="1"/>
    <col min="13058" max="13058" width="27" style="660" customWidth="1"/>
    <col min="13059" max="13059" width="10.44140625" style="660" customWidth="1"/>
    <col min="13060" max="13060" width="38.6640625" style="660" customWidth="1"/>
    <col min="13061" max="13061" width="5.33203125" style="660" customWidth="1"/>
    <col min="13062" max="13062" width="36" style="660" customWidth="1"/>
    <col min="13063" max="13063" width="10.6640625" style="660" customWidth="1"/>
    <col min="13064" max="13064" width="8.5546875" style="660" customWidth="1"/>
    <col min="13065" max="13065" width="10.5546875" style="660" customWidth="1"/>
    <col min="13066" max="13066" width="8.88671875" style="660"/>
    <col min="13067" max="13067" width="33" style="660" customWidth="1"/>
    <col min="13068" max="13068" width="9.109375" style="660" customWidth="1"/>
    <col min="13069" max="13069" width="6.5546875" style="660" customWidth="1"/>
    <col min="13070" max="13070" width="12.33203125" style="660" customWidth="1"/>
    <col min="13071" max="13072" width="8.88671875" style="660"/>
    <col min="13073" max="13073" width="17.33203125" style="660" customWidth="1"/>
    <col min="13074" max="13074" width="10.44140625" style="660" bestFit="1" customWidth="1"/>
    <col min="13075" max="13312" width="8.88671875" style="660"/>
    <col min="13313" max="13313" width="4.44140625" style="660" customWidth="1"/>
    <col min="13314" max="13314" width="27" style="660" customWidth="1"/>
    <col min="13315" max="13315" width="10.44140625" style="660" customWidth="1"/>
    <col min="13316" max="13316" width="38.6640625" style="660" customWidth="1"/>
    <col min="13317" max="13317" width="5.33203125" style="660" customWidth="1"/>
    <col min="13318" max="13318" width="36" style="660" customWidth="1"/>
    <col min="13319" max="13319" width="10.6640625" style="660" customWidth="1"/>
    <col min="13320" max="13320" width="8.5546875" style="660" customWidth="1"/>
    <col min="13321" max="13321" width="10.5546875" style="660" customWidth="1"/>
    <col min="13322" max="13322" width="8.88671875" style="660"/>
    <col min="13323" max="13323" width="33" style="660" customWidth="1"/>
    <col min="13324" max="13324" width="9.109375" style="660" customWidth="1"/>
    <col min="13325" max="13325" width="6.5546875" style="660" customWidth="1"/>
    <col min="13326" max="13326" width="12.33203125" style="660" customWidth="1"/>
    <col min="13327" max="13328" width="8.88671875" style="660"/>
    <col min="13329" max="13329" width="17.33203125" style="660" customWidth="1"/>
    <col min="13330" max="13330" width="10.44140625" style="660" bestFit="1" customWidth="1"/>
    <col min="13331" max="13568" width="8.88671875" style="660"/>
    <col min="13569" max="13569" width="4.44140625" style="660" customWidth="1"/>
    <col min="13570" max="13570" width="27" style="660" customWidth="1"/>
    <col min="13571" max="13571" width="10.44140625" style="660" customWidth="1"/>
    <col min="13572" max="13572" width="38.6640625" style="660" customWidth="1"/>
    <col min="13573" max="13573" width="5.33203125" style="660" customWidth="1"/>
    <col min="13574" max="13574" width="36" style="660" customWidth="1"/>
    <col min="13575" max="13575" width="10.6640625" style="660" customWidth="1"/>
    <col min="13576" max="13576" width="8.5546875" style="660" customWidth="1"/>
    <col min="13577" max="13577" width="10.5546875" style="660" customWidth="1"/>
    <col min="13578" max="13578" width="8.88671875" style="660"/>
    <col min="13579" max="13579" width="33" style="660" customWidth="1"/>
    <col min="13580" max="13580" width="9.109375" style="660" customWidth="1"/>
    <col min="13581" max="13581" width="6.5546875" style="660" customWidth="1"/>
    <col min="13582" max="13582" width="12.33203125" style="660" customWidth="1"/>
    <col min="13583" max="13584" width="8.88671875" style="660"/>
    <col min="13585" max="13585" width="17.33203125" style="660" customWidth="1"/>
    <col min="13586" max="13586" width="10.44140625" style="660" bestFit="1" customWidth="1"/>
    <col min="13587" max="13824" width="8.88671875" style="660"/>
    <col min="13825" max="13825" width="4.44140625" style="660" customWidth="1"/>
    <col min="13826" max="13826" width="27" style="660" customWidth="1"/>
    <col min="13827" max="13827" width="10.44140625" style="660" customWidth="1"/>
    <col min="13828" max="13828" width="38.6640625" style="660" customWidth="1"/>
    <col min="13829" max="13829" width="5.33203125" style="660" customWidth="1"/>
    <col min="13830" max="13830" width="36" style="660" customWidth="1"/>
    <col min="13831" max="13831" width="10.6640625" style="660" customWidth="1"/>
    <col min="13832" max="13832" width="8.5546875" style="660" customWidth="1"/>
    <col min="13833" max="13833" width="10.5546875" style="660" customWidth="1"/>
    <col min="13834" max="13834" width="8.88671875" style="660"/>
    <col min="13835" max="13835" width="33" style="660" customWidth="1"/>
    <col min="13836" max="13836" width="9.109375" style="660" customWidth="1"/>
    <col min="13837" max="13837" width="6.5546875" style="660" customWidth="1"/>
    <col min="13838" max="13838" width="12.33203125" style="660" customWidth="1"/>
    <col min="13839" max="13840" width="8.88671875" style="660"/>
    <col min="13841" max="13841" width="17.33203125" style="660" customWidth="1"/>
    <col min="13842" max="13842" width="10.44140625" style="660" bestFit="1" customWidth="1"/>
    <col min="13843" max="14080" width="8.88671875" style="660"/>
    <col min="14081" max="14081" width="4.44140625" style="660" customWidth="1"/>
    <col min="14082" max="14082" width="27" style="660" customWidth="1"/>
    <col min="14083" max="14083" width="10.44140625" style="660" customWidth="1"/>
    <col min="14084" max="14084" width="38.6640625" style="660" customWidth="1"/>
    <col min="14085" max="14085" width="5.33203125" style="660" customWidth="1"/>
    <col min="14086" max="14086" width="36" style="660" customWidth="1"/>
    <col min="14087" max="14087" width="10.6640625" style="660" customWidth="1"/>
    <col min="14088" max="14088" width="8.5546875" style="660" customWidth="1"/>
    <col min="14089" max="14089" width="10.5546875" style="660" customWidth="1"/>
    <col min="14090" max="14090" width="8.88671875" style="660"/>
    <col min="14091" max="14091" width="33" style="660" customWidth="1"/>
    <col min="14092" max="14092" width="9.109375" style="660" customWidth="1"/>
    <col min="14093" max="14093" width="6.5546875" style="660" customWidth="1"/>
    <col min="14094" max="14094" width="12.33203125" style="660" customWidth="1"/>
    <col min="14095" max="14096" width="8.88671875" style="660"/>
    <col min="14097" max="14097" width="17.33203125" style="660" customWidth="1"/>
    <col min="14098" max="14098" width="10.44140625" style="660" bestFit="1" customWidth="1"/>
    <col min="14099" max="14336" width="8.88671875" style="660"/>
    <col min="14337" max="14337" width="4.44140625" style="660" customWidth="1"/>
    <col min="14338" max="14338" width="27" style="660" customWidth="1"/>
    <col min="14339" max="14339" width="10.44140625" style="660" customWidth="1"/>
    <col min="14340" max="14340" width="38.6640625" style="660" customWidth="1"/>
    <col min="14341" max="14341" width="5.33203125" style="660" customWidth="1"/>
    <col min="14342" max="14342" width="36" style="660" customWidth="1"/>
    <col min="14343" max="14343" width="10.6640625" style="660" customWidth="1"/>
    <col min="14344" max="14344" width="8.5546875" style="660" customWidth="1"/>
    <col min="14345" max="14345" width="10.5546875" style="660" customWidth="1"/>
    <col min="14346" max="14346" width="8.88671875" style="660"/>
    <col min="14347" max="14347" width="33" style="660" customWidth="1"/>
    <col min="14348" max="14348" width="9.109375" style="660" customWidth="1"/>
    <col min="14349" max="14349" width="6.5546875" style="660" customWidth="1"/>
    <col min="14350" max="14350" width="12.33203125" style="660" customWidth="1"/>
    <col min="14351" max="14352" width="8.88671875" style="660"/>
    <col min="14353" max="14353" width="17.33203125" style="660" customWidth="1"/>
    <col min="14354" max="14354" width="10.44140625" style="660" bestFit="1" customWidth="1"/>
    <col min="14355" max="14592" width="8.88671875" style="660"/>
    <col min="14593" max="14593" width="4.44140625" style="660" customWidth="1"/>
    <col min="14594" max="14594" width="27" style="660" customWidth="1"/>
    <col min="14595" max="14595" width="10.44140625" style="660" customWidth="1"/>
    <col min="14596" max="14596" width="38.6640625" style="660" customWidth="1"/>
    <col min="14597" max="14597" width="5.33203125" style="660" customWidth="1"/>
    <col min="14598" max="14598" width="36" style="660" customWidth="1"/>
    <col min="14599" max="14599" width="10.6640625" style="660" customWidth="1"/>
    <col min="14600" max="14600" width="8.5546875" style="660" customWidth="1"/>
    <col min="14601" max="14601" width="10.5546875" style="660" customWidth="1"/>
    <col min="14602" max="14602" width="8.88671875" style="660"/>
    <col min="14603" max="14603" width="33" style="660" customWidth="1"/>
    <col min="14604" max="14604" width="9.109375" style="660" customWidth="1"/>
    <col min="14605" max="14605" width="6.5546875" style="660" customWidth="1"/>
    <col min="14606" max="14606" width="12.33203125" style="660" customWidth="1"/>
    <col min="14607" max="14608" width="8.88671875" style="660"/>
    <col min="14609" max="14609" width="17.33203125" style="660" customWidth="1"/>
    <col min="14610" max="14610" width="10.44140625" style="660" bestFit="1" customWidth="1"/>
    <col min="14611" max="14848" width="8.88671875" style="660"/>
    <col min="14849" max="14849" width="4.44140625" style="660" customWidth="1"/>
    <col min="14850" max="14850" width="27" style="660" customWidth="1"/>
    <col min="14851" max="14851" width="10.44140625" style="660" customWidth="1"/>
    <col min="14852" max="14852" width="38.6640625" style="660" customWidth="1"/>
    <col min="14853" max="14853" width="5.33203125" style="660" customWidth="1"/>
    <col min="14854" max="14854" width="36" style="660" customWidth="1"/>
    <col min="14855" max="14855" width="10.6640625" style="660" customWidth="1"/>
    <col min="14856" max="14856" width="8.5546875" style="660" customWidth="1"/>
    <col min="14857" max="14857" width="10.5546875" style="660" customWidth="1"/>
    <col min="14858" max="14858" width="8.88671875" style="660"/>
    <col min="14859" max="14859" width="33" style="660" customWidth="1"/>
    <col min="14860" max="14860" width="9.109375" style="660" customWidth="1"/>
    <col min="14861" max="14861" width="6.5546875" style="660" customWidth="1"/>
    <col min="14862" max="14862" width="12.33203125" style="660" customWidth="1"/>
    <col min="14863" max="14864" width="8.88671875" style="660"/>
    <col min="14865" max="14865" width="17.33203125" style="660" customWidth="1"/>
    <col min="14866" max="14866" width="10.44140625" style="660" bestFit="1" customWidth="1"/>
    <col min="14867" max="15104" width="8.88671875" style="660"/>
    <col min="15105" max="15105" width="4.44140625" style="660" customWidth="1"/>
    <col min="15106" max="15106" width="27" style="660" customWidth="1"/>
    <col min="15107" max="15107" width="10.44140625" style="660" customWidth="1"/>
    <col min="15108" max="15108" width="38.6640625" style="660" customWidth="1"/>
    <col min="15109" max="15109" width="5.33203125" style="660" customWidth="1"/>
    <col min="15110" max="15110" width="36" style="660" customWidth="1"/>
    <col min="15111" max="15111" width="10.6640625" style="660" customWidth="1"/>
    <col min="15112" max="15112" width="8.5546875" style="660" customWidth="1"/>
    <col min="15113" max="15113" width="10.5546875" style="660" customWidth="1"/>
    <col min="15114" max="15114" width="8.88671875" style="660"/>
    <col min="15115" max="15115" width="33" style="660" customWidth="1"/>
    <col min="15116" max="15116" width="9.109375" style="660" customWidth="1"/>
    <col min="15117" max="15117" width="6.5546875" style="660" customWidth="1"/>
    <col min="15118" max="15118" width="12.33203125" style="660" customWidth="1"/>
    <col min="15119" max="15120" width="8.88671875" style="660"/>
    <col min="15121" max="15121" width="17.33203125" style="660" customWidth="1"/>
    <col min="15122" max="15122" width="10.44140625" style="660" bestFit="1" customWidth="1"/>
    <col min="15123" max="15360" width="8.88671875" style="660"/>
    <col min="15361" max="15361" width="4.44140625" style="660" customWidth="1"/>
    <col min="15362" max="15362" width="27" style="660" customWidth="1"/>
    <col min="15363" max="15363" width="10.44140625" style="660" customWidth="1"/>
    <col min="15364" max="15364" width="38.6640625" style="660" customWidth="1"/>
    <col min="15365" max="15365" width="5.33203125" style="660" customWidth="1"/>
    <col min="15366" max="15366" width="36" style="660" customWidth="1"/>
    <col min="15367" max="15367" width="10.6640625" style="660" customWidth="1"/>
    <col min="15368" max="15368" width="8.5546875" style="660" customWidth="1"/>
    <col min="15369" max="15369" width="10.5546875" style="660" customWidth="1"/>
    <col min="15370" max="15370" width="8.88671875" style="660"/>
    <col min="15371" max="15371" width="33" style="660" customWidth="1"/>
    <col min="15372" max="15372" width="9.109375" style="660" customWidth="1"/>
    <col min="15373" max="15373" width="6.5546875" style="660" customWidth="1"/>
    <col min="15374" max="15374" width="12.33203125" style="660" customWidth="1"/>
    <col min="15375" max="15376" width="8.88671875" style="660"/>
    <col min="15377" max="15377" width="17.33203125" style="660" customWidth="1"/>
    <col min="15378" max="15378" width="10.44140625" style="660" bestFit="1" customWidth="1"/>
    <col min="15379" max="15616" width="8.88671875" style="660"/>
    <col min="15617" max="15617" width="4.44140625" style="660" customWidth="1"/>
    <col min="15618" max="15618" width="27" style="660" customWidth="1"/>
    <col min="15619" max="15619" width="10.44140625" style="660" customWidth="1"/>
    <col min="15620" max="15620" width="38.6640625" style="660" customWidth="1"/>
    <col min="15621" max="15621" width="5.33203125" style="660" customWidth="1"/>
    <col min="15622" max="15622" width="36" style="660" customWidth="1"/>
    <col min="15623" max="15623" width="10.6640625" style="660" customWidth="1"/>
    <col min="15624" max="15624" width="8.5546875" style="660" customWidth="1"/>
    <col min="15625" max="15625" width="10.5546875" style="660" customWidth="1"/>
    <col min="15626" max="15626" width="8.88671875" style="660"/>
    <col min="15627" max="15627" width="33" style="660" customWidth="1"/>
    <col min="15628" max="15628" width="9.109375" style="660" customWidth="1"/>
    <col min="15629" max="15629" width="6.5546875" style="660" customWidth="1"/>
    <col min="15630" max="15630" width="12.33203125" style="660" customWidth="1"/>
    <col min="15631" max="15632" width="8.88671875" style="660"/>
    <col min="15633" max="15633" width="17.33203125" style="660" customWidth="1"/>
    <col min="15634" max="15634" width="10.44140625" style="660" bestFit="1" customWidth="1"/>
    <col min="15635" max="15872" width="8.88671875" style="660"/>
    <col min="15873" max="15873" width="4.44140625" style="660" customWidth="1"/>
    <col min="15874" max="15874" width="27" style="660" customWidth="1"/>
    <col min="15875" max="15875" width="10.44140625" style="660" customWidth="1"/>
    <col min="15876" max="15876" width="38.6640625" style="660" customWidth="1"/>
    <col min="15877" max="15877" width="5.33203125" style="660" customWidth="1"/>
    <col min="15878" max="15878" width="36" style="660" customWidth="1"/>
    <col min="15879" max="15879" width="10.6640625" style="660" customWidth="1"/>
    <col min="15880" max="15880" width="8.5546875" style="660" customWidth="1"/>
    <col min="15881" max="15881" width="10.5546875" style="660" customWidth="1"/>
    <col min="15882" max="15882" width="8.88671875" style="660"/>
    <col min="15883" max="15883" width="33" style="660" customWidth="1"/>
    <col min="15884" max="15884" width="9.109375" style="660" customWidth="1"/>
    <col min="15885" max="15885" width="6.5546875" style="660" customWidth="1"/>
    <col min="15886" max="15886" width="12.33203125" style="660" customWidth="1"/>
    <col min="15887" max="15888" width="8.88671875" style="660"/>
    <col min="15889" max="15889" width="17.33203125" style="660" customWidth="1"/>
    <col min="15890" max="15890" width="10.44140625" style="660" bestFit="1" customWidth="1"/>
    <col min="15891" max="16128" width="8.88671875" style="660"/>
    <col min="16129" max="16129" width="4.44140625" style="660" customWidth="1"/>
    <col min="16130" max="16130" width="27" style="660" customWidth="1"/>
    <col min="16131" max="16131" width="10.44140625" style="660" customWidth="1"/>
    <col min="16132" max="16132" width="38.6640625" style="660" customWidth="1"/>
    <col min="16133" max="16133" width="5.33203125" style="660" customWidth="1"/>
    <col min="16134" max="16134" width="36" style="660" customWidth="1"/>
    <col min="16135" max="16135" width="10.6640625" style="660" customWidth="1"/>
    <col min="16136" max="16136" width="8.5546875" style="660" customWidth="1"/>
    <col min="16137" max="16137" width="10.5546875" style="660" customWidth="1"/>
    <col min="16138" max="16138" width="8.88671875" style="660"/>
    <col min="16139" max="16139" width="33" style="660" customWidth="1"/>
    <col min="16140" max="16140" width="9.109375" style="660" customWidth="1"/>
    <col min="16141" max="16141" width="6.5546875" style="660" customWidth="1"/>
    <col min="16142" max="16142" width="12.33203125" style="660" customWidth="1"/>
    <col min="16143" max="16144" width="8.88671875" style="660"/>
    <col min="16145" max="16145" width="17.33203125" style="660" customWidth="1"/>
    <col min="16146" max="16146" width="10.44140625" style="660" bestFit="1" customWidth="1"/>
    <col min="16147" max="16384" width="8.88671875" style="660"/>
  </cols>
  <sheetData>
    <row r="2" spans="1:17">
      <c r="D2" s="662" t="s">
        <v>308</v>
      </c>
      <c r="E2" s="662"/>
      <c r="F2" s="662"/>
    </row>
    <row r="3" spans="1:17" ht="14.4" thickBot="1">
      <c r="B3" s="665">
        <v>44291</v>
      </c>
    </row>
    <row r="4" spans="1:17" ht="15" customHeight="1" thickBot="1">
      <c r="B4" s="140" t="s">
        <v>165</v>
      </c>
      <c r="C4" s="141"/>
      <c r="D4" s="142"/>
      <c r="E4" s="660"/>
      <c r="F4" s="143" t="s">
        <v>309</v>
      </c>
      <c r="G4" s="144"/>
      <c r="H4" s="144"/>
      <c r="I4" s="145"/>
      <c r="J4" s="660"/>
      <c r="K4" s="667" t="s">
        <v>199</v>
      </c>
      <c r="L4" s="668"/>
      <c r="M4" s="668"/>
      <c r="N4" s="249" t="s">
        <v>200</v>
      </c>
      <c r="O4" s="669"/>
      <c r="P4" s="669"/>
      <c r="Q4" s="669"/>
    </row>
    <row r="5" spans="1:17" ht="15" customHeight="1" thickBot="1">
      <c r="B5" s="670"/>
      <c r="C5" s="671" t="s">
        <v>166</v>
      </c>
      <c r="D5" s="148" t="s">
        <v>167</v>
      </c>
      <c r="E5" s="660"/>
      <c r="F5" s="672" t="s">
        <v>168</v>
      </c>
      <c r="G5" s="673"/>
      <c r="H5" s="673"/>
      <c r="I5" s="674">
        <f>N15</f>
        <v>1144</v>
      </c>
      <c r="J5" s="660"/>
      <c r="K5" s="675" t="s">
        <v>201</v>
      </c>
      <c r="L5" s="676" t="s">
        <v>202</v>
      </c>
      <c r="M5" s="677" t="s">
        <v>203</v>
      </c>
      <c r="N5" s="678">
        <v>2080</v>
      </c>
      <c r="O5" s="669"/>
      <c r="P5" s="669"/>
      <c r="Q5" s="669"/>
    </row>
    <row r="6" spans="1:17" ht="15" customHeight="1">
      <c r="B6" s="679" t="s">
        <v>310</v>
      </c>
      <c r="C6" s="680">
        <f>'Master Look Up'!N10</f>
        <v>49302.793683256401</v>
      </c>
      <c r="D6" s="681" t="s">
        <v>311</v>
      </c>
      <c r="E6" s="660"/>
      <c r="F6" s="156" t="s">
        <v>171</v>
      </c>
      <c r="G6" s="157" t="s">
        <v>172</v>
      </c>
      <c r="H6" s="158" t="s">
        <v>173</v>
      </c>
      <c r="I6" s="159" t="s">
        <v>174</v>
      </c>
      <c r="J6" s="660"/>
      <c r="K6" s="682" t="s">
        <v>204</v>
      </c>
      <c r="L6" s="683">
        <f>'[3]Orig Behavioral Model Masters'!D24</f>
        <v>40</v>
      </c>
      <c r="M6" s="684">
        <f>'[3]Orig Behavioral Model Masters'!C24</f>
        <v>3</v>
      </c>
      <c r="N6" s="685">
        <f>M6*L6</f>
        <v>120</v>
      </c>
      <c r="O6" s="669"/>
      <c r="P6" s="669"/>
      <c r="Q6" s="669"/>
    </row>
    <row r="7" spans="1:17" ht="15" customHeight="1">
      <c r="B7" s="686"/>
      <c r="C7" s="687"/>
      <c r="D7" s="688"/>
      <c r="E7" s="660"/>
      <c r="F7" s="679" t="str">
        <f>B6</f>
        <v>Behavioral Support - Bachelor's</v>
      </c>
      <c r="G7" s="689">
        <f>C6</f>
        <v>49302.793683256401</v>
      </c>
      <c r="H7" s="690">
        <f>C8</f>
        <v>1</v>
      </c>
      <c r="I7" s="691">
        <f>G7*H7</f>
        <v>49302.793683256401</v>
      </c>
      <c r="J7" s="660"/>
      <c r="K7" s="692" t="s">
        <v>205</v>
      </c>
      <c r="L7" s="683">
        <f>'[3]Orig Behavioral Model Masters'!D25</f>
        <v>40</v>
      </c>
      <c r="M7" s="693">
        <f>'[3]Orig Behavioral Model Masters'!C25</f>
        <v>2</v>
      </c>
      <c r="N7" s="685">
        <f>M7*L7</f>
        <v>80</v>
      </c>
      <c r="O7" s="669"/>
      <c r="P7" s="669"/>
      <c r="Q7" s="669"/>
    </row>
    <row r="8" spans="1:17" ht="15" customHeight="1">
      <c r="B8" s="679" t="s">
        <v>310</v>
      </c>
      <c r="C8" s="694">
        <v>1</v>
      </c>
      <c r="D8" s="695" t="s">
        <v>176</v>
      </c>
      <c r="E8" s="660"/>
      <c r="F8" s="696"/>
      <c r="G8" s="697"/>
      <c r="H8" s="690"/>
      <c r="I8" s="698"/>
      <c r="J8" s="660"/>
      <c r="K8" s="699" t="s">
        <v>206</v>
      </c>
      <c r="L8" s="683">
        <v>40</v>
      </c>
      <c r="M8" s="700">
        <v>1</v>
      </c>
      <c r="N8" s="685">
        <f>M8*L8</f>
        <v>40</v>
      </c>
      <c r="O8" s="669"/>
      <c r="P8" s="669"/>
      <c r="Q8" s="669"/>
    </row>
    <row r="9" spans="1:17" ht="15" customHeight="1" thickBot="1">
      <c r="B9" s="701" t="s">
        <v>177</v>
      </c>
      <c r="C9" s="175"/>
      <c r="D9" s="702"/>
      <c r="E9" s="660"/>
      <c r="F9" s="703" t="s">
        <v>178</v>
      </c>
      <c r="G9" s="704">
        <f>C13</f>
        <v>0.224</v>
      </c>
      <c r="H9" s="705"/>
      <c r="I9" s="706">
        <f>G9*I7</f>
        <v>11043.825785049434</v>
      </c>
      <c r="J9" s="660"/>
      <c r="K9" s="699" t="s">
        <v>312</v>
      </c>
      <c r="L9" s="683">
        <v>40</v>
      </c>
      <c r="M9" s="700">
        <f>'[3]Orig Behavioral Model Masters'!C25</f>
        <v>2</v>
      </c>
      <c r="N9" s="685">
        <f>M9*L9</f>
        <v>80</v>
      </c>
      <c r="O9" s="669"/>
      <c r="P9" s="669"/>
      <c r="Q9" s="669"/>
    </row>
    <row r="10" spans="1:17" ht="15" customHeight="1" thickTop="1" thickBot="1">
      <c r="B10" s="707" t="s">
        <v>223</v>
      </c>
      <c r="C10" s="708">
        <f>'Master Look Up'!E4</f>
        <v>5963.9694954316819</v>
      </c>
      <c r="D10" s="709" t="s">
        <v>180</v>
      </c>
      <c r="E10" s="660"/>
      <c r="F10" s="710" t="s">
        <v>181</v>
      </c>
      <c r="G10" s="711"/>
      <c r="H10" s="711"/>
      <c r="I10" s="712">
        <f>SUM(I7:I9)</f>
        <v>60346.619468305835</v>
      </c>
      <c r="J10" s="660"/>
      <c r="K10" s="713" t="s">
        <v>302</v>
      </c>
      <c r="L10" s="714">
        <v>6</v>
      </c>
      <c r="M10" s="715">
        <v>44</v>
      </c>
      <c r="N10" s="685">
        <f>M10*L10</f>
        <v>264</v>
      </c>
      <c r="O10" s="669"/>
      <c r="P10" s="669"/>
      <c r="Q10" s="669"/>
    </row>
    <row r="11" spans="1:17" ht="15" customHeight="1" thickTop="1" thickBot="1">
      <c r="B11" s="707" t="s">
        <v>313</v>
      </c>
      <c r="C11" s="708">
        <f>'Master Look Up'!E9</f>
        <v>474.11060420697481</v>
      </c>
      <c r="D11" s="709" t="s">
        <v>180</v>
      </c>
      <c r="E11" s="660"/>
      <c r="F11" s="696" t="s">
        <v>223</v>
      </c>
      <c r="G11" s="697"/>
      <c r="H11" s="697"/>
      <c r="I11" s="716">
        <f>C10</f>
        <v>5963.9694954316819</v>
      </c>
      <c r="J11" s="660"/>
      <c r="K11" s="717" t="s">
        <v>314</v>
      </c>
      <c r="L11" s="718">
        <v>8</v>
      </c>
      <c r="M11" s="719">
        <v>44</v>
      </c>
      <c r="N11" s="720">
        <f>L11*M11</f>
        <v>352</v>
      </c>
      <c r="O11" s="669"/>
      <c r="P11" s="669"/>
      <c r="Q11" s="669"/>
    </row>
    <row r="12" spans="1:17" ht="15" customHeight="1" thickBot="1">
      <c r="B12" s="707"/>
      <c r="C12" s="673"/>
      <c r="D12" s="709"/>
      <c r="E12" s="660"/>
      <c r="F12" s="696" t="s">
        <v>313</v>
      </c>
      <c r="G12" s="721"/>
      <c r="H12" s="697"/>
      <c r="I12" s="716">
        <f>C11</f>
        <v>474.11060420697481</v>
      </c>
      <c r="J12" s="660"/>
      <c r="K12" s="722" t="s">
        <v>207</v>
      </c>
      <c r="L12" s="723"/>
      <c r="M12" s="724"/>
      <c r="N12" s="678">
        <f>SUM(N6:N11)</f>
        <v>936</v>
      </c>
      <c r="O12" s="669"/>
      <c r="P12" s="669"/>
      <c r="Q12" s="669"/>
    </row>
    <row r="13" spans="1:17" ht="15" customHeight="1">
      <c r="B13" s="707" t="s">
        <v>183</v>
      </c>
      <c r="C13" s="190">
        <f>'Master Look Up'!D25</f>
        <v>0.224</v>
      </c>
      <c r="D13" s="681" t="s">
        <v>143</v>
      </c>
      <c r="E13" s="660"/>
      <c r="F13" s="725"/>
      <c r="G13" s="673"/>
      <c r="H13" s="673"/>
      <c r="I13" s="726"/>
      <c r="J13" s="660"/>
      <c r="K13" s="727" t="s">
        <v>208</v>
      </c>
      <c r="L13" s="728"/>
      <c r="M13" s="729"/>
      <c r="N13" s="730">
        <f>N5-N12</f>
        <v>1144</v>
      </c>
      <c r="O13" s="669"/>
      <c r="P13" s="669"/>
      <c r="Q13" s="669"/>
    </row>
    <row r="14" spans="1:17" ht="15" customHeight="1" thickBot="1">
      <c r="B14" s="696" t="s">
        <v>185</v>
      </c>
      <c r="C14" s="190">
        <f>'Master Look Up'!D30</f>
        <v>0.12</v>
      </c>
      <c r="D14" s="681" t="s">
        <v>151</v>
      </c>
      <c r="E14" s="660"/>
      <c r="F14" s="731" t="s">
        <v>184</v>
      </c>
      <c r="G14" s="732"/>
      <c r="H14" s="732"/>
      <c r="I14" s="733">
        <f>SUM(I10:I12)</f>
        <v>66784.699567944495</v>
      </c>
      <c r="J14" s="660"/>
      <c r="K14" s="734" t="s">
        <v>315</v>
      </c>
      <c r="L14" s="735"/>
      <c r="M14" s="736"/>
      <c r="N14" s="737">
        <f>C8</f>
        <v>1</v>
      </c>
      <c r="O14" s="669"/>
      <c r="P14" s="669"/>
      <c r="Q14" s="669"/>
    </row>
    <row r="15" spans="1:17" ht="15.75" customHeight="1" thickBot="1">
      <c r="B15" s="738" t="s">
        <v>61</v>
      </c>
      <c r="C15" s="739">
        <v>3.7399999999999998E-3</v>
      </c>
      <c r="D15" s="740" t="s">
        <v>61</v>
      </c>
      <c r="E15" s="660"/>
      <c r="F15" s="696" t="str">
        <f>B15</f>
        <v>PFMLA</v>
      </c>
      <c r="G15" s="721">
        <f>C15</f>
        <v>3.7399999999999998E-3</v>
      </c>
      <c r="H15" s="697"/>
      <c r="I15" s="698">
        <f>I7*G15</f>
        <v>184.39244837537893</v>
      </c>
      <c r="J15" s="660"/>
      <c r="K15" s="722" t="s">
        <v>316</v>
      </c>
      <c r="L15" s="723"/>
      <c r="M15" s="724"/>
      <c r="N15" s="678">
        <f>N14*N13</f>
        <v>1144</v>
      </c>
    </row>
    <row r="16" spans="1:17" ht="15" customHeight="1" thickBot="1">
      <c r="A16" s="673"/>
      <c r="B16" s="741" t="s">
        <v>187</v>
      </c>
      <c r="C16" s="742">
        <f>'Master Look Up'!D33</f>
        <v>1.0633805350099574E-2</v>
      </c>
      <c r="D16" s="743" t="s">
        <v>153</v>
      </c>
      <c r="E16" s="660"/>
      <c r="F16" s="696" t="s">
        <v>185</v>
      </c>
      <c r="G16" s="721">
        <f>C14</f>
        <v>0.12</v>
      </c>
      <c r="H16" s="697"/>
      <c r="I16" s="744">
        <f>G16*I14</f>
        <v>8014.1639481533393</v>
      </c>
      <c r="J16" s="660"/>
      <c r="K16" s="745"/>
      <c r="L16" s="746"/>
      <c r="M16" s="747"/>
      <c r="N16" s="748"/>
    </row>
    <row r="17" spans="1:19" ht="15" customHeight="1" thickBot="1">
      <c r="A17" s="673"/>
      <c r="B17" s="673"/>
      <c r="C17" s="749"/>
      <c r="D17" s="750"/>
      <c r="E17" s="660"/>
      <c r="F17" s="710" t="s">
        <v>188</v>
      </c>
      <c r="G17" s="711"/>
      <c r="H17" s="711"/>
      <c r="I17" s="712">
        <f>SUM(I14:I16)</f>
        <v>74983.25596447321</v>
      </c>
      <c r="J17" s="660"/>
      <c r="K17" s="751"/>
      <c r="L17" s="751"/>
      <c r="M17" s="751"/>
      <c r="N17" s="751"/>
      <c r="R17" s="752"/>
    </row>
    <row r="18" spans="1:19" ht="15" customHeight="1" thickTop="1">
      <c r="A18" s="673"/>
      <c r="E18" s="660"/>
      <c r="F18" s="696"/>
      <c r="G18" s="753"/>
      <c r="H18" s="754"/>
      <c r="I18" s="755"/>
      <c r="J18" s="660"/>
      <c r="K18" s="751"/>
      <c r="L18" s="751"/>
      <c r="M18" s="751"/>
      <c r="N18" s="751"/>
      <c r="R18" s="752"/>
    </row>
    <row r="19" spans="1:19" ht="15" customHeight="1">
      <c r="A19" s="673"/>
      <c r="E19" s="660"/>
      <c r="F19" s="756" t="s">
        <v>189</v>
      </c>
      <c r="G19" s="757">
        <f>C16</f>
        <v>1.0633805350099574E-2</v>
      </c>
      <c r="H19" s="758"/>
      <c r="I19" s="691">
        <f>I17*(1+G19)</f>
        <v>75780.613312916117</v>
      </c>
      <c r="J19" s="660"/>
      <c r="K19" s="751"/>
      <c r="L19" s="751"/>
      <c r="M19" s="751"/>
      <c r="N19" s="751"/>
      <c r="R19" s="752"/>
    </row>
    <row r="20" spans="1:19" ht="15" customHeight="1" thickBot="1">
      <c r="A20" s="673"/>
      <c r="B20" s="745"/>
      <c r="C20" s="759"/>
      <c r="D20" s="760"/>
      <c r="E20" s="660"/>
      <c r="F20" s="761" t="s">
        <v>190</v>
      </c>
      <c r="G20" s="762"/>
      <c r="H20" s="763"/>
      <c r="I20" s="764">
        <f>I19/I5</f>
        <v>66.241794853947653</v>
      </c>
      <c r="J20" s="660"/>
      <c r="K20" s="751"/>
      <c r="L20" s="751"/>
      <c r="M20" s="751"/>
      <c r="N20" s="751"/>
      <c r="P20" s="182"/>
      <c r="Q20" s="765"/>
      <c r="R20" s="766"/>
    </row>
    <row r="21" spans="1:19" ht="15" customHeight="1" thickBot="1">
      <c r="A21" s="673"/>
      <c r="B21" s="745"/>
      <c r="C21" s="759"/>
      <c r="D21" s="767"/>
      <c r="E21" s="660"/>
      <c r="F21" s="768" t="s">
        <v>191</v>
      </c>
      <c r="G21" s="769"/>
      <c r="H21" s="770"/>
      <c r="I21" s="771">
        <f>I20*0.25</f>
        <v>16.560448713486913</v>
      </c>
      <c r="J21" s="660"/>
      <c r="K21" s="772"/>
      <c r="L21" s="772"/>
      <c r="M21" s="772"/>
      <c r="N21" s="772"/>
      <c r="P21" s="773"/>
      <c r="Q21" s="774"/>
      <c r="R21" s="774"/>
      <c r="S21" s="775"/>
    </row>
    <row r="22" spans="1:19" ht="15" customHeight="1">
      <c r="A22" s="673"/>
      <c r="B22" s="745"/>
      <c r="C22" s="759"/>
      <c r="D22" s="767"/>
      <c r="E22" s="660"/>
      <c r="F22" s="776"/>
      <c r="G22" s="777"/>
      <c r="H22" s="777"/>
      <c r="I22" s="778"/>
      <c r="J22" s="779"/>
      <c r="K22" s="772"/>
      <c r="L22" s="772"/>
      <c r="M22" s="772"/>
      <c r="N22" s="772"/>
      <c r="P22" s="773"/>
      <c r="Q22" s="774"/>
      <c r="R22" s="774"/>
      <c r="S22" s="775"/>
    </row>
    <row r="23" spans="1:19" ht="15" customHeight="1" thickBot="1">
      <c r="E23" s="660"/>
      <c r="J23" s="779"/>
      <c r="K23" s="780"/>
      <c r="L23" s="175"/>
      <c r="M23" s="175"/>
      <c r="N23" s="781"/>
    </row>
    <row r="24" spans="1:19" ht="15" customHeight="1" thickBot="1">
      <c r="B24" s="782" t="s">
        <v>165</v>
      </c>
      <c r="C24" s="783"/>
      <c r="D24" s="784"/>
      <c r="E24" s="721"/>
      <c r="F24" s="785" t="s">
        <v>317</v>
      </c>
      <c r="G24" s="786"/>
      <c r="H24" s="786"/>
      <c r="I24" s="787"/>
      <c r="J24" s="779"/>
      <c r="K24" s="788" t="s">
        <v>199</v>
      </c>
      <c r="L24" s="789"/>
      <c r="M24" s="789"/>
      <c r="N24" s="790" t="s">
        <v>200</v>
      </c>
    </row>
    <row r="25" spans="1:19" ht="15" customHeight="1" thickBot="1">
      <c r="B25" s="670"/>
      <c r="C25" s="671" t="s">
        <v>166</v>
      </c>
      <c r="D25" s="148" t="s">
        <v>167</v>
      </c>
      <c r="E25" s="721"/>
      <c r="F25" s="672" t="s">
        <v>168</v>
      </c>
      <c r="G25" s="721"/>
      <c r="H25" s="721"/>
      <c r="I25" s="674">
        <f>N35</f>
        <v>968</v>
      </c>
      <c r="J25" s="779"/>
      <c r="K25" s="675" t="s">
        <v>201</v>
      </c>
      <c r="L25" s="676" t="s">
        <v>202</v>
      </c>
      <c r="M25" s="677" t="s">
        <v>203</v>
      </c>
      <c r="N25" s="678">
        <v>2080</v>
      </c>
    </row>
    <row r="26" spans="1:19" ht="15" customHeight="1">
      <c r="B26" s="679" t="s">
        <v>318</v>
      </c>
      <c r="C26" s="680">
        <f>'Master Look Up'!N12</f>
        <v>62658.550007370141</v>
      </c>
      <c r="D26" s="681" t="s">
        <v>319</v>
      </c>
      <c r="E26" s="721"/>
      <c r="F26" s="156" t="s">
        <v>171</v>
      </c>
      <c r="G26" s="157" t="s">
        <v>172</v>
      </c>
      <c r="H26" s="158" t="s">
        <v>173</v>
      </c>
      <c r="I26" s="159" t="s">
        <v>174</v>
      </c>
      <c r="J26" s="779"/>
      <c r="K26" s="682" t="s">
        <v>204</v>
      </c>
      <c r="L26" s="683">
        <f>'[3]Orig Behavioral Model Masters'!D24</f>
        <v>40</v>
      </c>
      <c r="M26" s="684">
        <f>'[3]Orig Behavioral Model Masters'!C24</f>
        <v>3</v>
      </c>
      <c r="N26" s="685">
        <f t="shared" ref="N26:N31" si="0">M26*L26</f>
        <v>120</v>
      </c>
    </row>
    <row r="27" spans="1:19" ht="15" customHeight="1">
      <c r="B27" s="686"/>
      <c r="C27" s="687"/>
      <c r="D27" s="688"/>
      <c r="E27" s="721"/>
      <c r="F27" s="679" t="str">
        <f>B26</f>
        <v>Behavioral Support - Master's</v>
      </c>
      <c r="G27" s="791">
        <f>C26</f>
        <v>62658.550007370141</v>
      </c>
      <c r="H27" s="690">
        <f>C28</f>
        <v>1</v>
      </c>
      <c r="I27" s="674">
        <f>G27*H27</f>
        <v>62658.550007370141</v>
      </c>
      <c r="J27" s="779"/>
      <c r="K27" s="692" t="s">
        <v>205</v>
      </c>
      <c r="L27" s="683">
        <f>'[3]Orig Behavioral Model Masters'!D25</f>
        <v>40</v>
      </c>
      <c r="M27" s="693">
        <f>'[3]Orig Behavioral Model Masters'!C25</f>
        <v>2</v>
      </c>
      <c r="N27" s="685">
        <f t="shared" si="0"/>
        <v>80</v>
      </c>
    </row>
    <row r="28" spans="1:19" ht="15" customHeight="1">
      <c r="B28" s="679" t="s">
        <v>318</v>
      </c>
      <c r="C28" s="694">
        <v>1</v>
      </c>
      <c r="D28" s="695" t="s">
        <v>176</v>
      </c>
      <c r="E28" s="721"/>
      <c r="F28" s="696"/>
      <c r="G28" s="697"/>
      <c r="H28" s="690"/>
      <c r="I28" s="698"/>
      <c r="J28" s="779"/>
      <c r="K28" s="699" t="s">
        <v>206</v>
      </c>
      <c r="L28" s="683">
        <f>'[3]Orig Behavioral Model Masters'!E27</f>
        <v>40</v>
      </c>
      <c r="M28" s="700">
        <v>1</v>
      </c>
      <c r="N28" s="685">
        <f t="shared" si="0"/>
        <v>40</v>
      </c>
    </row>
    <row r="29" spans="1:19" ht="15" customHeight="1" thickBot="1">
      <c r="B29" s="701" t="s">
        <v>177</v>
      </c>
      <c r="C29" s="175"/>
      <c r="D29" s="702"/>
      <c r="E29" s="721"/>
      <c r="F29" s="703" t="s">
        <v>178</v>
      </c>
      <c r="G29" s="704">
        <f>C33</f>
        <v>0.224</v>
      </c>
      <c r="H29" s="705"/>
      <c r="I29" s="792">
        <f>G29*I27</f>
        <v>14035.515201650911</v>
      </c>
      <c r="J29" s="779"/>
      <c r="K29" s="699" t="s">
        <v>312</v>
      </c>
      <c r="L29" s="683">
        <f>'[3]Orig Behavioral Model Masters'!E27</f>
        <v>40</v>
      </c>
      <c r="M29" s="700">
        <f>M9</f>
        <v>2</v>
      </c>
      <c r="N29" s="685">
        <f t="shared" si="0"/>
        <v>80</v>
      </c>
    </row>
    <row r="30" spans="1:19" ht="15" customHeight="1" thickTop="1" thickBot="1">
      <c r="B30" s="707" t="s">
        <v>223</v>
      </c>
      <c r="C30" s="708">
        <f>C10</f>
        <v>5963.9694954316819</v>
      </c>
      <c r="D30" s="709" t="s">
        <v>180</v>
      </c>
      <c r="E30" s="721"/>
      <c r="F30" s="710" t="s">
        <v>181</v>
      </c>
      <c r="G30" s="711"/>
      <c r="H30" s="711"/>
      <c r="I30" s="793">
        <f>SUM(I27:I29)</f>
        <v>76694.06520902105</v>
      </c>
      <c r="J30" s="779"/>
      <c r="K30" s="713" t="s">
        <v>302</v>
      </c>
      <c r="L30" s="683">
        <v>8</v>
      </c>
      <c r="M30" s="715">
        <v>44</v>
      </c>
      <c r="N30" s="685">
        <f t="shared" si="0"/>
        <v>352</v>
      </c>
    </row>
    <row r="31" spans="1:19" ht="15" customHeight="1" thickTop="1" thickBot="1">
      <c r="B31" s="707" t="s">
        <v>313</v>
      </c>
      <c r="C31" s="708">
        <f>C11</f>
        <v>474.11060420697481</v>
      </c>
      <c r="D31" s="709" t="s">
        <v>180</v>
      </c>
      <c r="E31" s="721"/>
      <c r="F31" s="696" t="s">
        <v>223</v>
      </c>
      <c r="G31" s="697"/>
      <c r="H31" s="697"/>
      <c r="I31" s="716">
        <f>(G27/G7)*C30</f>
        <v>7579.5640156359996</v>
      </c>
      <c r="J31" s="779"/>
      <c r="K31" s="717" t="s">
        <v>314</v>
      </c>
      <c r="L31" s="718">
        <v>10</v>
      </c>
      <c r="M31" s="719">
        <v>44</v>
      </c>
      <c r="N31" s="685">
        <f t="shared" si="0"/>
        <v>440</v>
      </c>
    </row>
    <row r="32" spans="1:19" ht="15" customHeight="1" thickBot="1">
      <c r="B32" s="707"/>
      <c r="C32" s="673"/>
      <c r="D32" s="709"/>
      <c r="E32" s="721"/>
      <c r="F32" s="696" t="s">
        <v>313</v>
      </c>
      <c r="G32" s="721"/>
      <c r="H32" s="697"/>
      <c r="I32" s="716">
        <f>(G27/G7)*C31</f>
        <v>602.54360419368993</v>
      </c>
      <c r="J32" s="794"/>
      <c r="K32" s="722" t="s">
        <v>207</v>
      </c>
      <c r="L32" s="723"/>
      <c r="M32" s="724"/>
      <c r="N32" s="678">
        <f>SUM(N26:N31)</f>
        <v>1112</v>
      </c>
    </row>
    <row r="33" spans="2:14" ht="15" customHeight="1">
      <c r="B33" s="707" t="s">
        <v>183</v>
      </c>
      <c r="C33" s="190">
        <f>C13</f>
        <v>0.224</v>
      </c>
      <c r="D33" s="681" t="s">
        <v>143</v>
      </c>
      <c r="E33" s="721"/>
      <c r="F33" s="725"/>
      <c r="G33" s="673"/>
      <c r="H33" s="673"/>
      <c r="I33" s="726"/>
      <c r="J33" s="779"/>
      <c r="K33" s="727" t="s">
        <v>208</v>
      </c>
      <c r="L33" s="728"/>
      <c r="M33" s="729"/>
      <c r="N33" s="730">
        <f>N25-N32</f>
        <v>968</v>
      </c>
    </row>
    <row r="34" spans="2:14" ht="15" customHeight="1" thickBot="1">
      <c r="B34" s="795" t="s">
        <v>185</v>
      </c>
      <c r="C34" s="796">
        <f>C14</f>
        <v>0.12</v>
      </c>
      <c r="D34" s="681" t="s">
        <v>151</v>
      </c>
      <c r="E34" s="721"/>
      <c r="F34" s="731" t="s">
        <v>184</v>
      </c>
      <c r="G34" s="732"/>
      <c r="H34" s="732"/>
      <c r="I34" s="797">
        <f>SUM(I30:I32)</f>
        <v>84876.172828850744</v>
      </c>
      <c r="J34" s="779"/>
      <c r="K34" s="734" t="s">
        <v>315</v>
      </c>
      <c r="L34" s="735"/>
      <c r="M34" s="736"/>
      <c r="N34" s="737">
        <f>C28</f>
        <v>1</v>
      </c>
    </row>
    <row r="35" spans="2:14" ht="15" customHeight="1" thickBot="1">
      <c r="B35" s="798" t="s">
        <v>61</v>
      </c>
      <c r="C35" s="799">
        <f>C15</f>
        <v>3.7399999999999998E-3</v>
      </c>
      <c r="D35" s="800" t="s">
        <v>61</v>
      </c>
      <c r="E35" s="721"/>
      <c r="F35" s="696" t="str">
        <f>B35</f>
        <v>PFMLA</v>
      </c>
      <c r="G35" s="721">
        <f>C35</f>
        <v>3.7399999999999998E-3</v>
      </c>
      <c r="H35" s="697"/>
      <c r="I35" s="698">
        <f>G35*I27</f>
        <v>234.3429770275643</v>
      </c>
      <c r="J35" s="779"/>
      <c r="K35" s="722" t="s">
        <v>316</v>
      </c>
      <c r="L35" s="723"/>
      <c r="M35" s="724"/>
      <c r="N35" s="678">
        <f>N33*N34</f>
        <v>968</v>
      </c>
    </row>
    <row r="36" spans="2:14" ht="15" customHeight="1" thickBot="1">
      <c r="B36" s="741" t="s">
        <v>187</v>
      </c>
      <c r="C36" s="742">
        <f>'Master Look Up'!D33</f>
        <v>1.0633805350099574E-2</v>
      </c>
      <c r="D36" s="801" t="s">
        <v>153</v>
      </c>
      <c r="E36" s="721"/>
      <c r="F36" s="696" t="s">
        <v>185</v>
      </c>
      <c r="G36" s="721">
        <f>C34</f>
        <v>0.12</v>
      </c>
      <c r="H36" s="697"/>
      <c r="I36" s="698">
        <f>G36*I34</f>
        <v>10185.140739462089</v>
      </c>
      <c r="J36" s="779"/>
      <c r="K36" s="745"/>
      <c r="L36" s="746"/>
      <c r="M36" s="747"/>
      <c r="N36" s="748"/>
    </row>
    <row r="37" spans="2:14" ht="15" customHeight="1" thickBot="1">
      <c r="B37" s="673"/>
      <c r="C37" s="749"/>
      <c r="D37" s="750"/>
      <c r="E37" s="721"/>
      <c r="F37" s="710" t="s">
        <v>188</v>
      </c>
      <c r="G37" s="711"/>
      <c r="H37" s="711"/>
      <c r="I37" s="793">
        <f>SUM(I34:I36)</f>
        <v>95295.656545340404</v>
      </c>
      <c r="J37" s="779"/>
      <c r="K37" s="745"/>
      <c r="L37" s="747"/>
      <c r="M37" s="747"/>
      <c r="N37" s="748"/>
    </row>
    <row r="38" spans="2:14" ht="15" customHeight="1" thickTop="1">
      <c r="E38" s="721"/>
      <c r="F38" s="725"/>
      <c r="G38" s="673"/>
      <c r="H38" s="673"/>
      <c r="I38" s="726"/>
      <c r="J38" s="779"/>
      <c r="K38" s="745"/>
      <c r="L38" s="747"/>
      <c r="M38" s="747"/>
      <c r="N38" s="748"/>
    </row>
    <row r="39" spans="2:14" ht="15" customHeight="1" thickBot="1">
      <c r="B39" s="802"/>
      <c r="C39" s="778"/>
      <c r="E39" s="721"/>
      <c r="F39" s="756" t="s">
        <v>320</v>
      </c>
      <c r="G39" s="757">
        <f>C36</f>
        <v>1.0633805350099574E-2</v>
      </c>
      <c r="H39" s="758"/>
      <c r="I39" s="674">
        <f>(G39*I37)+I37</f>
        <v>96309.012007753496</v>
      </c>
      <c r="J39" s="779"/>
      <c r="K39" s="745"/>
      <c r="L39" s="747"/>
      <c r="M39" s="747"/>
      <c r="N39" s="748"/>
    </row>
    <row r="40" spans="2:14" ht="15" customHeight="1" thickBot="1">
      <c r="E40" s="721"/>
      <c r="F40" s="803" t="s">
        <v>190</v>
      </c>
      <c r="G40" s="804"/>
      <c r="H40" s="805"/>
      <c r="I40" s="764">
        <f>I39/I25+0.03</f>
        <v>99.522780999745351</v>
      </c>
      <c r="J40" s="779"/>
      <c r="K40" s="745"/>
      <c r="L40" s="747"/>
      <c r="M40" s="747"/>
      <c r="N40" s="748"/>
    </row>
    <row r="41" spans="2:14" ht="16.5" customHeight="1" thickBot="1">
      <c r="E41" s="721"/>
      <c r="F41" s="768" t="s">
        <v>191</v>
      </c>
      <c r="G41" s="769"/>
      <c r="H41" s="770"/>
      <c r="I41" s="771">
        <f>I40/4</f>
        <v>24.880695249936338</v>
      </c>
      <c r="J41" s="779"/>
      <c r="K41" s="806"/>
      <c r="L41" s="747"/>
      <c r="M41" s="747"/>
      <c r="N41" s="748"/>
    </row>
    <row r="42" spans="2:14" ht="15" customHeight="1">
      <c r="E42" s="721"/>
      <c r="F42" s="776"/>
      <c r="G42" s="777"/>
      <c r="H42" s="777"/>
      <c r="I42" s="778"/>
      <c r="J42" s="779"/>
      <c r="K42" s="745"/>
      <c r="L42" s="747"/>
      <c r="M42" s="747"/>
      <c r="N42" s="748"/>
    </row>
    <row r="43" spans="2:14" ht="15" customHeight="1" thickBot="1">
      <c r="E43" s="721"/>
      <c r="F43" s="776"/>
      <c r="G43" s="776"/>
      <c r="H43" s="807"/>
      <c r="I43" s="778"/>
      <c r="J43" s="779"/>
      <c r="K43" s="745"/>
      <c r="L43" s="747"/>
      <c r="M43" s="747"/>
      <c r="N43" s="748"/>
    </row>
    <row r="44" spans="2:14" ht="14.25" customHeight="1" thickBot="1">
      <c r="B44" s="808" t="s">
        <v>165</v>
      </c>
      <c r="C44" s="809"/>
      <c r="D44" s="810"/>
      <c r="F44" s="811" t="s">
        <v>321</v>
      </c>
      <c r="G44" s="812"/>
      <c r="H44" s="812"/>
      <c r="I44" s="813"/>
      <c r="J44" s="779"/>
      <c r="K44" s="814" t="s">
        <v>199</v>
      </c>
      <c r="L44" s="815"/>
      <c r="M44" s="815"/>
      <c r="N44" s="816" t="s">
        <v>322</v>
      </c>
    </row>
    <row r="45" spans="2:14" ht="16.5" customHeight="1" thickBot="1">
      <c r="B45" s="670"/>
      <c r="C45" s="671" t="s">
        <v>166</v>
      </c>
      <c r="D45" s="148" t="s">
        <v>167</v>
      </c>
      <c r="F45" s="672" t="s">
        <v>168</v>
      </c>
      <c r="G45" s="817"/>
      <c r="H45" s="817"/>
      <c r="I45" s="674">
        <f>N55</f>
        <v>948</v>
      </c>
      <c r="J45" s="779"/>
      <c r="K45" s="675" t="s">
        <v>201</v>
      </c>
      <c r="L45" s="676" t="s">
        <v>202</v>
      </c>
      <c r="M45" s="677" t="s">
        <v>203</v>
      </c>
      <c r="N45" s="678">
        <v>2080</v>
      </c>
    </row>
    <row r="46" spans="2:14">
      <c r="B46" s="679" t="s">
        <v>323</v>
      </c>
      <c r="C46" s="680">
        <f>'Master Look Up'!N11</f>
        <v>87786.055431512097</v>
      </c>
      <c r="D46" s="681" t="s">
        <v>319</v>
      </c>
      <c r="F46" s="156" t="s">
        <v>171</v>
      </c>
      <c r="G46" s="157" t="s">
        <v>172</v>
      </c>
      <c r="H46" s="158" t="s">
        <v>173</v>
      </c>
      <c r="I46" s="159" t="s">
        <v>174</v>
      </c>
      <c r="J46" s="779"/>
      <c r="K46" s="682" t="s">
        <v>204</v>
      </c>
      <c r="L46" s="683">
        <v>40</v>
      </c>
      <c r="M46" s="684">
        <v>3</v>
      </c>
      <c r="N46" s="685">
        <f t="shared" ref="N46:N51" si="1">L46*M46</f>
        <v>120</v>
      </c>
    </row>
    <row r="47" spans="2:14">
      <c r="B47" s="686"/>
      <c r="C47" s="687"/>
      <c r="D47" s="688"/>
      <c r="F47" s="679" t="str">
        <f>B46</f>
        <v>Behavioral Support - Doctorate</v>
      </c>
      <c r="G47" s="791">
        <f>C46</f>
        <v>87786.055431512097</v>
      </c>
      <c r="H47" s="690">
        <f>C48</f>
        <v>1</v>
      </c>
      <c r="I47" s="674">
        <f>H47*G47</f>
        <v>87786.055431512097</v>
      </c>
      <c r="J47" s="779"/>
      <c r="K47" s="692" t="s">
        <v>205</v>
      </c>
      <c r="L47" s="683">
        <v>40</v>
      </c>
      <c r="M47" s="693">
        <v>2</v>
      </c>
      <c r="N47" s="685">
        <f t="shared" si="1"/>
        <v>80</v>
      </c>
    </row>
    <row r="48" spans="2:14">
      <c r="B48" s="679" t="str">
        <f>B46</f>
        <v>Behavioral Support - Doctorate</v>
      </c>
      <c r="C48" s="694">
        <v>1</v>
      </c>
      <c r="D48" s="695" t="s">
        <v>176</v>
      </c>
      <c r="F48" s="696"/>
      <c r="G48" s="697"/>
      <c r="H48" s="690"/>
      <c r="I48" s="698"/>
      <c r="J48" s="779"/>
      <c r="K48" s="699" t="s">
        <v>206</v>
      </c>
      <c r="L48" s="683">
        <v>40</v>
      </c>
      <c r="M48" s="700">
        <v>1.5</v>
      </c>
      <c r="N48" s="685">
        <f t="shared" si="1"/>
        <v>60</v>
      </c>
    </row>
    <row r="49" spans="2:14" ht="14.25" customHeight="1" thickBot="1">
      <c r="B49" s="701" t="s">
        <v>177</v>
      </c>
      <c r="C49" s="175"/>
      <c r="D49" s="702"/>
      <c r="F49" s="703" t="s">
        <v>178</v>
      </c>
      <c r="G49" s="704">
        <f>C53</f>
        <v>0.224</v>
      </c>
      <c r="H49" s="705"/>
      <c r="I49" s="792">
        <f>G49*I47</f>
        <v>19664.076416658711</v>
      </c>
      <c r="J49" s="779"/>
      <c r="K49" s="699" t="s">
        <v>312</v>
      </c>
      <c r="L49" s="683">
        <v>40</v>
      </c>
      <c r="M49" s="700">
        <v>2</v>
      </c>
      <c r="N49" s="685">
        <f t="shared" si="1"/>
        <v>80</v>
      </c>
    </row>
    <row r="50" spans="2:14" ht="15" customHeight="1" thickTop="1" thickBot="1">
      <c r="B50" s="707" t="s">
        <v>223</v>
      </c>
      <c r="C50" s="708">
        <f>C30</f>
        <v>5963.9694954316819</v>
      </c>
      <c r="D50" s="709" t="s">
        <v>180</v>
      </c>
      <c r="F50" s="710" t="s">
        <v>181</v>
      </c>
      <c r="G50" s="711"/>
      <c r="H50" s="711"/>
      <c r="I50" s="793">
        <f>SUM(I47:I49)</f>
        <v>107450.1318481708</v>
      </c>
      <c r="J50" s="779"/>
      <c r="K50" s="713" t="s">
        <v>302</v>
      </c>
      <c r="L50" s="683">
        <v>8</v>
      </c>
      <c r="M50" s="715">
        <v>44</v>
      </c>
      <c r="N50" s="685">
        <f t="shared" si="1"/>
        <v>352</v>
      </c>
    </row>
    <row r="51" spans="2:14" ht="15" thickTop="1" thickBot="1">
      <c r="B51" s="707" t="s">
        <v>313</v>
      </c>
      <c r="C51" s="708">
        <f>C31</f>
        <v>474.11060420697481</v>
      </c>
      <c r="D51" s="709" t="s">
        <v>180</v>
      </c>
      <c r="F51" s="696" t="s">
        <v>223</v>
      </c>
      <c r="G51" s="697"/>
      <c r="H51" s="697"/>
      <c r="I51" s="716">
        <f>(G47/G7)*C50</f>
        <v>10619.141789030416</v>
      </c>
      <c r="J51" s="779"/>
      <c r="K51" s="717" t="s">
        <v>314</v>
      </c>
      <c r="L51" s="718">
        <v>10</v>
      </c>
      <c r="M51" s="719">
        <v>44</v>
      </c>
      <c r="N51" s="685">
        <f t="shared" si="1"/>
        <v>440</v>
      </c>
    </row>
    <row r="52" spans="2:14" ht="14.4" thickBot="1">
      <c r="B52" s="707"/>
      <c r="C52" s="673"/>
      <c r="D52" s="709"/>
      <c r="F52" s="696" t="s">
        <v>313</v>
      </c>
      <c r="G52" s="721"/>
      <c r="H52" s="697"/>
      <c r="I52" s="716">
        <f>(G47/G7)*C51</f>
        <v>844.17731070107197</v>
      </c>
      <c r="J52" s="794"/>
      <c r="K52" s="722" t="s">
        <v>207</v>
      </c>
      <c r="L52" s="723"/>
      <c r="M52" s="724"/>
      <c r="N52" s="678">
        <f>SUM(N46:N51)</f>
        <v>1132</v>
      </c>
    </row>
    <row r="53" spans="2:14">
      <c r="B53" s="707" t="s">
        <v>183</v>
      </c>
      <c r="C53" s="190">
        <f>'Master Look Up'!D25</f>
        <v>0.224</v>
      </c>
      <c r="D53" s="681" t="s">
        <v>143</v>
      </c>
      <c r="F53" s="725"/>
      <c r="G53" s="673"/>
      <c r="H53" s="673"/>
      <c r="I53" s="726"/>
      <c r="J53" s="779"/>
      <c r="K53" s="727" t="s">
        <v>208</v>
      </c>
      <c r="L53" s="728"/>
      <c r="M53" s="729"/>
      <c r="N53" s="730">
        <f>N45-N52</f>
        <v>948</v>
      </c>
    </row>
    <row r="54" spans="2:14" ht="14.4" thickBot="1">
      <c r="B54" s="795" t="s">
        <v>185</v>
      </c>
      <c r="C54" s="796">
        <f>C14</f>
        <v>0.12</v>
      </c>
      <c r="D54" s="681" t="s">
        <v>151</v>
      </c>
      <c r="F54" s="731" t="s">
        <v>184</v>
      </c>
      <c r="G54" s="732"/>
      <c r="H54" s="732"/>
      <c r="I54" s="797">
        <f>SUM(I50:I52)</f>
        <v>118913.45094790228</v>
      </c>
      <c r="J54" s="779"/>
      <c r="K54" s="734" t="s">
        <v>315</v>
      </c>
      <c r="L54" s="735"/>
      <c r="M54" s="736"/>
      <c r="N54" s="737">
        <f>C48</f>
        <v>1</v>
      </c>
    </row>
    <row r="55" spans="2:14" ht="15.75" customHeight="1" thickBot="1">
      <c r="B55" s="798" t="s">
        <v>61</v>
      </c>
      <c r="C55" s="799">
        <v>3.7000000000000002E-3</v>
      </c>
      <c r="D55" s="800" t="s">
        <v>61</v>
      </c>
      <c r="F55" s="696" t="str">
        <f>B55</f>
        <v>PFMLA</v>
      </c>
      <c r="G55" s="721">
        <f>C55</f>
        <v>3.7000000000000002E-3</v>
      </c>
      <c r="H55" s="697"/>
      <c r="I55" s="698">
        <f>G55*I47</f>
        <v>324.80840509659475</v>
      </c>
      <c r="J55" s="779"/>
      <c r="K55" s="722" t="s">
        <v>316</v>
      </c>
      <c r="L55" s="723"/>
      <c r="M55" s="724"/>
      <c r="N55" s="678">
        <f>N53*N54</f>
        <v>948</v>
      </c>
    </row>
    <row r="56" spans="2:14" ht="12.75" customHeight="1" thickBot="1">
      <c r="B56" s="741" t="s">
        <v>187</v>
      </c>
      <c r="C56" s="742">
        <f>'Master Look Up'!D33</f>
        <v>1.0633805350099574E-2</v>
      </c>
      <c r="D56" s="801" t="s">
        <v>153</v>
      </c>
      <c r="F56" s="696" t="s">
        <v>185</v>
      </c>
      <c r="G56" s="721">
        <f>C54</f>
        <v>0.12</v>
      </c>
      <c r="H56" s="697"/>
      <c r="I56" s="698">
        <f>G56*I54</f>
        <v>14269.614113748274</v>
      </c>
      <c r="J56" s="779"/>
    </row>
    <row r="57" spans="2:14" ht="14.4" thickBot="1">
      <c r="B57" s="673"/>
      <c r="C57" s="749"/>
      <c r="D57" s="750"/>
      <c r="F57" s="710" t="s">
        <v>188</v>
      </c>
      <c r="G57" s="711"/>
      <c r="H57" s="711"/>
      <c r="I57" s="793">
        <f>SUM(I54:I56)</f>
        <v>133507.87346674714</v>
      </c>
      <c r="J57" s="779"/>
      <c r="K57" s="745"/>
      <c r="L57" s="746"/>
    </row>
    <row r="58" spans="2:14" ht="14.4" thickTop="1">
      <c r="F58" s="725"/>
      <c r="G58" s="673"/>
      <c r="H58" s="673"/>
      <c r="I58" s="726"/>
      <c r="J58" s="779"/>
    </row>
    <row r="59" spans="2:14" ht="14.4" thickBot="1">
      <c r="F59" s="756" t="s">
        <v>320</v>
      </c>
      <c r="G59" s="757">
        <f>C56</f>
        <v>1.0633805350099574E-2</v>
      </c>
      <c r="H59" s="758"/>
      <c r="I59" s="674">
        <f>I57+(I57*G59)</f>
        <v>134927.57020589826</v>
      </c>
      <c r="J59" s="779"/>
    </row>
    <row r="60" spans="2:14" ht="14.4" thickBot="1">
      <c r="F60" s="803" t="s">
        <v>324</v>
      </c>
      <c r="G60" s="804"/>
      <c r="H60" s="805"/>
      <c r="I60" s="818">
        <f>I59/I45+0.03</f>
        <v>142.358660554745</v>
      </c>
      <c r="J60" s="779"/>
    </row>
    <row r="61" spans="2:14" ht="17.25" customHeight="1" thickBot="1">
      <c r="F61" s="768" t="s">
        <v>325</v>
      </c>
      <c r="G61" s="769"/>
      <c r="H61" s="770"/>
      <c r="I61" s="819">
        <f>I60*0.25</f>
        <v>35.58966513868625</v>
      </c>
      <c r="J61" s="779"/>
    </row>
    <row r="62" spans="2:14" ht="18.75" customHeight="1">
      <c r="G62" s="777"/>
      <c r="H62" s="777"/>
      <c r="I62" s="778"/>
      <c r="J62" s="779"/>
    </row>
    <row r="65" ht="17.25" customHeight="1"/>
  </sheetData>
  <mergeCells count="10">
    <mergeCell ref="G42:H42"/>
    <mergeCell ref="B44:D44"/>
    <mergeCell ref="F44:I44"/>
    <mergeCell ref="G62:H62"/>
    <mergeCell ref="D2:F2"/>
    <mergeCell ref="B4:D4"/>
    <mergeCell ref="F4:I4"/>
    <mergeCell ref="G22:H22"/>
    <mergeCell ref="B24:D24"/>
    <mergeCell ref="F24:I24"/>
  </mergeCells>
  <printOptions verticalCentered="1"/>
  <pageMargins left="0.2" right="0.2" top="0.75" bottom="0.25" header="0.3" footer="0.3"/>
  <pageSetup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O13" zoomScale="90" zoomScaleNormal="90" workbookViewId="0">
      <selection activeCell="W17" sqref="W17"/>
    </sheetView>
  </sheetViews>
  <sheetFormatPr defaultRowHeight="15.6"/>
  <cols>
    <col min="1" max="1" width="43.6640625" style="838" hidden="1" customWidth="1"/>
    <col min="2" max="2" width="32.5546875" style="970" hidden="1" customWidth="1"/>
    <col min="3" max="3" width="10.44140625" style="838" hidden="1" customWidth="1"/>
    <col min="4" max="4" width="6.6640625" style="962" hidden="1" customWidth="1"/>
    <col min="5" max="5" width="9.109375" style="963" hidden="1" customWidth="1"/>
    <col min="6" max="6" width="31.88671875" style="838" hidden="1" customWidth="1"/>
    <col min="7" max="8" width="12" style="838" hidden="1" customWidth="1"/>
    <col min="9" max="9" width="12" style="838" customWidth="1"/>
    <col min="10" max="10" width="34.5546875" style="838" customWidth="1"/>
    <col min="11" max="13" width="12" style="838" customWidth="1"/>
    <col min="14" max="14" width="8.88671875" style="839"/>
    <col min="15" max="15" width="34.109375" style="839" bestFit="1" customWidth="1"/>
    <col min="16" max="16" width="10.6640625" style="839" customWidth="1"/>
    <col min="17" max="17" width="9.88671875" style="839" bestFit="1" customWidth="1"/>
    <col min="18" max="18" width="8.33203125" style="839" customWidth="1"/>
    <col min="19" max="19" width="13.109375" style="839" customWidth="1"/>
    <col min="20" max="21" width="10.88671875" style="839" customWidth="1"/>
    <col min="22" max="22" width="24.5546875" style="839" bestFit="1" customWidth="1"/>
    <col min="23" max="23" width="11.44140625" style="826" customWidth="1"/>
    <col min="24" max="24" width="43.88671875" style="1011" customWidth="1"/>
    <col min="25" max="261" width="8.88671875" style="838"/>
    <col min="262" max="262" width="27.6640625" style="838" customWidth="1"/>
    <col min="263" max="263" width="32.88671875" style="838" bestFit="1" customWidth="1"/>
    <col min="264" max="264" width="11.5546875" style="838" bestFit="1" customWidth="1"/>
    <col min="265" max="265" width="9.6640625" style="838" customWidth="1"/>
    <col min="266" max="266" width="12" style="838" customWidth="1"/>
    <col min="267" max="267" width="30.109375" style="838" customWidth="1"/>
    <col min="268" max="268" width="12" style="838" customWidth="1"/>
    <col min="269" max="269" width="12.109375" style="838" customWidth="1"/>
    <col min="270" max="517" width="8.88671875" style="838"/>
    <col min="518" max="518" width="27.6640625" style="838" customWidth="1"/>
    <col min="519" max="519" width="32.88671875" style="838" bestFit="1" customWidth="1"/>
    <col min="520" max="520" width="11.5546875" style="838" bestFit="1" customWidth="1"/>
    <col min="521" max="521" width="9.6640625" style="838" customWidth="1"/>
    <col min="522" max="522" width="12" style="838" customWidth="1"/>
    <col min="523" max="523" width="30.109375" style="838" customWidth="1"/>
    <col min="524" max="524" width="12" style="838" customWidth="1"/>
    <col min="525" max="525" width="12.109375" style="838" customWidth="1"/>
    <col min="526" max="773" width="8.88671875" style="838"/>
    <col min="774" max="774" width="27.6640625" style="838" customWidth="1"/>
    <col min="775" max="775" width="32.88671875" style="838" bestFit="1" customWidth="1"/>
    <col min="776" max="776" width="11.5546875" style="838" bestFit="1" customWidth="1"/>
    <col min="777" max="777" width="9.6640625" style="838" customWidth="1"/>
    <col min="778" max="778" width="12" style="838" customWidth="1"/>
    <col min="779" max="779" width="30.109375" style="838" customWidth="1"/>
    <col min="780" max="780" width="12" style="838" customWidth="1"/>
    <col min="781" max="781" width="12.109375" style="838" customWidth="1"/>
    <col min="782" max="1029" width="8.88671875" style="838"/>
    <col min="1030" max="1030" width="27.6640625" style="838" customWidth="1"/>
    <col min="1031" max="1031" width="32.88671875" style="838" bestFit="1" customWidth="1"/>
    <col min="1032" max="1032" width="11.5546875" style="838" bestFit="1" customWidth="1"/>
    <col min="1033" max="1033" width="9.6640625" style="838" customWidth="1"/>
    <col min="1034" max="1034" width="12" style="838" customWidth="1"/>
    <col min="1035" max="1035" width="30.109375" style="838" customWidth="1"/>
    <col min="1036" max="1036" width="12" style="838" customWidth="1"/>
    <col min="1037" max="1037" width="12.109375" style="838" customWidth="1"/>
    <col min="1038" max="1285" width="8.88671875" style="838"/>
    <col min="1286" max="1286" width="27.6640625" style="838" customWidth="1"/>
    <col min="1287" max="1287" width="32.88671875" style="838" bestFit="1" customWidth="1"/>
    <col min="1288" max="1288" width="11.5546875" style="838" bestFit="1" customWidth="1"/>
    <col min="1289" max="1289" width="9.6640625" style="838" customWidth="1"/>
    <col min="1290" max="1290" width="12" style="838" customWidth="1"/>
    <col min="1291" max="1291" width="30.109375" style="838" customWidth="1"/>
    <col min="1292" max="1292" width="12" style="838" customWidth="1"/>
    <col min="1293" max="1293" width="12.109375" style="838" customWidth="1"/>
    <col min="1294" max="1541" width="8.88671875" style="838"/>
    <col min="1542" max="1542" width="27.6640625" style="838" customWidth="1"/>
    <col min="1543" max="1543" width="32.88671875" style="838" bestFit="1" customWidth="1"/>
    <col min="1544" max="1544" width="11.5546875" style="838" bestFit="1" customWidth="1"/>
    <col min="1545" max="1545" width="9.6640625" style="838" customWidth="1"/>
    <col min="1546" max="1546" width="12" style="838" customWidth="1"/>
    <col min="1547" max="1547" width="30.109375" style="838" customWidth="1"/>
    <col min="1548" max="1548" width="12" style="838" customWidth="1"/>
    <col min="1549" max="1549" width="12.109375" style="838" customWidth="1"/>
    <col min="1550" max="1797" width="8.88671875" style="838"/>
    <col min="1798" max="1798" width="27.6640625" style="838" customWidth="1"/>
    <col min="1799" max="1799" width="32.88671875" style="838" bestFit="1" customWidth="1"/>
    <col min="1800" max="1800" width="11.5546875" style="838" bestFit="1" customWidth="1"/>
    <col min="1801" max="1801" width="9.6640625" style="838" customWidth="1"/>
    <col min="1802" max="1802" width="12" style="838" customWidth="1"/>
    <col min="1803" max="1803" width="30.109375" style="838" customWidth="1"/>
    <col min="1804" max="1804" width="12" style="838" customWidth="1"/>
    <col min="1805" max="1805" width="12.109375" style="838" customWidth="1"/>
    <col min="1806" max="2053" width="8.88671875" style="838"/>
    <col min="2054" max="2054" width="27.6640625" style="838" customWidth="1"/>
    <col min="2055" max="2055" width="32.88671875" style="838" bestFit="1" customWidth="1"/>
    <col min="2056" max="2056" width="11.5546875" style="838" bestFit="1" customWidth="1"/>
    <col min="2057" max="2057" width="9.6640625" style="838" customWidth="1"/>
    <col min="2058" max="2058" width="12" style="838" customWidth="1"/>
    <col min="2059" max="2059" width="30.109375" style="838" customWidth="1"/>
    <col min="2060" max="2060" width="12" style="838" customWidth="1"/>
    <col min="2061" max="2061" width="12.109375" style="838" customWidth="1"/>
    <col min="2062" max="2309" width="8.88671875" style="838"/>
    <col min="2310" max="2310" width="27.6640625" style="838" customWidth="1"/>
    <col min="2311" max="2311" width="32.88671875" style="838" bestFit="1" customWidth="1"/>
    <col min="2312" max="2312" width="11.5546875" style="838" bestFit="1" customWidth="1"/>
    <col min="2313" max="2313" width="9.6640625" style="838" customWidth="1"/>
    <col min="2314" max="2314" width="12" style="838" customWidth="1"/>
    <col min="2315" max="2315" width="30.109375" style="838" customWidth="1"/>
    <col min="2316" max="2316" width="12" style="838" customWidth="1"/>
    <col min="2317" max="2317" width="12.109375" style="838" customWidth="1"/>
    <col min="2318" max="2565" width="8.88671875" style="838"/>
    <col min="2566" max="2566" width="27.6640625" style="838" customWidth="1"/>
    <col min="2567" max="2567" width="32.88671875" style="838" bestFit="1" customWidth="1"/>
    <col min="2568" max="2568" width="11.5546875" style="838" bestFit="1" customWidth="1"/>
    <col min="2569" max="2569" width="9.6640625" style="838" customWidth="1"/>
    <col min="2570" max="2570" width="12" style="838" customWidth="1"/>
    <col min="2571" max="2571" width="30.109375" style="838" customWidth="1"/>
    <col min="2572" max="2572" width="12" style="838" customWidth="1"/>
    <col min="2573" max="2573" width="12.109375" style="838" customWidth="1"/>
    <col min="2574" max="2821" width="8.88671875" style="838"/>
    <col min="2822" max="2822" width="27.6640625" style="838" customWidth="1"/>
    <col min="2823" max="2823" width="32.88671875" style="838" bestFit="1" customWidth="1"/>
    <col min="2824" max="2824" width="11.5546875" style="838" bestFit="1" customWidth="1"/>
    <col min="2825" max="2825" width="9.6640625" style="838" customWidth="1"/>
    <col min="2826" max="2826" width="12" style="838" customWidth="1"/>
    <col min="2827" max="2827" width="30.109375" style="838" customWidth="1"/>
    <col min="2828" max="2828" width="12" style="838" customWidth="1"/>
    <col min="2829" max="2829" width="12.109375" style="838" customWidth="1"/>
    <col min="2830" max="3077" width="8.88671875" style="838"/>
    <col min="3078" max="3078" width="27.6640625" style="838" customWidth="1"/>
    <col min="3079" max="3079" width="32.88671875" style="838" bestFit="1" customWidth="1"/>
    <col min="3080" max="3080" width="11.5546875" style="838" bestFit="1" customWidth="1"/>
    <col min="3081" max="3081" width="9.6640625" style="838" customWidth="1"/>
    <col min="3082" max="3082" width="12" style="838" customWidth="1"/>
    <col min="3083" max="3083" width="30.109375" style="838" customWidth="1"/>
    <col min="3084" max="3084" width="12" style="838" customWidth="1"/>
    <col min="3085" max="3085" width="12.109375" style="838" customWidth="1"/>
    <col min="3086" max="3333" width="8.88671875" style="838"/>
    <col min="3334" max="3334" width="27.6640625" style="838" customWidth="1"/>
    <col min="3335" max="3335" width="32.88671875" style="838" bestFit="1" customWidth="1"/>
    <col min="3336" max="3336" width="11.5546875" style="838" bestFit="1" customWidth="1"/>
    <col min="3337" max="3337" width="9.6640625" style="838" customWidth="1"/>
    <col min="3338" max="3338" width="12" style="838" customWidth="1"/>
    <col min="3339" max="3339" width="30.109375" style="838" customWidth="1"/>
    <col min="3340" max="3340" width="12" style="838" customWidth="1"/>
    <col min="3341" max="3341" width="12.109375" style="838" customWidth="1"/>
    <col min="3342" max="3589" width="8.88671875" style="838"/>
    <col min="3590" max="3590" width="27.6640625" style="838" customWidth="1"/>
    <col min="3591" max="3591" width="32.88671875" style="838" bestFit="1" customWidth="1"/>
    <col min="3592" max="3592" width="11.5546875" style="838" bestFit="1" customWidth="1"/>
    <col min="3593" max="3593" width="9.6640625" style="838" customWidth="1"/>
    <col min="3594" max="3594" width="12" style="838" customWidth="1"/>
    <col min="3595" max="3595" width="30.109375" style="838" customWidth="1"/>
    <col min="3596" max="3596" width="12" style="838" customWidth="1"/>
    <col min="3597" max="3597" width="12.109375" style="838" customWidth="1"/>
    <col min="3598" max="3845" width="8.88671875" style="838"/>
    <col min="3846" max="3846" width="27.6640625" style="838" customWidth="1"/>
    <col min="3847" max="3847" width="32.88671875" style="838" bestFit="1" customWidth="1"/>
    <col min="3848" max="3848" width="11.5546875" style="838" bestFit="1" customWidth="1"/>
    <col min="3849" max="3849" width="9.6640625" style="838" customWidth="1"/>
    <col min="3850" max="3850" width="12" style="838" customWidth="1"/>
    <col min="3851" max="3851" width="30.109375" style="838" customWidth="1"/>
    <col min="3852" max="3852" width="12" style="838" customWidth="1"/>
    <col min="3853" max="3853" width="12.109375" style="838" customWidth="1"/>
    <col min="3854" max="4101" width="8.88671875" style="838"/>
    <col min="4102" max="4102" width="27.6640625" style="838" customWidth="1"/>
    <col min="4103" max="4103" width="32.88671875" style="838" bestFit="1" customWidth="1"/>
    <col min="4104" max="4104" width="11.5546875" style="838" bestFit="1" customWidth="1"/>
    <col min="4105" max="4105" width="9.6640625" style="838" customWidth="1"/>
    <col min="4106" max="4106" width="12" style="838" customWidth="1"/>
    <col min="4107" max="4107" width="30.109375" style="838" customWidth="1"/>
    <col min="4108" max="4108" width="12" style="838" customWidth="1"/>
    <col min="4109" max="4109" width="12.109375" style="838" customWidth="1"/>
    <col min="4110" max="4357" width="8.88671875" style="838"/>
    <col min="4358" max="4358" width="27.6640625" style="838" customWidth="1"/>
    <col min="4359" max="4359" width="32.88671875" style="838" bestFit="1" customWidth="1"/>
    <col min="4360" max="4360" width="11.5546875" style="838" bestFit="1" customWidth="1"/>
    <col min="4361" max="4361" width="9.6640625" style="838" customWidth="1"/>
    <col min="4362" max="4362" width="12" style="838" customWidth="1"/>
    <col min="4363" max="4363" width="30.109375" style="838" customWidth="1"/>
    <col min="4364" max="4364" width="12" style="838" customWidth="1"/>
    <col min="4365" max="4365" width="12.109375" style="838" customWidth="1"/>
    <col min="4366" max="4613" width="8.88671875" style="838"/>
    <col min="4614" max="4614" width="27.6640625" style="838" customWidth="1"/>
    <col min="4615" max="4615" width="32.88671875" style="838" bestFit="1" customWidth="1"/>
    <col min="4616" max="4616" width="11.5546875" style="838" bestFit="1" customWidth="1"/>
    <col min="4617" max="4617" width="9.6640625" style="838" customWidth="1"/>
    <col min="4618" max="4618" width="12" style="838" customWidth="1"/>
    <col min="4619" max="4619" width="30.109375" style="838" customWidth="1"/>
    <col min="4620" max="4620" width="12" style="838" customWidth="1"/>
    <col min="4621" max="4621" width="12.109375" style="838" customWidth="1"/>
    <col min="4622" max="4869" width="8.88671875" style="838"/>
    <col min="4870" max="4870" width="27.6640625" style="838" customWidth="1"/>
    <col min="4871" max="4871" width="32.88671875" style="838" bestFit="1" customWidth="1"/>
    <col min="4872" max="4872" width="11.5546875" style="838" bestFit="1" customWidth="1"/>
    <col min="4873" max="4873" width="9.6640625" style="838" customWidth="1"/>
    <col min="4874" max="4874" width="12" style="838" customWidth="1"/>
    <col min="4875" max="4875" width="30.109375" style="838" customWidth="1"/>
    <col min="4876" max="4876" width="12" style="838" customWidth="1"/>
    <col min="4877" max="4877" width="12.109375" style="838" customWidth="1"/>
    <col min="4878" max="5125" width="8.88671875" style="838"/>
    <col min="5126" max="5126" width="27.6640625" style="838" customWidth="1"/>
    <col min="5127" max="5127" width="32.88671875" style="838" bestFit="1" customWidth="1"/>
    <col min="5128" max="5128" width="11.5546875" style="838" bestFit="1" customWidth="1"/>
    <col min="5129" max="5129" width="9.6640625" style="838" customWidth="1"/>
    <col min="5130" max="5130" width="12" style="838" customWidth="1"/>
    <col min="5131" max="5131" width="30.109375" style="838" customWidth="1"/>
    <col min="5132" max="5132" width="12" style="838" customWidth="1"/>
    <col min="5133" max="5133" width="12.109375" style="838" customWidth="1"/>
    <col min="5134" max="5381" width="8.88671875" style="838"/>
    <col min="5382" max="5382" width="27.6640625" style="838" customWidth="1"/>
    <col min="5383" max="5383" width="32.88671875" style="838" bestFit="1" customWidth="1"/>
    <col min="5384" max="5384" width="11.5546875" style="838" bestFit="1" customWidth="1"/>
    <col min="5385" max="5385" width="9.6640625" style="838" customWidth="1"/>
    <col min="5386" max="5386" width="12" style="838" customWidth="1"/>
    <col min="5387" max="5387" width="30.109375" style="838" customWidth="1"/>
    <col min="5388" max="5388" width="12" style="838" customWidth="1"/>
    <col min="5389" max="5389" width="12.109375" style="838" customWidth="1"/>
    <col min="5390" max="5637" width="8.88671875" style="838"/>
    <col min="5638" max="5638" width="27.6640625" style="838" customWidth="1"/>
    <col min="5639" max="5639" width="32.88671875" style="838" bestFit="1" customWidth="1"/>
    <col min="5640" max="5640" width="11.5546875" style="838" bestFit="1" customWidth="1"/>
    <col min="5641" max="5641" width="9.6640625" style="838" customWidth="1"/>
    <col min="5642" max="5642" width="12" style="838" customWidth="1"/>
    <col min="5643" max="5643" width="30.109375" style="838" customWidth="1"/>
    <col min="5644" max="5644" width="12" style="838" customWidth="1"/>
    <col min="5645" max="5645" width="12.109375" style="838" customWidth="1"/>
    <col min="5646" max="5893" width="8.88671875" style="838"/>
    <col min="5894" max="5894" width="27.6640625" style="838" customWidth="1"/>
    <col min="5895" max="5895" width="32.88671875" style="838" bestFit="1" customWidth="1"/>
    <col min="5896" max="5896" width="11.5546875" style="838" bestFit="1" customWidth="1"/>
    <col min="5897" max="5897" width="9.6640625" style="838" customWidth="1"/>
    <col min="5898" max="5898" width="12" style="838" customWidth="1"/>
    <col min="5899" max="5899" width="30.109375" style="838" customWidth="1"/>
    <col min="5900" max="5900" width="12" style="838" customWidth="1"/>
    <col min="5901" max="5901" width="12.109375" style="838" customWidth="1"/>
    <col min="5902" max="6149" width="8.88671875" style="838"/>
    <col min="6150" max="6150" width="27.6640625" style="838" customWidth="1"/>
    <col min="6151" max="6151" width="32.88671875" style="838" bestFit="1" customWidth="1"/>
    <col min="6152" max="6152" width="11.5546875" style="838" bestFit="1" customWidth="1"/>
    <col min="6153" max="6153" width="9.6640625" style="838" customWidth="1"/>
    <col min="6154" max="6154" width="12" style="838" customWidth="1"/>
    <col min="6155" max="6155" width="30.109375" style="838" customWidth="1"/>
    <col min="6156" max="6156" width="12" style="838" customWidth="1"/>
    <col min="6157" max="6157" width="12.109375" style="838" customWidth="1"/>
    <col min="6158" max="6405" width="8.88671875" style="838"/>
    <col min="6406" max="6406" width="27.6640625" style="838" customWidth="1"/>
    <col min="6407" max="6407" width="32.88671875" style="838" bestFit="1" customWidth="1"/>
    <col min="6408" max="6408" width="11.5546875" style="838" bestFit="1" customWidth="1"/>
    <col min="6409" max="6409" width="9.6640625" style="838" customWidth="1"/>
    <col min="6410" max="6410" width="12" style="838" customWidth="1"/>
    <col min="6411" max="6411" width="30.109375" style="838" customWidth="1"/>
    <col min="6412" max="6412" width="12" style="838" customWidth="1"/>
    <col min="6413" max="6413" width="12.109375" style="838" customWidth="1"/>
    <col min="6414" max="6661" width="8.88671875" style="838"/>
    <col min="6662" max="6662" width="27.6640625" style="838" customWidth="1"/>
    <col min="6663" max="6663" width="32.88671875" style="838" bestFit="1" customWidth="1"/>
    <col min="6664" max="6664" width="11.5546875" style="838" bestFit="1" customWidth="1"/>
    <col min="6665" max="6665" width="9.6640625" style="838" customWidth="1"/>
    <col min="6666" max="6666" width="12" style="838" customWidth="1"/>
    <col min="6667" max="6667" width="30.109375" style="838" customWidth="1"/>
    <col min="6668" max="6668" width="12" style="838" customWidth="1"/>
    <col min="6669" max="6669" width="12.109375" style="838" customWidth="1"/>
    <col min="6670" max="6917" width="8.88671875" style="838"/>
    <col min="6918" max="6918" width="27.6640625" style="838" customWidth="1"/>
    <col min="6919" max="6919" width="32.88671875" style="838" bestFit="1" customWidth="1"/>
    <col min="6920" max="6920" width="11.5546875" style="838" bestFit="1" customWidth="1"/>
    <col min="6921" max="6921" width="9.6640625" style="838" customWidth="1"/>
    <col min="6922" max="6922" width="12" style="838" customWidth="1"/>
    <col min="6923" max="6923" width="30.109375" style="838" customWidth="1"/>
    <col min="6924" max="6924" width="12" style="838" customWidth="1"/>
    <col min="6925" max="6925" width="12.109375" style="838" customWidth="1"/>
    <col min="6926" max="7173" width="8.88671875" style="838"/>
    <col min="7174" max="7174" width="27.6640625" style="838" customWidth="1"/>
    <col min="7175" max="7175" width="32.88671875" style="838" bestFit="1" customWidth="1"/>
    <col min="7176" max="7176" width="11.5546875" style="838" bestFit="1" customWidth="1"/>
    <col min="7177" max="7177" width="9.6640625" style="838" customWidth="1"/>
    <col min="7178" max="7178" width="12" style="838" customWidth="1"/>
    <col min="7179" max="7179" width="30.109375" style="838" customWidth="1"/>
    <col min="7180" max="7180" width="12" style="838" customWidth="1"/>
    <col min="7181" max="7181" width="12.109375" style="838" customWidth="1"/>
    <col min="7182" max="7429" width="8.88671875" style="838"/>
    <col min="7430" max="7430" width="27.6640625" style="838" customWidth="1"/>
    <col min="7431" max="7431" width="32.88671875" style="838" bestFit="1" customWidth="1"/>
    <col min="7432" max="7432" width="11.5546875" style="838" bestFit="1" customWidth="1"/>
    <col min="7433" max="7433" width="9.6640625" style="838" customWidth="1"/>
    <col min="7434" max="7434" width="12" style="838" customWidth="1"/>
    <col min="7435" max="7435" width="30.109375" style="838" customWidth="1"/>
    <col min="7436" max="7436" width="12" style="838" customWidth="1"/>
    <col min="7437" max="7437" width="12.109375" style="838" customWidth="1"/>
    <col min="7438" max="7685" width="8.88671875" style="838"/>
    <col min="7686" max="7686" width="27.6640625" style="838" customWidth="1"/>
    <col min="7687" max="7687" width="32.88671875" style="838" bestFit="1" customWidth="1"/>
    <col min="7688" max="7688" width="11.5546875" style="838" bestFit="1" customWidth="1"/>
    <col min="7689" max="7689" width="9.6640625" style="838" customWidth="1"/>
    <col min="7690" max="7690" width="12" style="838" customWidth="1"/>
    <col min="7691" max="7691" width="30.109375" style="838" customWidth="1"/>
    <col min="7692" max="7692" width="12" style="838" customWidth="1"/>
    <col min="7693" max="7693" width="12.109375" style="838" customWidth="1"/>
    <col min="7694" max="7941" width="8.88671875" style="838"/>
    <col min="7942" max="7942" width="27.6640625" style="838" customWidth="1"/>
    <col min="7943" max="7943" width="32.88671875" style="838" bestFit="1" customWidth="1"/>
    <col min="7944" max="7944" width="11.5546875" style="838" bestFit="1" customWidth="1"/>
    <col min="7945" max="7945" width="9.6640625" style="838" customWidth="1"/>
    <col min="7946" max="7946" width="12" style="838" customWidth="1"/>
    <col min="7947" max="7947" width="30.109375" style="838" customWidth="1"/>
    <col min="7948" max="7948" width="12" style="838" customWidth="1"/>
    <col min="7949" max="7949" width="12.109375" style="838" customWidth="1"/>
    <col min="7950" max="8197" width="8.88671875" style="838"/>
    <col min="8198" max="8198" width="27.6640625" style="838" customWidth="1"/>
    <col min="8199" max="8199" width="32.88671875" style="838" bestFit="1" customWidth="1"/>
    <col min="8200" max="8200" width="11.5546875" style="838" bestFit="1" customWidth="1"/>
    <col min="8201" max="8201" width="9.6640625" style="838" customWidth="1"/>
    <col min="8202" max="8202" width="12" style="838" customWidth="1"/>
    <col min="8203" max="8203" width="30.109375" style="838" customWidth="1"/>
    <col min="8204" max="8204" width="12" style="838" customWidth="1"/>
    <col min="8205" max="8205" width="12.109375" style="838" customWidth="1"/>
    <col min="8206" max="8453" width="8.88671875" style="838"/>
    <col min="8454" max="8454" width="27.6640625" style="838" customWidth="1"/>
    <col min="8455" max="8455" width="32.88671875" style="838" bestFit="1" customWidth="1"/>
    <col min="8456" max="8456" width="11.5546875" style="838" bestFit="1" customWidth="1"/>
    <col min="8457" max="8457" width="9.6640625" style="838" customWidth="1"/>
    <col min="8458" max="8458" width="12" style="838" customWidth="1"/>
    <col min="8459" max="8459" width="30.109375" style="838" customWidth="1"/>
    <col min="8460" max="8460" width="12" style="838" customWidth="1"/>
    <col min="8461" max="8461" width="12.109375" style="838" customWidth="1"/>
    <col min="8462" max="8709" width="8.88671875" style="838"/>
    <col min="8710" max="8710" width="27.6640625" style="838" customWidth="1"/>
    <col min="8711" max="8711" width="32.88671875" style="838" bestFit="1" customWidth="1"/>
    <col min="8712" max="8712" width="11.5546875" style="838" bestFit="1" customWidth="1"/>
    <col min="8713" max="8713" width="9.6640625" style="838" customWidth="1"/>
    <col min="8714" max="8714" width="12" style="838" customWidth="1"/>
    <col min="8715" max="8715" width="30.109375" style="838" customWidth="1"/>
    <col min="8716" max="8716" width="12" style="838" customWidth="1"/>
    <col min="8717" max="8717" width="12.109375" style="838" customWidth="1"/>
    <col min="8718" max="8965" width="8.88671875" style="838"/>
    <col min="8966" max="8966" width="27.6640625" style="838" customWidth="1"/>
    <col min="8967" max="8967" width="32.88671875" style="838" bestFit="1" customWidth="1"/>
    <col min="8968" max="8968" width="11.5546875" style="838" bestFit="1" customWidth="1"/>
    <col min="8969" max="8969" width="9.6640625" style="838" customWidth="1"/>
    <col min="8970" max="8970" width="12" style="838" customWidth="1"/>
    <col min="8971" max="8971" width="30.109375" style="838" customWidth="1"/>
    <col min="8972" max="8972" width="12" style="838" customWidth="1"/>
    <col min="8973" max="8973" width="12.109375" style="838" customWidth="1"/>
    <col min="8974" max="9221" width="8.88671875" style="838"/>
    <col min="9222" max="9222" width="27.6640625" style="838" customWidth="1"/>
    <col min="9223" max="9223" width="32.88671875" style="838" bestFit="1" customWidth="1"/>
    <col min="9224" max="9224" width="11.5546875" style="838" bestFit="1" customWidth="1"/>
    <col min="9225" max="9225" width="9.6640625" style="838" customWidth="1"/>
    <col min="9226" max="9226" width="12" style="838" customWidth="1"/>
    <col min="9227" max="9227" width="30.109375" style="838" customWidth="1"/>
    <col min="9228" max="9228" width="12" style="838" customWidth="1"/>
    <col min="9229" max="9229" width="12.109375" style="838" customWidth="1"/>
    <col min="9230" max="9477" width="8.88671875" style="838"/>
    <col min="9478" max="9478" width="27.6640625" style="838" customWidth="1"/>
    <col min="9479" max="9479" width="32.88671875" style="838" bestFit="1" customWidth="1"/>
    <col min="9480" max="9480" width="11.5546875" style="838" bestFit="1" customWidth="1"/>
    <col min="9481" max="9481" width="9.6640625" style="838" customWidth="1"/>
    <col min="9482" max="9482" width="12" style="838" customWidth="1"/>
    <col min="9483" max="9483" width="30.109375" style="838" customWidth="1"/>
    <col min="9484" max="9484" width="12" style="838" customWidth="1"/>
    <col min="9485" max="9485" width="12.109375" style="838" customWidth="1"/>
    <col min="9486" max="9733" width="8.88671875" style="838"/>
    <col min="9734" max="9734" width="27.6640625" style="838" customWidth="1"/>
    <col min="9735" max="9735" width="32.88671875" style="838" bestFit="1" customWidth="1"/>
    <col min="9736" max="9736" width="11.5546875" style="838" bestFit="1" customWidth="1"/>
    <col min="9737" max="9737" width="9.6640625" style="838" customWidth="1"/>
    <col min="9738" max="9738" width="12" style="838" customWidth="1"/>
    <col min="9739" max="9739" width="30.109375" style="838" customWidth="1"/>
    <col min="9740" max="9740" width="12" style="838" customWidth="1"/>
    <col min="9741" max="9741" width="12.109375" style="838" customWidth="1"/>
    <col min="9742" max="9989" width="8.88671875" style="838"/>
    <col min="9990" max="9990" width="27.6640625" style="838" customWidth="1"/>
    <col min="9991" max="9991" width="32.88671875" style="838" bestFit="1" customWidth="1"/>
    <col min="9992" max="9992" width="11.5546875" style="838" bestFit="1" customWidth="1"/>
    <col min="9993" max="9993" width="9.6640625" style="838" customWidth="1"/>
    <col min="9994" max="9994" width="12" style="838" customWidth="1"/>
    <col min="9995" max="9995" width="30.109375" style="838" customWidth="1"/>
    <col min="9996" max="9996" width="12" style="838" customWidth="1"/>
    <col min="9997" max="9997" width="12.109375" style="838" customWidth="1"/>
    <col min="9998" max="10245" width="8.88671875" style="838"/>
    <col min="10246" max="10246" width="27.6640625" style="838" customWidth="1"/>
    <col min="10247" max="10247" width="32.88671875" style="838" bestFit="1" customWidth="1"/>
    <col min="10248" max="10248" width="11.5546875" style="838" bestFit="1" customWidth="1"/>
    <col min="10249" max="10249" width="9.6640625" style="838" customWidth="1"/>
    <col min="10250" max="10250" width="12" style="838" customWidth="1"/>
    <col min="10251" max="10251" width="30.109375" style="838" customWidth="1"/>
    <col min="10252" max="10252" width="12" style="838" customWidth="1"/>
    <col min="10253" max="10253" width="12.109375" style="838" customWidth="1"/>
    <col min="10254" max="10501" width="8.88671875" style="838"/>
    <col min="10502" max="10502" width="27.6640625" style="838" customWidth="1"/>
    <col min="10503" max="10503" width="32.88671875" style="838" bestFit="1" customWidth="1"/>
    <col min="10504" max="10504" width="11.5546875" style="838" bestFit="1" customWidth="1"/>
    <col min="10505" max="10505" width="9.6640625" style="838" customWidth="1"/>
    <col min="10506" max="10506" width="12" style="838" customWidth="1"/>
    <col min="10507" max="10507" width="30.109375" style="838" customWidth="1"/>
    <col min="10508" max="10508" width="12" style="838" customWidth="1"/>
    <col min="10509" max="10509" width="12.109375" style="838" customWidth="1"/>
    <col min="10510" max="10757" width="8.88671875" style="838"/>
    <col min="10758" max="10758" width="27.6640625" style="838" customWidth="1"/>
    <col min="10759" max="10759" width="32.88671875" style="838" bestFit="1" customWidth="1"/>
    <col min="10760" max="10760" width="11.5546875" style="838" bestFit="1" customWidth="1"/>
    <col min="10761" max="10761" width="9.6640625" style="838" customWidth="1"/>
    <col min="10762" max="10762" width="12" style="838" customWidth="1"/>
    <col min="10763" max="10763" width="30.109375" style="838" customWidth="1"/>
    <col min="10764" max="10764" width="12" style="838" customWidth="1"/>
    <col min="10765" max="10765" width="12.109375" style="838" customWidth="1"/>
    <col min="10766" max="11013" width="8.88671875" style="838"/>
    <col min="11014" max="11014" width="27.6640625" style="838" customWidth="1"/>
    <col min="11015" max="11015" width="32.88671875" style="838" bestFit="1" customWidth="1"/>
    <col min="11016" max="11016" width="11.5546875" style="838" bestFit="1" customWidth="1"/>
    <col min="11017" max="11017" width="9.6640625" style="838" customWidth="1"/>
    <col min="11018" max="11018" width="12" style="838" customWidth="1"/>
    <col min="11019" max="11019" width="30.109375" style="838" customWidth="1"/>
    <col min="11020" max="11020" width="12" style="838" customWidth="1"/>
    <col min="11021" max="11021" width="12.109375" style="838" customWidth="1"/>
    <col min="11022" max="11269" width="8.88671875" style="838"/>
    <col min="11270" max="11270" width="27.6640625" style="838" customWidth="1"/>
    <col min="11271" max="11271" width="32.88671875" style="838" bestFit="1" customWidth="1"/>
    <col min="11272" max="11272" width="11.5546875" style="838" bestFit="1" customWidth="1"/>
    <col min="11273" max="11273" width="9.6640625" style="838" customWidth="1"/>
    <col min="11274" max="11274" width="12" style="838" customWidth="1"/>
    <col min="11275" max="11275" width="30.109375" style="838" customWidth="1"/>
    <col min="11276" max="11276" width="12" style="838" customWidth="1"/>
    <col min="11277" max="11277" width="12.109375" style="838" customWidth="1"/>
    <col min="11278" max="11525" width="8.88671875" style="838"/>
    <col min="11526" max="11526" width="27.6640625" style="838" customWidth="1"/>
    <col min="11527" max="11527" width="32.88671875" style="838" bestFit="1" customWidth="1"/>
    <col min="11528" max="11528" width="11.5546875" style="838" bestFit="1" customWidth="1"/>
    <col min="11529" max="11529" width="9.6640625" style="838" customWidth="1"/>
    <col min="11530" max="11530" width="12" style="838" customWidth="1"/>
    <col min="11531" max="11531" width="30.109375" style="838" customWidth="1"/>
    <col min="11532" max="11532" width="12" style="838" customWidth="1"/>
    <col min="11533" max="11533" width="12.109375" style="838" customWidth="1"/>
    <col min="11534" max="11781" width="8.88671875" style="838"/>
    <col min="11782" max="11782" width="27.6640625" style="838" customWidth="1"/>
    <col min="11783" max="11783" width="32.88671875" style="838" bestFit="1" customWidth="1"/>
    <col min="11784" max="11784" width="11.5546875" style="838" bestFit="1" customWidth="1"/>
    <col min="11785" max="11785" width="9.6640625" style="838" customWidth="1"/>
    <col min="11786" max="11786" width="12" style="838" customWidth="1"/>
    <col min="11787" max="11787" width="30.109375" style="838" customWidth="1"/>
    <col min="11788" max="11788" width="12" style="838" customWidth="1"/>
    <col min="11789" max="11789" width="12.109375" style="838" customWidth="1"/>
    <col min="11790" max="12037" width="8.88671875" style="838"/>
    <col min="12038" max="12038" width="27.6640625" style="838" customWidth="1"/>
    <col min="12039" max="12039" width="32.88671875" style="838" bestFit="1" customWidth="1"/>
    <col min="12040" max="12040" width="11.5546875" style="838" bestFit="1" customWidth="1"/>
    <col min="12041" max="12041" width="9.6640625" style="838" customWidth="1"/>
    <col min="12042" max="12042" width="12" style="838" customWidth="1"/>
    <col min="12043" max="12043" width="30.109375" style="838" customWidth="1"/>
    <col min="12044" max="12044" width="12" style="838" customWidth="1"/>
    <col min="12045" max="12045" width="12.109375" style="838" customWidth="1"/>
    <col min="12046" max="12293" width="8.88671875" style="838"/>
    <col min="12294" max="12294" width="27.6640625" style="838" customWidth="1"/>
    <col min="12295" max="12295" width="32.88671875" style="838" bestFit="1" customWidth="1"/>
    <col min="12296" max="12296" width="11.5546875" style="838" bestFit="1" customWidth="1"/>
    <col min="12297" max="12297" width="9.6640625" style="838" customWidth="1"/>
    <col min="12298" max="12298" width="12" style="838" customWidth="1"/>
    <col min="12299" max="12299" width="30.109375" style="838" customWidth="1"/>
    <col min="12300" max="12300" width="12" style="838" customWidth="1"/>
    <col min="12301" max="12301" width="12.109375" style="838" customWidth="1"/>
    <col min="12302" max="12549" width="8.88671875" style="838"/>
    <col min="12550" max="12550" width="27.6640625" style="838" customWidth="1"/>
    <col min="12551" max="12551" width="32.88671875" style="838" bestFit="1" customWidth="1"/>
    <col min="12552" max="12552" width="11.5546875" style="838" bestFit="1" customWidth="1"/>
    <col min="12553" max="12553" width="9.6640625" style="838" customWidth="1"/>
    <col min="12554" max="12554" width="12" style="838" customWidth="1"/>
    <col min="12555" max="12555" width="30.109375" style="838" customWidth="1"/>
    <col min="12556" max="12556" width="12" style="838" customWidth="1"/>
    <col min="12557" max="12557" width="12.109375" style="838" customWidth="1"/>
    <col min="12558" max="12805" width="8.88671875" style="838"/>
    <col min="12806" max="12806" width="27.6640625" style="838" customWidth="1"/>
    <col min="12807" max="12807" width="32.88671875" style="838" bestFit="1" customWidth="1"/>
    <col min="12808" max="12808" width="11.5546875" style="838" bestFit="1" customWidth="1"/>
    <col min="12809" max="12809" width="9.6640625" style="838" customWidth="1"/>
    <col min="12810" max="12810" width="12" style="838" customWidth="1"/>
    <col min="12811" max="12811" width="30.109375" style="838" customWidth="1"/>
    <col min="12812" max="12812" width="12" style="838" customWidth="1"/>
    <col min="12813" max="12813" width="12.109375" style="838" customWidth="1"/>
    <col min="12814" max="13061" width="8.88671875" style="838"/>
    <col min="13062" max="13062" width="27.6640625" style="838" customWidth="1"/>
    <col min="13063" max="13063" width="32.88671875" style="838" bestFit="1" customWidth="1"/>
    <col min="13064" max="13064" width="11.5546875" style="838" bestFit="1" customWidth="1"/>
    <col min="13065" max="13065" width="9.6640625" style="838" customWidth="1"/>
    <col min="13066" max="13066" width="12" style="838" customWidth="1"/>
    <col min="13067" max="13067" width="30.109375" style="838" customWidth="1"/>
    <col min="13068" max="13068" width="12" style="838" customWidth="1"/>
    <col min="13069" max="13069" width="12.109375" style="838" customWidth="1"/>
    <col min="13070" max="13317" width="8.88671875" style="838"/>
    <col min="13318" max="13318" width="27.6640625" style="838" customWidth="1"/>
    <col min="13319" max="13319" width="32.88671875" style="838" bestFit="1" customWidth="1"/>
    <col min="13320" max="13320" width="11.5546875" style="838" bestFit="1" customWidth="1"/>
    <col min="13321" max="13321" width="9.6640625" style="838" customWidth="1"/>
    <col min="13322" max="13322" width="12" style="838" customWidth="1"/>
    <col min="13323" max="13323" width="30.109375" style="838" customWidth="1"/>
    <col min="13324" max="13324" width="12" style="838" customWidth="1"/>
    <col min="13325" max="13325" width="12.109375" style="838" customWidth="1"/>
    <col min="13326" max="13573" width="8.88671875" style="838"/>
    <col min="13574" max="13574" width="27.6640625" style="838" customWidth="1"/>
    <col min="13575" max="13575" width="32.88671875" style="838" bestFit="1" customWidth="1"/>
    <col min="13576" max="13576" width="11.5546875" style="838" bestFit="1" customWidth="1"/>
    <col min="13577" max="13577" width="9.6640625" style="838" customWidth="1"/>
    <col min="13578" max="13578" width="12" style="838" customWidth="1"/>
    <col min="13579" max="13579" width="30.109375" style="838" customWidth="1"/>
    <col min="13580" max="13580" width="12" style="838" customWidth="1"/>
    <col min="13581" max="13581" width="12.109375" style="838" customWidth="1"/>
    <col min="13582" max="13829" width="8.88671875" style="838"/>
    <col min="13830" max="13830" width="27.6640625" style="838" customWidth="1"/>
    <col min="13831" max="13831" width="32.88671875" style="838" bestFit="1" customWidth="1"/>
    <col min="13832" max="13832" width="11.5546875" style="838" bestFit="1" customWidth="1"/>
    <col min="13833" max="13833" width="9.6640625" style="838" customWidth="1"/>
    <col min="13834" max="13834" width="12" style="838" customWidth="1"/>
    <col min="13835" max="13835" width="30.109375" style="838" customWidth="1"/>
    <col min="13836" max="13836" width="12" style="838" customWidth="1"/>
    <col min="13837" max="13837" width="12.109375" style="838" customWidth="1"/>
    <col min="13838" max="14085" width="8.88671875" style="838"/>
    <col min="14086" max="14086" width="27.6640625" style="838" customWidth="1"/>
    <col min="14087" max="14087" width="32.88671875" style="838" bestFit="1" customWidth="1"/>
    <col min="14088" max="14088" width="11.5546875" style="838" bestFit="1" customWidth="1"/>
    <col min="14089" max="14089" width="9.6640625" style="838" customWidth="1"/>
    <col min="14090" max="14090" width="12" style="838" customWidth="1"/>
    <col min="14091" max="14091" width="30.109375" style="838" customWidth="1"/>
    <col min="14092" max="14092" width="12" style="838" customWidth="1"/>
    <col min="14093" max="14093" width="12.109375" style="838" customWidth="1"/>
    <col min="14094" max="14341" width="8.88671875" style="838"/>
    <col min="14342" max="14342" width="27.6640625" style="838" customWidth="1"/>
    <col min="14343" max="14343" width="32.88671875" style="838" bestFit="1" customWidth="1"/>
    <col min="14344" max="14344" width="11.5546875" style="838" bestFit="1" customWidth="1"/>
    <col min="14345" max="14345" width="9.6640625" style="838" customWidth="1"/>
    <col min="14346" max="14346" width="12" style="838" customWidth="1"/>
    <col min="14347" max="14347" width="30.109375" style="838" customWidth="1"/>
    <col min="14348" max="14348" width="12" style="838" customWidth="1"/>
    <col min="14349" max="14349" width="12.109375" style="838" customWidth="1"/>
    <col min="14350" max="14597" width="8.88671875" style="838"/>
    <col min="14598" max="14598" width="27.6640625" style="838" customWidth="1"/>
    <col min="14599" max="14599" width="32.88671875" style="838" bestFit="1" customWidth="1"/>
    <col min="14600" max="14600" width="11.5546875" style="838" bestFit="1" customWidth="1"/>
    <col min="14601" max="14601" width="9.6640625" style="838" customWidth="1"/>
    <col min="14602" max="14602" width="12" style="838" customWidth="1"/>
    <col min="14603" max="14603" width="30.109375" style="838" customWidth="1"/>
    <col min="14604" max="14604" width="12" style="838" customWidth="1"/>
    <col min="14605" max="14605" width="12.109375" style="838" customWidth="1"/>
    <col min="14606" max="14853" width="8.88671875" style="838"/>
    <col min="14854" max="14854" width="27.6640625" style="838" customWidth="1"/>
    <col min="14855" max="14855" width="32.88671875" style="838" bestFit="1" customWidth="1"/>
    <col min="14856" max="14856" width="11.5546875" style="838" bestFit="1" customWidth="1"/>
    <col min="14857" max="14857" width="9.6640625" style="838" customWidth="1"/>
    <col min="14858" max="14858" width="12" style="838" customWidth="1"/>
    <col min="14859" max="14859" width="30.109375" style="838" customWidth="1"/>
    <col min="14860" max="14860" width="12" style="838" customWidth="1"/>
    <col min="14861" max="14861" width="12.109375" style="838" customWidth="1"/>
    <col min="14862" max="15109" width="8.88671875" style="838"/>
    <col min="15110" max="15110" width="27.6640625" style="838" customWidth="1"/>
    <col min="15111" max="15111" width="32.88671875" style="838" bestFit="1" customWidth="1"/>
    <col min="15112" max="15112" width="11.5546875" style="838" bestFit="1" customWidth="1"/>
    <col min="15113" max="15113" width="9.6640625" style="838" customWidth="1"/>
    <col min="15114" max="15114" width="12" style="838" customWidth="1"/>
    <col min="15115" max="15115" width="30.109375" style="838" customWidth="1"/>
    <col min="15116" max="15116" width="12" style="838" customWidth="1"/>
    <col min="15117" max="15117" width="12.109375" style="838" customWidth="1"/>
    <col min="15118" max="15365" width="8.88671875" style="838"/>
    <col min="15366" max="15366" width="27.6640625" style="838" customWidth="1"/>
    <col min="15367" max="15367" width="32.88671875" style="838" bestFit="1" customWidth="1"/>
    <col min="15368" max="15368" width="11.5546875" style="838" bestFit="1" customWidth="1"/>
    <col min="15369" max="15369" width="9.6640625" style="838" customWidth="1"/>
    <col min="15370" max="15370" width="12" style="838" customWidth="1"/>
    <col min="15371" max="15371" width="30.109375" style="838" customWidth="1"/>
    <col min="15372" max="15372" width="12" style="838" customWidth="1"/>
    <col min="15373" max="15373" width="12.109375" style="838" customWidth="1"/>
    <col min="15374" max="15621" width="8.88671875" style="838"/>
    <col min="15622" max="15622" width="27.6640625" style="838" customWidth="1"/>
    <col min="15623" max="15623" width="32.88671875" style="838" bestFit="1" customWidth="1"/>
    <col min="15624" max="15624" width="11.5546875" style="838" bestFit="1" customWidth="1"/>
    <col min="15625" max="15625" width="9.6640625" style="838" customWidth="1"/>
    <col min="15626" max="15626" width="12" style="838" customWidth="1"/>
    <col min="15627" max="15627" width="30.109375" style="838" customWidth="1"/>
    <col min="15628" max="15628" width="12" style="838" customWidth="1"/>
    <col min="15629" max="15629" width="12.109375" style="838" customWidth="1"/>
    <col min="15630" max="15877" width="8.88671875" style="838"/>
    <col min="15878" max="15878" width="27.6640625" style="838" customWidth="1"/>
    <col min="15879" max="15879" width="32.88671875" style="838" bestFit="1" customWidth="1"/>
    <col min="15880" max="15880" width="11.5546875" style="838" bestFit="1" customWidth="1"/>
    <col min="15881" max="15881" width="9.6640625" style="838" customWidth="1"/>
    <col min="15882" max="15882" width="12" style="838" customWidth="1"/>
    <col min="15883" max="15883" width="30.109375" style="838" customWidth="1"/>
    <col min="15884" max="15884" width="12" style="838" customWidth="1"/>
    <col min="15885" max="15885" width="12.109375" style="838" customWidth="1"/>
    <col min="15886" max="16133" width="8.88671875" style="838"/>
    <col min="16134" max="16134" width="27.6640625" style="838" customWidth="1"/>
    <col min="16135" max="16135" width="32.88671875" style="838" bestFit="1" customWidth="1"/>
    <col min="16136" max="16136" width="11.5546875" style="838" bestFit="1" customWidth="1"/>
    <col min="16137" max="16137" width="9.6640625" style="838" customWidth="1"/>
    <col min="16138" max="16138" width="12" style="838" customWidth="1"/>
    <col min="16139" max="16139" width="30.109375" style="838" customWidth="1"/>
    <col min="16140" max="16140" width="12" style="838" customWidth="1"/>
    <col min="16141" max="16141" width="12.109375" style="838" customWidth="1"/>
    <col min="16142" max="16384" width="8.88671875" style="838"/>
  </cols>
  <sheetData>
    <row r="1" spans="1:24" s="824" customFormat="1" ht="20.399999999999999">
      <c r="A1" s="820" t="s">
        <v>326</v>
      </c>
      <c r="B1" s="821"/>
      <c r="C1" s="820"/>
      <c r="D1" s="822"/>
      <c r="E1" s="823"/>
      <c r="N1" s="825"/>
      <c r="O1" s="825"/>
      <c r="P1" s="825"/>
      <c r="Q1" s="825"/>
      <c r="R1" s="825"/>
      <c r="S1" s="825"/>
      <c r="T1" s="825"/>
      <c r="U1" s="825"/>
      <c r="V1" s="825"/>
      <c r="W1" s="826"/>
      <c r="X1" s="827"/>
    </row>
    <row r="2" spans="1:24" s="829" customFormat="1">
      <c r="A2" s="828" t="s">
        <v>156</v>
      </c>
      <c r="N2" s="830"/>
      <c r="O2" s="830"/>
      <c r="P2" s="830"/>
      <c r="Q2" s="830"/>
      <c r="R2" s="830"/>
      <c r="S2" s="830"/>
      <c r="T2" s="830"/>
      <c r="U2" s="830"/>
      <c r="V2" s="830"/>
      <c r="W2" s="831"/>
      <c r="X2" s="832"/>
    </row>
    <row r="3" spans="1:24">
      <c r="A3" s="833" t="s">
        <v>327</v>
      </c>
      <c r="B3" s="834"/>
      <c r="C3" s="835"/>
      <c r="D3" s="836"/>
      <c r="E3" s="837"/>
      <c r="O3" s="840"/>
      <c r="P3" s="840"/>
      <c r="Q3" s="840"/>
      <c r="R3" s="840"/>
      <c r="S3" s="840"/>
      <c r="T3" s="840"/>
      <c r="U3" s="840"/>
      <c r="V3" s="840"/>
      <c r="W3" s="841"/>
      <c r="X3" s="842"/>
    </row>
    <row r="4" spans="1:24" ht="16.2" thickBot="1">
      <c r="A4" s="843" t="s">
        <v>328</v>
      </c>
      <c r="B4" s="844"/>
      <c r="C4" s="845" t="s">
        <v>329</v>
      </c>
      <c r="D4" s="846" t="s">
        <v>330</v>
      </c>
      <c r="E4" s="847" t="s">
        <v>331</v>
      </c>
      <c r="F4" s="845" t="s">
        <v>332</v>
      </c>
      <c r="O4" s="848"/>
      <c r="P4" s="840"/>
      <c r="Q4" s="840"/>
      <c r="R4" s="840"/>
      <c r="S4" s="840"/>
      <c r="T4" s="840"/>
      <c r="U4" s="840"/>
      <c r="V4" s="840"/>
      <c r="W4" s="841"/>
      <c r="X4" s="842"/>
    </row>
    <row r="5" spans="1:24" ht="28.2" thickBot="1">
      <c r="A5" s="849" t="s">
        <v>333</v>
      </c>
      <c r="B5" s="850"/>
      <c r="C5" s="851"/>
      <c r="D5" s="852"/>
      <c r="E5" s="853"/>
      <c r="F5" s="854"/>
      <c r="G5" s="838">
        <f>C6*(3.27%+1)</f>
        <v>51635</v>
      </c>
      <c r="H5" s="838">
        <f>G5*(4.19%+1)</f>
        <v>53798.506500000003</v>
      </c>
      <c r="J5" s="667" t="s">
        <v>199</v>
      </c>
      <c r="K5" s="668"/>
      <c r="L5" s="668"/>
      <c r="M5" s="249" t="s">
        <v>200</v>
      </c>
      <c r="O5" s="855" t="s">
        <v>334</v>
      </c>
      <c r="P5" s="856"/>
      <c r="Q5" s="856"/>
      <c r="R5" s="856"/>
      <c r="S5" s="857"/>
      <c r="T5" s="840"/>
      <c r="U5" s="840"/>
      <c r="V5" s="858" t="s">
        <v>165</v>
      </c>
      <c r="W5" s="859"/>
      <c r="X5" s="860"/>
    </row>
    <row r="6" spans="1:24" ht="16.2" thickBot="1">
      <c r="A6" s="849"/>
      <c r="B6" s="861" t="s">
        <v>85</v>
      </c>
      <c r="C6" s="851">
        <v>50000</v>
      </c>
      <c r="D6" s="862">
        <v>0.06</v>
      </c>
      <c r="E6" s="863">
        <f>C6*D6</f>
        <v>3000</v>
      </c>
      <c r="F6" s="864"/>
      <c r="J6" s="675" t="s">
        <v>201</v>
      </c>
      <c r="K6" s="676" t="s">
        <v>202</v>
      </c>
      <c r="L6" s="677" t="s">
        <v>203</v>
      </c>
      <c r="M6" s="678">
        <v>2080</v>
      </c>
      <c r="O6" s="865"/>
      <c r="P6" s="866" t="s">
        <v>202</v>
      </c>
      <c r="Q6" s="867">
        <f>M11</f>
        <v>1775</v>
      </c>
      <c r="R6" s="866"/>
      <c r="S6" s="868"/>
      <c r="T6" s="840"/>
      <c r="U6" s="840"/>
      <c r="V6" s="869" t="s">
        <v>166</v>
      </c>
      <c r="W6" s="870"/>
      <c r="X6" s="871" t="s">
        <v>167</v>
      </c>
    </row>
    <row r="7" spans="1:24" ht="18" customHeight="1" thickBot="1">
      <c r="A7" s="872"/>
      <c r="B7" s="873" t="s">
        <v>335</v>
      </c>
      <c r="C7" s="874">
        <f>'[4]FY 09 UFR Salary Data'!$H$40</f>
        <v>25622.22</v>
      </c>
      <c r="D7" s="862">
        <v>1</v>
      </c>
      <c r="E7" s="863">
        <f>C7*D7</f>
        <v>25622.22</v>
      </c>
      <c r="F7" s="875" t="s">
        <v>336</v>
      </c>
      <c r="G7" s="838">
        <f>C7*(3.27%+1)</f>
        <v>26460.066594</v>
      </c>
      <c r="H7" s="838">
        <f>G7*(4.19%+1)</f>
        <v>27568.743384288602</v>
      </c>
      <c r="J7" s="682" t="s">
        <v>204</v>
      </c>
      <c r="K7" s="683">
        <v>120</v>
      </c>
      <c r="L7" s="876">
        <v>2</v>
      </c>
      <c r="M7" s="685">
        <f>L7*K7</f>
        <v>240</v>
      </c>
      <c r="O7" s="877"/>
      <c r="P7" s="878"/>
      <c r="Q7" s="879" t="s">
        <v>172</v>
      </c>
      <c r="R7" s="880" t="s">
        <v>216</v>
      </c>
      <c r="S7" s="881" t="s">
        <v>174</v>
      </c>
      <c r="T7" s="840"/>
      <c r="U7" s="840"/>
      <c r="V7" s="882" t="s">
        <v>85</v>
      </c>
      <c r="W7" s="883">
        <f>'Master Look Up'!N14</f>
        <v>69600</v>
      </c>
      <c r="X7" s="884" t="s">
        <v>220</v>
      </c>
    </row>
    <row r="8" spans="1:24" ht="16.2" thickBot="1">
      <c r="A8" s="885" t="s">
        <v>337</v>
      </c>
      <c r="B8" s="886"/>
      <c r="C8" s="887"/>
      <c r="D8" s="862">
        <f>SUM(D6:D7)</f>
        <v>1.06</v>
      </c>
      <c r="E8" s="863">
        <f>SUM(E6:E7)</f>
        <v>28622.22</v>
      </c>
      <c r="F8" s="864"/>
      <c r="J8" s="692" t="s">
        <v>205</v>
      </c>
      <c r="K8" s="683">
        <v>10</v>
      </c>
      <c r="L8" s="888">
        <v>2.5</v>
      </c>
      <c r="M8" s="685">
        <f>L8*K8</f>
        <v>25</v>
      </c>
      <c r="O8" s="889" t="s">
        <v>85</v>
      </c>
      <c r="P8" s="890"/>
      <c r="Q8" s="891">
        <f>W7</f>
        <v>69600</v>
      </c>
      <c r="R8" s="892">
        <v>0.06</v>
      </c>
      <c r="S8" s="893">
        <f>Q8*R8</f>
        <v>4176</v>
      </c>
      <c r="T8" s="840"/>
      <c r="U8" s="840"/>
      <c r="V8" s="894" t="s">
        <v>117</v>
      </c>
      <c r="W8" s="895">
        <f>'Master Look Up'!N15</f>
        <v>45375.199999999997</v>
      </c>
      <c r="X8" s="896" t="s">
        <v>279</v>
      </c>
    </row>
    <row r="9" spans="1:24" ht="16.2" thickBot="1">
      <c r="A9" s="872"/>
      <c r="B9" s="897"/>
      <c r="C9" s="851"/>
      <c r="D9" s="852"/>
      <c r="E9" s="853"/>
      <c r="F9" s="854"/>
      <c r="J9" s="699" t="s">
        <v>206</v>
      </c>
      <c r="K9" s="683">
        <v>40</v>
      </c>
      <c r="L9" s="898">
        <v>1</v>
      </c>
      <c r="M9" s="685">
        <f>L9*K9</f>
        <v>40</v>
      </c>
      <c r="O9" s="305" t="s">
        <v>117</v>
      </c>
      <c r="P9" s="899"/>
      <c r="Q9" s="376">
        <f>W8</f>
        <v>45375.199999999997</v>
      </c>
      <c r="R9" s="900">
        <v>1</v>
      </c>
      <c r="S9" s="901">
        <f t="shared" ref="S9" si="0">Q9*R9</f>
        <v>45375.199999999997</v>
      </c>
      <c r="T9" s="840"/>
      <c r="U9" s="840"/>
      <c r="V9" s="902" t="s">
        <v>177</v>
      </c>
      <c r="W9" s="903"/>
      <c r="X9" s="904"/>
    </row>
    <row r="10" spans="1:24" ht="16.2" thickBot="1">
      <c r="A10" s="905" t="s">
        <v>338</v>
      </c>
      <c r="B10" s="906" t="s">
        <v>339</v>
      </c>
      <c r="C10" s="907">
        <v>0.22</v>
      </c>
      <c r="D10" s="862"/>
      <c r="E10" s="863">
        <f>E8*C10</f>
        <v>6296.8884000000007</v>
      </c>
      <c r="F10" s="908"/>
      <c r="J10" s="722" t="s">
        <v>207</v>
      </c>
      <c r="K10" s="723"/>
      <c r="L10" s="724"/>
      <c r="M10" s="678">
        <f>SUM(M7:M9)</f>
        <v>305</v>
      </c>
      <c r="O10" s="909" t="s">
        <v>340</v>
      </c>
      <c r="P10" s="910"/>
      <c r="Q10" s="295"/>
      <c r="R10" s="452">
        <f>SUM(R8:R9)</f>
        <v>1.06</v>
      </c>
      <c r="S10" s="911">
        <f>SUM(S8:S9)</f>
        <v>49551.199999999997</v>
      </c>
      <c r="T10" s="840"/>
      <c r="U10" s="840"/>
      <c r="V10" s="701"/>
      <c r="W10" s="175"/>
      <c r="X10" s="912"/>
    </row>
    <row r="11" spans="1:24" ht="16.2" thickBot="1">
      <c r="A11" s="905" t="s">
        <v>341</v>
      </c>
      <c r="B11" s="906"/>
      <c r="C11" s="887"/>
      <c r="D11" s="862"/>
      <c r="E11" s="863">
        <f>SUM(E8,E10:E10)</f>
        <v>34919.108400000005</v>
      </c>
      <c r="F11" s="864"/>
      <c r="J11" s="913" t="s">
        <v>208</v>
      </c>
      <c r="K11" s="914"/>
      <c r="L11" s="915"/>
      <c r="M11" s="916">
        <f>M6-M10</f>
        <v>1775</v>
      </c>
      <c r="O11" s="917" t="s">
        <v>183</v>
      </c>
      <c r="P11" s="918">
        <f>W14</f>
        <v>0.224</v>
      </c>
      <c r="Q11" s="919"/>
      <c r="R11" s="920"/>
      <c r="S11" s="911">
        <f>P11*S10</f>
        <v>11099.468799999999</v>
      </c>
      <c r="T11" s="840"/>
      <c r="U11" s="840"/>
      <c r="V11" s="707" t="s">
        <v>84</v>
      </c>
      <c r="W11" s="708">
        <f>'Master Look Up'!E6</f>
        <v>159.61973086509079</v>
      </c>
      <c r="X11" s="921" t="s">
        <v>180</v>
      </c>
    </row>
    <row r="12" spans="1:24" ht="16.2" thickBot="1">
      <c r="A12" s="872"/>
      <c r="B12" s="897"/>
      <c r="C12" s="851"/>
      <c r="D12" s="852"/>
      <c r="E12" s="853"/>
      <c r="F12" s="854"/>
      <c r="O12" s="922" t="s">
        <v>225</v>
      </c>
      <c r="P12" s="923"/>
      <c r="Q12" s="924"/>
      <c r="R12" s="925"/>
      <c r="S12" s="926">
        <f>S10+S11</f>
        <v>60650.668799999999</v>
      </c>
      <c r="T12" s="840"/>
      <c r="U12" s="840"/>
      <c r="V12" s="707" t="s">
        <v>88</v>
      </c>
      <c r="W12" s="708">
        <f>'Master Look Up'!E7</f>
        <v>1056.8783932396871</v>
      </c>
      <c r="X12" s="921" t="s">
        <v>180</v>
      </c>
    </row>
    <row r="13" spans="1:24" ht="16.2" thickBot="1">
      <c r="A13" s="927" t="s">
        <v>342</v>
      </c>
      <c r="B13" s="928" t="s">
        <v>343</v>
      </c>
      <c r="C13" s="929">
        <v>0.11</v>
      </c>
      <c r="D13" s="930"/>
      <c r="E13" s="931">
        <f>C13*E11</f>
        <v>3841.1019240000005</v>
      </c>
      <c r="F13" s="864"/>
      <c r="O13" s="932" t="str">
        <f>V11</f>
        <v>Staff Training 204</v>
      </c>
      <c r="P13" s="933"/>
      <c r="Q13" s="351"/>
      <c r="R13" s="934"/>
      <c r="S13" s="935">
        <f>R9*W11</f>
        <v>159.61973086509079</v>
      </c>
      <c r="T13" s="840"/>
      <c r="U13" s="840"/>
      <c r="V13" s="707"/>
      <c r="W13" s="673"/>
      <c r="X13" s="921"/>
    </row>
    <row r="14" spans="1:24">
      <c r="A14" s="936" t="s">
        <v>344</v>
      </c>
      <c r="B14" s="936"/>
      <c r="C14" s="864"/>
      <c r="D14" s="930"/>
      <c r="E14" s="931">
        <f>SUM(E13:E13)</f>
        <v>3841.1019240000005</v>
      </c>
      <c r="F14" s="864"/>
      <c r="O14" s="932" t="str">
        <f>V12</f>
        <v>Staff Mileage / Travel 205</v>
      </c>
      <c r="P14" s="933"/>
      <c r="Q14" s="351"/>
      <c r="R14" s="934"/>
      <c r="S14" s="935">
        <f>R9*W12</f>
        <v>1056.8783932396871</v>
      </c>
      <c r="T14" s="840"/>
      <c r="U14" s="840"/>
      <c r="V14" s="937" t="s">
        <v>183</v>
      </c>
      <c r="W14" s="938">
        <f>'Master Look Up'!D25</f>
        <v>0.224</v>
      </c>
      <c r="X14" s="939" t="s">
        <v>143</v>
      </c>
    </row>
    <row r="15" spans="1:24">
      <c r="A15" s="940"/>
      <c r="B15" s="941"/>
      <c r="C15" s="942"/>
      <c r="D15" s="943"/>
      <c r="E15" s="944"/>
      <c r="F15" s="854"/>
      <c r="O15" s="349"/>
      <c r="P15" s="945"/>
      <c r="Q15" s="342"/>
      <c r="R15" s="946"/>
      <c r="S15" s="935"/>
      <c r="T15" s="840"/>
      <c r="U15" s="840"/>
      <c r="V15" s="707" t="s">
        <v>61</v>
      </c>
      <c r="W15" s="190">
        <v>3.7000000000000002E-3</v>
      </c>
      <c r="X15" s="947" t="s">
        <v>186</v>
      </c>
    </row>
    <row r="16" spans="1:24">
      <c r="A16" s="948" t="s">
        <v>345</v>
      </c>
      <c r="B16" s="949"/>
      <c r="C16" s="950"/>
      <c r="D16" s="951"/>
      <c r="E16" s="931">
        <f>SUM(E11,E14)</f>
        <v>38760.210324000007</v>
      </c>
      <c r="F16" s="864"/>
      <c r="O16" s="952" t="s">
        <v>346</v>
      </c>
      <c r="P16" s="953"/>
      <c r="Q16" s="954"/>
      <c r="R16" s="955"/>
      <c r="S16" s="956">
        <f>SUM(S12:S15)</f>
        <v>61867.166924104771</v>
      </c>
      <c r="T16" s="957"/>
      <c r="U16" s="957"/>
      <c r="V16" s="707" t="s">
        <v>347</v>
      </c>
      <c r="W16" s="958">
        <f>'Master Look Up'!D30</f>
        <v>0.12</v>
      </c>
      <c r="X16" s="959" t="s">
        <v>151</v>
      </c>
    </row>
    <row r="17" spans="1:24" ht="16.2" thickBot="1">
      <c r="A17" s="960"/>
      <c r="B17" s="961"/>
      <c r="G17" s="964" t="e">
        <f>#REF!</f>
        <v>#REF!</v>
      </c>
      <c r="H17" s="964"/>
      <c r="I17" s="964"/>
      <c r="J17" s="964"/>
      <c r="K17" s="964"/>
      <c r="L17" s="964"/>
      <c r="M17" s="964"/>
      <c r="O17" s="294" t="str">
        <f>V15</f>
        <v>PFMLA</v>
      </c>
      <c r="P17" s="965">
        <v>3.7000000000000002E-3</v>
      </c>
      <c r="Q17" s="350"/>
      <c r="R17" s="934"/>
      <c r="S17" s="935">
        <f>P17*S10</f>
        <v>183.33944</v>
      </c>
      <c r="T17" s="840"/>
      <c r="U17" s="840"/>
      <c r="V17" s="966" t="s">
        <v>348</v>
      </c>
      <c r="W17" s="967">
        <f>'Master Look Up'!D33</f>
        <v>1.0633805350099574E-2</v>
      </c>
      <c r="X17" s="968" t="s">
        <v>153</v>
      </c>
    </row>
    <row r="18" spans="1:24" ht="16.2" thickBot="1">
      <c r="A18" s="969" t="s">
        <v>349</v>
      </c>
      <c r="D18" s="838"/>
      <c r="E18" s="962"/>
      <c r="F18" s="971" t="s">
        <v>350</v>
      </c>
      <c r="G18" s="972"/>
      <c r="O18" s="877" t="s">
        <v>347</v>
      </c>
      <c r="P18" s="973">
        <f>W16</f>
        <v>0.12</v>
      </c>
      <c r="Q18" s="974"/>
      <c r="R18" s="975"/>
      <c r="S18" s="976">
        <f>P18*S16</f>
        <v>7424.0600308925723</v>
      </c>
      <c r="T18" s="840"/>
      <c r="U18" s="840"/>
      <c r="V18" s="840"/>
      <c r="W18" s="841"/>
      <c r="X18" s="842"/>
    </row>
    <row r="19" spans="1:24" ht="16.2" thickBot="1">
      <c r="A19" s="977" t="s">
        <v>351</v>
      </c>
      <c r="B19" s="978"/>
      <c r="C19" s="979">
        <v>52</v>
      </c>
      <c r="D19" s="980">
        <v>40</v>
      </c>
      <c r="E19" s="981">
        <f>52*40</f>
        <v>2080</v>
      </c>
      <c r="F19" s="982" t="s">
        <v>352</v>
      </c>
      <c r="G19" s="983">
        <f>E16</f>
        <v>38760.210324000007</v>
      </c>
      <c r="H19" s="984"/>
      <c r="I19" s="984"/>
      <c r="J19" s="984"/>
      <c r="K19" s="984"/>
      <c r="L19" s="984"/>
      <c r="M19" s="984"/>
      <c r="O19" s="282" t="s">
        <v>188</v>
      </c>
      <c r="P19" s="985"/>
      <c r="Q19" s="331"/>
      <c r="R19" s="986"/>
      <c r="S19" s="987">
        <f>S18+S17+S16</f>
        <v>69474.566394997339</v>
      </c>
      <c r="T19" s="840"/>
      <c r="U19" s="840"/>
      <c r="V19" s="840"/>
      <c r="W19" s="841"/>
      <c r="X19" s="842"/>
    </row>
    <row r="20" spans="1:24" ht="16.2" thickBot="1">
      <c r="A20" s="988"/>
      <c r="B20" s="989"/>
      <c r="C20" s="835"/>
      <c r="D20" s="990"/>
      <c r="E20" s="991"/>
      <c r="F20" s="982" t="s">
        <v>353</v>
      </c>
      <c r="G20" s="983" t="e">
        <f>#REF!</f>
        <v>#REF!</v>
      </c>
      <c r="H20" s="984"/>
      <c r="I20" s="984"/>
      <c r="J20" s="984"/>
      <c r="K20" s="984"/>
      <c r="L20" s="984"/>
      <c r="M20" s="984"/>
      <c r="O20" s="992" t="s">
        <v>354</v>
      </c>
      <c r="P20" s="993" t="s">
        <v>189</v>
      </c>
      <c r="Q20" s="994">
        <f>W17</f>
        <v>1.0633805350099574E-2</v>
      </c>
      <c r="R20" s="995"/>
      <c r="S20" s="996">
        <f>S19*(Q20+1)</f>
        <v>70213.345410824317</v>
      </c>
      <c r="T20" s="997"/>
      <c r="U20" s="998"/>
      <c r="V20" s="840"/>
      <c r="W20" s="841"/>
      <c r="X20" s="842"/>
    </row>
    <row r="21" spans="1:24">
      <c r="A21" s="988"/>
      <c r="B21" s="989"/>
      <c r="C21" s="835"/>
      <c r="D21" s="990"/>
      <c r="E21" s="991"/>
      <c r="F21" s="982"/>
      <c r="G21" s="983"/>
      <c r="H21" s="984"/>
      <c r="I21" s="984"/>
      <c r="J21" s="984"/>
      <c r="K21" s="984"/>
      <c r="L21" s="984"/>
      <c r="M21" s="984"/>
      <c r="O21" s="999" t="s">
        <v>355</v>
      </c>
      <c r="P21" s="1000"/>
      <c r="Q21" s="1000"/>
      <c r="R21" s="1001"/>
      <c r="S21" s="1002">
        <f>(S20/Q6)/4</f>
        <v>9.8892035789893402</v>
      </c>
      <c r="T21" s="1003"/>
      <c r="U21" s="430"/>
      <c r="V21" s="840"/>
      <c r="W21" s="841"/>
      <c r="X21" s="842"/>
    </row>
    <row r="22" spans="1:24">
      <c r="O22" s="1004" t="s">
        <v>356</v>
      </c>
      <c r="P22" s="1005"/>
      <c r="Q22" s="1005"/>
      <c r="R22" s="1005"/>
      <c r="S22" s="1006">
        <f>S21/2</f>
        <v>4.9446017894946701</v>
      </c>
      <c r="T22" s="1003"/>
      <c r="U22" s="430"/>
      <c r="V22" s="840"/>
      <c r="W22" s="841"/>
      <c r="X22" s="842"/>
    </row>
    <row r="23" spans="1:24" ht="16.2" thickBot="1">
      <c r="O23" s="1007" t="s">
        <v>357</v>
      </c>
      <c r="P23" s="1008"/>
      <c r="Q23" s="1008"/>
      <c r="R23" s="1008"/>
      <c r="S23" s="1009">
        <f>S21/5+0.03</f>
        <v>2.0078407157978679</v>
      </c>
      <c r="T23" s="1003"/>
      <c r="U23" s="430"/>
      <c r="V23" s="840"/>
      <c r="W23" s="841"/>
      <c r="X23" s="1010"/>
    </row>
    <row r="24" spans="1:24">
      <c r="O24" s="848"/>
      <c r="P24" s="848"/>
      <c r="Q24" s="848"/>
      <c r="R24" s="848"/>
      <c r="S24" s="848"/>
      <c r="T24" s="840"/>
      <c r="U24" s="998"/>
      <c r="V24" s="840"/>
      <c r="W24" s="841"/>
      <c r="X24" s="842"/>
    </row>
    <row r="25" spans="1:24">
      <c r="O25" s="840"/>
      <c r="P25" s="840"/>
      <c r="Q25" s="840"/>
      <c r="R25" s="840"/>
      <c r="S25" s="840"/>
      <c r="T25" s="840"/>
      <c r="U25" s="840"/>
      <c r="V25" s="840"/>
      <c r="W25" s="841"/>
      <c r="X25" s="842"/>
    </row>
    <row r="26" spans="1:24">
      <c r="O26" s="840"/>
      <c r="P26" s="840"/>
      <c r="Q26" s="840"/>
      <c r="R26" s="840"/>
      <c r="S26" s="840"/>
    </row>
  </sheetData>
  <mergeCells count="4">
    <mergeCell ref="O5:S5"/>
    <mergeCell ref="V5:X5"/>
    <mergeCell ref="V6:W6"/>
    <mergeCell ref="V9:W9"/>
  </mergeCells>
  <pageMargins left="0.75" right="0.75" top="1" bottom="1" header="0.5" footer="0.5"/>
  <pageSetup scale="6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opLeftCell="B1" zoomScale="90" zoomScaleNormal="90" workbookViewId="0">
      <selection activeCell="W17" sqref="W17"/>
    </sheetView>
  </sheetViews>
  <sheetFormatPr defaultRowHeight="15.6"/>
  <cols>
    <col min="1" max="1" width="43.6640625" style="835" bestFit="1" customWidth="1"/>
    <col min="2" max="2" width="14.6640625" style="972" customWidth="1"/>
    <col min="3" max="3" width="10.44140625" style="835" bestFit="1" customWidth="1"/>
    <col min="4" max="4" width="6.6640625" style="990" bestFit="1" customWidth="1"/>
    <col min="5" max="5" width="9.109375" style="984" bestFit="1" customWidth="1"/>
    <col min="6" max="6" width="23.44140625" style="839" bestFit="1" customWidth="1"/>
    <col min="7" max="7" width="7.5546875" style="839" bestFit="1" customWidth="1"/>
    <col min="8" max="8" width="8.33203125" style="839" bestFit="1" customWidth="1"/>
    <col min="9" max="9" width="11.109375" style="839" customWidth="1"/>
    <col min="10" max="11" width="8.33203125" style="839" bestFit="1" customWidth="1"/>
    <col min="12" max="12" width="7.5546875" style="839" bestFit="1" customWidth="1"/>
    <col min="13" max="13" width="24.5546875" style="839" customWidth="1"/>
    <col min="14" max="14" width="8.33203125" style="826" bestFit="1" customWidth="1"/>
    <col min="15" max="15" width="57.33203125" style="1011" customWidth="1"/>
    <col min="16" max="252" width="8.88671875" style="838"/>
    <col min="253" max="253" width="27.6640625" style="838" customWidth="1"/>
    <col min="254" max="254" width="32.88671875" style="838" bestFit="1" customWidth="1"/>
    <col min="255" max="255" width="11.5546875" style="838" bestFit="1" customWidth="1"/>
    <col min="256" max="256" width="9.6640625" style="838" customWidth="1"/>
    <col min="257" max="257" width="12" style="838" customWidth="1"/>
    <col min="258" max="258" width="30.109375" style="838" customWidth="1"/>
    <col min="259" max="259" width="12" style="838" customWidth="1"/>
    <col min="260" max="260" width="12.109375" style="838" customWidth="1"/>
    <col min="261" max="508" width="8.88671875" style="838"/>
    <col min="509" max="509" width="27.6640625" style="838" customWidth="1"/>
    <col min="510" max="510" width="32.88671875" style="838" bestFit="1" customWidth="1"/>
    <col min="511" max="511" width="11.5546875" style="838" bestFit="1" customWidth="1"/>
    <col min="512" max="512" width="9.6640625" style="838" customWidth="1"/>
    <col min="513" max="513" width="12" style="838" customWidth="1"/>
    <col min="514" max="514" width="30.109375" style="838" customWidth="1"/>
    <col min="515" max="515" width="12" style="838" customWidth="1"/>
    <col min="516" max="516" width="12.109375" style="838" customWidth="1"/>
    <col min="517" max="764" width="8.88671875" style="838"/>
    <col min="765" max="765" width="27.6640625" style="838" customWidth="1"/>
    <col min="766" max="766" width="32.88671875" style="838" bestFit="1" customWidth="1"/>
    <col min="767" max="767" width="11.5546875" style="838" bestFit="1" customWidth="1"/>
    <col min="768" max="768" width="9.6640625" style="838" customWidth="1"/>
    <col min="769" max="769" width="12" style="838" customWidth="1"/>
    <col min="770" max="770" width="30.109375" style="838" customWidth="1"/>
    <col min="771" max="771" width="12" style="838" customWidth="1"/>
    <col min="772" max="772" width="12.109375" style="838" customWidth="1"/>
    <col min="773" max="1020" width="8.88671875" style="838"/>
    <col min="1021" max="1021" width="27.6640625" style="838" customWidth="1"/>
    <col min="1022" max="1022" width="32.88671875" style="838" bestFit="1" customWidth="1"/>
    <col min="1023" max="1023" width="11.5546875" style="838" bestFit="1" customWidth="1"/>
    <col min="1024" max="1024" width="9.6640625" style="838" customWidth="1"/>
    <col min="1025" max="1025" width="12" style="838" customWidth="1"/>
    <col min="1026" max="1026" width="30.109375" style="838" customWidth="1"/>
    <col min="1027" max="1027" width="12" style="838" customWidth="1"/>
    <col min="1028" max="1028" width="12.109375" style="838" customWidth="1"/>
    <col min="1029" max="1276" width="8.88671875" style="838"/>
    <col min="1277" max="1277" width="27.6640625" style="838" customWidth="1"/>
    <col min="1278" max="1278" width="32.88671875" style="838" bestFit="1" customWidth="1"/>
    <col min="1279" max="1279" width="11.5546875" style="838" bestFit="1" customWidth="1"/>
    <col min="1280" max="1280" width="9.6640625" style="838" customWidth="1"/>
    <col min="1281" max="1281" width="12" style="838" customWidth="1"/>
    <col min="1282" max="1282" width="30.109375" style="838" customWidth="1"/>
    <col min="1283" max="1283" width="12" style="838" customWidth="1"/>
    <col min="1284" max="1284" width="12.109375" style="838" customWidth="1"/>
    <col min="1285" max="1532" width="8.88671875" style="838"/>
    <col min="1533" max="1533" width="27.6640625" style="838" customWidth="1"/>
    <col min="1534" max="1534" width="32.88671875" style="838" bestFit="1" customWidth="1"/>
    <col min="1535" max="1535" width="11.5546875" style="838" bestFit="1" customWidth="1"/>
    <col min="1536" max="1536" width="9.6640625" style="838" customWidth="1"/>
    <col min="1537" max="1537" width="12" style="838" customWidth="1"/>
    <col min="1538" max="1538" width="30.109375" style="838" customWidth="1"/>
    <col min="1539" max="1539" width="12" style="838" customWidth="1"/>
    <col min="1540" max="1540" width="12.109375" style="838" customWidth="1"/>
    <col min="1541" max="1788" width="8.88671875" style="838"/>
    <col min="1789" max="1789" width="27.6640625" style="838" customWidth="1"/>
    <col min="1790" max="1790" width="32.88671875" style="838" bestFit="1" customWidth="1"/>
    <col min="1791" max="1791" width="11.5546875" style="838" bestFit="1" customWidth="1"/>
    <col min="1792" max="1792" width="9.6640625" style="838" customWidth="1"/>
    <col min="1793" max="1793" width="12" style="838" customWidth="1"/>
    <col min="1794" max="1794" width="30.109375" style="838" customWidth="1"/>
    <col min="1795" max="1795" width="12" style="838" customWidth="1"/>
    <col min="1796" max="1796" width="12.109375" style="838" customWidth="1"/>
    <col min="1797" max="2044" width="8.88671875" style="838"/>
    <col min="2045" max="2045" width="27.6640625" style="838" customWidth="1"/>
    <col min="2046" max="2046" width="32.88671875" style="838" bestFit="1" customWidth="1"/>
    <col min="2047" max="2047" width="11.5546875" style="838" bestFit="1" customWidth="1"/>
    <col min="2048" max="2048" width="9.6640625" style="838" customWidth="1"/>
    <col min="2049" max="2049" width="12" style="838" customWidth="1"/>
    <col min="2050" max="2050" width="30.109375" style="838" customWidth="1"/>
    <col min="2051" max="2051" width="12" style="838" customWidth="1"/>
    <col min="2052" max="2052" width="12.109375" style="838" customWidth="1"/>
    <col min="2053" max="2300" width="8.88671875" style="838"/>
    <col min="2301" max="2301" width="27.6640625" style="838" customWidth="1"/>
    <col min="2302" max="2302" width="32.88671875" style="838" bestFit="1" customWidth="1"/>
    <col min="2303" max="2303" width="11.5546875" style="838" bestFit="1" customWidth="1"/>
    <col min="2304" max="2304" width="9.6640625" style="838" customWidth="1"/>
    <col min="2305" max="2305" width="12" style="838" customWidth="1"/>
    <col min="2306" max="2306" width="30.109375" style="838" customWidth="1"/>
    <col min="2307" max="2307" width="12" style="838" customWidth="1"/>
    <col min="2308" max="2308" width="12.109375" style="838" customWidth="1"/>
    <col min="2309" max="2556" width="8.88671875" style="838"/>
    <col min="2557" max="2557" width="27.6640625" style="838" customWidth="1"/>
    <col min="2558" max="2558" width="32.88671875" style="838" bestFit="1" customWidth="1"/>
    <col min="2559" max="2559" width="11.5546875" style="838" bestFit="1" customWidth="1"/>
    <col min="2560" max="2560" width="9.6640625" style="838" customWidth="1"/>
    <col min="2561" max="2561" width="12" style="838" customWidth="1"/>
    <col min="2562" max="2562" width="30.109375" style="838" customWidth="1"/>
    <col min="2563" max="2563" width="12" style="838" customWidth="1"/>
    <col min="2564" max="2564" width="12.109375" style="838" customWidth="1"/>
    <col min="2565" max="2812" width="8.88671875" style="838"/>
    <col min="2813" max="2813" width="27.6640625" style="838" customWidth="1"/>
    <col min="2814" max="2814" width="32.88671875" style="838" bestFit="1" customWidth="1"/>
    <col min="2815" max="2815" width="11.5546875" style="838" bestFit="1" customWidth="1"/>
    <col min="2816" max="2816" width="9.6640625" style="838" customWidth="1"/>
    <col min="2817" max="2817" width="12" style="838" customWidth="1"/>
    <col min="2818" max="2818" width="30.109375" style="838" customWidth="1"/>
    <col min="2819" max="2819" width="12" style="838" customWidth="1"/>
    <col min="2820" max="2820" width="12.109375" style="838" customWidth="1"/>
    <col min="2821" max="3068" width="8.88671875" style="838"/>
    <col min="3069" max="3069" width="27.6640625" style="838" customWidth="1"/>
    <col min="3070" max="3070" width="32.88671875" style="838" bestFit="1" customWidth="1"/>
    <col min="3071" max="3071" width="11.5546875" style="838" bestFit="1" customWidth="1"/>
    <col min="3072" max="3072" width="9.6640625" style="838" customWidth="1"/>
    <col min="3073" max="3073" width="12" style="838" customWidth="1"/>
    <col min="3074" max="3074" width="30.109375" style="838" customWidth="1"/>
    <col min="3075" max="3075" width="12" style="838" customWidth="1"/>
    <col min="3076" max="3076" width="12.109375" style="838" customWidth="1"/>
    <col min="3077" max="3324" width="8.88671875" style="838"/>
    <col min="3325" max="3325" width="27.6640625" style="838" customWidth="1"/>
    <col min="3326" max="3326" width="32.88671875" style="838" bestFit="1" customWidth="1"/>
    <col min="3327" max="3327" width="11.5546875" style="838" bestFit="1" customWidth="1"/>
    <col min="3328" max="3328" width="9.6640625" style="838" customWidth="1"/>
    <col min="3329" max="3329" width="12" style="838" customWidth="1"/>
    <col min="3330" max="3330" width="30.109375" style="838" customWidth="1"/>
    <col min="3331" max="3331" width="12" style="838" customWidth="1"/>
    <col min="3332" max="3332" width="12.109375" style="838" customWidth="1"/>
    <col min="3333" max="3580" width="8.88671875" style="838"/>
    <col min="3581" max="3581" width="27.6640625" style="838" customWidth="1"/>
    <col min="3582" max="3582" width="32.88671875" style="838" bestFit="1" customWidth="1"/>
    <col min="3583" max="3583" width="11.5546875" style="838" bestFit="1" customWidth="1"/>
    <col min="3584" max="3584" width="9.6640625" style="838" customWidth="1"/>
    <col min="3585" max="3585" width="12" style="838" customWidth="1"/>
    <col min="3586" max="3586" width="30.109375" style="838" customWidth="1"/>
    <col min="3587" max="3587" width="12" style="838" customWidth="1"/>
    <col min="3588" max="3588" width="12.109375" style="838" customWidth="1"/>
    <col min="3589" max="3836" width="8.88671875" style="838"/>
    <col min="3837" max="3837" width="27.6640625" style="838" customWidth="1"/>
    <col min="3838" max="3838" width="32.88671875" style="838" bestFit="1" customWidth="1"/>
    <col min="3839" max="3839" width="11.5546875" style="838" bestFit="1" customWidth="1"/>
    <col min="3840" max="3840" width="9.6640625" style="838" customWidth="1"/>
    <col min="3841" max="3841" width="12" style="838" customWidth="1"/>
    <col min="3842" max="3842" width="30.109375" style="838" customWidth="1"/>
    <col min="3843" max="3843" width="12" style="838" customWidth="1"/>
    <col min="3844" max="3844" width="12.109375" style="838" customWidth="1"/>
    <col min="3845" max="4092" width="8.88671875" style="838"/>
    <col min="4093" max="4093" width="27.6640625" style="838" customWidth="1"/>
    <col min="4094" max="4094" width="32.88671875" style="838" bestFit="1" customWidth="1"/>
    <col min="4095" max="4095" width="11.5546875" style="838" bestFit="1" customWidth="1"/>
    <col min="4096" max="4096" width="9.6640625" style="838" customWidth="1"/>
    <col min="4097" max="4097" width="12" style="838" customWidth="1"/>
    <col min="4098" max="4098" width="30.109375" style="838" customWidth="1"/>
    <col min="4099" max="4099" width="12" style="838" customWidth="1"/>
    <col min="4100" max="4100" width="12.109375" style="838" customWidth="1"/>
    <col min="4101" max="4348" width="8.88671875" style="838"/>
    <col min="4349" max="4349" width="27.6640625" style="838" customWidth="1"/>
    <col min="4350" max="4350" width="32.88671875" style="838" bestFit="1" customWidth="1"/>
    <col min="4351" max="4351" width="11.5546875" style="838" bestFit="1" customWidth="1"/>
    <col min="4352" max="4352" width="9.6640625" style="838" customWidth="1"/>
    <col min="4353" max="4353" width="12" style="838" customWidth="1"/>
    <col min="4354" max="4354" width="30.109375" style="838" customWidth="1"/>
    <col min="4355" max="4355" width="12" style="838" customWidth="1"/>
    <col min="4356" max="4356" width="12.109375" style="838" customWidth="1"/>
    <col min="4357" max="4604" width="8.88671875" style="838"/>
    <col min="4605" max="4605" width="27.6640625" style="838" customWidth="1"/>
    <col min="4606" max="4606" width="32.88671875" style="838" bestFit="1" customWidth="1"/>
    <col min="4607" max="4607" width="11.5546875" style="838" bestFit="1" customWidth="1"/>
    <col min="4608" max="4608" width="9.6640625" style="838" customWidth="1"/>
    <col min="4609" max="4609" width="12" style="838" customWidth="1"/>
    <col min="4610" max="4610" width="30.109375" style="838" customWidth="1"/>
    <col min="4611" max="4611" width="12" style="838" customWidth="1"/>
    <col min="4612" max="4612" width="12.109375" style="838" customWidth="1"/>
    <col min="4613" max="4860" width="8.88671875" style="838"/>
    <col min="4861" max="4861" width="27.6640625" style="838" customWidth="1"/>
    <col min="4862" max="4862" width="32.88671875" style="838" bestFit="1" customWidth="1"/>
    <col min="4863" max="4863" width="11.5546875" style="838" bestFit="1" customWidth="1"/>
    <col min="4864" max="4864" width="9.6640625" style="838" customWidth="1"/>
    <col min="4865" max="4865" width="12" style="838" customWidth="1"/>
    <col min="4866" max="4866" width="30.109375" style="838" customWidth="1"/>
    <col min="4867" max="4867" width="12" style="838" customWidth="1"/>
    <col min="4868" max="4868" width="12.109375" style="838" customWidth="1"/>
    <col min="4869" max="5116" width="8.88671875" style="838"/>
    <col min="5117" max="5117" width="27.6640625" style="838" customWidth="1"/>
    <col min="5118" max="5118" width="32.88671875" style="838" bestFit="1" customWidth="1"/>
    <col min="5119" max="5119" width="11.5546875" style="838" bestFit="1" customWidth="1"/>
    <col min="5120" max="5120" width="9.6640625" style="838" customWidth="1"/>
    <col min="5121" max="5121" width="12" style="838" customWidth="1"/>
    <col min="5122" max="5122" width="30.109375" style="838" customWidth="1"/>
    <col min="5123" max="5123" width="12" style="838" customWidth="1"/>
    <col min="5124" max="5124" width="12.109375" style="838" customWidth="1"/>
    <col min="5125" max="5372" width="8.88671875" style="838"/>
    <col min="5373" max="5373" width="27.6640625" style="838" customWidth="1"/>
    <col min="5374" max="5374" width="32.88671875" style="838" bestFit="1" customWidth="1"/>
    <col min="5375" max="5375" width="11.5546875" style="838" bestFit="1" customWidth="1"/>
    <col min="5376" max="5376" width="9.6640625" style="838" customWidth="1"/>
    <col min="5377" max="5377" width="12" style="838" customWidth="1"/>
    <col min="5378" max="5378" width="30.109375" style="838" customWidth="1"/>
    <col min="5379" max="5379" width="12" style="838" customWidth="1"/>
    <col min="5380" max="5380" width="12.109375" style="838" customWidth="1"/>
    <col min="5381" max="5628" width="8.88671875" style="838"/>
    <col min="5629" max="5629" width="27.6640625" style="838" customWidth="1"/>
    <col min="5630" max="5630" width="32.88671875" style="838" bestFit="1" customWidth="1"/>
    <col min="5631" max="5631" width="11.5546875" style="838" bestFit="1" customWidth="1"/>
    <col min="5632" max="5632" width="9.6640625" style="838" customWidth="1"/>
    <col min="5633" max="5633" width="12" style="838" customWidth="1"/>
    <col min="5634" max="5634" width="30.109375" style="838" customWidth="1"/>
    <col min="5635" max="5635" width="12" style="838" customWidth="1"/>
    <col min="5636" max="5636" width="12.109375" style="838" customWidth="1"/>
    <col min="5637" max="5884" width="8.88671875" style="838"/>
    <col min="5885" max="5885" width="27.6640625" style="838" customWidth="1"/>
    <col min="5886" max="5886" width="32.88671875" style="838" bestFit="1" customWidth="1"/>
    <col min="5887" max="5887" width="11.5546875" style="838" bestFit="1" customWidth="1"/>
    <col min="5888" max="5888" width="9.6640625" style="838" customWidth="1"/>
    <col min="5889" max="5889" width="12" style="838" customWidth="1"/>
    <col min="5890" max="5890" width="30.109375" style="838" customWidth="1"/>
    <col min="5891" max="5891" width="12" style="838" customWidth="1"/>
    <col min="5892" max="5892" width="12.109375" style="838" customWidth="1"/>
    <col min="5893" max="6140" width="8.88671875" style="838"/>
    <col min="6141" max="6141" width="27.6640625" style="838" customWidth="1"/>
    <col min="6142" max="6142" width="32.88671875" style="838" bestFit="1" customWidth="1"/>
    <col min="6143" max="6143" width="11.5546875" style="838" bestFit="1" customWidth="1"/>
    <col min="6144" max="6144" width="9.6640625" style="838" customWidth="1"/>
    <col min="6145" max="6145" width="12" style="838" customWidth="1"/>
    <col min="6146" max="6146" width="30.109375" style="838" customWidth="1"/>
    <col min="6147" max="6147" width="12" style="838" customWidth="1"/>
    <col min="6148" max="6148" width="12.109375" style="838" customWidth="1"/>
    <col min="6149" max="6396" width="8.88671875" style="838"/>
    <col min="6397" max="6397" width="27.6640625" style="838" customWidth="1"/>
    <col min="6398" max="6398" width="32.88671875" style="838" bestFit="1" customWidth="1"/>
    <col min="6399" max="6399" width="11.5546875" style="838" bestFit="1" customWidth="1"/>
    <col min="6400" max="6400" width="9.6640625" style="838" customWidth="1"/>
    <col min="6401" max="6401" width="12" style="838" customWidth="1"/>
    <col min="6402" max="6402" width="30.109375" style="838" customWidth="1"/>
    <col min="6403" max="6403" width="12" style="838" customWidth="1"/>
    <col min="6404" max="6404" width="12.109375" style="838" customWidth="1"/>
    <col min="6405" max="6652" width="8.88671875" style="838"/>
    <col min="6653" max="6653" width="27.6640625" style="838" customWidth="1"/>
    <col min="6654" max="6654" width="32.88671875" style="838" bestFit="1" customWidth="1"/>
    <col min="6655" max="6655" width="11.5546875" style="838" bestFit="1" customWidth="1"/>
    <col min="6656" max="6656" width="9.6640625" style="838" customWidth="1"/>
    <col min="6657" max="6657" width="12" style="838" customWidth="1"/>
    <col min="6658" max="6658" width="30.109375" style="838" customWidth="1"/>
    <col min="6659" max="6659" width="12" style="838" customWidth="1"/>
    <col min="6660" max="6660" width="12.109375" style="838" customWidth="1"/>
    <col min="6661" max="6908" width="8.88671875" style="838"/>
    <col min="6909" max="6909" width="27.6640625" style="838" customWidth="1"/>
    <col min="6910" max="6910" width="32.88671875" style="838" bestFit="1" customWidth="1"/>
    <col min="6911" max="6911" width="11.5546875" style="838" bestFit="1" customWidth="1"/>
    <col min="6912" max="6912" width="9.6640625" style="838" customWidth="1"/>
    <col min="6913" max="6913" width="12" style="838" customWidth="1"/>
    <col min="6914" max="6914" width="30.109375" style="838" customWidth="1"/>
    <col min="6915" max="6915" width="12" style="838" customWidth="1"/>
    <col min="6916" max="6916" width="12.109375" style="838" customWidth="1"/>
    <col min="6917" max="7164" width="8.88671875" style="838"/>
    <col min="7165" max="7165" width="27.6640625" style="838" customWidth="1"/>
    <col min="7166" max="7166" width="32.88671875" style="838" bestFit="1" customWidth="1"/>
    <col min="7167" max="7167" width="11.5546875" style="838" bestFit="1" customWidth="1"/>
    <col min="7168" max="7168" width="9.6640625" style="838" customWidth="1"/>
    <col min="7169" max="7169" width="12" style="838" customWidth="1"/>
    <col min="7170" max="7170" width="30.109375" style="838" customWidth="1"/>
    <col min="7171" max="7171" width="12" style="838" customWidth="1"/>
    <col min="7172" max="7172" width="12.109375" style="838" customWidth="1"/>
    <col min="7173" max="7420" width="8.88671875" style="838"/>
    <col min="7421" max="7421" width="27.6640625" style="838" customWidth="1"/>
    <col min="7422" max="7422" width="32.88671875" style="838" bestFit="1" customWidth="1"/>
    <col min="7423" max="7423" width="11.5546875" style="838" bestFit="1" customWidth="1"/>
    <col min="7424" max="7424" width="9.6640625" style="838" customWidth="1"/>
    <col min="7425" max="7425" width="12" style="838" customWidth="1"/>
    <col min="7426" max="7426" width="30.109375" style="838" customWidth="1"/>
    <col min="7427" max="7427" width="12" style="838" customWidth="1"/>
    <col min="7428" max="7428" width="12.109375" style="838" customWidth="1"/>
    <col min="7429" max="7676" width="8.88671875" style="838"/>
    <col min="7677" max="7677" width="27.6640625" style="838" customWidth="1"/>
    <col min="7678" max="7678" width="32.88671875" style="838" bestFit="1" customWidth="1"/>
    <col min="7679" max="7679" width="11.5546875" style="838" bestFit="1" customWidth="1"/>
    <col min="7680" max="7680" width="9.6640625" style="838" customWidth="1"/>
    <col min="7681" max="7681" width="12" style="838" customWidth="1"/>
    <col min="7682" max="7682" width="30.109375" style="838" customWidth="1"/>
    <col min="7683" max="7683" width="12" style="838" customWidth="1"/>
    <col min="7684" max="7684" width="12.109375" style="838" customWidth="1"/>
    <col min="7685" max="7932" width="8.88671875" style="838"/>
    <col min="7933" max="7933" width="27.6640625" style="838" customWidth="1"/>
    <col min="7934" max="7934" width="32.88671875" style="838" bestFit="1" customWidth="1"/>
    <col min="7935" max="7935" width="11.5546875" style="838" bestFit="1" customWidth="1"/>
    <col min="7936" max="7936" width="9.6640625" style="838" customWidth="1"/>
    <col min="7937" max="7937" width="12" style="838" customWidth="1"/>
    <col min="7938" max="7938" width="30.109375" style="838" customWidth="1"/>
    <col min="7939" max="7939" width="12" style="838" customWidth="1"/>
    <col min="7940" max="7940" width="12.109375" style="838" customWidth="1"/>
    <col min="7941" max="8188" width="8.88671875" style="838"/>
    <col min="8189" max="8189" width="27.6640625" style="838" customWidth="1"/>
    <col min="8190" max="8190" width="32.88671875" style="838" bestFit="1" customWidth="1"/>
    <col min="8191" max="8191" width="11.5546875" style="838" bestFit="1" customWidth="1"/>
    <col min="8192" max="8192" width="9.6640625" style="838" customWidth="1"/>
    <col min="8193" max="8193" width="12" style="838" customWidth="1"/>
    <col min="8194" max="8194" width="30.109375" style="838" customWidth="1"/>
    <col min="8195" max="8195" width="12" style="838" customWidth="1"/>
    <col min="8196" max="8196" width="12.109375" style="838" customWidth="1"/>
    <col min="8197" max="8444" width="8.88671875" style="838"/>
    <col min="8445" max="8445" width="27.6640625" style="838" customWidth="1"/>
    <col min="8446" max="8446" width="32.88671875" style="838" bestFit="1" customWidth="1"/>
    <col min="8447" max="8447" width="11.5546875" style="838" bestFit="1" customWidth="1"/>
    <col min="8448" max="8448" width="9.6640625" style="838" customWidth="1"/>
    <col min="8449" max="8449" width="12" style="838" customWidth="1"/>
    <col min="8450" max="8450" width="30.109375" style="838" customWidth="1"/>
    <col min="8451" max="8451" width="12" style="838" customWidth="1"/>
    <col min="8452" max="8452" width="12.109375" style="838" customWidth="1"/>
    <col min="8453" max="8700" width="8.88671875" style="838"/>
    <col min="8701" max="8701" width="27.6640625" style="838" customWidth="1"/>
    <col min="8702" max="8702" width="32.88671875" style="838" bestFit="1" customWidth="1"/>
    <col min="8703" max="8703" width="11.5546875" style="838" bestFit="1" customWidth="1"/>
    <col min="8704" max="8704" width="9.6640625" style="838" customWidth="1"/>
    <col min="8705" max="8705" width="12" style="838" customWidth="1"/>
    <col min="8706" max="8706" width="30.109375" style="838" customWidth="1"/>
    <col min="8707" max="8707" width="12" style="838" customWidth="1"/>
    <col min="8708" max="8708" width="12.109375" style="838" customWidth="1"/>
    <col min="8709" max="8956" width="8.88671875" style="838"/>
    <col min="8957" max="8957" width="27.6640625" style="838" customWidth="1"/>
    <col min="8958" max="8958" width="32.88671875" style="838" bestFit="1" customWidth="1"/>
    <col min="8959" max="8959" width="11.5546875" style="838" bestFit="1" customWidth="1"/>
    <col min="8960" max="8960" width="9.6640625" style="838" customWidth="1"/>
    <col min="8961" max="8961" width="12" style="838" customWidth="1"/>
    <col min="8962" max="8962" width="30.109375" style="838" customWidth="1"/>
    <col min="8963" max="8963" width="12" style="838" customWidth="1"/>
    <col min="8964" max="8964" width="12.109375" style="838" customWidth="1"/>
    <col min="8965" max="9212" width="8.88671875" style="838"/>
    <col min="9213" max="9213" width="27.6640625" style="838" customWidth="1"/>
    <col min="9214" max="9214" width="32.88671875" style="838" bestFit="1" customWidth="1"/>
    <col min="9215" max="9215" width="11.5546875" style="838" bestFit="1" customWidth="1"/>
    <col min="9216" max="9216" width="9.6640625" style="838" customWidth="1"/>
    <col min="9217" max="9217" width="12" style="838" customWidth="1"/>
    <col min="9218" max="9218" width="30.109375" style="838" customWidth="1"/>
    <col min="9219" max="9219" width="12" style="838" customWidth="1"/>
    <col min="9220" max="9220" width="12.109375" style="838" customWidth="1"/>
    <col min="9221" max="9468" width="8.88671875" style="838"/>
    <col min="9469" max="9469" width="27.6640625" style="838" customWidth="1"/>
    <col min="9470" max="9470" width="32.88671875" style="838" bestFit="1" customWidth="1"/>
    <col min="9471" max="9471" width="11.5546875" style="838" bestFit="1" customWidth="1"/>
    <col min="9472" max="9472" width="9.6640625" style="838" customWidth="1"/>
    <col min="9473" max="9473" width="12" style="838" customWidth="1"/>
    <col min="9474" max="9474" width="30.109375" style="838" customWidth="1"/>
    <col min="9475" max="9475" width="12" style="838" customWidth="1"/>
    <col min="9476" max="9476" width="12.109375" style="838" customWidth="1"/>
    <col min="9477" max="9724" width="8.88671875" style="838"/>
    <col min="9725" max="9725" width="27.6640625" style="838" customWidth="1"/>
    <col min="9726" max="9726" width="32.88671875" style="838" bestFit="1" customWidth="1"/>
    <col min="9727" max="9727" width="11.5546875" style="838" bestFit="1" customWidth="1"/>
    <col min="9728" max="9728" width="9.6640625" style="838" customWidth="1"/>
    <col min="9729" max="9729" width="12" style="838" customWidth="1"/>
    <col min="9730" max="9730" width="30.109375" style="838" customWidth="1"/>
    <col min="9731" max="9731" width="12" style="838" customWidth="1"/>
    <col min="9732" max="9732" width="12.109375" style="838" customWidth="1"/>
    <col min="9733" max="9980" width="8.88671875" style="838"/>
    <col min="9981" max="9981" width="27.6640625" style="838" customWidth="1"/>
    <col min="9982" max="9982" width="32.88671875" style="838" bestFit="1" customWidth="1"/>
    <col min="9983" max="9983" width="11.5546875" style="838" bestFit="1" customWidth="1"/>
    <col min="9984" max="9984" width="9.6640625" style="838" customWidth="1"/>
    <col min="9985" max="9985" width="12" style="838" customWidth="1"/>
    <col min="9986" max="9986" width="30.109375" style="838" customWidth="1"/>
    <col min="9987" max="9987" width="12" style="838" customWidth="1"/>
    <col min="9988" max="9988" width="12.109375" style="838" customWidth="1"/>
    <col min="9989" max="10236" width="8.88671875" style="838"/>
    <col min="10237" max="10237" width="27.6640625" style="838" customWidth="1"/>
    <col min="10238" max="10238" width="32.88671875" style="838" bestFit="1" customWidth="1"/>
    <col min="10239" max="10239" width="11.5546875" style="838" bestFit="1" customWidth="1"/>
    <col min="10240" max="10240" width="9.6640625" style="838" customWidth="1"/>
    <col min="10241" max="10241" width="12" style="838" customWidth="1"/>
    <col min="10242" max="10242" width="30.109375" style="838" customWidth="1"/>
    <col min="10243" max="10243" width="12" style="838" customWidth="1"/>
    <col min="10244" max="10244" width="12.109375" style="838" customWidth="1"/>
    <col min="10245" max="10492" width="8.88671875" style="838"/>
    <col min="10493" max="10493" width="27.6640625" style="838" customWidth="1"/>
    <col min="10494" max="10494" width="32.88671875" style="838" bestFit="1" customWidth="1"/>
    <col min="10495" max="10495" width="11.5546875" style="838" bestFit="1" customWidth="1"/>
    <col min="10496" max="10496" width="9.6640625" style="838" customWidth="1"/>
    <col min="10497" max="10497" width="12" style="838" customWidth="1"/>
    <col min="10498" max="10498" width="30.109375" style="838" customWidth="1"/>
    <col min="10499" max="10499" width="12" style="838" customWidth="1"/>
    <col min="10500" max="10500" width="12.109375" style="838" customWidth="1"/>
    <col min="10501" max="10748" width="8.88671875" style="838"/>
    <col min="10749" max="10749" width="27.6640625" style="838" customWidth="1"/>
    <col min="10750" max="10750" width="32.88671875" style="838" bestFit="1" customWidth="1"/>
    <col min="10751" max="10751" width="11.5546875" style="838" bestFit="1" customWidth="1"/>
    <col min="10752" max="10752" width="9.6640625" style="838" customWidth="1"/>
    <col min="10753" max="10753" width="12" style="838" customWidth="1"/>
    <col min="10754" max="10754" width="30.109375" style="838" customWidth="1"/>
    <col min="10755" max="10755" width="12" style="838" customWidth="1"/>
    <col min="10756" max="10756" width="12.109375" style="838" customWidth="1"/>
    <col min="10757" max="11004" width="8.88671875" style="838"/>
    <col min="11005" max="11005" width="27.6640625" style="838" customWidth="1"/>
    <col min="11006" max="11006" width="32.88671875" style="838" bestFit="1" customWidth="1"/>
    <col min="11007" max="11007" width="11.5546875" style="838" bestFit="1" customWidth="1"/>
    <col min="11008" max="11008" width="9.6640625" style="838" customWidth="1"/>
    <col min="11009" max="11009" width="12" style="838" customWidth="1"/>
    <col min="11010" max="11010" width="30.109375" style="838" customWidth="1"/>
    <col min="11011" max="11011" width="12" style="838" customWidth="1"/>
    <col min="11012" max="11012" width="12.109375" style="838" customWidth="1"/>
    <col min="11013" max="11260" width="8.88671875" style="838"/>
    <col min="11261" max="11261" width="27.6640625" style="838" customWidth="1"/>
    <col min="11262" max="11262" width="32.88671875" style="838" bestFit="1" customWidth="1"/>
    <col min="11263" max="11263" width="11.5546875" style="838" bestFit="1" customWidth="1"/>
    <col min="11264" max="11264" width="9.6640625" style="838" customWidth="1"/>
    <col min="11265" max="11265" width="12" style="838" customWidth="1"/>
    <col min="11266" max="11266" width="30.109375" style="838" customWidth="1"/>
    <col min="11267" max="11267" width="12" style="838" customWidth="1"/>
    <col min="11268" max="11268" width="12.109375" style="838" customWidth="1"/>
    <col min="11269" max="11516" width="8.88671875" style="838"/>
    <col min="11517" max="11517" width="27.6640625" style="838" customWidth="1"/>
    <col min="11518" max="11518" width="32.88671875" style="838" bestFit="1" customWidth="1"/>
    <col min="11519" max="11519" width="11.5546875" style="838" bestFit="1" customWidth="1"/>
    <col min="11520" max="11520" width="9.6640625" style="838" customWidth="1"/>
    <col min="11521" max="11521" width="12" style="838" customWidth="1"/>
    <col min="11522" max="11522" width="30.109375" style="838" customWidth="1"/>
    <col min="11523" max="11523" width="12" style="838" customWidth="1"/>
    <col min="11524" max="11524" width="12.109375" style="838" customWidth="1"/>
    <col min="11525" max="11772" width="8.88671875" style="838"/>
    <col min="11773" max="11773" width="27.6640625" style="838" customWidth="1"/>
    <col min="11774" max="11774" width="32.88671875" style="838" bestFit="1" customWidth="1"/>
    <col min="11775" max="11775" width="11.5546875" style="838" bestFit="1" customWidth="1"/>
    <col min="11776" max="11776" width="9.6640625" style="838" customWidth="1"/>
    <col min="11777" max="11777" width="12" style="838" customWidth="1"/>
    <col min="11778" max="11778" width="30.109375" style="838" customWidth="1"/>
    <col min="11779" max="11779" width="12" style="838" customWidth="1"/>
    <col min="11780" max="11780" width="12.109375" style="838" customWidth="1"/>
    <col min="11781" max="12028" width="8.88671875" style="838"/>
    <col min="12029" max="12029" width="27.6640625" style="838" customWidth="1"/>
    <col min="12030" max="12030" width="32.88671875" style="838" bestFit="1" customWidth="1"/>
    <col min="12031" max="12031" width="11.5546875" style="838" bestFit="1" customWidth="1"/>
    <col min="12032" max="12032" width="9.6640625" style="838" customWidth="1"/>
    <col min="12033" max="12033" width="12" style="838" customWidth="1"/>
    <col min="12034" max="12034" width="30.109375" style="838" customWidth="1"/>
    <col min="12035" max="12035" width="12" style="838" customWidth="1"/>
    <col min="12036" max="12036" width="12.109375" style="838" customWidth="1"/>
    <col min="12037" max="12284" width="8.88671875" style="838"/>
    <col min="12285" max="12285" width="27.6640625" style="838" customWidth="1"/>
    <col min="12286" max="12286" width="32.88671875" style="838" bestFit="1" customWidth="1"/>
    <col min="12287" max="12287" width="11.5546875" style="838" bestFit="1" customWidth="1"/>
    <col min="12288" max="12288" width="9.6640625" style="838" customWidth="1"/>
    <col min="12289" max="12289" width="12" style="838" customWidth="1"/>
    <col min="12290" max="12290" width="30.109375" style="838" customWidth="1"/>
    <col min="12291" max="12291" width="12" style="838" customWidth="1"/>
    <col min="12292" max="12292" width="12.109375" style="838" customWidth="1"/>
    <col min="12293" max="12540" width="8.88671875" style="838"/>
    <col min="12541" max="12541" width="27.6640625" style="838" customWidth="1"/>
    <col min="12542" max="12542" width="32.88671875" style="838" bestFit="1" customWidth="1"/>
    <col min="12543" max="12543" width="11.5546875" style="838" bestFit="1" customWidth="1"/>
    <col min="12544" max="12544" width="9.6640625" style="838" customWidth="1"/>
    <col min="12545" max="12545" width="12" style="838" customWidth="1"/>
    <col min="12546" max="12546" width="30.109375" style="838" customWidth="1"/>
    <col min="12547" max="12547" width="12" style="838" customWidth="1"/>
    <col min="12548" max="12548" width="12.109375" style="838" customWidth="1"/>
    <col min="12549" max="12796" width="8.88671875" style="838"/>
    <col min="12797" max="12797" width="27.6640625" style="838" customWidth="1"/>
    <col min="12798" max="12798" width="32.88671875" style="838" bestFit="1" customWidth="1"/>
    <col min="12799" max="12799" width="11.5546875" style="838" bestFit="1" customWidth="1"/>
    <col min="12800" max="12800" width="9.6640625" style="838" customWidth="1"/>
    <col min="12801" max="12801" width="12" style="838" customWidth="1"/>
    <col min="12802" max="12802" width="30.109375" style="838" customWidth="1"/>
    <col min="12803" max="12803" width="12" style="838" customWidth="1"/>
    <col min="12804" max="12804" width="12.109375" style="838" customWidth="1"/>
    <col min="12805" max="13052" width="8.88671875" style="838"/>
    <col min="13053" max="13053" width="27.6640625" style="838" customWidth="1"/>
    <col min="13054" max="13054" width="32.88671875" style="838" bestFit="1" customWidth="1"/>
    <col min="13055" max="13055" width="11.5546875" style="838" bestFit="1" customWidth="1"/>
    <col min="13056" max="13056" width="9.6640625" style="838" customWidth="1"/>
    <col min="13057" max="13057" width="12" style="838" customWidth="1"/>
    <col min="13058" max="13058" width="30.109375" style="838" customWidth="1"/>
    <col min="13059" max="13059" width="12" style="838" customWidth="1"/>
    <col min="13060" max="13060" width="12.109375" style="838" customWidth="1"/>
    <col min="13061" max="13308" width="8.88671875" style="838"/>
    <col min="13309" max="13309" width="27.6640625" style="838" customWidth="1"/>
    <col min="13310" max="13310" width="32.88671875" style="838" bestFit="1" customWidth="1"/>
    <col min="13311" max="13311" width="11.5546875" style="838" bestFit="1" customWidth="1"/>
    <col min="13312" max="13312" width="9.6640625" style="838" customWidth="1"/>
    <col min="13313" max="13313" width="12" style="838" customWidth="1"/>
    <col min="13314" max="13314" width="30.109375" style="838" customWidth="1"/>
    <col min="13315" max="13315" width="12" style="838" customWidth="1"/>
    <col min="13316" max="13316" width="12.109375" style="838" customWidth="1"/>
    <col min="13317" max="13564" width="8.88671875" style="838"/>
    <col min="13565" max="13565" width="27.6640625" style="838" customWidth="1"/>
    <col min="13566" max="13566" width="32.88671875" style="838" bestFit="1" customWidth="1"/>
    <col min="13567" max="13567" width="11.5546875" style="838" bestFit="1" customWidth="1"/>
    <col min="13568" max="13568" width="9.6640625" style="838" customWidth="1"/>
    <col min="13569" max="13569" width="12" style="838" customWidth="1"/>
    <col min="13570" max="13570" width="30.109375" style="838" customWidth="1"/>
    <col min="13571" max="13571" width="12" style="838" customWidth="1"/>
    <col min="13572" max="13572" width="12.109375" style="838" customWidth="1"/>
    <col min="13573" max="13820" width="8.88671875" style="838"/>
    <col min="13821" max="13821" width="27.6640625" style="838" customWidth="1"/>
    <col min="13822" max="13822" width="32.88671875" style="838" bestFit="1" customWidth="1"/>
    <col min="13823" max="13823" width="11.5546875" style="838" bestFit="1" customWidth="1"/>
    <col min="13824" max="13824" width="9.6640625" style="838" customWidth="1"/>
    <col min="13825" max="13825" width="12" style="838" customWidth="1"/>
    <col min="13826" max="13826" width="30.109375" style="838" customWidth="1"/>
    <col min="13827" max="13827" width="12" style="838" customWidth="1"/>
    <col min="13828" max="13828" width="12.109375" style="838" customWidth="1"/>
    <col min="13829" max="14076" width="8.88671875" style="838"/>
    <col min="14077" max="14077" width="27.6640625" style="838" customWidth="1"/>
    <col min="14078" max="14078" width="32.88671875" style="838" bestFit="1" customWidth="1"/>
    <col min="14079" max="14079" width="11.5546875" style="838" bestFit="1" customWidth="1"/>
    <col min="14080" max="14080" width="9.6640625" style="838" customWidth="1"/>
    <col min="14081" max="14081" width="12" style="838" customWidth="1"/>
    <col min="14082" max="14082" width="30.109375" style="838" customWidth="1"/>
    <col min="14083" max="14083" width="12" style="838" customWidth="1"/>
    <col min="14084" max="14084" width="12.109375" style="838" customWidth="1"/>
    <col min="14085" max="14332" width="8.88671875" style="838"/>
    <col min="14333" max="14333" width="27.6640625" style="838" customWidth="1"/>
    <col min="14334" max="14334" width="32.88671875" style="838" bestFit="1" customWidth="1"/>
    <col min="14335" max="14335" width="11.5546875" style="838" bestFit="1" customWidth="1"/>
    <col min="14336" max="14336" width="9.6640625" style="838" customWidth="1"/>
    <col min="14337" max="14337" width="12" style="838" customWidth="1"/>
    <col min="14338" max="14338" width="30.109375" style="838" customWidth="1"/>
    <col min="14339" max="14339" width="12" style="838" customWidth="1"/>
    <col min="14340" max="14340" width="12.109375" style="838" customWidth="1"/>
    <col min="14341" max="14588" width="8.88671875" style="838"/>
    <col min="14589" max="14589" width="27.6640625" style="838" customWidth="1"/>
    <col min="14590" max="14590" width="32.88671875" style="838" bestFit="1" customWidth="1"/>
    <col min="14591" max="14591" width="11.5546875" style="838" bestFit="1" customWidth="1"/>
    <col min="14592" max="14592" width="9.6640625" style="838" customWidth="1"/>
    <col min="14593" max="14593" width="12" style="838" customWidth="1"/>
    <col min="14594" max="14594" width="30.109375" style="838" customWidth="1"/>
    <col min="14595" max="14595" width="12" style="838" customWidth="1"/>
    <col min="14596" max="14596" width="12.109375" style="838" customWidth="1"/>
    <col min="14597" max="14844" width="8.88671875" style="838"/>
    <col min="14845" max="14845" width="27.6640625" style="838" customWidth="1"/>
    <col min="14846" max="14846" width="32.88671875" style="838" bestFit="1" customWidth="1"/>
    <col min="14847" max="14847" width="11.5546875" style="838" bestFit="1" customWidth="1"/>
    <col min="14848" max="14848" width="9.6640625" style="838" customWidth="1"/>
    <col min="14849" max="14849" width="12" style="838" customWidth="1"/>
    <col min="14850" max="14850" width="30.109375" style="838" customWidth="1"/>
    <col min="14851" max="14851" width="12" style="838" customWidth="1"/>
    <col min="14852" max="14852" width="12.109375" style="838" customWidth="1"/>
    <col min="14853" max="15100" width="8.88671875" style="838"/>
    <col min="15101" max="15101" width="27.6640625" style="838" customWidth="1"/>
    <col min="15102" max="15102" width="32.88671875" style="838" bestFit="1" customWidth="1"/>
    <col min="15103" max="15103" width="11.5546875" style="838" bestFit="1" customWidth="1"/>
    <col min="15104" max="15104" width="9.6640625" style="838" customWidth="1"/>
    <col min="15105" max="15105" width="12" style="838" customWidth="1"/>
    <col min="15106" max="15106" width="30.109375" style="838" customWidth="1"/>
    <col min="15107" max="15107" width="12" style="838" customWidth="1"/>
    <col min="15108" max="15108" width="12.109375" style="838" customWidth="1"/>
    <col min="15109" max="15356" width="8.88671875" style="838"/>
    <col min="15357" max="15357" width="27.6640625" style="838" customWidth="1"/>
    <col min="15358" max="15358" width="32.88671875" style="838" bestFit="1" customWidth="1"/>
    <col min="15359" max="15359" width="11.5546875" style="838" bestFit="1" customWidth="1"/>
    <col min="15360" max="15360" width="9.6640625" style="838" customWidth="1"/>
    <col min="15361" max="15361" width="12" style="838" customWidth="1"/>
    <col min="15362" max="15362" width="30.109375" style="838" customWidth="1"/>
    <col min="15363" max="15363" width="12" style="838" customWidth="1"/>
    <col min="15364" max="15364" width="12.109375" style="838" customWidth="1"/>
    <col min="15365" max="15612" width="8.88671875" style="838"/>
    <col min="15613" max="15613" width="27.6640625" style="838" customWidth="1"/>
    <col min="15614" max="15614" width="32.88671875" style="838" bestFit="1" customWidth="1"/>
    <col min="15615" max="15615" width="11.5546875" style="838" bestFit="1" customWidth="1"/>
    <col min="15616" max="15616" width="9.6640625" style="838" customWidth="1"/>
    <col min="15617" max="15617" width="12" style="838" customWidth="1"/>
    <col min="15618" max="15618" width="30.109375" style="838" customWidth="1"/>
    <col min="15619" max="15619" width="12" style="838" customWidth="1"/>
    <col min="15620" max="15620" width="12.109375" style="838" customWidth="1"/>
    <col min="15621" max="15868" width="8.88671875" style="838"/>
    <col min="15869" max="15869" width="27.6640625" style="838" customWidth="1"/>
    <col min="15870" max="15870" width="32.88671875" style="838" bestFit="1" customWidth="1"/>
    <col min="15871" max="15871" width="11.5546875" style="838" bestFit="1" customWidth="1"/>
    <col min="15872" max="15872" width="9.6640625" style="838" customWidth="1"/>
    <col min="15873" max="15873" width="12" style="838" customWidth="1"/>
    <col min="15874" max="15874" width="30.109375" style="838" customWidth="1"/>
    <col min="15875" max="15875" width="12" style="838" customWidth="1"/>
    <col min="15876" max="15876" width="12.109375" style="838" customWidth="1"/>
    <col min="15877" max="16124" width="8.88671875" style="838"/>
    <col min="16125" max="16125" width="27.6640625" style="838" customWidth="1"/>
    <col min="16126" max="16126" width="32.88671875" style="838" bestFit="1" customWidth="1"/>
    <col min="16127" max="16127" width="11.5546875" style="838" bestFit="1" customWidth="1"/>
    <col min="16128" max="16128" width="9.6640625" style="838" customWidth="1"/>
    <col min="16129" max="16129" width="12" style="838" customWidth="1"/>
    <col min="16130" max="16130" width="30.109375" style="838" customWidth="1"/>
    <col min="16131" max="16131" width="12" style="838" customWidth="1"/>
    <col min="16132" max="16132" width="12.109375" style="838" customWidth="1"/>
    <col min="16133" max="16380" width="8.88671875" style="838"/>
    <col min="16381" max="16384" width="9.109375" style="838" customWidth="1"/>
  </cols>
  <sheetData>
    <row r="1" spans="1:15" s="824" customFormat="1" ht="20.399999999999999">
      <c r="A1" s="820"/>
      <c r="B1" s="821"/>
      <c r="C1" s="820"/>
      <c r="D1" s="822"/>
      <c r="E1" s="823"/>
      <c r="F1" s="825"/>
      <c r="G1" s="825"/>
      <c r="H1" s="825"/>
      <c r="I1" s="825"/>
      <c r="J1" s="825"/>
      <c r="K1" s="825"/>
      <c r="L1" s="825"/>
      <c r="M1" s="825"/>
      <c r="N1" s="826"/>
      <c r="O1" s="827"/>
    </row>
    <row r="2" spans="1:15" s="829" customFormat="1">
      <c r="A2" s="821"/>
      <c r="B2" s="835"/>
      <c r="C2" s="835"/>
      <c r="D2" s="835"/>
      <c r="E2" s="835"/>
      <c r="F2" s="830"/>
      <c r="G2" s="830"/>
      <c r="H2" s="830"/>
      <c r="I2" s="830"/>
      <c r="J2" s="830"/>
      <c r="K2" s="830"/>
      <c r="L2" s="830"/>
      <c r="M2" s="830"/>
      <c r="N2" s="831"/>
      <c r="O2" s="832"/>
    </row>
    <row r="3" spans="1:15" ht="14.4">
      <c r="A3" s="1012"/>
      <c r="B3" s="834"/>
      <c r="D3" s="836"/>
      <c r="E3" s="837"/>
      <c r="F3" s="840"/>
      <c r="G3" s="840"/>
      <c r="H3" s="840"/>
      <c r="I3" s="840"/>
      <c r="J3" s="840"/>
      <c r="K3" s="840"/>
      <c r="L3" s="840"/>
      <c r="M3" s="840"/>
      <c r="N3" s="841"/>
      <c r="O3" s="842"/>
    </row>
    <row r="4" spans="1:15" ht="15" thickBot="1">
      <c r="A4" s="1013"/>
      <c r="C4" s="1014"/>
      <c r="D4" s="1015"/>
      <c r="E4" s="1016"/>
      <c r="F4" s="848"/>
      <c r="G4" s="840"/>
      <c r="H4" s="840"/>
      <c r="I4" s="840"/>
      <c r="J4" s="840"/>
      <c r="K4" s="840"/>
      <c r="L4" s="840"/>
      <c r="M4" s="840"/>
      <c r="N4" s="841"/>
      <c r="O4" s="842"/>
    </row>
    <row r="5" spans="1:15" ht="15" thickBot="1">
      <c r="A5" s="1017"/>
      <c r="B5" s="1018"/>
      <c r="C5" s="1019"/>
      <c r="D5" s="1020"/>
      <c r="E5" s="1021"/>
      <c r="F5" s="855" t="s">
        <v>358</v>
      </c>
      <c r="G5" s="856"/>
      <c r="H5" s="856"/>
      <c r="I5" s="856"/>
      <c r="J5" s="857"/>
      <c r="K5" s="840"/>
      <c r="L5" s="840"/>
      <c r="M5" s="858" t="s">
        <v>165</v>
      </c>
      <c r="N5" s="859"/>
      <c r="O5" s="860"/>
    </row>
    <row r="6" spans="1:15" ht="42" thickBot="1">
      <c r="A6" s="667" t="s">
        <v>199</v>
      </c>
      <c r="B6" s="668"/>
      <c r="C6" s="668"/>
      <c r="D6" s="249" t="s">
        <v>200</v>
      </c>
      <c r="E6" s="1021"/>
      <c r="F6" s="865"/>
      <c r="G6" s="866" t="s">
        <v>202</v>
      </c>
      <c r="H6" s="867">
        <f>D12</f>
        <v>1775</v>
      </c>
      <c r="I6" s="866"/>
      <c r="J6" s="868"/>
      <c r="K6" s="840"/>
      <c r="L6" s="840"/>
      <c r="M6" s="1022" t="s">
        <v>166</v>
      </c>
      <c r="N6" s="1023"/>
      <c r="O6" s="1024" t="s">
        <v>167</v>
      </c>
    </row>
    <row r="7" spans="1:15" ht="18" customHeight="1" thickBot="1">
      <c r="A7" s="675" t="s">
        <v>201</v>
      </c>
      <c r="B7" s="676" t="s">
        <v>202</v>
      </c>
      <c r="C7" s="677" t="s">
        <v>203</v>
      </c>
      <c r="D7" s="678">
        <v>2080</v>
      </c>
      <c r="E7" s="1021"/>
      <c r="F7" s="877"/>
      <c r="G7" s="878"/>
      <c r="H7" s="879" t="s">
        <v>172</v>
      </c>
      <c r="I7" s="880" t="s">
        <v>216</v>
      </c>
      <c r="J7" s="881" t="s">
        <v>174</v>
      </c>
      <c r="K7" s="840"/>
      <c r="L7" s="840"/>
      <c r="M7" s="1025" t="s">
        <v>85</v>
      </c>
      <c r="N7" s="1026">
        <f>'Master Look Up'!N14</f>
        <v>69600</v>
      </c>
      <c r="O7" s="1027" t="s">
        <v>220</v>
      </c>
    </row>
    <row r="8" spans="1:15" ht="17.25" customHeight="1" thickBot="1">
      <c r="A8" s="682" t="s">
        <v>204</v>
      </c>
      <c r="B8" s="683">
        <v>120</v>
      </c>
      <c r="C8" s="876">
        <v>2</v>
      </c>
      <c r="D8" s="685">
        <f>C8*B8</f>
        <v>240</v>
      </c>
      <c r="E8" s="1021"/>
      <c r="F8" s="889" t="s">
        <v>85</v>
      </c>
      <c r="G8" s="890"/>
      <c r="H8" s="891">
        <f>N7</f>
        <v>69600</v>
      </c>
      <c r="I8" s="892">
        <v>0.06</v>
      </c>
      <c r="J8" s="893">
        <f>H8*I8</f>
        <v>4176</v>
      </c>
      <c r="K8" s="840"/>
      <c r="L8" s="840"/>
      <c r="M8" s="1028" t="s">
        <v>122</v>
      </c>
      <c r="N8" s="1029">
        <f>'Master Look Up'!N16</f>
        <v>34927.359999999993</v>
      </c>
      <c r="O8" s="1030" t="s">
        <v>170</v>
      </c>
    </row>
    <row r="9" spans="1:15" ht="15" thickBot="1">
      <c r="A9" s="692" t="s">
        <v>205</v>
      </c>
      <c r="B9" s="683">
        <v>10</v>
      </c>
      <c r="C9" s="888">
        <v>2.5</v>
      </c>
      <c r="D9" s="685">
        <f>C9*B9</f>
        <v>25</v>
      </c>
      <c r="E9" s="1021"/>
      <c r="F9" s="305" t="s">
        <v>122</v>
      </c>
      <c r="G9" s="899"/>
      <c r="H9" s="376">
        <f>N8</f>
        <v>34927.359999999993</v>
      </c>
      <c r="I9" s="900">
        <v>1</v>
      </c>
      <c r="J9" s="901">
        <f t="shared" ref="J9" si="0">H9*I9</f>
        <v>34927.359999999993</v>
      </c>
      <c r="K9" s="840"/>
      <c r="L9" s="840"/>
      <c r="M9" s="1031" t="s">
        <v>177</v>
      </c>
      <c r="N9" s="1032"/>
      <c r="O9" s="1033"/>
    </row>
    <row r="10" spans="1:15" ht="15" thickBot="1">
      <c r="A10" s="699" t="s">
        <v>206</v>
      </c>
      <c r="B10" s="683">
        <v>40</v>
      </c>
      <c r="C10" s="898">
        <v>1</v>
      </c>
      <c r="D10" s="685">
        <f>C10*B10</f>
        <v>40</v>
      </c>
      <c r="E10" s="1021"/>
      <c r="F10" s="909" t="s">
        <v>340</v>
      </c>
      <c r="G10" s="910"/>
      <c r="H10" s="295"/>
      <c r="I10" s="452">
        <f>SUM(I8:I9)</f>
        <v>1.06</v>
      </c>
      <c r="J10" s="911">
        <f>SUM(J8:J9)</f>
        <v>39103.359999999993</v>
      </c>
      <c r="K10" s="840"/>
      <c r="L10" s="840"/>
      <c r="M10" s="701"/>
      <c r="N10" s="175"/>
      <c r="O10" s="1034"/>
    </row>
    <row r="11" spans="1:15" thickTop="1" thickBot="1">
      <c r="A11" s="722" t="s">
        <v>207</v>
      </c>
      <c r="B11" s="723"/>
      <c r="C11" s="724"/>
      <c r="D11" s="678">
        <f>SUM(D8:D10)</f>
        <v>305</v>
      </c>
      <c r="E11" s="1021"/>
      <c r="F11" s="917" t="s">
        <v>183</v>
      </c>
      <c r="G11" s="918">
        <f>N14</f>
        <v>0.224</v>
      </c>
      <c r="H11" s="919"/>
      <c r="I11" s="920"/>
      <c r="J11" s="911">
        <f>G11*J10</f>
        <v>8759.1526399999984</v>
      </c>
      <c r="K11" s="840"/>
      <c r="L11" s="840"/>
      <c r="M11" s="707" t="s">
        <v>84</v>
      </c>
      <c r="N11" s="708">
        <f>'Master Look Up'!E6</f>
        <v>159.61973086509079</v>
      </c>
      <c r="O11" s="709" t="s">
        <v>180</v>
      </c>
    </row>
    <row r="12" spans="1:15" ht="16.5" customHeight="1" thickBot="1">
      <c r="A12" s="913" t="s">
        <v>208</v>
      </c>
      <c r="B12" s="914"/>
      <c r="C12" s="915"/>
      <c r="D12" s="916">
        <f>D7-D11</f>
        <v>1775</v>
      </c>
      <c r="E12" s="1021"/>
      <c r="F12" s="922" t="s">
        <v>225</v>
      </c>
      <c r="G12" s="923"/>
      <c r="H12" s="924"/>
      <c r="I12" s="925"/>
      <c r="J12" s="926">
        <f>J10+J11</f>
        <v>47862.512639999994</v>
      </c>
      <c r="K12" s="840"/>
      <c r="L12" s="840"/>
      <c r="M12" s="707" t="s">
        <v>88</v>
      </c>
      <c r="N12" s="708">
        <f>'Master Look Up'!E7</f>
        <v>1056.8783932396871</v>
      </c>
      <c r="O12" s="709" t="s">
        <v>180</v>
      </c>
    </row>
    <row r="13" spans="1:15" ht="18" customHeight="1" thickBot="1">
      <c r="A13" s="1012"/>
      <c r="D13" s="835"/>
      <c r="F13" s="932" t="str">
        <f>M11</f>
        <v>Staff Training 204</v>
      </c>
      <c r="G13" s="933"/>
      <c r="H13" s="351"/>
      <c r="I13" s="934"/>
      <c r="J13" s="935">
        <f>I9*N11</f>
        <v>159.61973086509079</v>
      </c>
      <c r="K13" s="840"/>
      <c r="L13" s="840"/>
      <c r="M13" s="707"/>
      <c r="N13" s="673"/>
      <c r="O13" s="709"/>
    </row>
    <row r="14" spans="1:15" ht="14.4">
      <c r="F14" s="932" t="str">
        <f>M12</f>
        <v>Staff Mileage / Travel 205</v>
      </c>
      <c r="G14" s="933"/>
      <c r="H14" s="351"/>
      <c r="I14" s="934"/>
      <c r="J14" s="935">
        <f>I9*N12</f>
        <v>1056.8783932396871</v>
      </c>
      <c r="K14" s="840"/>
      <c r="L14" s="840"/>
      <c r="M14" s="937" t="s">
        <v>183</v>
      </c>
      <c r="N14" s="938">
        <f>'Master Look Up'!D25</f>
        <v>0.224</v>
      </c>
      <c r="O14" s="1035" t="s">
        <v>143</v>
      </c>
    </row>
    <row r="15" spans="1:15" ht="15" thickBot="1">
      <c r="F15" s="349"/>
      <c r="G15" s="945"/>
      <c r="H15" s="342"/>
      <c r="I15" s="946"/>
      <c r="J15" s="935"/>
      <c r="K15" s="840"/>
      <c r="L15" s="840"/>
      <c r="M15" s="707" t="s">
        <v>61</v>
      </c>
      <c r="N15" s="190">
        <v>3.7000000000000002E-3</v>
      </c>
      <c r="O15" s="1036" t="s">
        <v>186</v>
      </c>
    </row>
    <row r="16" spans="1:15" ht="14.4">
      <c r="F16" s="952" t="s">
        <v>346</v>
      </c>
      <c r="G16" s="953"/>
      <c r="H16" s="954"/>
      <c r="I16" s="955"/>
      <c r="J16" s="956">
        <f>SUM(J12:J15)</f>
        <v>49079.010764104765</v>
      </c>
      <c r="K16" s="957"/>
      <c r="L16" s="957"/>
      <c r="M16" s="707" t="s">
        <v>347</v>
      </c>
      <c r="N16" s="958">
        <f>'Master Look Up'!D30</f>
        <v>0.12</v>
      </c>
      <c r="O16" s="1037" t="s">
        <v>151</v>
      </c>
    </row>
    <row r="17" spans="5:15" ht="15" thickBot="1">
      <c r="F17" s="294" t="str">
        <f>M15</f>
        <v>PFMLA</v>
      </c>
      <c r="G17" s="965">
        <f>N15</f>
        <v>3.7000000000000002E-3</v>
      </c>
      <c r="H17" s="350"/>
      <c r="I17" s="934"/>
      <c r="J17" s="935">
        <f>J10*G17</f>
        <v>144.68243199999998</v>
      </c>
      <c r="K17" s="840"/>
      <c r="L17" s="840"/>
      <c r="M17" s="966" t="s">
        <v>348</v>
      </c>
      <c r="N17" s="967">
        <f>'Master Look Up'!D33</f>
        <v>1.0633805350099574E-2</v>
      </c>
      <c r="O17" s="1038" t="s">
        <v>153</v>
      </c>
    </row>
    <row r="18" spans="5:15" ht="15" thickBot="1">
      <c r="E18" s="990"/>
      <c r="F18" s="877" t="s">
        <v>347</v>
      </c>
      <c r="G18" s="973">
        <f>N16</f>
        <v>0.12</v>
      </c>
      <c r="H18" s="974"/>
      <c r="I18" s="975"/>
      <c r="J18" s="976">
        <f>G18*J16</f>
        <v>5889.4812916925712</v>
      </c>
      <c r="K18" s="840"/>
      <c r="L18" s="840"/>
      <c r="M18" s="302"/>
      <c r="N18" s="1039"/>
      <c r="O18" s="1040"/>
    </row>
    <row r="19" spans="5:15" ht="15" thickBot="1">
      <c r="E19" s="990"/>
      <c r="F19" s="282" t="s">
        <v>188</v>
      </c>
      <c r="G19" s="985"/>
      <c r="H19" s="331"/>
      <c r="I19" s="986"/>
      <c r="J19" s="987">
        <f>J18+J17+J16</f>
        <v>55113.17448779734</v>
      </c>
      <c r="K19" s="840"/>
      <c r="L19" s="840"/>
      <c r="M19" s="840"/>
      <c r="N19" s="841"/>
      <c r="O19" s="842"/>
    </row>
    <row r="20" spans="5:15" ht="15" thickBot="1">
      <c r="E20" s="990"/>
      <c r="F20" s="992" t="s">
        <v>354</v>
      </c>
      <c r="G20" s="993" t="s">
        <v>189</v>
      </c>
      <c r="H20" s="994">
        <f>N17</f>
        <v>1.0633805350099574E-2</v>
      </c>
      <c r="I20" s="995"/>
      <c r="J20" s="996">
        <f>J19*(H20+1)</f>
        <v>55699.237257526649</v>
      </c>
      <c r="K20" s="997"/>
      <c r="L20" s="998"/>
      <c r="M20" s="840"/>
      <c r="N20" s="841"/>
      <c r="O20" s="842"/>
    </row>
    <row r="21" spans="5:15" ht="14.4">
      <c r="E21" s="990"/>
      <c r="F21" s="999" t="s">
        <v>355</v>
      </c>
      <c r="G21" s="1000"/>
      <c r="H21" s="1000"/>
      <c r="I21" s="1001"/>
      <c r="J21" s="1002">
        <f>(J20/H6)/4</f>
        <v>7.8449629940178376</v>
      </c>
      <c r="K21" s="1003"/>
      <c r="L21" s="430"/>
      <c r="M21" s="840"/>
      <c r="N21" s="841"/>
      <c r="O21" s="842"/>
    </row>
    <row r="22" spans="5:15" ht="14.4">
      <c r="F22" s="1004" t="s">
        <v>356</v>
      </c>
      <c r="G22" s="1005"/>
      <c r="H22" s="1005"/>
      <c r="I22" s="1005"/>
      <c r="J22" s="1006">
        <f>J21/2</f>
        <v>3.9224814970089188</v>
      </c>
      <c r="K22" s="1003"/>
      <c r="L22" s="430"/>
      <c r="M22" s="840"/>
      <c r="N22" s="841"/>
      <c r="O22" s="842"/>
    </row>
    <row r="23" spans="5:15" ht="15" thickBot="1">
      <c r="F23" s="1007" t="s">
        <v>357</v>
      </c>
      <c r="G23" s="1008"/>
      <c r="H23" s="1008"/>
      <c r="I23" s="1008"/>
      <c r="J23" s="1009">
        <f>J21/5+0.03</f>
        <v>1.5989925988035676</v>
      </c>
      <c r="K23" s="1003"/>
      <c r="L23" s="430"/>
      <c r="M23" s="840"/>
      <c r="N23" s="841"/>
      <c r="O23" s="842"/>
    </row>
    <row r="24" spans="5:15" ht="14.4">
      <c r="F24" s="848"/>
      <c r="G24" s="848"/>
      <c r="H24" s="848"/>
      <c r="I24" s="848"/>
      <c r="J24" s="848"/>
      <c r="K24" s="840"/>
      <c r="L24" s="998"/>
      <c r="M24" s="840"/>
      <c r="N24" s="841"/>
      <c r="O24" s="1010"/>
    </row>
    <row r="25" spans="5:15" ht="14.4">
      <c r="F25" s="840"/>
      <c r="G25" s="840"/>
      <c r="H25" s="840"/>
      <c r="I25" s="840"/>
      <c r="J25" s="840"/>
      <c r="K25" s="840"/>
      <c r="L25" s="840"/>
      <c r="M25" s="840"/>
      <c r="N25" s="841"/>
      <c r="O25" s="842"/>
    </row>
    <row r="26" spans="5:15">
      <c r="F26" s="840"/>
      <c r="G26" s="840"/>
      <c r="H26" s="840"/>
      <c r="I26" s="840"/>
      <c r="J26" s="840"/>
      <c r="M26" s="840"/>
      <c r="N26" s="841"/>
      <c r="O26" s="842"/>
    </row>
  </sheetData>
  <mergeCells count="4">
    <mergeCell ref="F5:J5"/>
    <mergeCell ref="M5:O5"/>
    <mergeCell ref="M6:N6"/>
    <mergeCell ref="M9:N9"/>
  </mergeCells>
  <pageMargins left="0.75" right="0.75" top="1" bottom="1" header="0.5" footer="0.5"/>
  <pageSetup scale="6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opLeftCell="O1" zoomScale="90" zoomScaleNormal="90" workbookViewId="0">
      <selection activeCell="W17" sqref="W17"/>
    </sheetView>
  </sheetViews>
  <sheetFormatPr defaultRowHeight="15.6"/>
  <cols>
    <col min="1" max="1" width="43.6640625" style="838" hidden="1" customWidth="1"/>
    <col min="2" max="2" width="32.5546875" style="970" hidden="1" customWidth="1"/>
    <col min="3" max="3" width="10.44140625" style="838" hidden="1" customWidth="1"/>
    <col min="4" max="4" width="6.6640625" style="962" hidden="1" customWidth="1"/>
    <col min="5" max="5" width="9.109375" style="963" hidden="1" customWidth="1"/>
    <col min="6" max="6" width="31.88671875" style="838" hidden="1" customWidth="1"/>
    <col min="7" max="8" width="12" style="838" hidden="1" customWidth="1"/>
    <col min="9" max="9" width="12" style="838" customWidth="1"/>
    <col min="10" max="10" width="27.88671875" style="838" customWidth="1"/>
    <col min="11" max="14" width="12" style="838" customWidth="1"/>
    <col min="15" max="15" width="8.88671875" style="839"/>
    <col min="16" max="16" width="25.109375" style="839" bestFit="1" customWidth="1"/>
    <col min="17" max="17" width="10.6640625" style="839" customWidth="1"/>
    <col min="18" max="18" width="9.88671875" style="839" bestFit="1" customWidth="1"/>
    <col min="19" max="19" width="8.33203125" style="839" customWidth="1"/>
    <col min="20" max="20" width="13.109375" style="839" customWidth="1"/>
    <col min="21" max="22" width="10.88671875" style="839" customWidth="1"/>
    <col min="23" max="23" width="24.5546875" style="839" bestFit="1" customWidth="1"/>
    <col min="24" max="24" width="11.44140625" style="826" customWidth="1"/>
    <col min="25" max="25" width="58.5546875" style="1011" customWidth="1"/>
    <col min="26" max="262" width="8.88671875" style="838"/>
    <col min="263" max="263" width="27.6640625" style="838" customWidth="1"/>
    <col min="264" max="264" width="32.88671875" style="838" bestFit="1" customWidth="1"/>
    <col min="265" max="265" width="11.5546875" style="838" bestFit="1" customWidth="1"/>
    <col min="266" max="266" width="9.6640625" style="838" customWidth="1"/>
    <col min="267" max="267" width="12" style="838" customWidth="1"/>
    <col min="268" max="268" width="30.109375" style="838" customWidth="1"/>
    <col min="269" max="269" width="12" style="838" customWidth="1"/>
    <col min="270" max="270" width="12.109375" style="838" customWidth="1"/>
    <col min="271" max="518" width="8.88671875" style="838"/>
    <col min="519" max="519" width="27.6640625" style="838" customWidth="1"/>
    <col min="520" max="520" width="32.88671875" style="838" bestFit="1" customWidth="1"/>
    <col min="521" max="521" width="11.5546875" style="838" bestFit="1" customWidth="1"/>
    <col min="522" max="522" width="9.6640625" style="838" customWidth="1"/>
    <col min="523" max="523" width="12" style="838" customWidth="1"/>
    <col min="524" max="524" width="30.109375" style="838" customWidth="1"/>
    <col min="525" max="525" width="12" style="838" customWidth="1"/>
    <col min="526" max="526" width="12.109375" style="838" customWidth="1"/>
    <col min="527" max="774" width="8.88671875" style="838"/>
    <col min="775" max="775" width="27.6640625" style="838" customWidth="1"/>
    <col min="776" max="776" width="32.88671875" style="838" bestFit="1" customWidth="1"/>
    <col min="777" max="777" width="11.5546875" style="838" bestFit="1" customWidth="1"/>
    <col min="778" max="778" width="9.6640625" style="838" customWidth="1"/>
    <col min="779" max="779" width="12" style="838" customWidth="1"/>
    <col min="780" max="780" width="30.109375" style="838" customWidth="1"/>
    <col min="781" max="781" width="12" style="838" customWidth="1"/>
    <col min="782" max="782" width="12.109375" style="838" customWidth="1"/>
    <col min="783" max="1030" width="8.88671875" style="838"/>
    <col min="1031" max="1031" width="27.6640625" style="838" customWidth="1"/>
    <col min="1032" max="1032" width="32.88671875" style="838" bestFit="1" customWidth="1"/>
    <col min="1033" max="1033" width="11.5546875" style="838" bestFit="1" customWidth="1"/>
    <col min="1034" max="1034" width="9.6640625" style="838" customWidth="1"/>
    <col min="1035" max="1035" width="12" style="838" customWidth="1"/>
    <col min="1036" max="1036" width="30.109375" style="838" customWidth="1"/>
    <col min="1037" max="1037" width="12" style="838" customWidth="1"/>
    <col min="1038" max="1038" width="12.109375" style="838" customWidth="1"/>
    <col min="1039" max="1286" width="8.88671875" style="838"/>
    <col min="1287" max="1287" width="27.6640625" style="838" customWidth="1"/>
    <col min="1288" max="1288" width="32.88671875" style="838" bestFit="1" customWidth="1"/>
    <col min="1289" max="1289" width="11.5546875" style="838" bestFit="1" customWidth="1"/>
    <col min="1290" max="1290" width="9.6640625" style="838" customWidth="1"/>
    <col min="1291" max="1291" width="12" style="838" customWidth="1"/>
    <col min="1292" max="1292" width="30.109375" style="838" customWidth="1"/>
    <col min="1293" max="1293" width="12" style="838" customWidth="1"/>
    <col min="1294" max="1294" width="12.109375" style="838" customWidth="1"/>
    <col min="1295" max="1542" width="8.88671875" style="838"/>
    <col min="1543" max="1543" width="27.6640625" style="838" customWidth="1"/>
    <col min="1544" max="1544" width="32.88671875" style="838" bestFit="1" customWidth="1"/>
    <col min="1545" max="1545" width="11.5546875" style="838" bestFit="1" customWidth="1"/>
    <col min="1546" max="1546" width="9.6640625" style="838" customWidth="1"/>
    <col min="1547" max="1547" width="12" style="838" customWidth="1"/>
    <col min="1548" max="1548" width="30.109375" style="838" customWidth="1"/>
    <col min="1549" max="1549" width="12" style="838" customWidth="1"/>
    <col min="1550" max="1550" width="12.109375" style="838" customWidth="1"/>
    <col min="1551" max="1798" width="8.88671875" style="838"/>
    <col min="1799" max="1799" width="27.6640625" style="838" customWidth="1"/>
    <col min="1800" max="1800" width="32.88671875" style="838" bestFit="1" customWidth="1"/>
    <col min="1801" max="1801" width="11.5546875" style="838" bestFit="1" customWidth="1"/>
    <col min="1802" max="1802" width="9.6640625" style="838" customWidth="1"/>
    <col min="1803" max="1803" width="12" style="838" customWidth="1"/>
    <col min="1804" max="1804" width="30.109375" style="838" customWidth="1"/>
    <col min="1805" max="1805" width="12" style="838" customWidth="1"/>
    <col min="1806" max="1806" width="12.109375" style="838" customWidth="1"/>
    <col min="1807" max="2054" width="8.88671875" style="838"/>
    <col min="2055" max="2055" width="27.6640625" style="838" customWidth="1"/>
    <col min="2056" max="2056" width="32.88671875" style="838" bestFit="1" customWidth="1"/>
    <col min="2057" max="2057" width="11.5546875" style="838" bestFit="1" customWidth="1"/>
    <col min="2058" max="2058" width="9.6640625" style="838" customWidth="1"/>
    <col min="2059" max="2059" width="12" style="838" customWidth="1"/>
    <col min="2060" max="2060" width="30.109375" style="838" customWidth="1"/>
    <col min="2061" max="2061" width="12" style="838" customWidth="1"/>
    <col min="2062" max="2062" width="12.109375" style="838" customWidth="1"/>
    <col min="2063" max="2310" width="8.88671875" style="838"/>
    <col min="2311" max="2311" width="27.6640625" style="838" customWidth="1"/>
    <col min="2312" max="2312" width="32.88671875" style="838" bestFit="1" customWidth="1"/>
    <col min="2313" max="2313" width="11.5546875" style="838" bestFit="1" customWidth="1"/>
    <col min="2314" max="2314" width="9.6640625" style="838" customWidth="1"/>
    <col min="2315" max="2315" width="12" style="838" customWidth="1"/>
    <col min="2316" max="2316" width="30.109375" style="838" customWidth="1"/>
    <col min="2317" max="2317" width="12" style="838" customWidth="1"/>
    <col min="2318" max="2318" width="12.109375" style="838" customWidth="1"/>
    <col min="2319" max="2566" width="8.88671875" style="838"/>
    <col min="2567" max="2567" width="27.6640625" style="838" customWidth="1"/>
    <col min="2568" max="2568" width="32.88671875" style="838" bestFit="1" customWidth="1"/>
    <col min="2569" max="2569" width="11.5546875" style="838" bestFit="1" customWidth="1"/>
    <col min="2570" max="2570" width="9.6640625" style="838" customWidth="1"/>
    <col min="2571" max="2571" width="12" style="838" customWidth="1"/>
    <col min="2572" max="2572" width="30.109375" style="838" customWidth="1"/>
    <col min="2573" max="2573" width="12" style="838" customWidth="1"/>
    <col min="2574" max="2574" width="12.109375" style="838" customWidth="1"/>
    <col min="2575" max="2822" width="8.88671875" style="838"/>
    <col min="2823" max="2823" width="27.6640625" style="838" customWidth="1"/>
    <col min="2824" max="2824" width="32.88671875" style="838" bestFit="1" customWidth="1"/>
    <col min="2825" max="2825" width="11.5546875" style="838" bestFit="1" customWidth="1"/>
    <col min="2826" max="2826" width="9.6640625" style="838" customWidth="1"/>
    <col min="2827" max="2827" width="12" style="838" customWidth="1"/>
    <col min="2828" max="2828" width="30.109375" style="838" customWidth="1"/>
    <col min="2829" max="2829" width="12" style="838" customWidth="1"/>
    <col min="2830" max="2830" width="12.109375" style="838" customWidth="1"/>
    <col min="2831" max="3078" width="8.88671875" style="838"/>
    <col min="3079" max="3079" width="27.6640625" style="838" customWidth="1"/>
    <col min="3080" max="3080" width="32.88671875" style="838" bestFit="1" customWidth="1"/>
    <col min="3081" max="3081" width="11.5546875" style="838" bestFit="1" customWidth="1"/>
    <col min="3082" max="3082" width="9.6640625" style="838" customWidth="1"/>
    <col min="3083" max="3083" width="12" style="838" customWidth="1"/>
    <col min="3084" max="3084" width="30.109375" style="838" customWidth="1"/>
    <col min="3085" max="3085" width="12" style="838" customWidth="1"/>
    <col min="3086" max="3086" width="12.109375" style="838" customWidth="1"/>
    <col min="3087" max="3334" width="8.88671875" style="838"/>
    <col min="3335" max="3335" width="27.6640625" style="838" customWidth="1"/>
    <col min="3336" max="3336" width="32.88671875" style="838" bestFit="1" customWidth="1"/>
    <col min="3337" max="3337" width="11.5546875" style="838" bestFit="1" customWidth="1"/>
    <col min="3338" max="3338" width="9.6640625" style="838" customWidth="1"/>
    <col min="3339" max="3339" width="12" style="838" customWidth="1"/>
    <col min="3340" max="3340" width="30.109375" style="838" customWidth="1"/>
    <col min="3341" max="3341" width="12" style="838" customWidth="1"/>
    <col min="3342" max="3342" width="12.109375" style="838" customWidth="1"/>
    <col min="3343" max="3590" width="8.88671875" style="838"/>
    <col min="3591" max="3591" width="27.6640625" style="838" customWidth="1"/>
    <col min="3592" max="3592" width="32.88671875" style="838" bestFit="1" customWidth="1"/>
    <col min="3593" max="3593" width="11.5546875" style="838" bestFit="1" customWidth="1"/>
    <col min="3594" max="3594" width="9.6640625" style="838" customWidth="1"/>
    <col min="3595" max="3595" width="12" style="838" customWidth="1"/>
    <col min="3596" max="3596" width="30.109375" style="838" customWidth="1"/>
    <col min="3597" max="3597" width="12" style="838" customWidth="1"/>
    <col min="3598" max="3598" width="12.109375" style="838" customWidth="1"/>
    <col min="3599" max="3846" width="8.88671875" style="838"/>
    <col min="3847" max="3847" width="27.6640625" style="838" customWidth="1"/>
    <col min="3848" max="3848" width="32.88671875" style="838" bestFit="1" customWidth="1"/>
    <col min="3849" max="3849" width="11.5546875" style="838" bestFit="1" customWidth="1"/>
    <col min="3850" max="3850" width="9.6640625" style="838" customWidth="1"/>
    <col min="3851" max="3851" width="12" style="838" customWidth="1"/>
    <col min="3852" max="3852" width="30.109375" style="838" customWidth="1"/>
    <col min="3853" max="3853" width="12" style="838" customWidth="1"/>
    <col min="3854" max="3854" width="12.109375" style="838" customWidth="1"/>
    <col min="3855" max="4102" width="8.88671875" style="838"/>
    <col min="4103" max="4103" width="27.6640625" style="838" customWidth="1"/>
    <col min="4104" max="4104" width="32.88671875" style="838" bestFit="1" customWidth="1"/>
    <col min="4105" max="4105" width="11.5546875" style="838" bestFit="1" customWidth="1"/>
    <col min="4106" max="4106" width="9.6640625" style="838" customWidth="1"/>
    <col min="4107" max="4107" width="12" style="838" customWidth="1"/>
    <col min="4108" max="4108" width="30.109375" style="838" customWidth="1"/>
    <col min="4109" max="4109" width="12" style="838" customWidth="1"/>
    <col min="4110" max="4110" width="12.109375" style="838" customWidth="1"/>
    <col min="4111" max="4358" width="8.88671875" style="838"/>
    <col min="4359" max="4359" width="27.6640625" style="838" customWidth="1"/>
    <col min="4360" max="4360" width="32.88671875" style="838" bestFit="1" customWidth="1"/>
    <col min="4361" max="4361" width="11.5546875" style="838" bestFit="1" customWidth="1"/>
    <col min="4362" max="4362" width="9.6640625" style="838" customWidth="1"/>
    <col min="4363" max="4363" width="12" style="838" customWidth="1"/>
    <col min="4364" max="4364" width="30.109375" style="838" customWidth="1"/>
    <col min="4365" max="4365" width="12" style="838" customWidth="1"/>
    <col min="4366" max="4366" width="12.109375" style="838" customWidth="1"/>
    <col min="4367" max="4614" width="8.88671875" style="838"/>
    <col min="4615" max="4615" width="27.6640625" style="838" customWidth="1"/>
    <col min="4616" max="4616" width="32.88671875" style="838" bestFit="1" customWidth="1"/>
    <col min="4617" max="4617" width="11.5546875" style="838" bestFit="1" customWidth="1"/>
    <col min="4618" max="4618" width="9.6640625" style="838" customWidth="1"/>
    <col min="4619" max="4619" width="12" style="838" customWidth="1"/>
    <col min="4620" max="4620" width="30.109375" style="838" customWidth="1"/>
    <col min="4621" max="4621" width="12" style="838" customWidth="1"/>
    <col min="4622" max="4622" width="12.109375" style="838" customWidth="1"/>
    <col min="4623" max="4870" width="8.88671875" style="838"/>
    <col min="4871" max="4871" width="27.6640625" style="838" customWidth="1"/>
    <col min="4872" max="4872" width="32.88671875" style="838" bestFit="1" customWidth="1"/>
    <col min="4873" max="4873" width="11.5546875" style="838" bestFit="1" customWidth="1"/>
    <col min="4874" max="4874" width="9.6640625" style="838" customWidth="1"/>
    <col min="4875" max="4875" width="12" style="838" customWidth="1"/>
    <col min="4876" max="4876" width="30.109375" style="838" customWidth="1"/>
    <col min="4877" max="4877" width="12" style="838" customWidth="1"/>
    <col min="4878" max="4878" width="12.109375" style="838" customWidth="1"/>
    <col min="4879" max="5126" width="8.88671875" style="838"/>
    <col min="5127" max="5127" width="27.6640625" style="838" customWidth="1"/>
    <col min="5128" max="5128" width="32.88671875" style="838" bestFit="1" customWidth="1"/>
    <col min="5129" max="5129" width="11.5546875" style="838" bestFit="1" customWidth="1"/>
    <col min="5130" max="5130" width="9.6640625" style="838" customWidth="1"/>
    <col min="5131" max="5131" width="12" style="838" customWidth="1"/>
    <col min="5132" max="5132" width="30.109375" style="838" customWidth="1"/>
    <col min="5133" max="5133" width="12" style="838" customWidth="1"/>
    <col min="5134" max="5134" width="12.109375" style="838" customWidth="1"/>
    <col min="5135" max="5382" width="8.88671875" style="838"/>
    <col min="5383" max="5383" width="27.6640625" style="838" customWidth="1"/>
    <col min="5384" max="5384" width="32.88671875" style="838" bestFit="1" customWidth="1"/>
    <col min="5385" max="5385" width="11.5546875" style="838" bestFit="1" customWidth="1"/>
    <col min="5386" max="5386" width="9.6640625" style="838" customWidth="1"/>
    <col min="5387" max="5387" width="12" style="838" customWidth="1"/>
    <col min="5388" max="5388" width="30.109375" style="838" customWidth="1"/>
    <col min="5389" max="5389" width="12" style="838" customWidth="1"/>
    <col min="5390" max="5390" width="12.109375" style="838" customWidth="1"/>
    <col min="5391" max="5638" width="8.88671875" style="838"/>
    <col min="5639" max="5639" width="27.6640625" style="838" customWidth="1"/>
    <col min="5640" max="5640" width="32.88671875" style="838" bestFit="1" customWidth="1"/>
    <col min="5641" max="5641" width="11.5546875" style="838" bestFit="1" customWidth="1"/>
    <col min="5642" max="5642" width="9.6640625" style="838" customWidth="1"/>
    <col min="5643" max="5643" width="12" style="838" customWidth="1"/>
    <col min="5644" max="5644" width="30.109375" style="838" customWidth="1"/>
    <col min="5645" max="5645" width="12" style="838" customWidth="1"/>
    <col min="5646" max="5646" width="12.109375" style="838" customWidth="1"/>
    <col min="5647" max="5894" width="8.88671875" style="838"/>
    <col min="5895" max="5895" width="27.6640625" style="838" customWidth="1"/>
    <col min="5896" max="5896" width="32.88671875" style="838" bestFit="1" customWidth="1"/>
    <col min="5897" max="5897" width="11.5546875" style="838" bestFit="1" customWidth="1"/>
    <col min="5898" max="5898" width="9.6640625" style="838" customWidth="1"/>
    <col min="5899" max="5899" width="12" style="838" customWidth="1"/>
    <col min="5900" max="5900" width="30.109375" style="838" customWidth="1"/>
    <col min="5901" max="5901" width="12" style="838" customWidth="1"/>
    <col min="5902" max="5902" width="12.109375" style="838" customWidth="1"/>
    <col min="5903" max="6150" width="8.88671875" style="838"/>
    <col min="6151" max="6151" width="27.6640625" style="838" customWidth="1"/>
    <col min="6152" max="6152" width="32.88671875" style="838" bestFit="1" customWidth="1"/>
    <col min="6153" max="6153" width="11.5546875" style="838" bestFit="1" customWidth="1"/>
    <col min="6154" max="6154" width="9.6640625" style="838" customWidth="1"/>
    <col min="6155" max="6155" width="12" style="838" customWidth="1"/>
    <col min="6156" max="6156" width="30.109375" style="838" customWidth="1"/>
    <col min="6157" max="6157" width="12" style="838" customWidth="1"/>
    <col min="6158" max="6158" width="12.109375" style="838" customWidth="1"/>
    <col min="6159" max="6406" width="8.88671875" style="838"/>
    <col min="6407" max="6407" width="27.6640625" style="838" customWidth="1"/>
    <col min="6408" max="6408" width="32.88671875" style="838" bestFit="1" customWidth="1"/>
    <col min="6409" max="6409" width="11.5546875" style="838" bestFit="1" customWidth="1"/>
    <col min="6410" max="6410" width="9.6640625" style="838" customWidth="1"/>
    <col min="6411" max="6411" width="12" style="838" customWidth="1"/>
    <col min="6412" max="6412" width="30.109375" style="838" customWidth="1"/>
    <col min="6413" max="6413" width="12" style="838" customWidth="1"/>
    <col min="6414" max="6414" width="12.109375" style="838" customWidth="1"/>
    <col min="6415" max="6662" width="8.88671875" style="838"/>
    <col min="6663" max="6663" width="27.6640625" style="838" customWidth="1"/>
    <col min="6664" max="6664" width="32.88671875" style="838" bestFit="1" customWidth="1"/>
    <col min="6665" max="6665" width="11.5546875" style="838" bestFit="1" customWidth="1"/>
    <col min="6666" max="6666" width="9.6640625" style="838" customWidth="1"/>
    <col min="6667" max="6667" width="12" style="838" customWidth="1"/>
    <col min="6668" max="6668" width="30.109375" style="838" customWidth="1"/>
    <col min="6669" max="6669" width="12" style="838" customWidth="1"/>
    <col min="6670" max="6670" width="12.109375" style="838" customWidth="1"/>
    <col min="6671" max="6918" width="8.88671875" style="838"/>
    <col min="6919" max="6919" width="27.6640625" style="838" customWidth="1"/>
    <col min="6920" max="6920" width="32.88671875" style="838" bestFit="1" customWidth="1"/>
    <col min="6921" max="6921" width="11.5546875" style="838" bestFit="1" customWidth="1"/>
    <col min="6922" max="6922" width="9.6640625" style="838" customWidth="1"/>
    <col min="6923" max="6923" width="12" style="838" customWidth="1"/>
    <col min="6924" max="6924" width="30.109375" style="838" customWidth="1"/>
    <col min="6925" max="6925" width="12" style="838" customWidth="1"/>
    <col min="6926" max="6926" width="12.109375" style="838" customWidth="1"/>
    <col min="6927" max="7174" width="8.88671875" style="838"/>
    <col min="7175" max="7175" width="27.6640625" style="838" customWidth="1"/>
    <col min="7176" max="7176" width="32.88671875" style="838" bestFit="1" customWidth="1"/>
    <col min="7177" max="7177" width="11.5546875" style="838" bestFit="1" customWidth="1"/>
    <col min="7178" max="7178" width="9.6640625" style="838" customWidth="1"/>
    <col min="7179" max="7179" width="12" style="838" customWidth="1"/>
    <col min="7180" max="7180" width="30.109375" style="838" customWidth="1"/>
    <col min="7181" max="7181" width="12" style="838" customWidth="1"/>
    <col min="7182" max="7182" width="12.109375" style="838" customWidth="1"/>
    <col min="7183" max="7430" width="8.88671875" style="838"/>
    <col min="7431" max="7431" width="27.6640625" style="838" customWidth="1"/>
    <col min="7432" max="7432" width="32.88671875" style="838" bestFit="1" customWidth="1"/>
    <col min="7433" max="7433" width="11.5546875" style="838" bestFit="1" customWidth="1"/>
    <col min="7434" max="7434" width="9.6640625" style="838" customWidth="1"/>
    <col min="7435" max="7435" width="12" style="838" customWidth="1"/>
    <col min="7436" max="7436" width="30.109375" style="838" customWidth="1"/>
    <col min="7437" max="7437" width="12" style="838" customWidth="1"/>
    <col min="7438" max="7438" width="12.109375" style="838" customWidth="1"/>
    <col min="7439" max="7686" width="8.88671875" style="838"/>
    <col min="7687" max="7687" width="27.6640625" style="838" customWidth="1"/>
    <col min="7688" max="7688" width="32.88671875" style="838" bestFit="1" customWidth="1"/>
    <col min="7689" max="7689" width="11.5546875" style="838" bestFit="1" customWidth="1"/>
    <col min="7690" max="7690" width="9.6640625" style="838" customWidth="1"/>
    <col min="7691" max="7691" width="12" style="838" customWidth="1"/>
    <col min="7692" max="7692" width="30.109375" style="838" customWidth="1"/>
    <col min="7693" max="7693" width="12" style="838" customWidth="1"/>
    <col min="7694" max="7694" width="12.109375" style="838" customWidth="1"/>
    <col min="7695" max="7942" width="8.88671875" style="838"/>
    <col min="7943" max="7943" width="27.6640625" style="838" customWidth="1"/>
    <col min="7944" max="7944" width="32.88671875" style="838" bestFit="1" customWidth="1"/>
    <col min="7945" max="7945" width="11.5546875" style="838" bestFit="1" customWidth="1"/>
    <col min="7946" max="7946" width="9.6640625" style="838" customWidth="1"/>
    <col min="7947" max="7947" width="12" style="838" customWidth="1"/>
    <col min="7948" max="7948" width="30.109375" style="838" customWidth="1"/>
    <col min="7949" max="7949" width="12" style="838" customWidth="1"/>
    <col min="7950" max="7950" width="12.109375" style="838" customWidth="1"/>
    <col min="7951" max="8198" width="8.88671875" style="838"/>
    <col min="8199" max="8199" width="27.6640625" style="838" customWidth="1"/>
    <col min="8200" max="8200" width="32.88671875" style="838" bestFit="1" customWidth="1"/>
    <col min="8201" max="8201" width="11.5546875" style="838" bestFit="1" customWidth="1"/>
    <col min="8202" max="8202" width="9.6640625" style="838" customWidth="1"/>
    <col min="8203" max="8203" width="12" style="838" customWidth="1"/>
    <col min="8204" max="8204" width="30.109375" style="838" customWidth="1"/>
    <col min="8205" max="8205" width="12" style="838" customWidth="1"/>
    <col min="8206" max="8206" width="12.109375" style="838" customWidth="1"/>
    <col min="8207" max="8454" width="8.88671875" style="838"/>
    <col min="8455" max="8455" width="27.6640625" style="838" customWidth="1"/>
    <col min="8456" max="8456" width="32.88671875" style="838" bestFit="1" customWidth="1"/>
    <col min="8457" max="8457" width="11.5546875" style="838" bestFit="1" customWidth="1"/>
    <col min="8458" max="8458" width="9.6640625" style="838" customWidth="1"/>
    <col min="8459" max="8459" width="12" style="838" customWidth="1"/>
    <col min="8460" max="8460" width="30.109375" style="838" customWidth="1"/>
    <col min="8461" max="8461" width="12" style="838" customWidth="1"/>
    <col min="8462" max="8462" width="12.109375" style="838" customWidth="1"/>
    <col min="8463" max="8710" width="8.88671875" style="838"/>
    <col min="8711" max="8711" width="27.6640625" style="838" customWidth="1"/>
    <col min="8712" max="8712" width="32.88671875" style="838" bestFit="1" customWidth="1"/>
    <col min="8713" max="8713" width="11.5546875" style="838" bestFit="1" customWidth="1"/>
    <col min="8714" max="8714" width="9.6640625" style="838" customWidth="1"/>
    <col min="8715" max="8715" width="12" style="838" customWidth="1"/>
    <col min="8716" max="8716" width="30.109375" style="838" customWidth="1"/>
    <col min="8717" max="8717" width="12" style="838" customWidth="1"/>
    <col min="8718" max="8718" width="12.109375" style="838" customWidth="1"/>
    <col min="8719" max="8966" width="8.88671875" style="838"/>
    <col min="8967" max="8967" width="27.6640625" style="838" customWidth="1"/>
    <col min="8968" max="8968" width="32.88671875" style="838" bestFit="1" customWidth="1"/>
    <col min="8969" max="8969" width="11.5546875" style="838" bestFit="1" customWidth="1"/>
    <col min="8970" max="8970" width="9.6640625" style="838" customWidth="1"/>
    <col min="8971" max="8971" width="12" style="838" customWidth="1"/>
    <col min="8972" max="8972" width="30.109375" style="838" customWidth="1"/>
    <col min="8973" max="8973" width="12" style="838" customWidth="1"/>
    <col min="8974" max="8974" width="12.109375" style="838" customWidth="1"/>
    <col min="8975" max="9222" width="8.88671875" style="838"/>
    <col min="9223" max="9223" width="27.6640625" style="838" customWidth="1"/>
    <col min="9224" max="9224" width="32.88671875" style="838" bestFit="1" customWidth="1"/>
    <col min="9225" max="9225" width="11.5546875" style="838" bestFit="1" customWidth="1"/>
    <col min="9226" max="9226" width="9.6640625" style="838" customWidth="1"/>
    <col min="9227" max="9227" width="12" style="838" customWidth="1"/>
    <col min="9228" max="9228" width="30.109375" style="838" customWidth="1"/>
    <col min="9229" max="9229" width="12" style="838" customWidth="1"/>
    <col min="9230" max="9230" width="12.109375" style="838" customWidth="1"/>
    <col min="9231" max="9478" width="8.88671875" style="838"/>
    <col min="9479" max="9479" width="27.6640625" style="838" customWidth="1"/>
    <col min="9480" max="9480" width="32.88671875" style="838" bestFit="1" customWidth="1"/>
    <col min="9481" max="9481" width="11.5546875" style="838" bestFit="1" customWidth="1"/>
    <col min="9482" max="9482" width="9.6640625" style="838" customWidth="1"/>
    <col min="9483" max="9483" width="12" style="838" customWidth="1"/>
    <col min="9484" max="9484" width="30.109375" style="838" customWidth="1"/>
    <col min="9485" max="9485" width="12" style="838" customWidth="1"/>
    <col min="9486" max="9486" width="12.109375" style="838" customWidth="1"/>
    <col min="9487" max="9734" width="8.88671875" style="838"/>
    <col min="9735" max="9735" width="27.6640625" style="838" customWidth="1"/>
    <col min="9736" max="9736" width="32.88671875" style="838" bestFit="1" customWidth="1"/>
    <col min="9737" max="9737" width="11.5546875" style="838" bestFit="1" customWidth="1"/>
    <col min="9738" max="9738" width="9.6640625" style="838" customWidth="1"/>
    <col min="9739" max="9739" width="12" style="838" customWidth="1"/>
    <col min="9740" max="9740" width="30.109375" style="838" customWidth="1"/>
    <col min="9741" max="9741" width="12" style="838" customWidth="1"/>
    <col min="9742" max="9742" width="12.109375" style="838" customWidth="1"/>
    <col min="9743" max="9990" width="8.88671875" style="838"/>
    <col min="9991" max="9991" width="27.6640625" style="838" customWidth="1"/>
    <col min="9992" max="9992" width="32.88671875" style="838" bestFit="1" customWidth="1"/>
    <col min="9993" max="9993" width="11.5546875" style="838" bestFit="1" customWidth="1"/>
    <col min="9994" max="9994" width="9.6640625" style="838" customWidth="1"/>
    <col min="9995" max="9995" width="12" style="838" customWidth="1"/>
    <col min="9996" max="9996" width="30.109375" style="838" customWidth="1"/>
    <col min="9997" max="9997" width="12" style="838" customWidth="1"/>
    <col min="9998" max="9998" width="12.109375" style="838" customWidth="1"/>
    <col min="9999" max="10246" width="8.88671875" style="838"/>
    <col min="10247" max="10247" width="27.6640625" style="838" customWidth="1"/>
    <col min="10248" max="10248" width="32.88671875" style="838" bestFit="1" customWidth="1"/>
    <col min="10249" max="10249" width="11.5546875" style="838" bestFit="1" customWidth="1"/>
    <col min="10250" max="10250" width="9.6640625" style="838" customWidth="1"/>
    <col min="10251" max="10251" width="12" style="838" customWidth="1"/>
    <col min="10252" max="10252" width="30.109375" style="838" customWidth="1"/>
    <col min="10253" max="10253" width="12" style="838" customWidth="1"/>
    <col min="10254" max="10254" width="12.109375" style="838" customWidth="1"/>
    <col min="10255" max="10502" width="8.88671875" style="838"/>
    <col min="10503" max="10503" width="27.6640625" style="838" customWidth="1"/>
    <col min="10504" max="10504" width="32.88671875" style="838" bestFit="1" customWidth="1"/>
    <col min="10505" max="10505" width="11.5546875" style="838" bestFit="1" customWidth="1"/>
    <col min="10506" max="10506" width="9.6640625" style="838" customWidth="1"/>
    <col min="10507" max="10507" width="12" style="838" customWidth="1"/>
    <col min="10508" max="10508" width="30.109375" style="838" customWidth="1"/>
    <col min="10509" max="10509" width="12" style="838" customWidth="1"/>
    <col min="10510" max="10510" width="12.109375" style="838" customWidth="1"/>
    <col min="10511" max="10758" width="8.88671875" style="838"/>
    <col min="10759" max="10759" width="27.6640625" style="838" customWidth="1"/>
    <col min="10760" max="10760" width="32.88671875" style="838" bestFit="1" customWidth="1"/>
    <col min="10761" max="10761" width="11.5546875" style="838" bestFit="1" customWidth="1"/>
    <col min="10762" max="10762" width="9.6640625" style="838" customWidth="1"/>
    <col min="10763" max="10763" width="12" style="838" customWidth="1"/>
    <col min="10764" max="10764" width="30.109375" style="838" customWidth="1"/>
    <col min="10765" max="10765" width="12" style="838" customWidth="1"/>
    <col min="10766" max="10766" width="12.109375" style="838" customWidth="1"/>
    <col min="10767" max="11014" width="8.88671875" style="838"/>
    <col min="11015" max="11015" width="27.6640625" style="838" customWidth="1"/>
    <col min="11016" max="11016" width="32.88671875" style="838" bestFit="1" customWidth="1"/>
    <col min="11017" max="11017" width="11.5546875" style="838" bestFit="1" customWidth="1"/>
    <col min="11018" max="11018" width="9.6640625" style="838" customWidth="1"/>
    <col min="11019" max="11019" width="12" style="838" customWidth="1"/>
    <col min="11020" max="11020" width="30.109375" style="838" customWidth="1"/>
    <col min="11021" max="11021" width="12" style="838" customWidth="1"/>
    <col min="11022" max="11022" width="12.109375" style="838" customWidth="1"/>
    <col min="11023" max="11270" width="8.88671875" style="838"/>
    <col min="11271" max="11271" width="27.6640625" style="838" customWidth="1"/>
    <col min="11272" max="11272" width="32.88671875" style="838" bestFit="1" customWidth="1"/>
    <col min="11273" max="11273" width="11.5546875" style="838" bestFit="1" customWidth="1"/>
    <col min="11274" max="11274" width="9.6640625" style="838" customWidth="1"/>
    <col min="11275" max="11275" width="12" style="838" customWidth="1"/>
    <col min="11276" max="11276" width="30.109375" style="838" customWidth="1"/>
    <col min="11277" max="11277" width="12" style="838" customWidth="1"/>
    <col min="11278" max="11278" width="12.109375" style="838" customWidth="1"/>
    <col min="11279" max="11526" width="8.88671875" style="838"/>
    <col min="11527" max="11527" width="27.6640625" style="838" customWidth="1"/>
    <col min="11528" max="11528" width="32.88671875" style="838" bestFit="1" customWidth="1"/>
    <col min="11529" max="11529" width="11.5546875" style="838" bestFit="1" customWidth="1"/>
    <col min="11530" max="11530" width="9.6640625" style="838" customWidth="1"/>
    <col min="11531" max="11531" width="12" style="838" customWidth="1"/>
    <col min="11532" max="11532" width="30.109375" style="838" customWidth="1"/>
    <col min="11533" max="11533" width="12" style="838" customWidth="1"/>
    <col min="11534" max="11534" width="12.109375" style="838" customWidth="1"/>
    <col min="11535" max="11782" width="8.88671875" style="838"/>
    <col min="11783" max="11783" width="27.6640625" style="838" customWidth="1"/>
    <col min="11784" max="11784" width="32.88671875" style="838" bestFit="1" customWidth="1"/>
    <col min="11785" max="11785" width="11.5546875" style="838" bestFit="1" customWidth="1"/>
    <col min="11786" max="11786" width="9.6640625" style="838" customWidth="1"/>
    <col min="11787" max="11787" width="12" style="838" customWidth="1"/>
    <col min="11788" max="11788" width="30.109375" style="838" customWidth="1"/>
    <col min="11789" max="11789" width="12" style="838" customWidth="1"/>
    <col min="11790" max="11790" width="12.109375" style="838" customWidth="1"/>
    <col min="11791" max="12038" width="8.88671875" style="838"/>
    <col min="12039" max="12039" width="27.6640625" style="838" customWidth="1"/>
    <col min="12040" max="12040" width="32.88671875" style="838" bestFit="1" customWidth="1"/>
    <col min="12041" max="12041" width="11.5546875" style="838" bestFit="1" customWidth="1"/>
    <col min="12042" max="12042" width="9.6640625" style="838" customWidth="1"/>
    <col min="12043" max="12043" width="12" style="838" customWidth="1"/>
    <col min="12044" max="12044" width="30.109375" style="838" customWidth="1"/>
    <col min="12045" max="12045" width="12" style="838" customWidth="1"/>
    <col min="12046" max="12046" width="12.109375" style="838" customWidth="1"/>
    <col min="12047" max="12294" width="8.88671875" style="838"/>
    <col min="12295" max="12295" width="27.6640625" style="838" customWidth="1"/>
    <col min="12296" max="12296" width="32.88671875" style="838" bestFit="1" customWidth="1"/>
    <col min="12297" max="12297" width="11.5546875" style="838" bestFit="1" customWidth="1"/>
    <col min="12298" max="12298" width="9.6640625" style="838" customWidth="1"/>
    <col min="12299" max="12299" width="12" style="838" customWidth="1"/>
    <col min="12300" max="12300" width="30.109375" style="838" customWidth="1"/>
    <col min="12301" max="12301" width="12" style="838" customWidth="1"/>
    <col min="12302" max="12302" width="12.109375" style="838" customWidth="1"/>
    <col min="12303" max="12550" width="8.88671875" style="838"/>
    <col min="12551" max="12551" width="27.6640625" style="838" customWidth="1"/>
    <col min="12552" max="12552" width="32.88671875" style="838" bestFit="1" customWidth="1"/>
    <col min="12553" max="12553" width="11.5546875" style="838" bestFit="1" customWidth="1"/>
    <col min="12554" max="12554" width="9.6640625" style="838" customWidth="1"/>
    <col min="12555" max="12555" width="12" style="838" customWidth="1"/>
    <col min="12556" max="12556" width="30.109375" style="838" customWidth="1"/>
    <col min="12557" max="12557" width="12" style="838" customWidth="1"/>
    <col min="12558" max="12558" width="12.109375" style="838" customWidth="1"/>
    <col min="12559" max="12806" width="8.88671875" style="838"/>
    <col min="12807" max="12807" width="27.6640625" style="838" customWidth="1"/>
    <col min="12808" max="12808" width="32.88671875" style="838" bestFit="1" customWidth="1"/>
    <col min="12809" max="12809" width="11.5546875" style="838" bestFit="1" customWidth="1"/>
    <col min="12810" max="12810" width="9.6640625" style="838" customWidth="1"/>
    <col min="12811" max="12811" width="12" style="838" customWidth="1"/>
    <col min="12812" max="12812" width="30.109375" style="838" customWidth="1"/>
    <col min="12813" max="12813" width="12" style="838" customWidth="1"/>
    <col min="12814" max="12814" width="12.109375" style="838" customWidth="1"/>
    <col min="12815" max="13062" width="8.88671875" style="838"/>
    <col min="13063" max="13063" width="27.6640625" style="838" customWidth="1"/>
    <col min="13064" max="13064" width="32.88671875" style="838" bestFit="1" customWidth="1"/>
    <col min="13065" max="13065" width="11.5546875" style="838" bestFit="1" customWidth="1"/>
    <col min="13066" max="13066" width="9.6640625" style="838" customWidth="1"/>
    <col min="13067" max="13067" width="12" style="838" customWidth="1"/>
    <col min="13068" max="13068" width="30.109375" style="838" customWidth="1"/>
    <col min="13069" max="13069" width="12" style="838" customWidth="1"/>
    <col min="13070" max="13070" width="12.109375" style="838" customWidth="1"/>
    <col min="13071" max="13318" width="8.88671875" style="838"/>
    <col min="13319" max="13319" width="27.6640625" style="838" customWidth="1"/>
    <col min="13320" max="13320" width="32.88671875" style="838" bestFit="1" customWidth="1"/>
    <col min="13321" max="13321" width="11.5546875" style="838" bestFit="1" customWidth="1"/>
    <col min="13322" max="13322" width="9.6640625" style="838" customWidth="1"/>
    <col min="13323" max="13323" width="12" style="838" customWidth="1"/>
    <col min="13324" max="13324" width="30.109375" style="838" customWidth="1"/>
    <col min="13325" max="13325" width="12" style="838" customWidth="1"/>
    <col min="13326" max="13326" width="12.109375" style="838" customWidth="1"/>
    <col min="13327" max="13574" width="8.88671875" style="838"/>
    <col min="13575" max="13575" width="27.6640625" style="838" customWidth="1"/>
    <col min="13576" max="13576" width="32.88671875" style="838" bestFit="1" customWidth="1"/>
    <col min="13577" max="13577" width="11.5546875" style="838" bestFit="1" customWidth="1"/>
    <col min="13578" max="13578" width="9.6640625" style="838" customWidth="1"/>
    <col min="13579" max="13579" width="12" style="838" customWidth="1"/>
    <col min="13580" max="13580" width="30.109375" style="838" customWidth="1"/>
    <col min="13581" max="13581" width="12" style="838" customWidth="1"/>
    <col min="13582" max="13582" width="12.109375" style="838" customWidth="1"/>
    <col min="13583" max="13830" width="8.88671875" style="838"/>
    <col min="13831" max="13831" width="27.6640625" style="838" customWidth="1"/>
    <col min="13832" max="13832" width="32.88671875" style="838" bestFit="1" customWidth="1"/>
    <col min="13833" max="13833" width="11.5546875" style="838" bestFit="1" customWidth="1"/>
    <col min="13834" max="13834" width="9.6640625" style="838" customWidth="1"/>
    <col min="13835" max="13835" width="12" style="838" customWidth="1"/>
    <col min="13836" max="13836" width="30.109375" style="838" customWidth="1"/>
    <col min="13837" max="13837" width="12" style="838" customWidth="1"/>
    <col min="13838" max="13838" width="12.109375" style="838" customWidth="1"/>
    <col min="13839" max="14086" width="8.88671875" style="838"/>
    <col min="14087" max="14087" width="27.6640625" style="838" customWidth="1"/>
    <col min="14088" max="14088" width="32.88671875" style="838" bestFit="1" customWidth="1"/>
    <col min="14089" max="14089" width="11.5546875" style="838" bestFit="1" customWidth="1"/>
    <col min="14090" max="14090" width="9.6640625" style="838" customWidth="1"/>
    <col min="14091" max="14091" width="12" style="838" customWidth="1"/>
    <col min="14092" max="14092" width="30.109375" style="838" customWidth="1"/>
    <col min="14093" max="14093" width="12" style="838" customWidth="1"/>
    <col min="14094" max="14094" width="12.109375" style="838" customWidth="1"/>
    <col min="14095" max="14342" width="8.88671875" style="838"/>
    <col min="14343" max="14343" width="27.6640625" style="838" customWidth="1"/>
    <col min="14344" max="14344" width="32.88671875" style="838" bestFit="1" customWidth="1"/>
    <col min="14345" max="14345" width="11.5546875" style="838" bestFit="1" customWidth="1"/>
    <col min="14346" max="14346" width="9.6640625" style="838" customWidth="1"/>
    <col min="14347" max="14347" width="12" style="838" customWidth="1"/>
    <col min="14348" max="14348" width="30.109375" style="838" customWidth="1"/>
    <col min="14349" max="14349" width="12" style="838" customWidth="1"/>
    <col min="14350" max="14350" width="12.109375" style="838" customWidth="1"/>
    <col min="14351" max="14598" width="8.88671875" style="838"/>
    <col min="14599" max="14599" width="27.6640625" style="838" customWidth="1"/>
    <col min="14600" max="14600" width="32.88671875" style="838" bestFit="1" customWidth="1"/>
    <col min="14601" max="14601" width="11.5546875" style="838" bestFit="1" customWidth="1"/>
    <col min="14602" max="14602" width="9.6640625" style="838" customWidth="1"/>
    <col min="14603" max="14603" width="12" style="838" customWidth="1"/>
    <col min="14604" max="14604" width="30.109375" style="838" customWidth="1"/>
    <col min="14605" max="14605" width="12" style="838" customWidth="1"/>
    <col min="14606" max="14606" width="12.109375" style="838" customWidth="1"/>
    <col min="14607" max="14854" width="8.88671875" style="838"/>
    <col min="14855" max="14855" width="27.6640625" style="838" customWidth="1"/>
    <col min="14856" max="14856" width="32.88671875" style="838" bestFit="1" customWidth="1"/>
    <col min="14857" max="14857" width="11.5546875" style="838" bestFit="1" customWidth="1"/>
    <col min="14858" max="14858" width="9.6640625" style="838" customWidth="1"/>
    <col min="14859" max="14859" width="12" style="838" customWidth="1"/>
    <col min="14860" max="14860" width="30.109375" style="838" customWidth="1"/>
    <col min="14861" max="14861" width="12" style="838" customWidth="1"/>
    <col min="14862" max="14862" width="12.109375" style="838" customWidth="1"/>
    <col min="14863" max="15110" width="8.88671875" style="838"/>
    <col min="15111" max="15111" width="27.6640625" style="838" customWidth="1"/>
    <col min="15112" max="15112" width="32.88671875" style="838" bestFit="1" customWidth="1"/>
    <col min="15113" max="15113" width="11.5546875" style="838" bestFit="1" customWidth="1"/>
    <col min="15114" max="15114" width="9.6640625" style="838" customWidth="1"/>
    <col min="15115" max="15115" width="12" style="838" customWidth="1"/>
    <col min="15116" max="15116" width="30.109375" style="838" customWidth="1"/>
    <col min="15117" max="15117" width="12" style="838" customWidth="1"/>
    <col min="15118" max="15118" width="12.109375" style="838" customWidth="1"/>
    <col min="15119" max="15366" width="8.88671875" style="838"/>
    <col min="15367" max="15367" width="27.6640625" style="838" customWidth="1"/>
    <col min="15368" max="15368" width="32.88671875" style="838" bestFit="1" customWidth="1"/>
    <col min="15369" max="15369" width="11.5546875" style="838" bestFit="1" customWidth="1"/>
    <col min="15370" max="15370" width="9.6640625" style="838" customWidth="1"/>
    <col min="15371" max="15371" width="12" style="838" customWidth="1"/>
    <col min="15372" max="15372" width="30.109375" style="838" customWidth="1"/>
    <col min="15373" max="15373" width="12" style="838" customWidth="1"/>
    <col min="15374" max="15374" width="12.109375" style="838" customWidth="1"/>
    <col min="15375" max="15622" width="8.88671875" style="838"/>
    <col min="15623" max="15623" width="27.6640625" style="838" customWidth="1"/>
    <col min="15624" max="15624" width="32.88671875" style="838" bestFit="1" customWidth="1"/>
    <col min="15625" max="15625" width="11.5546875" style="838" bestFit="1" customWidth="1"/>
    <col min="15626" max="15626" width="9.6640625" style="838" customWidth="1"/>
    <col min="15627" max="15627" width="12" style="838" customWidth="1"/>
    <col min="15628" max="15628" width="30.109375" style="838" customWidth="1"/>
    <col min="15629" max="15629" width="12" style="838" customWidth="1"/>
    <col min="15630" max="15630" width="12.109375" style="838" customWidth="1"/>
    <col min="15631" max="15878" width="8.88671875" style="838"/>
    <col min="15879" max="15879" width="27.6640625" style="838" customWidth="1"/>
    <col min="15880" max="15880" width="32.88671875" style="838" bestFit="1" customWidth="1"/>
    <col min="15881" max="15881" width="11.5546875" style="838" bestFit="1" customWidth="1"/>
    <col min="15882" max="15882" width="9.6640625" style="838" customWidth="1"/>
    <col min="15883" max="15883" width="12" style="838" customWidth="1"/>
    <col min="15884" max="15884" width="30.109375" style="838" customWidth="1"/>
    <col min="15885" max="15885" width="12" style="838" customWidth="1"/>
    <col min="15886" max="15886" width="12.109375" style="838" customWidth="1"/>
    <col min="15887" max="16134" width="8.88671875" style="838"/>
    <col min="16135" max="16135" width="27.6640625" style="838" customWidth="1"/>
    <col min="16136" max="16136" width="32.88671875" style="838" bestFit="1" customWidth="1"/>
    <col min="16137" max="16137" width="11.5546875" style="838" bestFit="1" customWidth="1"/>
    <col min="16138" max="16138" width="9.6640625" style="838" customWidth="1"/>
    <col min="16139" max="16139" width="12" style="838" customWidth="1"/>
    <col min="16140" max="16140" width="30.109375" style="838" customWidth="1"/>
    <col min="16141" max="16141" width="12" style="838" customWidth="1"/>
    <col min="16142" max="16142" width="12.109375" style="838" customWidth="1"/>
    <col min="16143" max="16384" width="8.88671875" style="838"/>
  </cols>
  <sheetData>
    <row r="1" spans="1:27" s="824" customFormat="1" ht="20.399999999999999">
      <c r="A1" s="820" t="s">
        <v>326</v>
      </c>
      <c r="B1" s="821"/>
      <c r="C1" s="820"/>
      <c r="D1" s="822"/>
      <c r="E1" s="823"/>
      <c r="O1" s="1041"/>
      <c r="P1" s="1041"/>
      <c r="Q1" s="1041"/>
      <c r="R1" s="1041"/>
      <c r="S1" s="1041"/>
      <c r="T1" s="1041"/>
      <c r="U1" s="1041"/>
      <c r="V1" s="1041"/>
      <c r="W1" s="1041"/>
      <c r="X1" s="1042"/>
      <c r="Y1" s="1043"/>
      <c r="Z1" s="970"/>
      <c r="AA1" s="970"/>
    </row>
    <row r="2" spans="1:27" s="829" customFormat="1">
      <c r="A2" s="828" t="s">
        <v>156</v>
      </c>
      <c r="O2" s="1044"/>
      <c r="P2" s="1044"/>
      <c r="Q2" s="1044"/>
      <c r="R2" s="1044"/>
      <c r="S2" s="1044"/>
      <c r="T2" s="1044"/>
      <c r="U2" s="1044"/>
      <c r="V2" s="1044"/>
      <c r="W2" s="1044"/>
      <c r="X2" s="1045"/>
      <c r="Y2" s="1046"/>
    </row>
    <row r="3" spans="1:27" ht="13.8">
      <c r="A3" s="833" t="s">
        <v>327</v>
      </c>
      <c r="B3" s="834"/>
      <c r="C3" s="835"/>
      <c r="D3" s="836"/>
      <c r="E3" s="837"/>
      <c r="O3" s="1047"/>
      <c r="P3" s="1047"/>
      <c r="Q3" s="1047"/>
      <c r="R3" s="1047"/>
      <c r="S3" s="1047"/>
      <c r="T3" s="1047"/>
      <c r="U3" s="1047"/>
      <c r="V3" s="1047"/>
      <c r="W3" s="1047"/>
      <c r="X3" s="1042"/>
      <c r="Y3" s="1048"/>
    </row>
    <row r="4" spans="1:27" ht="14.4" thickBot="1">
      <c r="A4" s="843" t="s">
        <v>328</v>
      </c>
      <c r="B4" s="844"/>
      <c r="C4" s="845" t="s">
        <v>329</v>
      </c>
      <c r="D4" s="846" t="s">
        <v>330</v>
      </c>
      <c r="E4" s="847" t="s">
        <v>331</v>
      </c>
      <c r="F4" s="845" t="s">
        <v>332</v>
      </c>
      <c r="O4" s="1047"/>
      <c r="P4" s="1049"/>
      <c r="Q4" s="1047"/>
      <c r="R4" s="1047"/>
      <c r="S4" s="1047"/>
      <c r="T4" s="1047"/>
      <c r="U4" s="1047"/>
      <c r="V4" s="1047"/>
      <c r="W4" s="1047"/>
      <c r="X4" s="1042"/>
      <c r="Y4" s="1048"/>
    </row>
    <row r="5" spans="1:27" ht="28.2" thickBot="1">
      <c r="A5" s="849" t="s">
        <v>333</v>
      </c>
      <c r="B5" s="850"/>
      <c r="C5" s="851"/>
      <c r="D5" s="852"/>
      <c r="E5" s="853"/>
      <c r="F5" s="854"/>
      <c r="G5" s="838">
        <f>C6*(3.27%+1)</f>
        <v>51635</v>
      </c>
      <c r="H5" s="838">
        <f>G5*(4.19%+1)</f>
        <v>53798.506500000003</v>
      </c>
      <c r="J5" s="667" t="s">
        <v>199</v>
      </c>
      <c r="K5" s="668"/>
      <c r="L5" s="668"/>
      <c r="M5" s="249" t="s">
        <v>200</v>
      </c>
      <c r="O5" s="1047"/>
      <c r="P5" s="1050" t="s">
        <v>359</v>
      </c>
      <c r="Q5" s="1051"/>
      <c r="R5" s="1051"/>
      <c r="S5" s="1051"/>
      <c r="T5" s="1052"/>
      <c r="U5" s="1047"/>
      <c r="V5" s="1047"/>
      <c r="W5" s="1053" t="s">
        <v>165</v>
      </c>
      <c r="X5" s="1054"/>
      <c r="Y5" s="1055"/>
    </row>
    <row r="6" spans="1:27" ht="14.4" thickBot="1">
      <c r="A6" s="849"/>
      <c r="B6" s="861" t="s">
        <v>85</v>
      </c>
      <c r="C6" s="851">
        <v>50000</v>
      </c>
      <c r="D6" s="862">
        <v>0.06</v>
      </c>
      <c r="E6" s="863">
        <f>C6*D6</f>
        <v>3000</v>
      </c>
      <c r="F6" s="864"/>
      <c r="J6" s="675" t="s">
        <v>201</v>
      </c>
      <c r="K6" s="676" t="s">
        <v>202</v>
      </c>
      <c r="L6" s="677" t="s">
        <v>203</v>
      </c>
      <c r="M6" s="678">
        <v>2080</v>
      </c>
      <c r="O6" s="1047"/>
      <c r="P6" s="1056"/>
      <c r="Q6" s="1057" t="s">
        <v>202</v>
      </c>
      <c r="R6" s="1058">
        <f>M11</f>
        <v>1775</v>
      </c>
      <c r="S6" s="1057"/>
      <c r="T6" s="1059"/>
      <c r="U6" s="1047"/>
      <c r="V6" s="1047"/>
      <c r="W6" s="1060" t="s">
        <v>166</v>
      </c>
      <c r="X6" s="1061"/>
      <c r="Y6" s="1062" t="s">
        <v>167</v>
      </c>
    </row>
    <row r="7" spans="1:27" ht="15" customHeight="1">
      <c r="A7" s="872"/>
      <c r="B7" s="873" t="s">
        <v>335</v>
      </c>
      <c r="C7" s="874">
        <f>'[4]FY 09 UFR Salary Data'!$H$40</f>
        <v>25622.22</v>
      </c>
      <c r="D7" s="862">
        <v>1</v>
      </c>
      <c r="E7" s="863">
        <f>C7*D7</f>
        <v>25622.22</v>
      </c>
      <c r="F7" s="875" t="s">
        <v>336</v>
      </c>
      <c r="G7" s="838">
        <f>C7*(3.27%+1)</f>
        <v>26460.066594</v>
      </c>
      <c r="H7" s="838">
        <f>G7*(4.19%+1)</f>
        <v>27568.743384288602</v>
      </c>
      <c r="J7" s="682" t="s">
        <v>204</v>
      </c>
      <c r="K7" s="683">
        <v>120</v>
      </c>
      <c r="L7" s="876">
        <v>2</v>
      </c>
      <c r="M7" s="685">
        <f>L7*K7</f>
        <v>240</v>
      </c>
      <c r="O7" s="1047"/>
      <c r="P7" s="1063"/>
      <c r="Q7" s="1064"/>
      <c r="R7" s="1065" t="s">
        <v>172</v>
      </c>
      <c r="S7" s="1066" t="s">
        <v>216</v>
      </c>
      <c r="T7" s="1067" t="s">
        <v>174</v>
      </c>
      <c r="U7" s="1047"/>
      <c r="V7" s="1047"/>
      <c r="W7" s="882" t="s">
        <v>85</v>
      </c>
      <c r="X7" s="883">
        <f>'Master Look Up'!N14</f>
        <v>69600</v>
      </c>
      <c r="Y7" s="884" t="s">
        <v>220</v>
      </c>
    </row>
    <row r="8" spans="1:27" ht="17.25" customHeight="1" thickBot="1">
      <c r="A8" s="885" t="s">
        <v>337</v>
      </c>
      <c r="B8" s="886"/>
      <c r="C8" s="887"/>
      <c r="D8" s="862">
        <f>SUM(D6:D7)</f>
        <v>1.06</v>
      </c>
      <c r="E8" s="863">
        <f>SUM(E6:E7)</f>
        <v>28622.22</v>
      </c>
      <c r="F8" s="864"/>
      <c r="J8" s="692" t="s">
        <v>205</v>
      </c>
      <c r="K8" s="683">
        <v>10</v>
      </c>
      <c r="L8" s="888">
        <v>2.5</v>
      </c>
      <c r="M8" s="685">
        <f>L8*K8</f>
        <v>25</v>
      </c>
      <c r="O8" s="1047"/>
      <c r="P8" s="1068" t="s">
        <v>85</v>
      </c>
      <c r="Q8" s="1069"/>
      <c r="R8" s="1070">
        <f>X7</f>
        <v>69600</v>
      </c>
      <c r="S8" s="1071">
        <v>0.1</v>
      </c>
      <c r="T8" s="1072">
        <f>R8*S8</f>
        <v>6960</v>
      </c>
      <c r="U8" s="1047"/>
      <c r="V8" s="1047"/>
      <c r="W8" s="894" t="s">
        <v>169</v>
      </c>
      <c r="X8" s="895">
        <f>'Master Look Up'!N13</f>
        <v>34927.359999999993</v>
      </c>
      <c r="Y8" s="1073" t="s">
        <v>170</v>
      </c>
    </row>
    <row r="9" spans="1:27" ht="14.4" thickBot="1">
      <c r="A9" s="872"/>
      <c r="B9" s="897"/>
      <c r="C9" s="851"/>
      <c r="D9" s="852"/>
      <c r="E9" s="853"/>
      <c r="F9" s="854"/>
      <c r="J9" s="699" t="s">
        <v>206</v>
      </c>
      <c r="K9" s="683">
        <v>40</v>
      </c>
      <c r="L9" s="898">
        <v>1</v>
      </c>
      <c r="M9" s="685">
        <f>L9*K9</f>
        <v>40</v>
      </c>
      <c r="O9" s="1047"/>
      <c r="P9" s="1074" t="s">
        <v>169</v>
      </c>
      <c r="Q9" s="1069"/>
      <c r="R9" s="1075">
        <f>X8</f>
        <v>34927.359999999993</v>
      </c>
      <c r="S9" s="1076">
        <v>0.9</v>
      </c>
      <c r="T9" s="1077">
        <f t="shared" ref="T9" si="0">R9*S9</f>
        <v>31434.623999999996</v>
      </c>
      <c r="U9" s="1047"/>
      <c r="V9" s="1047"/>
      <c r="W9" s="1078" t="s">
        <v>177</v>
      </c>
      <c r="X9" s="1079"/>
      <c r="Y9" s="1080"/>
    </row>
    <row r="10" spans="1:27" ht="15" thickTop="1" thickBot="1">
      <c r="A10" s="905" t="s">
        <v>338</v>
      </c>
      <c r="B10" s="906" t="s">
        <v>339</v>
      </c>
      <c r="C10" s="907">
        <v>0.22</v>
      </c>
      <c r="D10" s="862"/>
      <c r="E10" s="863">
        <f>E8*C10</f>
        <v>6296.8884000000007</v>
      </c>
      <c r="F10" s="908"/>
      <c r="J10" s="722" t="s">
        <v>207</v>
      </c>
      <c r="K10" s="723"/>
      <c r="L10" s="724"/>
      <c r="M10" s="678">
        <f>SUM(M7:M9)</f>
        <v>305</v>
      </c>
      <c r="O10" s="1047"/>
      <c r="P10" s="1081" t="s">
        <v>340</v>
      </c>
      <c r="Q10" s="1082"/>
      <c r="R10" s="1083"/>
      <c r="S10" s="1084">
        <f>SUM(S8:S9)</f>
        <v>1</v>
      </c>
      <c r="T10" s="1085">
        <f>SUM(T8:T9)</f>
        <v>38394.623999999996</v>
      </c>
      <c r="U10" s="1047"/>
      <c r="V10" s="1047"/>
      <c r="W10" s="679"/>
      <c r="X10" s="1086"/>
      <c r="Y10" s="1087"/>
    </row>
    <row r="11" spans="1:27" ht="14.4" thickBot="1">
      <c r="A11" s="905" t="s">
        <v>341</v>
      </c>
      <c r="B11" s="906"/>
      <c r="C11" s="887"/>
      <c r="D11" s="862"/>
      <c r="E11" s="863">
        <f>SUM(E8,E10:E10)</f>
        <v>34919.108400000005</v>
      </c>
      <c r="F11" s="864"/>
      <c r="J11" s="913" t="s">
        <v>208</v>
      </c>
      <c r="K11" s="914"/>
      <c r="L11" s="915"/>
      <c r="M11" s="916">
        <f>M6-M10</f>
        <v>1775</v>
      </c>
      <c r="O11" s="1047"/>
      <c r="P11" s="1088" t="s">
        <v>183</v>
      </c>
      <c r="Q11" s="1089">
        <f>X14</f>
        <v>0.224</v>
      </c>
      <c r="R11" s="1090"/>
      <c r="S11" s="1091"/>
      <c r="T11" s="1092">
        <f>Q11*T10</f>
        <v>8600.3957759999994</v>
      </c>
      <c r="U11" s="1047"/>
      <c r="V11" s="1047"/>
      <c r="W11" s="679" t="s">
        <v>84</v>
      </c>
      <c r="X11" s="1086">
        <f>'Master Look Up'!E6</f>
        <v>159.61973086509079</v>
      </c>
      <c r="Y11" s="1093" t="s">
        <v>180</v>
      </c>
    </row>
    <row r="12" spans="1:27" ht="16.5" customHeight="1" thickBot="1">
      <c r="A12" s="872"/>
      <c r="B12" s="897"/>
      <c r="C12" s="851"/>
      <c r="D12" s="852"/>
      <c r="E12" s="853"/>
      <c r="F12" s="854"/>
      <c r="O12" s="1047"/>
      <c r="P12" s="1094" t="s">
        <v>225</v>
      </c>
      <c r="Q12" s="1095"/>
      <c r="R12" s="1096"/>
      <c r="S12" s="1097"/>
      <c r="T12" s="1098">
        <f>T10+T11</f>
        <v>46995.019775999994</v>
      </c>
      <c r="U12" s="1047"/>
      <c r="V12" s="1047"/>
      <c r="W12" s="679" t="s">
        <v>88</v>
      </c>
      <c r="X12" s="1086">
        <f>'Master Look Up'!E7</f>
        <v>1056.8783932396871</v>
      </c>
      <c r="Y12" s="1093" t="s">
        <v>180</v>
      </c>
    </row>
    <row r="13" spans="1:27" ht="18" customHeight="1" thickBot="1">
      <c r="A13" s="927" t="s">
        <v>342</v>
      </c>
      <c r="B13" s="928" t="s">
        <v>343</v>
      </c>
      <c r="C13" s="929">
        <v>0.11</v>
      </c>
      <c r="D13" s="930"/>
      <c r="E13" s="931">
        <f>C13*E11</f>
        <v>3841.1019240000005</v>
      </c>
      <c r="F13" s="864"/>
      <c r="O13" s="1047"/>
      <c r="P13" s="1099" t="str">
        <f>W11</f>
        <v>Staff Training 204</v>
      </c>
      <c r="Q13" s="1100"/>
      <c r="R13" s="1101"/>
      <c r="S13" s="1102"/>
      <c r="T13" s="1103">
        <f>S10*X11</f>
        <v>159.61973086509079</v>
      </c>
      <c r="U13" s="1047"/>
      <c r="V13" s="1047"/>
      <c r="W13" s="679"/>
      <c r="X13" s="1086"/>
      <c r="Y13" s="1093"/>
    </row>
    <row r="14" spans="1:27" ht="14.4" thickBot="1">
      <c r="A14" s="936" t="s">
        <v>344</v>
      </c>
      <c r="B14" s="936"/>
      <c r="C14" s="864"/>
      <c r="D14" s="930"/>
      <c r="E14" s="931">
        <f>SUM(E13:E13)</f>
        <v>3841.1019240000005</v>
      </c>
      <c r="F14" s="864"/>
      <c r="O14" s="1047"/>
      <c r="P14" s="1104" t="str">
        <f>W12</f>
        <v>Staff Mileage / Travel 205</v>
      </c>
      <c r="Q14" s="1049"/>
      <c r="R14" s="1049"/>
      <c r="S14" s="1049"/>
      <c r="T14" s="1105">
        <f>S10*X12</f>
        <v>1056.8783932396871</v>
      </c>
      <c r="U14" s="1047"/>
      <c r="V14" s="1047"/>
      <c r="W14" s="882" t="s">
        <v>183</v>
      </c>
      <c r="X14" s="1106">
        <f>'Master Look Up'!D25</f>
        <v>0.224</v>
      </c>
      <c r="Y14" s="1107" t="s">
        <v>143</v>
      </c>
    </row>
    <row r="15" spans="1:27" ht="15" thickTop="1">
      <c r="A15" s="940"/>
      <c r="B15" s="941"/>
      <c r="C15" s="942"/>
      <c r="D15" s="943"/>
      <c r="E15" s="944"/>
      <c r="F15" s="854"/>
      <c r="O15" s="1047"/>
      <c r="P15" s="795" t="s">
        <v>346</v>
      </c>
      <c r="Q15" s="1108"/>
      <c r="R15" s="1109"/>
      <c r="S15" s="1110"/>
      <c r="T15" s="1111">
        <f>SUM(T12:T14)</f>
        <v>48211.517900104765</v>
      </c>
      <c r="U15" s="1112"/>
      <c r="V15" s="1112"/>
      <c r="W15" s="679" t="s">
        <v>61</v>
      </c>
      <c r="X15" s="484">
        <v>3.7000000000000002E-3</v>
      </c>
      <c r="Y15" s="1113" t="s">
        <v>186</v>
      </c>
    </row>
    <row r="16" spans="1:27" ht="13.8">
      <c r="A16" s="948" t="s">
        <v>345</v>
      </c>
      <c r="B16" s="949"/>
      <c r="C16" s="950"/>
      <c r="D16" s="951"/>
      <c r="E16" s="931">
        <f>SUM(E11,E14)</f>
        <v>38760.210324000007</v>
      </c>
      <c r="F16" s="864"/>
      <c r="O16" s="1047"/>
      <c r="P16" s="1104" t="str">
        <f>W15</f>
        <v>PFMLA</v>
      </c>
      <c r="Q16" s="1114">
        <f>X15</f>
        <v>3.7000000000000002E-3</v>
      </c>
      <c r="R16" s="754"/>
      <c r="S16" s="1115"/>
      <c r="T16" s="1116">
        <f>T10*Q16</f>
        <v>142.06010879999999</v>
      </c>
      <c r="U16" s="1047"/>
      <c r="V16" s="1047"/>
      <c r="W16" s="696" t="s">
        <v>347</v>
      </c>
      <c r="X16" s="1117">
        <f>'Master Look Up'!D30</f>
        <v>0.12</v>
      </c>
      <c r="Y16" s="1118" t="s">
        <v>151</v>
      </c>
    </row>
    <row r="17" spans="1:25" ht="14.4" thickBot="1">
      <c r="A17" s="960"/>
      <c r="B17" s="961"/>
      <c r="G17" s="964" t="e">
        <f>#REF!</f>
        <v>#REF!</v>
      </c>
      <c r="H17" s="964"/>
      <c r="I17" s="964"/>
      <c r="J17" s="964"/>
      <c r="K17" s="964"/>
      <c r="L17" s="964"/>
      <c r="M17" s="964"/>
      <c r="N17" s="964"/>
      <c r="O17" s="1047"/>
      <c r="P17" s="703" t="s">
        <v>347</v>
      </c>
      <c r="Q17" s="1119">
        <f>X16</f>
        <v>0.12</v>
      </c>
      <c r="R17" s="1120"/>
      <c r="S17" s="1121"/>
      <c r="T17" s="1105">
        <f>Q17*T15</f>
        <v>5785.3821480125716</v>
      </c>
      <c r="U17" s="1047"/>
      <c r="V17" s="1047"/>
      <c r="W17" s="1122" t="s">
        <v>348</v>
      </c>
      <c r="X17" s="1123">
        <f>'Master Look Up'!D33</f>
        <v>1.0633805350099574E-2</v>
      </c>
      <c r="Y17" s="1073" t="s">
        <v>153</v>
      </c>
    </row>
    <row r="18" spans="1:25" ht="15" thickTop="1" thickBot="1">
      <c r="A18" s="969" t="s">
        <v>349</v>
      </c>
      <c r="D18" s="838"/>
      <c r="E18" s="962"/>
      <c r="F18" s="971" t="s">
        <v>350</v>
      </c>
      <c r="G18" s="972"/>
      <c r="O18" s="1047"/>
      <c r="P18" s="1124" t="s">
        <v>188</v>
      </c>
      <c r="Q18" s="1125"/>
      <c r="R18" s="1126"/>
      <c r="S18" s="1127"/>
      <c r="T18" s="1128">
        <f>SUM(T15:T17)</f>
        <v>54138.960156917332</v>
      </c>
      <c r="U18" s="1047"/>
      <c r="V18" s="1047"/>
      <c r="W18" s="673"/>
      <c r="X18" s="1129"/>
      <c r="Y18" s="1130"/>
    </row>
    <row r="19" spans="1:25" ht="14.4" thickBot="1">
      <c r="A19" s="988" t="s">
        <v>360</v>
      </c>
      <c r="B19" s="1131"/>
      <c r="C19" s="835"/>
      <c r="D19" s="990"/>
      <c r="E19" s="991"/>
      <c r="F19" s="982" t="s">
        <v>361</v>
      </c>
      <c r="G19" s="983">
        <f>D7</f>
        <v>1</v>
      </c>
      <c r="H19" s="984"/>
      <c r="I19" s="984"/>
      <c r="J19" s="984"/>
      <c r="K19" s="984"/>
      <c r="L19" s="984"/>
      <c r="M19" s="984"/>
      <c r="N19" s="984"/>
      <c r="O19" s="1047"/>
      <c r="P19" s="1132" t="s">
        <v>354</v>
      </c>
      <c r="Q19" s="1133" t="s">
        <v>189</v>
      </c>
      <c r="R19" s="1134">
        <f>X17</f>
        <v>1.0633805350099574E-2</v>
      </c>
      <c r="S19" s="1135"/>
      <c r="T19" s="1136">
        <f>T18*(R19+1)</f>
        <v>54714.663321082786</v>
      </c>
      <c r="U19" s="1137"/>
      <c r="V19" s="1138"/>
      <c r="W19" s="1047"/>
      <c r="X19" s="1042"/>
      <c r="Y19" s="1048"/>
    </row>
    <row r="20" spans="1:25" ht="13.8">
      <c r="A20" s="988"/>
      <c r="B20" s="989" t="s">
        <v>362</v>
      </c>
      <c r="C20" s="835">
        <v>3</v>
      </c>
      <c r="D20" s="990">
        <v>40</v>
      </c>
      <c r="E20" s="991">
        <f>C20*D20</f>
        <v>120</v>
      </c>
      <c r="F20" s="982" t="s">
        <v>363</v>
      </c>
      <c r="G20" s="1139" t="e">
        <f>G21/4</f>
        <v>#REF!</v>
      </c>
      <c r="H20" s="1140"/>
      <c r="I20" s="1140"/>
      <c r="J20" s="1140"/>
      <c r="K20" s="1140"/>
      <c r="L20" s="1140"/>
      <c r="M20" s="1140"/>
      <c r="N20" s="1140"/>
      <c r="O20" s="1138"/>
      <c r="P20" s="1141" t="s">
        <v>364</v>
      </c>
      <c r="Q20" s="1142"/>
      <c r="R20" s="1142"/>
      <c r="S20" s="1142"/>
      <c r="T20" s="1143">
        <f>(T19/R6)/4</f>
        <v>7.7062906086032097</v>
      </c>
      <c r="U20" s="1144"/>
      <c r="V20" s="779"/>
      <c r="W20" s="1047"/>
      <c r="X20" s="1042"/>
      <c r="Y20" s="1048"/>
    </row>
    <row r="21" spans="1:25" ht="13.8">
      <c r="A21" s="988"/>
      <c r="B21" s="1145" t="s">
        <v>300</v>
      </c>
      <c r="C21" s="835">
        <v>8</v>
      </c>
      <c r="D21" s="990">
        <v>10</v>
      </c>
      <c r="E21" s="991">
        <f>C21*D21</f>
        <v>80</v>
      </c>
      <c r="F21" s="982" t="s">
        <v>365</v>
      </c>
      <c r="G21" s="983" t="e">
        <f>#REF!/(#REF!*G19)</f>
        <v>#REF!</v>
      </c>
      <c r="H21" s="984" t="s">
        <v>366</v>
      </c>
      <c r="I21" s="984"/>
      <c r="J21" s="984"/>
      <c r="K21" s="984"/>
      <c r="L21" s="984"/>
      <c r="M21" s="984"/>
      <c r="N21" s="984"/>
      <c r="O21" s="1047"/>
      <c r="P21" s="1141" t="s">
        <v>367</v>
      </c>
      <c r="Q21" s="1142"/>
      <c r="R21" s="1142"/>
      <c r="S21" s="1142"/>
      <c r="T21" s="1143">
        <f>T20/2</f>
        <v>3.8531453043016048</v>
      </c>
      <c r="U21" s="1144"/>
      <c r="V21" s="779"/>
      <c r="W21" s="1047"/>
      <c r="X21" s="1146"/>
      <c r="Y21" s="1048"/>
    </row>
    <row r="22" spans="1:25" ht="13.8">
      <c r="A22" s="988"/>
      <c r="B22" s="970" t="s">
        <v>368</v>
      </c>
      <c r="C22" s="838">
        <v>4</v>
      </c>
      <c r="D22" s="962">
        <v>52</v>
      </c>
      <c r="E22" s="991">
        <f>C22*D22</f>
        <v>208</v>
      </c>
      <c r="F22" s="1147" t="s">
        <v>369</v>
      </c>
      <c r="G22" s="1148" t="e">
        <f>G21*(1+0.0327)</f>
        <v>#REF!</v>
      </c>
      <c r="H22" s="1149" t="e">
        <f>G22*($G$17+1)</f>
        <v>#REF!</v>
      </c>
      <c r="I22" s="1149"/>
      <c r="J22" s="1149"/>
      <c r="K22" s="1149"/>
      <c r="L22" s="1149"/>
      <c r="M22" s="1149"/>
      <c r="N22" s="1149"/>
      <c r="O22" s="1150"/>
      <c r="P22" s="1141" t="s">
        <v>370</v>
      </c>
      <c r="Q22" s="1142"/>
      <c r="R22" s="1142"/>
      <c r="S22" s="1142"/>
      <c r="T22" s="1143">
        <f>T20/3</f>
        <v>2.5687635362010699</v>
      </c>
      <c r="U22" s="1144"/>
      <c r="V22" s="779"/>
      <c r="W22" s="1047"/>
      <c r="X22" s="1042"/>
      <c r="Y22" s="1048"/>
    </row>
    <row r="23" spans="1:25" ht="14.4" thickBot="1">
      <c r="O23" s="1047"/>
      <c r="P23" s="1151" t="s">
        <v>371</v>
      </c>
      <c r="Q23" s="1152"/>
      <c r="R23" s="1152"/>
      <c r="S23" s="1152"/>
      <c r="T23" s="1153">
        <f>(T20*9)*4</f>
        <v>277.42646190971556</v>
      </c>
      <c r="U23" s="1144"/>
      <c r="V23" s="779"/>
      <c r="W23" s="1047"/>
      <c r="X23" s="1042"/>
      <c r="Y23" s="1048"/>
    </row>
    <row r="24" spans="1:25" ht="13.8">
      <c r="O24" s="1047"/>
      <c r="P24" s="1047"/>
      <c r="Q24" s="1047"/>
      <c r="R24" s="1047"/>
      <c r="S24" s="1047"/>
      <c r="T24" s="1047"/>
      <c r="U24" s="1047"/>
      <c r="V24" s="1047"/>
      <c r="W24" s="1047"/>
      <c r="X24" s="1042"/>
      <c r="Y24" s="1048"/>
    </row>
    <row r="25" spans="1:25" ht="13.8">
      <c r="O25" s="1047"/>
      <c r="P25" s="1047"/>
      <c r="Q25" s="1047"/>
      <c r="R25" s="1047"/>
      <c r="S25" s="1047"/>
      <c r="T25" s="1047"/>
      <c r="U25" s="1047"/>
      <c r="V25" s="1047"/>
      <c r="W25" s="1047"/>
      <c r="X25" s="1042"/>
      <c r="Y25" s="1048"/>
    </row>
    <row r="26" spans="1:25" ht="13.8">
      <c r="O26" s="1047"/>
      <c r="P26" s="1047"/>
      <c r="Q26" s="1047"/>
      <c r="R26" s="1047"/>
      <c r="S26" s="1047"/>
      <c r="T26" s="1047"/>
      <c r="U26" s="1047"/>
      <c r="V26" s="1047"/>
      <c r="W26" s="1047"/>
      <c r="X26" s="1042"/>
      <c r="Y26" s="1048"/>
    </row>
    <row r="27" spans="1:25" ht="13.8">
      <c r="O27" s="1047"/>
      <c r="P27" s="1047"/>
      <c r="Q27" s="1047"/>
      <c r="R27" s="1047"/>
      <c r="S27" s="1047"/>
      <c r="T27" s="1047"/>
      <c r="U27" s="1047"/>
      <c r="V27" s="1047"/>
      <c r="W27" s="1047"/>
      <c r="X27" s="1042"/>
      <c r="Y27" s="1048"/>
    </row>
    <row r="28" spans="1:25" ht="13.8">
      <c r="O28" s="1047"/>
      <c r="P28" s="1047"/>
      <c r="Q28" s="1047"/>
      <c r="R28" s="1047"/>
      <c r="S28" s="1047"/>
      <c r="T28" s="1047"/>
      <c r="U28" s="1047"/>
      <c r="V28" s="1047"/>
      <c r="W28" s="1047"/>
      <c r="X28" s="1042"/>
      <c r="Y28" s="1048"/>
    </row>
  </sheetData>
  <mergeCells count="4">
    <mergeCell ref="P5:T5"/>
    <mergeCell ref="W5:Y5"/>
    <mergeCell ref="W6:X6"/>
    <mergeCell ref="W9:Y9"/>
  </mergeCells>
  <pageMargins left="0.75" right="0.75" top="1" bottom="1" header="0.5" footer="0.5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Chart</vt:lpstr>
      <vt:lpstr>Master Look Up</vt:lpstr>
      <vt:lpstr>AdultCompanion</vt:lpstr>
      <vt:lpstr>Aut-FamSupCtrs Final</vt:lpstr>
      <vt:lpstr>AWC Admin - Family Nav</vt:lpstr>
      <vt:lpstr>BehavioralSupport</vt:lpstr>
      <vt:lpstr>Family Training </vt:lpstr>
      <vt:lpstr>Peer Suppt</vt:lpstr>
      <vt:lpstr>Respite Recipient Home </vt:lpstr>
      <vt:lpstr>Fin. Assistance Admin</vt:lpstr>
      <vt:lpstr>MCB FAMS</vt:lpstr>
      <vt:lpstr>Med Complex </vt:lpstr>
      <vt:lpstr>Respite Caregiver Home</vt:lpstr>
      <vt:lpstr>Site Based Respite</vt:lpstr>
      <vt:lpstr>IFFS</vt:lpstr>
      <vt:lpstr>Spring 2021 CAF</vt:lpstr>
      <vt:lpstr>DCFClinicalComp</vt:lpstr>
      <vt:lpstr>Ed Coordination</vt:lpstr>
      <vt:lpstr>Specialty Family Skills Group</vt:lpstr>
      <vt:lpstr>Family Skills Dev Group</vt:lpstr>
      <vt:lpstr>Parent Skill Dev Group</vt:lpstr>
      <vt:lpstr>Unbundled IFC Support</vt:lpstr>
      <vt:lpstr>HOURLY &amp; AFTER SCHOOL</vt:lpstr>
      <vt:lpstr>Adolescent Supprt Network model</vt:lpstr>
      <vt:lpstr>Add on Rates </vt:lpstr>
      <vt:lpstr>'Add on Rates '!Print_Area</vt:lpstr>
      <vt:lpstr>AdultCompanion!Print_Area</vt:lpstr>
      <vt:lpstr>'Aut-FamSupCtrs Final'!Print_Area</vt:lpstr>
      <vt:lpstr>'AWC Admin - Family Nav'!Print_Area</vt:lpstr>
      <vt:lpstr>BehavioralSupport!Print_Area</vt:lpstr>
      <vt:lpstr>Chart!Print_Area</vt:lpstr>
      <vt:lpstr>DCFClinicalComp!Print_Area</vt:lpstr>
      <vt:lpstr>'Ed Coordination'!Print_Area</vt:lpstr>
      <vt:lpstr>'Family Skills Dev Group'!Print_Area</vt:lpstr>
      <vt:lpstr>'Family Training '!Print_Area</vt:lpstr>
      <vt:lpstr>'Fin. Assistance Admin'!Print_Area</vt:lpstr>
      <vt:lpstr>'HOURLY &amp; AFTER SCHOOL'!Print_Area</vt:lpstr>
      <vt:lpstr>IFFS!Print_Area</vt:lpstr>
      <vt:lpstr>'Med Complex '!Print_Area</vt:lpstr>
      <vt:lpstr>'Parent Skill Dev Group'!Print_Area</vt:lpstr>
      <vt:lpstr>'Peer Suppt'!Print_Area</vt:lpstr>
      <vt:lpstr>'Respite Caregiver Home'!Print_Area</vt:lpstr>
      <vt:lpstr>'Respite Recipient Home '!Print_Area</vt:lpstr>
      <vt:lpstr>'Site Based Respite'!Print_Area</vt:lpstr>
      <vt:lpstr>'Specialty Family Skills Group'!Print_Area</vt:lpstr>
      <vt:lpstr>'Unbundled IFC Support'!Print_Area</vt:lpstr>
      <vt:lpstr>'Spring 2021 CAF'!Print_Titles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2021-10-18T17:04:25Z</dcterms:created>
  <dcterms:modified xsi:type="dcterms:W3CDTF">2021-10-18T17:12:41Z</dcterms:modified>
</cp:coreProperties>
</file>