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X:\Administrative Services-POS Policy Office\Rate Setting\Rate Projects\Family Stab-CMR 414\2024 &amp; 2025 reviews\Rate Review Jan 1, 2024\3. Signoff\Website\"/>
    </mc:Choice>
  </mc:AlternateContent>
  <xr:revisionPtr revIDLastSave="0" documentId="8_{BFD5A9AC-3FD6-47DA-BE2B-E4D6DEFAE20F}" xr6:coauthVersionLast="47" xr6:coauthVersionMax="47" xr10:uidLastSave="{00000000-0000-0000-0000-000000000000}"/>
  <bookViews>
    <workbookView xWindow="28680" yWindow="-120" windowWidth="29040" windowHeight="15840" tabRatio="856" xr2:uid="{4D389071-3D54-48EA-847B-2187DE522C68}"/>
  </bookViews>
  <sheets>
    <sheet name="Rates" sheetId="3" r:id="rId1"/>
    <sheet name="M2022 BLS SALARY CHART (53_PCT)" sheetId="1" r:id="rId2"/>
    <sheet name="CAF Spring 2023" sheetId="2" r:id="rId3"/>
    <sheet name="Below the Line" sheetId="4" r:id="rId4"/>
    <sheet name="Master Lookup" sheetId="5" r:id="rId5"/>
    <sheet name="Aut-FamSupCtrs FY24" sheetId="6" r:id="rId6"/>
    <sheet name="AWC Admin-Family Nav FY24" sheetId="7" r:id="rId7"/>
    <sheet name="BehavioralSupport FY24" sheetId="8" r:id="rId8"/>
    <sheet name="Family Training FY24" sheetId="9" r:id="rId9"/>
    <sheet name="Fin. Assistance Admin FY24" sheetId="10" r:id="rId10"/>
    <sheet name="IFFS FY24" sheetId="11" r:id="rId11"/>
    <sheet name="Med Complex FY24" sheetId="12" r:id="rId12"/>
    <sheet name="Peer Suppt FY24" sheetId="13" r:id="rId13"/>
    <sheet name="Respite Recipient Home FY24" sheetId="14" r:id="rId14"/>
    <sheet name="Respite Caregiver Home FY24" sheetId="15" r:id="rId15"/>
    <sheet name="MCB FAMS FY24" sheetId="16" r:id="rId16"/>
    <sheet name="DCFClinicalComp FY24" sheetId="17" r:id="rId17"/>
    <sheet name="Specialty Fam Skills Grp FY24" sheetId="18" r:id="rId18"/>
    <sheet name="Ed Coordination FY24" sheetId="21" r:id="rId19"/>
    <sheet name="Family Skills Dev Group FY24" sheetId="19" r:id="rId20"/>
    <sheet name="Clinical Non Clinical " sheetId="22" r:id="rId21"/>
    <sheet name="Parent Skill Dev Group FY24" sheetId="20" r:id="rId22"/>
    <sheet name="Adolescent Supprt Network FY24" sheetId="23"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xlnm._FilterDatabase" localSheetId="0" hidden="1">Rates!$B$2:$F$109</definedName>
    <definedName name="_Key1" localSheetId="22" hidden="1">#REF!</definedName>
    <definedName name="_Key1" localSheetId="20" hidden="1">#REF!</definedName>
    <definedName name="_Key1" localSheetId="18" hidden="1">#REF!</definedName>
    <definedName name="_Key1" hidden="1">#REF!</definedName>
    <definedName name="_Sort" localSheetId="22" hidden="1">#REF!</definedName>
    <definedName name="_Sort" localSheetId="20" hidden="1">#REF!</definedName>
    <definedName name="_Sort" localSheetId="18" hidden="1">#REF!</definedName>
    <definedName name="_Sort" hidden="1">#REF!</definedName>
    <definedName name="alldata" localSheetId="22">#REF!</definedName>
    <definedName name="alldata" localSheetId="20">#REF!</definedName>
    <definedName name="alldata" localSheetId="18">#REF!</definedName>
    <definedName name="alldata" localSheetId="1">#REF!</definedName>
    <definedName name="alldata">#REF!</definedName>
    <definedName name="alled" localSheetId="22">#REF!</definedName>
    <definedName name="alled" localSheetId="20">#REF!</definedName>
    <definedName name="alled" localSheetId="18">#REF!</definedName>
    <definedName name="alled" localSheetId="1">#REF!</definedName>
    <definedName name="alled">#REF!</definedName>
    <definedName name="allstem" localSheetId="22">#REF!</definedName>
    <definedName name="allstem" localSheetId="20">#REF!</definedName>
    <definedName name="allstem" localSheetId="18">#REF!</definedName>
    <definedName name="allstem" localSheetId="1">#REF!</definedName>
    <definedName name="allstem">#REF!</definedName>
    <definedName name="Area">[3]Sheet2!$A$2:$A$28</definedName>
    <definedName name="ARENEW">[4]amendA!$B$1:$U$51</definedName>
    <definedName name="asdfasd" localSheetId="5">'[5]Complete UFR List'!#REF!</definedName>
    <definedName name="asdfasd" localSheetId="8">'[5]Complete UFR List'!#REF!</definedName>
    <definedName name="asdfasd" localSheetId="13">'[5]Complete UFR List'!#REF!</definedName>
    <definedName name="asdfasd">'[5]Complete UFR List'!#REF!</definedName>
    <definedName name="asdfasdf" localSheetId="8">'[5]Complete UFR List'!#REF!</definedName>
    <definedName name="asdfasdf" localSheetId="13">'[5]Complete UFR List'!#REF!</definedName>
    <definedName name="asdfasdf">'[5]Complete UFR List'!#REF!</definedName>
    <definedName name="ATTABOY">[4]amendA!$B$2:$S$2</definedName>
    <definedName name="AutoInsurance">[6]Universal!$C$19</definedName>
    <definedName name="autsupp2" localSheetId="22">#REF!</definedName>
    <definedName name="autsupp2" localSheetId="5">#REF!</definedName>
    <definedName name="autsupp2" localSheetId="20">#REF!</definedName>
    <definedName name="autsupp2" localSheetId="18">#REF!</definedName>
    <definedName name="autsupp2" localSheetId="8">#REF!</definedName>
    <definedName name="autsupp2" localSheetId="13">#REF!</definedName>
    <definedName name="autsupp2">#REF!</definedName>
    <definedName name="Average" localSheetId="22">#REF!</definedName>
    <definedName name="Average" localSheetId="20">#REF!</definedName>
    <definedName name="Average" localSheetId="18">#REF!</definedName>
    <definedName name="Average">#REF!</definedName>
    <definedName name="BB6_4" localSheetId="22">#REF!</definedName>
    <definedName name="BB6_4" localSheetId="20">#REF!</definedName>
    <definedName name="BB6_4" localSheetId="18">#REF!</definedName>
    <definedName name="BB6_4">#REF!</definedName>
    <definedName name="Break">'[7]Tech Stuff'!$E$4</definedName>
    <definedName name="CAF_NEW">[8]RawDataCalcs!$L$70:$DB$70</definedName>
    <definedName name="Cap" localSheetId="1">[9]RawDataCalcs!$L$35:$DB$35</definedName>
    <definedName name="Cap">[10]RawDataCalcs!$L$17:$DB$17</definedName>
    <definedName name="capa">[10]RawDataCalcs!$L$17:$DB$17</definedName>
    <definedName name="COLA">[6]Universal!$C$12</definedName>
    <definedName name="Data" localSheetId="22">#REF!</definedName>
    <definedName name="Data" localSheetId="20">#REF!</definedName>
    <definedName name="Data" localSheetId="18">#REF!</definedName>
    <definedName name="Data">#REF!</definedName>
    <definedName name="Electricity">[6]Universal!$C$21</definedName>
    <definedName name="Fisc" localSheetId="5">'[5]Complete UFR List'!#REF!</definedName>
    <definedName name="Fisc" localSheetId="8">'[5]Complete UFR List'!#REF!</definedName>
    <definedName name="Fisc" localSheetId="13">'[5]Complete UFR List'!#REF!</definedName>
    <definedName name="Fisc">'[5]Complete UFR List'!#REF!</definedName>
    <definedName name="FiveDay">[6]Universal!$C$17</definedName>
    <definedName name="Floor" localSheetId="1">[9]RawDataCalcs!$L$34:$DB$34</definedName>
    <definedName name="Floor">[10]RawDataCalcs!$L$16:$DB$16</definedName>
    <definedName name="Fringe">[6]Universal!$C$8</definedName>
    <definedName name="FROM">[4]amendA!$G$7</definedName>
    <definedName name="Funds">'[11]RawDataCalcs3386&amp;3401'!$L$68:$DB$68</definedName>
    <definedName name="GA">[6]Universal!$C$13</definedName>
    <definedName name="Gas">[6]Universal!$C$22</definedName>
    <definedName name="gk" localSheetId="22">#REF!</definedName>
    <definedName name="gk" localSheetId="5">#REF!</definedName>
    <definedName name="gk" localSheetId="20">#REF!</definedName>
    <definedName name="gk" localSheetId="18">#REF!</definedName>
    <definedName name="gk" localSheetId="19">#REF!</definedName>
    <definedName name="gk" localSheetId="8">#REF!</definedName>
    <definedName name="gk" localSheetId="21">#REF!</definedName>
    <definedName name="gk" localSheetId="13">#REF!</definedName>
    <definedName name="gk" localSheetId="17">#REF!</definedName>
    <definedName name="gk">#REF!</definedName>
    <definedName name="hhh" localSheetId="22">#REF!</definedName>
    <definedName name="hhh" localSheetId="20">#REF!</definedName>
    <definedName name="hhh" localSheetId="18">#REF!</definedName>
    <definedName name="hhh">#REF!</definedName>
    <definedName name="Holidays">[6]Universal!$C$49:$C$59</definedName>
    <definedName name="JailDAverage" localSheetId="22">#REF!</definedName>
    <definedName name="JailDAverage" localSheetId="20">#REF!</definedName>
    <definedName name="JailDAverage" localSheetId="18">#REF!</definedName>
    <definedName name="JailDAverage">#REF!</definedName>
    <definedName name="JailDCap">[12]ALLRawDataCalcs!$L$80:$DB$80</definedName>
    <definedName name="JailDFloor">[12]ALLRawDataCalcs!$L$79:$DB$79</definedName>
    <definedName name="JailDgk" localSheetId="22">#REF!</definedName>
    <definedName name="JailDgk" localSheetId="20">#REF!</definedName>
    <definedName name="JailDgk" localSheetId="18">#REF!</definedName>
    <definedName name="JailDgk">#REF!</definedName>
    <definedName name="JailDMax" localSheetId="22">#REF!</definedName>
    <definedName name="JailDMax" localSheetId="20">#REF!</definedName>
    <definedName name="JailDMax" localSheetId="18">#REF!</definedName>
    <definedName name="JailDMax">#REF!</definedName>
    <definedName name="JailDMedian" localSheetId="22">#REF!</definedName>
    <definedName name="JailDMedian" localSheetId="20">#REF!</definedName>
    <definedName name="JailDMedian" localSheetId="18">#REF!</definedName>
    <definedName name="JailDMedian">#REF!</definedName>
    <definedName name="jm" localSheetId="5">'[5]Complete UFR List'!#REF!</definedName>
    <definedName name="jm" localSheetId="8">'[5]Complete UFR List'!#REF!</definedName>
    <definedName name="jm" localSheetId="13">'[5]Complete UFR List'!#REF!</definedName>
    <definedName name="jm">'[5]Complete UFR List'!#REF!</definedName>
    <definedName name="kls" localSheetId="22">#REF!</definedName>
    <definedName name="kls" localSheetId="20">#REF!</definedName>
    <definedName name="kls" localSheetId="18">#REF!</definedName>
    <definedName name="kls">#REF!</definedName>
    <definedName name="ListProviders">'[13]List of Programs'!$A$24:$A$29</definedName>
    <definedName name="Max" localSheetId="22">#REF!</definedName>
    <definedName name="Max" localSheetId="20">#REF!</definedName>
    <definedName name="Max" localSheetId="18">#REF!</definedName>
    <definedName name="Max">#REF!</definedName>
    <definedName name="Median" localSheetId="22">#REF!</definedName>
    <definedName name="Median" localSheetId="20">#REF!</definedName>
    <definedName name="Median" localSheetId="18">#REF!</definedName>
    <definedName name="Median">#REF!</definedName>
    <definedName name="Min" localSheetId="22">#REF!</definedName>
    <definedName name="Min" localSheetId="20">#REF!</definedName>
    <definedName name="Min" localSheetId="18">#REF!</definedName>
    <definedName name="Min">#REF!</definedName>
    <definedName name="mr" localSheetId="22">#REF!</definedName>
    <definedName name="mr" localSheetId="20">#REF!</definedName>
    <definedName name="mr" localSheetId="18">#REF!</definedName>
    <definedName name="mr">#REF!</definedName>
    <definedName name="MT" localSheetId="22">#REF!</definedName>
    <definedName name="MT" localSheetId="5">#REF!</definedName>
    <definedName name="MT" localSheetId="20">#REF!</definedName>
    <definedName name="MT" localSheetId="18">#REF!</definedName>
    <definedName name="MT" localSheetId="19">#REF!</definedName>
    <definedName name="MT" localSheetId="8">#REF!</definedName>
    <definedName name="MT" localSheetId="21">#REF!</definedName>
    <definedName name="MT" localSheetId="13">#REF!</definedName>
    <definedName name="MT" localSheetId="17">#REF!</definedName>
    <definedName name="MT">#REF!</definedName>
    <definedName name="new" localSheetId="22">#REF!</definedName>
    <definedName name="new" localSheetId="20">#REF!</definedName>
    <definedName name="new" localSheetId="18">#REF!</definedName>
    <definedName name="new">#REF!</definedName>
    <definedName name="Oil">[6]Universal!$C$23</definedName>
    <definedName name="ok" localSheetId="22">#REF!</definedName>
    <definedName name="ok" localSheetId="20">#REF!</definedName>
    <definedName name="ok" localSheetId="18">#REF!</definedName>
    <definedName name="ok">#REF!</definedName>
    <definedName name="Paydays">[6]Universal!$C$33:$N$33</definedName>
    <definedName name="Phone">[6]Universal!$C$25</definedName>
    <definedName name="_xlnm.Print_Area" localSheetId="5">'Aut-FamSupCtrs FY24'!#REF!</definedName>
    <definedName name="_xlnm.Print_Area" localSheetId="6">'AWC Admin-Family Nav FY24'!$A$2:$L$55</definedName>
    <definedName name="_xlnm.Print_Area" localSheetId="7">'BehavioralSupport FY24'!$B$2:$M$71</definedName>
    <definedName name="_xlnm.Print_Area" localSheetId="20">'Clinical Non Clinical '!$F$1:$AJ$36</definedName>
    <definedName name="_xlnm.Print_Area" localSheetId="16">'DCFClinicalComp FY24'!$H$1:$AU$80</definedName>
    <definedName name="_xlnm.Print_Area" localSheetId="18">'Ed Coordination FY24'!#REF!</definedName>
    <definedName name="_xlnm.Print_Area" localSheetId="19">'Family Skills Dev Group FY24'!#REF!</definedName>
    <definedName name="_xlnm.Print_Area" localSheetId="8">'Family Training FY24'!$G$2:$P$30</definedName>
    <definedName name="_xlnm.Print_Area" localSheetId="9">'Fin. Assistance Admin FY24'!$B$4:$C$25</definedName>
    <definedName name="_xlnm.Print_Area" localSheetId="10">'IFFS FY24'!$B$1:$L$1</definedName>
    <definedName name="_xlnm.Print_Area" localSheetId="1">'M2022 BLS SALARY CHART (53_PCT)'!$B$1:$E$46</definedName>
    <definedName name="_xlnm.Print_Area" localSheetId="11">'Med Complex FY24'!$B$1:$B$3</definedName>
    <definedName name="_xlnm.Print_Area" localSheetId="21">'Parent Skill Dev Group FY24'!#REF!</definedName>
    <definedName name="_xlnm.Print_Area" localSheetId="12">'Peer Suppt FY24'!$D$2:$I$21</definedName>
    <definedName name="_xlnm.Print_Area" localSheetId="14">'Respite Caregiver Home FY24'!$D$1:$H$11</definedName>
    <definedName name="_xlnm.Print_Area" localSheetId="13">'Respite Recipient Home FY24'!$D$3:$J$22</definedName>
    <definedName name="_xlnm.Print_Area" localSheetId="17">'Specialty Fam Skills Grp FY24'!$E$2:$E$38</definedName>
    <definedName name="_xlnm.Print_Titles" localSheetId="2">'CAF Spring 2023'!$A:$A</definedName>
    <definedName name="Program_File" localSheetId="22">#REF!</definedName>
    <definedName name="Program_File" localSheetId="20">#REF!</definedName>
    <definedName name="Program_File" localSheetId="18">#REF!</definedName>
    <definedName name="Program_File">#REF!</definedName>
    <definedName name="Programs">'[13]List of Programs'!$B$3:$B$19</definedName>
    <definedName name="PropInsurance">[6]Universal!$C$20</definedName>
    <definedName name="ProvFTE">'[14]FTE Data'!$A$3:$AW$56</definedName>
    <definedName name="PTO_Hours">[6]Universal!$F$72:$F$78</definedName>
    <definedName name="PTO_Years">[6]Universal!$B$72:$B$78</definedName>
    <definedName name="PurchasedBy">'[14]FTE Data'!$C$263:$AZ$657</definedName>
    <definedName name="REGION">[3]Sheet2!$B$1:$B$5</definedName>
    <definedName name="Relief">[6]Universal!$C$14</definedName>
    <definedName name="resmay2007" localSheetId="22">#REF!</definedName>
    <definedName name="resmay2007" localSheetId="20">#REF!</definedName>
    <definedName name="resmay2007" localSheetId="18">#REF!</definedName>
    <definedName name="resmay2007">#REF!</definedName>
    <definedName name="SevenDay">[6]Universal!$C$18</definedName>
    <definedName name="sheet1" localSheetId="22">#REF!</definedName>
    <definedName name="sheet1" localSheetId="20">#REF!</definedName>
    <definedName name="sheet1" localSheetId="18">#REF!</definedName>
    <definedName name="sheet1" localSheetId="1">#REF!</definedName>
    <definedName name="sheet1">#REF!</definedName>
    <definedName name="Site_list">[14]Lists!$A$2:$A$53</definedName>
    <definedName name="Source" localSheetId="22">#REF!</definedName>
    <definedName name="Source" localSheetId="5">#REF!</definedName>
    <definedName name="Source" localSheetId="20">#REF!</definedName>
    <definedName name="Source" localSheetId="18">#REF!</definedName>
    <definedName name="Source" localSheetId="19">#REF!</definedName>
    <definedName name="Source" localSheetId="8">#REF!</definedName>
    <definedName name="Source" localSheetId="21">#REF!</definedName>
    <definedName name="Source" localSheetId="13">#REF!</definedName>
    <definedName name="Source" localSheetId="17">#REF!</definedName>
    <definedName name="Source">#REF!</definedName>
    <definedName name="Source_2" localSheetId="22">#REF!</definedName>
    <definedName name="Source_2" localSheetId="5">#REF!</definedName>
    <definedName name="Source_2" localSheetId="20">#REF!</definedName>
    <definedName name="Source_2" localSheetId="18">#REF!</definedName>
    <definedName name="Source_2" localSheetId="19">#REF!</definedName>
    <definedName name="Source_2" localSheetId="8">#REF!</definedName>
    <definedName name="Source_2" localSheetId="21">#REF!</definedName>
    <definedName name="Source_2" localSheetId="13">#REF!</definedName>
    <definedName name="Source_2" localSheetId="17">#REF!</definedName>
    <definedName name="Source_2">#REF!</definedName>
    <definedName name="SourcePathAndFileName" localSheetId="22">#REF!</definedName>
    <definedName name="SourcePathAndFileName" localSheetId="20">#REF!</definedName>
    <definedName name="SourcePathAndFileName" localSheetId="18">#REF!</definedName>
    <definedName name="SourcePathAndFileName">#REF!</definedName>
    <definedName name="StaffApp">[6]Universal!$C$11</definedName>
    <definedName name="Tax">[6]Universal!$C$7</definedName>
    <definedName name="TO">[4]amendA!$K$7:$O$7</definedName>
    <definedName name="Total_UFR" localSheetId="22">#REF!</definedName>
    <definedName name="Total_UFR" localSheetId="5">#REF!</definedName>
    <definedName name="Total_UFR" localSheetId="20">#REF!</definedName>
    <definedName name="Total_UFR" localSheetId="18">#REF!</definedName>
    <definedName name="Total_UFR" localSheetId="19">#REF!</definedName>
    <definedName name="Total_UFR" localSheetId="8">#REF!</definedName>
    <definedName name="Total_UFR" localSheetId="21">#REF!</definedName>
    <definedName name="Total_UFR" localSheetId="13">#REF!</definedName>
    <definedName name="Total_UFR" localSheetId="17">#REF!</definedName>
    <definedName name="Total_UFR">#REF!</definedName>
    <definedName name="Total_UFRs" localSheetId="22">#REF!</definedName>
    <definedName name="Total_UFRs" localSheetId="20">#REF!</definedName>
    <definedName name="Total_UFRs" localSheetId="18">#REF!</definedName>
    <definedName name="Total_UFRs">#REF!</definedName>
    <definedName name="Total_UFRs_" localSheetId="22">#REF!</definedName>
    <definedName name="Total_UFRs_" localSheetId="20">#REF!</definedName>
    <definedName name="Total_UFRs_" localSheetId="18">#REF!</definedName>
    <definedName name="Total_UFRs_">#REF!</definedName>
    <definedName name="TotalDays">[6]Universal!$C$30:$N$30</definedName>
    <definedName name="UFR" localSheetId="5">'[5]Complete UFR List'!#REF!</definedName>
    <definedName name="UFR" localSheetId="18">'[5]Complete UFR List'!#REF!</definedName>
    <definedName name="UFR" localSheetId="19">'[5]Complete UFR List'!#REF!</definedName>
    <definedName name="UFR" localSheetId="8">'[5]Complete UFR List'!#REF!</definedName>
    <definedName name="UFR" localSheetId="21">'[5]Complete UFR List'!#REF!</definedName>
    <definedName name="UFR" localSheetId="13">'[5]Complete UFR List'!#REF!</definedName>
    <definedName name="UFR" localSheetId="17">'[5]Complete UFR List'!#REF!</definedName>
    <definedName name="UFR">'[5]Complete UFR List'!#REF!</definedName>
    <definedName name="UFRS" localSheetId="5">'[5]Complete UFR List'!#REF!</definedName>
    <definedName name="UFRS" localSheetId="18">'[5]Complete UFR List'!#REF!</definedName>
    <definedName name="UFRS" localSheetId="19">'[5]Complete UFR List'!#REF!</definedName>
    <definedName name="UFRS" localSheetId="8">'[5]Complete UFR List'!#REF!</definedName>
    <definedName name="UFRS" localSheetId="21">'[5]Complete UFR List'!#REF!</definedName>
    <definedName name="UFRS" localSheetId="13">'[5]Complete UFR List'!#REF!</definedName>
    <definedName name="UFRS" localSheetId="17">'[5]Complete UFR List'!#REF!</definedName>
    <definedName name="UFRS">'[5]Complete UFR List'!#REF!</definedName>
    <definedName name="UPDATE" localSheetId="8">'[5]Complete UFR List'!#REF!</definedName>
    <definedName name="UPDATE" localSheetId="13">'[5]Complete UFR List'!#REF!</definedName>
    <definedName name="UPDATE">'[5]Complete UFR List'!#REF!</definedName>
    <definedName name="VacAccr">[6]Universal!$C$9</definedName>
    <definedName name="VBB">[6]Universal!$C$10</definedName>
    <definedName name="VBBDist">[6]Universal!$B$35:$N$35</definedName>
    <definedName name="VBBLines">[6]Universal!$B$85:$B$97</definedName>
    <definedName name="Wages5">[6]Universal!$C$37:$N$37</definedName>
    <definedName name="Wages7">[6]Universal!$C$38:$N$38</definedName>
    <definedName name="Water">[6]Universal!$C$24</definedName>
    <definedName name="Weekdays">[6]Universal!$C$31:$N$31</definedName>
    <definedName name="wefqwerqwe" localSheetId="22">'[5]Complete UFR List'!#REF!</definedName>
    <definedName name="wefqwerqwe" localSheetId="20">'[5]Complete UFR List'!#REF!</definedName>
    <definedName name="wefqwerqwe" localSheetId="18">'[5]Complete UFR List'!#REF!</definedName>
    <definedName name="wefqwerqwe" localSheetId="8">'[5]Complete UFR List'!#REF!</definedName>
    <definedName name="wefqwerqwe" localSheetId="13">'[5]Complete UFR List'!#REF!</definedName>
    <definedName name="wefqwerqwe">'[5]Complete UFR List'!#REF!</definedName>
    <definedName name="yes" localSheetId="22">'[5]Complete UFR List'!#REF!</definedName>
    <definedName name="yes" localSheetId="20">'[5]Complete UFR List'!#REF!</definedName>
    <definedName name="yes" localSheetId="18">'[5]Complete UFR List'!#REF!</definedName>
    <definedName name="yes">'[5]Complete UFR List'!#REF!</definedName>
    <definedName name="Z_4C1AD9FE_DB97_4D30_8CF1_D476DD376A5A_.wvu.Cols" localSheetId="8" hidden="1">'Family Training FY24'!#REF!</definedName>
    <definedName name="Z_4C1AD9FE_DB97_4D30_8CF1_D476DD376A5A_.wvu.Cols" localSheetId="9" hidden="1">'Fin. Assistance Admin FY24'!$B:$C</definedName>
    <definedName name="Z_4C1AD9FE_DB97_4D30_8CF1_D476DD376A5A_.wvu.Cols" localSheetId="11" hidden="1">'Med Complex FY24'!#REF!</definedName>
    <definedName name="Z_4C1AD9FE_DB97_4D30_8CF1_D476DD376A5A_.wvu.Cols" localSheetId="12" hidden="1">'Peer Suppt FY24'!$A:$C</definedName>
    <definedName name="Z_4C1AD9FE_DB97_4D30_8CF1_D476DD376A5A_.wvu.Cols" localSheetId="14" hidden="1">'Respite Caregiver Home FY24'!#REF!</definedName>
    <definedName name="Z_4C1AD9FE_DB97_4D30_8CF1_D476DD376A5A_.wvu.Cols" localSheetId="13" hidden="1">'Respite Recipient Home FY24'!#REF!</definedName>
    <definedName name="Z_4C1AD9FE_DB97_4D30_8CF1_D476DD376A5A_.wvu.PrintArea" localSheetId="14" hidden="1">'Respite Caregiver Home FY24'!#REF!</definedName>
    <definedName name="Z_6A16E15D_0E79_4250_8AEC_339F57F63027_.wvu.Cols" localSheetId="8" hidden="1">'Family Training FY24'!#REF!</definedName>
    <definedName name="Z_6A16E15D_0E79_4250_8AEC_339F57F63027_.wvu.Cols" localSheetId="9" hidden="1">'Fin. Assistance Admin FY24'!$B:$C</definedName>
    <definedName name="Z_6A16E15D_0E79_4250_8AEC_339F57F63027_.wvu.Cols" localSheetId="11" hidden="1">'Med Complex FY24'!#REF!</definedName>
    <definedName name="Z_6A16E15D_0E79_4250_8AEC_339F57F63027_.wvu.Cols" localSheetId="12" hidden="1">'Peer Suppt FY24'!$A:$C</definedName>
    <definedName name="Z_6A16E15D_0E79_4250_8AEC_339F57F63027_.wvu.Cols" localSheetId="14" hidden="1">'Respite Caregiver Home FY24'!#REF!</definedName>
    <definedName name="Z_6A16E15D_0E79_4250_8AEC_339F57F63027_.wvu.Cols" localSheetId="13" hidden="1">'Respite Recipient Home FY24'!#REF!</definedName>
    <definedName name="Z_6A16E15D_0E79_4250_8AEC_339F57F63027_.wvu.PrintArea" localSheetId="14" hidden="1">'Respite Caregiver Home FY24'!#REF!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23" l="1"/>
  <c r="G5" i="23"/>
  <c r="H5" i="23" s="1"/>
  <c r="G6" i="23"/>
  <c r="H6" i="23" s="1"/>
  <c r="J6" i="23" s="1"/>
  <c r="I6" i="23"/>
  <c r="G7" i="23"/>
  <c r="H7" i="23" s="1"/>
  <c r="E10" i="23"/>
  <c r="E13" i="23" s="1"/>
  <c r="E14" i="23" s="1"/>
  <c r="I10" i="23"/>
  <c r="E11" i="23"/>
  <c r="E12" i="23"/>
  <c r="I14" i="23"/>
  <c r="I15" i="23"/>
  <c r="I19" i="23"/>
  <c r="I20" i="23"/>
  <c r="F140" i="3"/>
  <c r="F139" i="3"/>
  <c r="O20" i="22"/>
  <c r="I20" i="22"/>
  <c r="I76" i="22"/>
  <c r="J76" i="22" s="1"/>
  <c r="O76" i="22"/>
  <c r="P76" i="22" s="1"/>
  <c r="C6" i="22"/>
  <c r="H78" i="22" s="1"/>
  <c r="J78" i="22" s="1"/>
  <c r="C7" i="22"/>
  <c r="M8" i="22" s="1"/>
  <c r="O8" i="22" s="1"/>
  <c r="N78" i="22"/>
  <c r="P78" i="22" s="1"/>
  <c r="AG7" i="22"/>
  <c r="AH7" i="22" s="1"/>
  <c r="C8" i="22"/>
  <c r="N79" i="22" s="1"/>
  <c r="P79" i="22" s="1"/>
  <c r="H80" i="22"/>
  <c r="N80" i="22" s="1"/>
  <c r="AG9" i="22"/>
  <c r="AH9" i="22"/>
  <c r="AI9" i="22" s="1"/>
  <c r="C10" i="22"/>
  <c r="C11" i="22"/>
  <c r="I82" i="22"/>
  <c r="O82" i="22"/>
  <c r="P85" i="22" s="1"/>
  <c r="AG11" i="22"/>
  <c r="AH11" i="22" s="1"/>
  <c r="AI11" i="22" s="1"/>
  <c r="AJ11" i="22" s="1"/>
  <c r="C12" i="22"/>
  <c r="AF12" i="22"/>
  <c r="AG12" i="22"/>
  <c r="AH12" i="22" s="1"/>
  <c r="AI12" i="22" s="1"/>
  <c r="AJ12" i="22" s="1"/>
  <c r="C14" i="22"/>
  <c r="I85" i="22"/>
  <c r="J85" i="22"/>
  <c r="O85" i="22"/>
  <c r="AF14" i="22"/>
  <c r="C15" i="22"/>
  <c r="H90" i="22" s="1"/>
  <c r="F86" i="22"/>
  <c r="L86" i="22" s="1"/>
  <c r="I86" i="22"/>
  <c r="O86" i="22"/>
  <c r="I87" i="22"/>
  <c r="J87" i="22"/>
  <c r="O87" i="22"/>
  <c r="H89" i="22"/>
  <c r="N89" i="22"/>
  <c r="AI25" i="22"/>
  <c r="AI27" i="22"/>
  <c r="F7" i="22"/>
  <c r="G7" i="22"/>
  <c r="I7" i="22"/>
  <c r="L7" i="22"/>
  <c r="M7" i="22"/>
  <c r="O7" i="22" s="1"/>
  <c r="G9" i="22"/>
  <c r="M9" i="22"/>
  <c r="H11" i="22"/>
  <c r="N11" i="22"/>
  <c r="O14" i="22" s="1"/>
  <c r="AF33" i="22"/>
  <c r="AI33" i="22"/>
  <c r="H13" i="22"/>
  <c r="I13" i="22" s="1"/>
  <c r="N13" i="22"/>
  <c r="AI35" i="22"/>
  <c r="F14" i="22"/>
  <c r="H14" i="22"/>
  <c r="I14" i="22"/>
  <c r="L14" i="22"/>
  <c r="N14" i="22"/>
  <c r="H15" i="22"/>
  <c r="I15" i="22"/>
  <c r="N15" i="22"/>
  <c r="O15" i="22" s="1"/>
  <c r="G17" i="22"/>
  <c r="M17" i="22"/>
  <c r="F135" i="3"/>
  <c r="F136" i="3"/>
  <c r="F137" i="3"/>
  <c r="F138" i="3"/>
  <c r="F134" i="3"/>
  <c r="F132" i="3"/>
  <c r="F128" i="3"/>
  <c r="F129" i="3"/>
  <c r="F130" i="3"/>
  <c r="F131" i="3"/>
  <c r="F127" i="3"/>
  <c r="F125" i="3"/>
  <c r="F124" i="3"/>
  <c r="F122" i="3"/>
  <c r="F121" i="3"/>
  <c r="I7" i="23" l="1"/>
  <c r="J14" i="23" s="1"/>
  <c r="I5" i="23"/>
  <c r="J5" i="23" s="1"/>
  <c r="O13" i="22"/>
  <c r="P87" i="22"/>
  <c r="P86" i="22"/>
  <c r="J86" i="22"/>
  <c r="O9" i="22"/>
  <c r="AI7" i="22"/>
  <c r="AI10" i="22" s="1"/>
  <c r="AH10" i="22"/>
  <c r="AH14" i="22" s="1"/>
  <c r="I18" i="22"/>
  <c r="J90" i="22"/>
  <c r="P80" i="22"/>
  <c r="AG10" i="22"/>
  <c r="AG14" i="22" s="1"/>
  <c r="H79" i="22"/>
  <c r="J79" i="22" s="1"/>
  <c r="J80" i="22" s="1"/>
  <c r="M10" i="22"/>
  <c r="M18" i="22"/>
  <c r="O18" i="22" s="1"/>
  <c r="N90" i="22"/>
  <c r="P90" i="22" s="1"/>
  <c r="H81" i="22"/>
  <c r="N81" i="22" s="1"/>
  <c r="G10" i="22"/>
  <c r="G8" i="22"/>
  <c r="I8" i="22" s="1"/>
  <c r="G18" i="22"/>
  <c r="J15" i="23" l="1"/>
  <c r="J16" i="23" s="1"/>
  <c r="J7" i="23"/>
  <c r="J9" i="23" s="1"/>
  <c r="I9" i="23"/>
  <c r="P81" i="22"/>
  <c r="P82" i="22" s="1"/>
  <c r="AJ10" i="22"/>
  <c r="AI13" i="22"/>
  <c r="AI15" i="22" s="1"/>
  <c r="AI14" i="22"/>
  <c r="AJ14" i="22" s="1"/>
  <c r="O10" i="22"/>
  <c r="O11" i="22" s="1"/>
  <c r="O16" i="22" s="1"/>
  <c r="J81" i="22"/>
  <c r="J82" i="22" s="1"/>
  <c r="J88" i="22" s="1"/>
  <c r="I9" i="22"/>
  <c r="I10" i="22" s="1"/>
  <c r="J10" i="23" l="1"/>
  <c r="J11" i="23" s="1"/>
  <c r="J18" i="23" s="1"/>
  <c r="O17" i="22"/>
  <c r="O19" i="22" s="1"/>
  <c r="I11" i="22"/>
  <c r="I16" i="22" s="1"/>
  <c r="AL26" i="22"/>
  <c r="AI20" i="22" s="1"/>
  <c r="AI23" i="22" s="1"/>
  <c r="AI26" i="22" s="1"/>
  <c r="J89" i="22"/>
  <c r="J91" i="22" s="1"/>
  <c r="J92" i="22" s="1"/>
  <c r="J94" i="22" s="1"/>
  <c r="O84" i="22"/>
  <c r="P88" i="22"/>
  <c r="J19" i="23" l="1"/>
  <c r="AJ25" i="22"/>
  <c r="AJ15" i="22"/>
  <c r="O21" i="22"/>
  <c r="AJ20" i="22"/>
  <c r="I17" i="22"/>
  <c r="I19" i="22" s="1"/>
  <c r="P89" i="22"/>
  <c r="P91" i="22" s="1"/>
  <c r="P92" i="22" s="1"/>
  <c r="P94" i="22" s="1"/>
  <c r="J21" i="23" l="1"/>
  <c r="J22" i="23" s="1"/>
  <c r="D4" i="23" s="1"/>
  <c r="E4" i="23" s="1"/>
  <c r="J20" i="23"/>
  <c r="I21" i="22"/>
  <c r="AJ26" i="22"/>
  <c r="F120" i="3" l="1"/>
  <c r="G5" i="21"/>
  <c r="I5" i="21" s="1"/>
  <c r="H5" i="21"/>
  <c r="G6" i="21"/>
  <c r="J6" i="21" s="1"/>
  <c r="H6" i="21"/>
  <c r="G7" i="21"/>
  <c r="J7" i="21" s="1"/>
  <c r="H7" i="21"/>
  <c r="G8" i="21"/>
  <c r="I8" i="21" s="1"/>
  <c r="G9" i="21"/>
  <c r="J9" i="21" s="1"/>
  <c r="H9" i="21"/>
  <c r="J12" i="21"/>
  <c r="J16" i="21"/>
  <c r="J20" i="21"/>
  <c r="J21" i="21"/>
  <c r="I7" i="21" l="1"/>
  <c r="K7" i="21" s="1"/>
  <c r="J5" i="21"/>
  <c r="J8" i="21"/>
  <c r="K8" i="21" s="1"/>
  <c r="I6" i="21"/>
  <c r="K6" i="21" s="1"/>
  <c r="I9" i="21"/>
  <c r="K9" i="21" s="1"/>
  <c r="J11" i="21" l="1"/>
  <c r="K16" i="21" s="1"/>
  <c r="K17" i="21" s="1"/>
  <c r="K5" i="21"/>
  <c r="K11" i="21" s="1"/>
  <c r="K12" i="21" l="1"/>
  <c r="K13" i="21"/>
  <c r="K19" i="21"/>
  <c r="K20" i="21" l="1"/>
  <c r="K21" i="21"/>
  <c r="K22" i="21" s="1"/>
  <c r="K24" i="21" s="1"/>
  <c r="D4" i="21" s="1"/>
  <c r="E4" i="21" s="1"/>
  <c r="G6" i="20" l="1"/>
  <c r="G7" i="20"/>
  <c r="I7" i="20" s="1"/>
  <c r="G8" i="20"/>
  <c r="G15" i="20"/>
  <c r="H6" i="19"/>
  <c r="J6" i="19"/>
  <c r="H7" i="19"/>
  <c r="H8" i="19"/>
  <c r="J8" i="19"/>
  <c r="H15" i="19"/>
  <c r="H6" i="18"/>
  <c r="H7" i="18"/>
  <c r="J7" i="18"/>
  <c r="H8" i="18"/>
  <c r="H15" i="18"/>
  <c r="H16" i="18"/>
  <c r="H17" i="18"/>
  <c r="H18" i="18"/>
  <c r="H19" i="18"/>
  <c r="H20" i="18"/>
  <c r="H21" i="18"/>
  <c r="G53" i="18"/>
  <c r="H5" i="17"/>
  <c r="J5" i="17" s="1"/>
  <c r="J11" i="17" s="1"/>
  <c r="M5" i="17"/>
  <c r="R5" i="17"/>
  <c r="T5" i="17" s="1"/>
  <c r="T12" i="17" s="1"/>
  <c r="Y5" i="17"/>
  <c r="AD5" i="17"/>
  <c r="AD12" i="17" s="1"/>
  <c r="AI5" i="17"/>
  <c r="AN5" i="17"/>
  <c r="AS5" i="17"/>
  <c r="J6" i="17"/>
  <c r="O6" i="17"/>
  <c r="T6" i="17"/>
  <c r="Y6" i="17"/>
  <c r="AD6" i="17"/>
  <c r="AI6" i="17"/>
  <c r="AN6" i="17"/>
  <c r="AN12" i="17" s="1"/>
  <c r="AS6" i="17"/>
  <c r="J7" i="17"/>
  <c r="O7" i="17"/>
  <c r="T7" i="17"/>
  <c r="Y7" i="17"/>
  <c r="AD7" i="17"/>
  <c r="AI7" i="17"/>
  <c r="AN7" i="17"/>
  <c r="AS7" i="17"/>
  <c r="J8" i="17"/>
  <c r="O8" i="17"/>
  <c r="T8" i="17"/>
  <c r="Y8" i="17"/>
  <c r="AI8" i="17"/>
  <c r="AI12" i="17" s="1"/>
  <c r="AN8" i="17"/>
  <c r="AS8" i="17"/>
  <c r="AS12" i="17" s="1"/>
  <c r="T9" i="17"/>
  <c r="Y9" i="17"/>
  <c r="Y12" i="17" s="1"/>
  <c r="AD9" i="17"/>
  <c r="AI9" i="17"/>
  <c r="AN9" i="17"/>
  <c r="AS9" i="17"/>
  <c r="H16" i="17"/>
  <c r="M16" i="17"/>
  <c r="H17" i="17"/>
  <c r="M17" i="17"/>
  <c r="R17" i="17"/>
  <c r="H18" i="17"/>
  <c r="M18" i="17"/>
  <c r="R18" i="17"/>
  <c r="H19" i="17"/>
  <c r="M19" i="17"/>
  <c r="R19" i="17"/>
  <c r="H20" i="17"/>
  <c r="M20" i="17"/>
  <c r="R20" i="17"/>
  <c r="H21" i="17"/>
  <c r="M21" i="17"/>
  <c r="R21" i="17"/>
  <c r="H22" i="17"/>
  <c r="M22" i="17"/>
  <c r="R22" i="17"/>
  <c r="R23" i="17"/>
  <c r="W23" i="17"/>
  <c r="AB23" i="17"/>
  <c r="AG23" i="17"/>
  <c r="AL23" i="17"/>
  <c r="AQ23" i="17"/>
  <c r="T24" i="17"/>
  <c r="Y24" i="17"/>
  <c r="AD24" i="17"/>
  <c r="D5" i="16"/>
  <c r="D6" i="16"/>
  <c r="F6" i="16" s="1"/>
  <c r="D7" i="16"/>
  <c r="F7" i="16" s="1"/>
  <c r="G7" i="16" s="1"/>
  <c r="D8" i="16"/>
  <c r="F8" i="16"/>
  <c r="G8" i="16" s="1"/>
  <c r="D9" i="16"/>
  <c r="F9" i="16" s="1"/>
  <c r="G9" i="16" s="1"/>
  <c r="D10" i="16"/>
  <c r="F10" i="16"/>
  <c r="G10" i="16" s="1"/>
  <c r="D16" i="16"/>
  <c r="D17" i="16"/>
  <c r="F17" i="16" s="1"/>
  <c r="G17" i="16" s="1"/>
  <c r="D18" i="16"/>
  <c r="F18" i="16"/>
  <c r="D19" i="16"/>
  <c r="F19" i="16" s="1"/>
  <c r="D9" i="15"/>
  <c r="F9" i="15"/>
  <c r="I9" i="15"/>
  <c r="K9" i="15" s="1"/>
  <c r="N9" i="15"/>
  <c r="P9" i="15"/>
  <c r="D10" i="15"/>
  <c r="F10" i="15" s="1"/>
  <c r="E10" i="15"/>
  <c r="I10" i="15"/>
  <c r="J10" i="15" s="1"/>
  <c r="N10" i="15"/>
  <c r="P10" i="15" s="1"/>
  <c r="O10" i="15"/>
  <c r="D11" i="15"/>
  <c r="I11" i="15"/>
  <c r="K11" i="15" s="1"/>
  <c r="J11" i="15"/>
  <c r="N11" i="15"/>
  <c r="D12" i="15"/>
  <c r="F12" i="15" s="1"/>
  <c r="E12" i="15"/>
  <c r="I12" i="15"/>
  <c r="N12" i="15"/>
  <c r="P12" i="15" s="1"/>
  <c r="Q12" i="15" s="1"/>
  <c r="O12" i="15"/>
  <c r="D13" i="15"/>
  <c r="I13" i="15"/>
  <c r="K13" i="15" s="1"/>
  <c r="L13" i="15" s="1"/>
  <c r="J13" i="15"/>
  <c r="N13" i="15"/>
  <c r="D19" i="15"/>
  <c r="I19" i="15"/>
  <c r="N19" i="15"/>
  <c r="D20" i="15"/>
  <c r="I20" i="15"/>
  <c r="N20" i="15"/>
  <c r="D21" i="15"/>
  <c r="F21" i="15" s="1"/>
  <c r="G21" i="15" s="1"/>
  <c r="I21" i="15"/>
  <c r="K21" i="15" s="1"/>
  <c r="L21" i="15" s="1"/>
  <c r="N21" i="15"/>
  <c r="P21" i="15" s="1"/>
  <c r="Q21" i="15" s="1"/>
  <c r="D22" i="15"/>
  <c r="F22" i="15"/>
  <c r="G22" i="15" s="1"/>
  <c r="I22" i="15"/>
  <c r="K22" i="15"/>
  <c r="L22" i="15" s="1"/>
  <c r="N22" i="15"/>
  <c r="P22" i="15"/>
  <c r="Q22" i="15" s="1"/>
  <c r="D13" i="14"/>
  <c r="F13" i="14"/>
  <c r="D14" i="14"/>
  <c r="F14" i="14" s="1"/>
  <c r="D15" i="14"/>
  <c r="E15" i="14"/>
  <c r="F15" i="14"/>
  <c r="D16" i="14"/>
  <c r="F16" i="14" s="1"/>
  <c r="E16" i="14"/>
  <c r="G16" i="14" s="1"/>
  <c r="D17" i="14"/>
  <c r="E17" i="14"/>
  <c r="G17" i="14" s="1"/>
  <c r="F17" i="14"/>
  <c r="D18" i="14"/>
  <c r="F18" i="14" s="1"/>
  <c r="E18" i="14"/>
  <c r="G18" i="14" s="1"/>
  <c r="J21" i="14"/>
  <c r="J24" i="14" s="1"/>
  <c r="J25" i="14" s="1"/>
  <c r="G11" i="14" s="1"/>
  <c r="J22" i="14"/>
  <c r="J23" i="14"/>
  <c r="D24" i="14"/>
  <c r="D25" i="14"/>
  <c r="D26" i="14"/>
  <c r="D27" i="14"/>
  <c r="J5" i="13"/>
  <c r="J8" i="13" s="1"/>
  <c r="J9" i="13" s="1"/>
  <c r="G4" i="13" s="1"/>
  <c r="D6" i="13"/>
  <c r="J6" i="13"/>
  <c r="D7" i="13"/>
  <c r="F7" i="13" s="1"/>
  <c r="J7" i="13"/>
  <c r="D4" i="12"/>
  <c r="G4" i="12" s="1"/>
  <c r="E4" i="12"/>
  <c r="D5" i="12"/>
  <c r="G5" i="12" s="1"/>
  <c r="E5" i="12"/>
  <c r="D6" i="12"/>
  <c r="E6" i="12" s="1"/>
  <c r="G6" i="12"/>
  <c r="G10" i="12" s="1"/>
  <c r="D7" i="12"/>
  <c r="E7" i="12" s="1"/>
  <c r="G7" i="12"/>
  <c r="D8" i="12"/>
  <c r="E8" i="12"/>
  <c r="F8" i="12"/>
  <c r="G8" i="12"/>
  <c r="D9" i="12"/>
  <c r="F9" i="12" s="1"/>
  <c r="H9" i="12" s="1"/>
  <c r="G9" i="12"/>
  <c r="D15" i="12"/>
  <c r="D16" i="12"/>
  <c r="D17" i="12"/>
  <c r="D18" i="12"/>
  <c r="D19" i="12"/>
  <c r="D20" i="12"/>
  <c r="D21" i="12"/>
  <c r="D22" i="12"/>
  <c r="G22" i="12" s="1"/>
  <c r="D23" i="12"/>
  <c r="G23" i="12" s="1"/>
  <c r="D24" i="12"/>
  <c r="G24" i="12" s="1"/>
  <c r="D25" i="12"/>
  <c r="G25" i="12" s="1"/>
  <c r="D26" i="12"/>
  <c r="G26" i="12" s="1"/>
  <c r="H33" i="12"/>
  <c r="G6" i="11"/>
  <c r="K6" i="11" s="1"/>
  <c r="G7" i="11"/>
  <c r="K7" i="11" s="1"/>
  <c r="G8" i="11"/>
  <c r="K8" i="11" s="1"/>
  <c r="J8" i="11"/>
  <c r="L8" i="11" s="1"/>
  <c r="G9" i="11"/>
  <c r="K9" i="11" s="1"/>
  <c r="J9" i="11"/>
  <c r="G15" i="11"/>
  <c r="G16" i="11"/>
  <c r="G17" i="11"/>
  <c r="G18" i="11"/>
  <c r="J18" i="11"/>
  <c r="G19" i="11"/>
  <c r="J19" i="11"/>
  <c r="D5" i="10"/>
  <c r="F5" i="10"/>
  <c r="F11" i="10" s="1"/>
  <c r="D6" i="10"/>
  <c r="F6" i="10"/>
  <c r="D7" i="10"/>
  <c r="E7" i="10"/>
  <c r="F7" i="10"/>
  <c r="G7" i="10"/>
  <c r="D8" i="10"/>
  <c r="E8" i="10"/>
  <c r="F8" i="10"/>
  <c r="G8" i="10"/>
  <c r="D9" i="10"/>
  <c r="E9" i="10"/>
  <c r="F9" i="10"/>
  <c r="G9" i="10"/>
  <c r="D10" i="10"/>
  <c r="E10" i="10"/>
  <c r="F10" i="10"/>
  <c r="G10" i="10"/>
  <c r="D16" i="10"/>
  <c r="D17" i="10"/>
  <c r="F17" i="10"/>
  <c r="D18" i="10"/>
  <c r="F18" i="10"/>
  <c r="D19" i="10"/>
  <c r="F19" i="10"/>
  <c r="E35" i="10"/>
  <c r="E36" i="10"/>
  <c r="H6" i="9"/>
  <c r="J6" i="9" s="1"/>
  <c r="J8" i="9" s="1"/>
  <c r="H7" i="9"/>
  <c r="J7" i="9" s="1"/>
  <c r="H13" i="9"/>
  <c r="H14" i="9"/>
  <c r="C15" i="9"/>
  <c r="C16" i="9"/>
  <c r="C18" i="9" s="1"/>
  <c r="C19" i="9" s="1"/>
  <c r="K4" i="9" s="1"/>
  <c r="C17" i="9"/>
  <c r="K26" i="9"/>
  <c r="K27" i="9"/>
  <c r="C6" i="8"/>
  <c r="D6" i="8"/>
  <c r="E6" i="8"/>
  <c r="C7" i="8"/>
  <c r="C12" i="8" s="1"/>
  <c r="C14" i="8" s="1"/>
  <c r="C16" i="8" s="1"/>
  <c r="L5" i="8" s="1"/>
  <c r="D7" i="8"/>
  <c r="D12" i="8" s="1"/>
  <c r="D14" i="8" s="1"/>
  <c r="D16" i="8" s="1"/>
  <c r="Q5" i="8" s="1"/>
  <c r="E7" i="8"/>
  <c r="I7" i="8"/>
  <c r="N7" i="8"/>
  <c r="P7" i="8"/>
  <c r="S7" i="8"/>
  <c r="C8" i="8"/>
  <c r="D8" i="8"/>
  <c r="E8" i="8"/>
  <c r="E12" i="8" s="1"/>
  <c r="E14" i="8" s="1"/>
  <c r="E16" i="8" s="1"/>
  <c r="V5" i="8" s="1"/>
  <c r="I8" i="8"/>
  <c r="K8" i="8" s="1"/>
  <c r="N8" i="8"/>
  <c r="P8" i="8"/>
  <c r="S8" i="8"/>
  <c r="U8" i="8" s="1"/>
  <c r="C9" i="8"/>
  <c r="D9" i="8"/>
  <c r="E9" i="8"/>
  <c r="I9" i="8"/>
  <c r="N9" i="8"/>
  <c r="P9" i="8"/>
  <c r="S9" i="8"/>
  <c r="C10" i="8"/>
  <c r="D10" i="8"/>
  <c r="E10" i="8"/>
  <c r="C11" i="8"/>
  <c r="D11" i="8"/>
  <c r="E11" i="8"/>
  <c r="P12" i="8"/>
  <c r="I15" i="8"/>
  <c r="N15" i="8"/>
  <c r="Q15" i="8" s="1"/>
  <c r="S15" i="8"/>
  <c r="I16" i="8"/>
  <c r="N16" i="8"/>
  <c r="S16" i="8"/>
  <c r="R8" i="7"/>
  <c r="C9" i="7"/>
  <c r="H9" i="7"/>
  <c r="J9" i="7"/>
  <c r="C10" i="7"/>
  <c r="H10" i="7"/>
  <c r="J10" i="7"/>
  <c r="R10" i="7"/>
  <c r="C11" i="7"/>
  <c r="H11" i="7"/>
  <c r="J11" i="7" s="1"/>
  <c r="R11" i="7"/>
  <c r="R12" i="7"/>
  <c r="R13" i="7"/>
  <c r="R14" i="7"/>
  <c r="R15" i="7"/>
  <c r="R16" i="7"/>
  <c r="R17" i="7" s="1"/>
  <c r="R19" i="7" s="1"/>
  <c r="F7" i="7" s="1"/>
  <c r="C17" i="7"/>
  <c r="H17" i="7"/>
  <c r="C18" i="7"/>
  <c r="H18" i="7"/>
  <c r="C19" i="7"/>
  <c r="H19" i="7"/>
  <c r="C20" i="7"/>
  <c r="H20" i="7"/>
  <c r="D21" i="7"/>
  <c r="H21" i="7"/>
  <c r="I21" i="7"/>
  <c r="D22" i="7"/>
  <c r="H22" i="7"/>
  <c r="I22" i="7"/>
  <c r="D15" i="6"/>
  <c r="F15" i="6"/>
  <c r="I15" i="6"/>
  <c r="K15" i="6" s="1"/>
  <c r="N15" i="6"/>
  <c r="P15" i="6"/>
  <c r="S15" i="6"/>
  <c r="U15" i="6" s="1"/>
  <c r="X15" i="6"/>
  <c r="Z15" i="6"/>
  <c r="AC15" i="6"/>
  <c r="AE15" i="6" s="1"/>
  <c r="AH15" i="6"/>
  <c r="AJ15" i="6"/>
  <c r="AM15" i="6"/>
  <c r="AO15" i="6" s="1"/>
  <c r="AR15" i="6"/>
  <c r="AT15" i="6"/>
  <c r="AW15" i="6"/>
  <c r="AY15" i="6" s="1"/>
  <c r="BB15" i="6"/>
  <c r="BD15" i="6"/>
  <c r="BD23" i="6" s="1"/>
  <c r="BG15" i="6"/>
  <c r="BI15" i="6" s="1"/>
  <c r="BL15" i="6"/>
  <c r="BQ15" i="6"/>
  <c r="BS15" i="6" s="1"/>
  <c r="BV15" i="6"/>
  <c r="BX15" i="6"/>
  <c r="CA15" i="6"/>
  <c r="CC15" i="6" s="1"/>
  <c r="CF15" i="6"/>
  <c r="CH15" i="6" s="1"/>
  <c r="CK15" i="6"/>
  <c r="CP15" i="6"/>
  <c r="CU15" i="6"/>
  <c r="CW15" i="6" s="1"/>
  <c r="CZ15" i="6"/>
  <c r="DB15" i="6" s="1"/>
  <c r="DE15" i="6"/>
  <c r="DJ15" i="6"/>
  <c r="DL15" i="6"/>
  <c r="DO15" i="6"/>
  <c r="DQ15" i="6" s="1"/>
  <c r="D16" i="6"/>
  <c r="F16" i="6"/>
  <c r="I16" i="6"/>
  <c r="K16" i="6" s="1"/>
  <c r="N16" i="6"/>
  <c r="P16" i="6"/>
  <c r="S16" i="6"/>
  <c r="U16" i="6" s="1"/>
  <c r="X16" i="6"/>
  <c r="AC16" i="6"/>
  <c r="AE16" i="6" s="1"/>
  <c r="AH16" i="6"/>
  <c r="AJ16" i="6"/>
  <c r="AM16" i="6"/>
  <c r="AO16" i="6" s="1"/>
  <c r="AR16" i="6"/>
  <c r="AT16" i="6" s="1"/>
  <c r="AW16" i="6"/>
  <c r="BB16" i="6"/>
  <c r="BD16" i="6" s="1"/>
  <c r="BG16" i="6"/>
  <c r="BI16" i="6" s="1"/>
  <c r="BL16" i="6"/>
  <c r="BN16" i="6" s="1"/>
  <c r="BQ16" i="6"/>
  <c r="BV16" i="6"/>
  <c r="BX16" i="6"/>
  <c r="CA16" i="6"/>
  <c r="CC16" i="6" s="1"/>
  <c r="CF16" i="6"/>
  <c r="CH16" i="6"/>
  <c r="CK16" i="6"/>
  <c r="CM16" i="6" s="1"/>
  <c r="CP16" i="6"/>
  <c r="CR16" i="6"/>
  <c r="CU16" i="6"/>
  <c r="CW16" i="6" s="1"/>
  <c r="CZ16" i="6"/>
  <c r="DE16" i="6"/>
  <c r="DJ16" i="6"/>
  <c r="DO16" i="6"/>
  <c r="D17" i="6"/>
  <c r="F17" i="6" s="1"/>
  <c r="E17" i="6"/>
  <c r="I17" i="6"/>
  <c r="N17" i="6"/>
  <c r="P17" i="6" s="1"/>
  <c r="S17" i="6"/>
  <c r="U17" i="6" s="1"/>
  <c r="T17" i="6"/>
  <c r="V17" i="6" s="1"/>
  <c r="X17" i="6"/>
  <c r="Y17" i="6" s="1"/>
  <c r="Z17" i="6"/>
  <c r="AC17" i="6"/>
  <c r="AH17" i="6"/>
  <c r="AI17" i="6" s="1"/>
  <c r="AJ17" i="6"/>
  <c r="AJ23" i="6" s="1"/>
  <c r="AM17" i="6"/>
  <c r="AO17" i="6" s="1"/>
  <c r="AN17" i="6"/>
  <c r="AP17" i="6" s="1"/>
  <c r="AR17" i="6"/>
  <c r="AS17" i="6"/>
  <c r="AT17" i="6"/>
  <c r="AW17" i="6"/>
  <c r="AY17" i="6" s="1"/>
  <c r="AX17" i="6"/>
  <c r="AZ17" i="6" s="1"/>
  <c r="BB17" i="6"/>
  <c r="BD17" i="6" s="1"/>
  <c r="BC17" i="6"/>
  <c r="BE17" i="6" s="1"/>
  <c r="BG17" i="6"/>
  <c r="BI17" i="6" s="1"/>
  <c r="BH17" i="6"/>
  <c r="BJ17" i="6" s="1"/>
  <c r="BL17" i="6"/>
  <c r="BM17" i="6" s="1"/>
  <c r="BQ17" i="6"/>
  <c r="BS17" i="6" s="1"/>
  <c r="BR17" i="6"/>
  <c r="BT17" i="6"/>
  <c r="BV17" i="6"/>
  <c r="BX17" i="6" s="1"/>
  <c r="BW17" i="6"/>
  <c r="BY17" i="6"/>
  <c r="CA17" i="6"/>
  <c r="CF17" i="6"/>
  <c r="CG17" i="6" s="1"/>
  <c r="CH17" i="6"/>
  <c r="CK17" i="6"/>
  <c r="CM17" i="6" s="1"/>
  <c r="CL17" i="6"/>
  <c r="CN17" i="6" s="1"/>
  <c r="CP17" i="6"/>
  <c r="CR17" i="6" s="1"/>
  <c r="CQ17" i="6"/>
  <c r="CS17" i="6"/>
  <c r="CU17" i="6"/>
  <c r="CW17" i="6" s="1"/>
  <c r="CV17" i="6"/>
  <c r="CX17" i="6" s="1"/>
  <c r="CZ17" i="6"/>
  <c r="DA17" i="6"/>
  <c r="DC17" i="6" s="1"/>
  <c r="DB17" i="6"/>
  <c r="DE17" i="6"/>
  <c r="DJ17" i="6"/>
  <c r="DO17" i="6"/>
  <c r="DQ17" i="6" s="1"/>
  <c r="DP17" i="6"/>
  <c r="DR17" i="6" s="1"/>
  <c r="D18" i="6"/>
  <c r="I18" i="6"/>
  <c r="J18" i="6" s="1"/>
  <c r="K18" i="6"/>
  <c r="N18" i="6"/>
  <c r="P18" i="6" s="1"/>
  <c r="O18" i="6"/>
  <c r="Q18" i="6" s="1"/>
  <c r="S18" i="6"/>
  <c r="T18" i="6" s="1"/>
  <c r="X18" i="6"/>
  <c r="AC18" i="6"/>
  <c r="AD18" i="6" s="1"/>
  <c r="AE18" i="6"/>
  <c r="AH18" i="6"/>
  <c r="AJ18" i="6" s="1"/>
  <c r="AI18" i="6"/>
  <c r="AK18" i="6" s="1"/>
  <c r="AM18" i="6"/>
  <c r="AN18" i="6" s="1"/>
  <c r="AR18" i="6"/>
  <c r="AW18" i="6"/>
  <c r="AX18" i="6" s="1"/>
  <c r="AY18" i="6"/>
  <c r="BB18" i="6"/>
  <c r="BD18" i="6" s="1"/>
  <c r="BC18" i="6"/>
  <c r="BE18" i="6" s="1"/>
  <c r="BG18" i="6"/>
  <c r="BH18" i="6" s="1"/>
  <c r="BL18" i="6"/>
  <c r="BQ18" i="6"/>
  <c r="BR18" i="6" s="1"/>
  <c r="BS18" i="6"/>
  <c r="BV18" i="6"/>
  <c r="BX18" i="6" s="1"/>
  <c r="BW18" i="6"/>
  <c r="BY18" i="6" s="1"/>
  <c r="CA18" i="6"/>
  <c r="CB18" i="6" s="1"/>
  <c r="CF18" i="6"/>
  <c r="CK18" i="6"/>
  <c r="CL18" i="6" s="1"/>
  <c r="CM18" i="6"/>
  <c r="CP18" i="6"/>
  <c r="CR18" i="6" s="1"/>
  <c r="CQ18" i="6"/>
  <c r="CS18" i="6" s="1"/>
  <c r="CU18" i="6"/>
  <c r="CV18" i="6" s="1"/>
  <c r="CZ18" i="6"/>
  <c r="DE18" i="6"/>
  <c r="DF18" i="6" s="1"/>
  <c r="DG18" i="6"/>
  <c r="DJ18" i="6"/>
  <c r="DL18" i="6" s="1"/>
  <c r="DK18" i="6"/>
  <c r="DM18" i="6" s="1"/>
  <c r="DO18" i="6"/>
  <c r="DP18" i="6" s="1"/>
  <c r="D19" i="6"/>
  <c r="I19" i="6"/>
  <c r="J19" i="6" s="1"/>
  <c r="K19" i="6"/>
  <c r="N19" i="6"/>
  <c r="P19" i="6" s="1"/>
  <c r="O19" i="6"/>
  <c r="Q19" i="6" s="1"/>
  <c r="S19" i="6"/>
  <c r="T19" i="6" s="1"/>
  <c r="X19" i="6"/>
  <c r="AC19" i="6"/>
  <c r="AD19" i="6" s="1"/>
  <c r="AE19" i="6"/>
  <c r="AH19" i="6"/>
  <c r="AJ19" i="6" s="1"/>
  <c r="AI19" i="6"/>
  <c r="AK19" i="6" s="1"/>
  <c r="AM19" i="6"/>
  <c r="AN19" i="6" s="1"/>
  <c r="AR19" i="6"/>
  <c r="AW19" i="6"/>
  <c r="AX19" i="6" s="1"/>
  <c r="AY19" i="6"/>
  <c r="BB19" i="6"/>
  <c r="BD19" i="6" s="1"/>
  <c r="BC19" i="6"/>
  <c r="BE19" i="6" s="1"/>
  <c r="BG19" i="6"/>
  <c r="BH19" i="6" s="1"/>
  <c r="BL19" i="6"/>
  <c r="BQ19" i="6"/>
  <c r="BR19" i="6" s="1"/>
  <c r="BS19" i="6"/>
  <c r="BV19" i="6"/>
  <c r="BX19" i="6" s="1"/>
  <c r="BW19" i="6"/>
  <c r="BY19" i="6" s="1"/>
  <c r="CA19" i="6"/>
  <c r="CB19" i="6" s="1"/>
  <c r="CF19" i="6"/>
  <c r="CK19" i="6"/>
  <c r="CL19" i="6" s="1"/>
  <c r="CM19" i="6"/>
  <c r="CP19" i="6"/>
  <c r="CR19" i="6" s="1"/>
  <c r="CQ19" i="6"/>
  <c r="CS19" i="6" s="1"/>
  <c r="CU19" i="6"/>
  <c r="CV19" i="6" s="1"/>
  <c r="CZ19" i="6"/>
  <c r="DE19" i="6"/>
  <c r="DF19" i="6" s="1"/>
  <c r="DG19" i="6"/>
  <c r="DJ19" i="6"/>
  <c r="DL19" i="6" s="1"/>
  <c r="DK19" i="6"/>
  <c r="DM19" i="6" s="1"/>
  <c r="DO19" i="6"/>
  <c r="DP19" i="6" s="1"/>
  <c r="D20" i="6"/>
  <c r="I20" i="6"/>
  <c r="J20" i="6" s="1"/>
  <c r="K20" i="6"/>
  <c r="N20" i="6"/>
  <c r="P20" i="6" s="1"/>
  <c r="O20" i="6"/>
  <c r="Q20" i="6" s="1"/>
  <c r="S20" i="6"/>
  <c r="T20" i="6" s="1"/>
  <c r="X20" i="6"/>
  <c r="AC20" i="6"/>
  <c r="AD20" i="6" s="1"/>
  <c r="AE20" i="6"/>
  <c r="AH20" i="6"/>
  <c r="AJ20" i="6" s="1"/>
  <c r="AI20" i="6"/>
  <c r="AK20" i="6" s="1"/>
  <c r="AM20" i="6"/>
  <c r="AN20" i="6" s="1"/>
  <c r="AR20" i="6"/>
  <c r="AW20" i="6"/>
  <c r="AX20" i="6" s="1"/>
  <c r="AY20" i="6"/>
  <c r="BB20" i="6"/>
  <c r="BD20" i="6" s="1"/>
  <c r="BC20" i="6"/>
  <c r="BE20" i="6" s="1"/>
  <c r="BG20" i="6"/>
  <c r="BH20" i="6" s="1"/>
  <c r="BL20" i="6"/>
  <c r="BQ20" i="6"/>
  <c r="BR20" i="6" s="1"/>
  <c r="BS20" i="6"/>
  <c r="BV20" i="6"/>
  <c r="BX20" i="6" s="1"/>
  <c r="BW20" i="6"/>
  <c r="BY20" i="6" s="1"/>
  <c r="CA20" i="6"/>
  <c r="CB20" i="6" s="1"/>
  <c r="CF20" i="6"/>
  <c r="CK20" i="6"/>
  <c r="CL20" i="6" s="1"/>
  <c r="CM20" i="6"/>
  <c r="CP20" i="6"/>
  <c r="CR20" i="6" s="1"/>
  <c r="CQ20" i="6"/>
  <c r="CS20" i="6" s="1"/>
  <c r="CU20" i="6"/>
  <c r="CV20" i="6" s="1"/>
  <c r="CZ20" i="6"/>
  <c r="DE20" i="6"/>
  <c r="DF20" i="6" s="1"/>
  <c r="DG20" i="6"/>
  <c r="DJ20" i="6"/>
  <c r="DL20" i="6" s="1"/>
  <c r="DK20" i="6"/>
  <c r="DM20" i="6" s="1"/>
  <c r="DO20" i="6"/>
  <c r="DP20" i="6" s="1"/>
  <c r="D21" i="6"/>
  <c r="I21" i="6"/>
  <c r="J21" i="6" s="1"/>
  <c r="L21" i="6" s="1"/>
  <c r="K21" i="6"/>
  <c r="N21" i="6"/>
  <c r="P21" i="6" s="1"/>
  <c r="O21" i="6"/>
  <c r="Q21" i="6" s="1"/>
  <c r="S21" i="6"/>
  <c r="T21" i="6" s="1"/>
  <c r="X21" i="6"/>
  <c r="AC21" i="6"/>
  <c r="AD21" i="6" s="1"/>
  <c r="AH21" i="6"/>
  <c r="AJ21" i="6" s="1"/>
  <c r="AI21" i="6"/>
  <c r="AK21" i="6" s="1"/>
  <c r="AM21" i="6"/>
  <c r="AN21" i="6" s="1"/>
  <c r="AO21" i="6"/>
  <c r="AR21" i="6"/>
  <c r="AT21" i="6" s="1"/>
  <c r="AS21" i="6"/>
  <c r="AU21" i="6" s="1"/>
  <c r="AW21" i="6"/>
  <c r="AX21" i="6" s="1"/>
  <c r="AY21" i="6"/>
  <c r="BB21" i="6"/>
  <c r="BD21" i="6" s="1"/>
  <c r="BG21" i="6"/>
  <c r="BH21" i="6" s="1"/>
  <c r="BI21" i="6"/>
  <c r="BL21" i="6"/>
  <c r="BN21" i="6" s="1"/>
  <c r="BQ21" i="6"/>
  <c r="BR21" i="6" s="1"/>
  <c r="BV21" i="6"/>
  <c r="CA21" i="6"/>
  <c r="CB21" i="6" s="1"/>
  <c r="CF21" i="6"/>
  <c r="CH21" i="6" s="1"/>
  <c r="CG21" i="6"/>
  <c r="CI21" i="6" s="1"/>
  <c r="CK21" i="6"/>
  <c r="CP21" i="6"/>
  <c r="CR21" i="6" s="1"/>
  <c r="CU21" i="6"/>
  <c r="CV21" i="6" s="1"/>
  <c r="CW21" i="6"/>
  <c r="CZ21" i="6"/>
  <c r="DB21" i="6" s="1"/>
  <c r="DA21" i="6"/>
  <c r="DC21" i="6" s="1"/>
  <c r="DE21" i="6"/>
  <c r="DF21" i="6" s="1"/>
  <c r="DJ21" i="6"/>
  <c r="DL21" i="6" s="1"/>
  <c r="DK21" i="6"/>
  <c r="DM21" i="6"/>
  <c r="DO21" i="6"/>
  <c r="DP21" i="6" s="1"/>
  <c r="DQ21" i="6"/>
  <c r="D22" i="6"/>
  <c r="F22" i="6"/>
  <c r="I22" i="6"/>
  <c r="K22" i="6"/>
  <c r="N22" i="6"/>
  <c r="P22" i="6" s="1"/>
  <c r="S22" i="6"/>
  <c r="U22" i="6" s="1"/>
  <c r="X22" i="6"/>
  <c r="Z22" i="6"/>
  <c r="AC22" i="6"/>
  <c r="AE22" i="6"/>
  <c r="AH22" i="6"/>
  <c r="AJ22" i="6" s="1"/>
  <c r="AM22" i="6"/>
  <c r="AO22" i="6" s="1"/>
  <c r="AR22" i="6"/>
  <c r="AT22" i="6"/>
  <c r="AW22" i="6"/>
  <c r="AY22" i="6"/>
  <c r="BB22" i="6"/>
  <c r="BD22" i="6" s="1"/>
  <c r="BG22" i="6"/>
  <c r="BI22" i="6" s="1"/>
  <c r="BL22" i="6"/>
  <c r="BN22" i="6" s="1"/>
  <c r="BQ22" i="6"/>
  <c r="BS22" i="6"/>
  <c r="BV22" i="6"/>
  <c r="BX22" i="6" s="1"/>
  <c r="CA22" i="6"/>
  <c r="CC22" i="6" s="1"/>
  <c r="CF22" i="6"/>
  <c r="CH22" i="6"/>
  <c r="CK22" i="6"/>
  <c r="CM22" i="6" s="1"/>
  <c r="CP22" i="6"/>
  <c r="CR22" i="6" s="1"/>
  <c r="CU22" i="6"/>
  <c r="CW22" i="6" s="1"/>
  <c r="CZ22" i="6"/>
  <c r="DB22" i="6"/>
  <c r="DE22" i="6"/>
  <c r="DG22" i="6"/>
  <c r="DJ22" i="6"/>
  <c r="DL22" i="6" s="1"/>
  <c r="DO22" i="6"/>
  <c r="DQ22" i="6" s="1"/>
  <c r="P23" i="6"/>
  <c r="CW23" i="6"/>
  <c r="O25" i="6"/>
  <c r="AI25" i="6"/>
  <c r="BC25" i="6"/>
  <c r="BW25" i="6"/>
  <c r="CQ25" i="6"/>
  <c r="DK25" i="6"/>
  <c r="D29" i="6"/>
  <c r="I29" i="6"/>
  <c r="J29" i="6"/>
  <c r="L29" i="6" s="1"/>
  <c r="N29" i="6"/>
  <c r="O29" i="6" s="1"/>
  <c r="Q29" i="6" s="1"/>
  <c r="S29" i="6"/>
  <c r="X29" i="6"/>
  <c r="Y29" i="6" s="1"/>
  <c r="AC29" i="6"/>
  <c r="AD29" i="6" s="1"/>
  <c r="AF29" i="6" s="1"/>
  <c r="AH29" i="6"/>
  <c r="AI29" i="6" s="1"/>
  <c r="AK29" i="6"/>
  <c r="AM29" i="6"/>
  <c r="AR29" i="6"/>
  <c r="AW29" i="6"/>
  <c r="AX29" i="6"/>
  <c r="BB29" i="6"/>
  <c r="BC29" i="6" s="1"/>
  <c r="BE29" i="6" s="1"/>
  <c r="BG29" i="6"/>
  <c r="BL29" i="6"/>
  <c r="BM29" i="6" s="1"/>
  <c r="BQ29" i="6"/>
  <c r="BR29" i="6" s="1"/>
  <c r="BV29" i="6"/>
  <c r="BW29" i="6" s="1"/>
  <c r="BY29" i="6" s="1"/>
  <c r="CA29" i="6"/>
  <c r="CF29" i="6"/>
  <c r="CK29" i="6"/>
  <c r="CL29" i="6"/>
  <c r="CN29" i="6" s="1"/>
  <c r="CP29" i="6"/>
  <c r="CQ29" i="6" s="1"/>
  <c r="CS29" i="6" s="1"/>
  <c r="CU29" i="6"/>
  <c r="CZ29" i="6"/>
  <c r="DA29" i="6" s="1"/>
  <c r="DE29" i="6"/>
  <c r="DF29" i="6" s="1"/>
  <c r="DJ29" i="6"/>
  <c r="DK29" i="6" s="1"/>
  <c r="DO29" i="6"/>
  <c r="D30" i="6"/>
  <c r="I30" i="6"/>
  <c r="J30" i="6"/>
  <c r="L30" i="6" s="1"/>
  <c r="N30" i="6"/>
  <c r="O30" i="6" s="1"/>
  <c r="Q30" i="6" s="1"/>
  <c r="S30" i="6"/>
  <c r="X30" i="6"/>
  <c r="Y30" i="6" s="1"/>
  <c r="AC30" i="6"/>
  <c r="AD30" i="6" s="1"/>
  <c r="AF30" i="6" s="1"/>
  <c r="AH30" i="6"/>
  <c r="AI30" i="6" s="1"/>
  <c r="AK30" i="6" s="1"/>
  <c r="AM30" i="6"/>
  <c r="AR30" i="6"/>
  <c r="AW30" i="6"/>
  <c r="AX30" i="6"/>
  <c r="BB30" i="6"/>
  <c r="BC30" i="6" s="1"/>
  <c r="BE30" i="6" s="1"/>
  <c r="BG30" i="6"/>
  <c r="BL30" i="6"/>
  <c r="BM30" i="6" s="1"/>
  <c r="BO30" i="6" s="1"/>
  <c r="BQ30" i="6"/>
  <c r="BR30" i="6" s="1"/>
  <c r="BV30" i="6"/>
  <c r="BW30" i="6" s="1"/>
  <c r="BY30" i="6"/>
  <c r="CA30" i="6"/>
  <c r="CF30" i="6"/>
  <c r="CK30" i="6"/>
  <c r="CL30" i="6"/>
  <c r="CN30" i="6" s="1"/>
  <c r="CP30" i="6"/>
  <c r="CQ30" i="6" s="1"/>
  <c r="CS30" i="6" s="1"/>
  <c r="CU30" i="6"/>
  <c r="CZ30" i="6"/>
  <c r="DA30" i="6" s="1"/>
  <c r="DE30" i="6"/>
  <c r="DF30" i="6" s="1"/>
  <c r="DJ30" i="6"/>
  <c r="DK30" i="6" s="1"/>
  <c r="DO30" i="6"/>
  <c r="D31" i="6"/>
  <c r="I31" i="6"/>
  <c r="N31" i="6"/>
  <c r="S31" i="6"/>
  <c r="X31" i="6"/>
  <c r="AC31" i="6"/>
  <c r="AH31" i="6"/>
  <c r="AM31" i="6"/>
  <c r="AR31" i="6"/>
  <c r="AW31" i="6"/>
  <c r="BB31" i="6"/>
  <c r="BG31" i="6"/>
  <c r="BL31" i="6"/>
  <c r="BQ31" i="6"/>
  <c r="BV31" i="6"/>
  <c r="BW31" i="6" s="1"/>
  <c r="BY31" i="6" s="1"/>
  <c r="CA31" i="6"/>
  <c r="CF31" i="6"/>
  <c r="CK31" i="6"/>
  <c r="CP31" i="6"/>
  <c r="CU31" i="6"/>
  <c r="CZ31" i="6"/>
  <c r="DA31" i="6" s="1"/>
  <c r="DE31" i="6"/>
  <c r="DJ31" i="6"/>
  <c r="DO31" i="6"/>
  <c r="D32" i="6"/>
  <c r="I32" i="6"/>
  <c r="N32" i="6"/>
  <c r="O32" i="6" s="1"/>
  <c r="Q32" i="6" s="1"/>
  <c r="S32" i="6"/>
  <c r="X32" i="6"/>
  <c r="AC32" i="6"/>
  <c r="AH32" i="6"/>
  <c r="AM32" i="6"/>
  <c r="AR32" i="6"/>
  <c r="AW32" i="6"/>
  <c r="BB32" i="6"/>
  <c r="BG32" i="6"/>
  <c r="BL32" i="6"/>
  <c r="BQ32" i="6"/>
  <c r="BV32" i="6"/>
  <c r="CA32" i="6"/>
  <c r="CF32" i="6"/>
  <c r="CK32" i="6"/>
  <c r="CP32" i="6"/>
  <c r="CU32" i="6"/>
  <c r="CZ32" i="6"/>
  <c r="DE32" i="6"/>
  <c r="DJ32" i="6"/>
  <c r="DK32" i="6" s="1"/>
  <c r="DO32" i="6"/>
  <c r="D33" i="6"/>
  <c r="E33" i="6"/>
  <c r="G33" i="6"/>
  <c r="I33" i="6"/>
  <c r="J33" i="6"/>
  <c r="L33" i="6" s="1"/>
  <c r="N33" i="6"/>
  <c r="O33" i="6" s="1"/>
  <c r="Q33" i="6" s="1"/>
  <c r="S33" i="6"/>
  <c r="T33" i="6"/>
  <c r="V33" i="6" s="1"/>
  <c r="X33" i="6"/>
  <c r="Y33" i="6" s="1"/>
  <c r="AC33" i="6"/>
  <c r="AD33" i="6" s="1"/>
  <c r="AF33" i="6" s="1"/>
  <c r="AH33" i="6"/>
  <c r="AI33" i="6" s="1"/>
  <c r="AK33" i="6"/>
  <c r="AM33" i="6"/>
  <c r="AN33" i="6"/>
  <c r="AP33" i="6" s="1"/>
  <c r="AR33" i="6"/>
  <c r="AS33" i="6"/>
  <c r="AU33" i="6"/>
  <c r="AW33" i="6"/>
  <c r="AX33" i="6"/>
  <c r="BB33" i="6"/>
  <c r="BC33" i="6" s="1"/>
  <c r="BE33" i="6" s="1"/>
  <c r="BG33" i="6"/>
  <c r="BH33" i="6"/>
  <c r="BJ33" i="6" s="1"/>
  <c r="BL33" i="6"/>
  <c r="BM33" i="6" s="1"/>
  <c r="BO33" i="6" s="1"/>
  <c r="BQ33" i="6"/>
  <c r="BR33" i="6" s="1"/>
  <c r="BV33" i="6"/>
  <c r="BW33" i="6" s="1"/>
  <c r="BY33" i="6" s="1"/>
  <c r="CA33" i="6"/>
  <c r="CB33" i="6"/>
  <c r="CD33" i="6" s="1"/>
  <c r="CF33" i="6"/>
  <c r="CG33" i="6"/>
  <c r="CK33" i="6"/>
  <c r="CL33" i="6"/>
  <c r="CN33" i="6" s="1"/>
  <c r="CP33" i="6"/>
  <c r="CQ33" i="6" s="1"/>
  <c r="CS33" i="6" s="1"/>
  <c r="CU33" i="6"/>
  <c r="CV33" i="6"/>
  <c r="CX33" i="6" s="1"/>
  <c r="CZ33" i="6"/>
  <c r="DA33" i="6" s="1"/>
  <c r="DE33" i="6"/>
  <c r="DF33" i="6" s="1"/>
  <c r="DJ33" i="6"/>
  <c r="DK33" i="6" s="1"/>
  <c r="DO33" i="6"/>
  <c r="DP33" i="6"/>
  <c r="D34" i="6"/>
  <c r="E34" i="6"/>
  <c r="I34" i="6"/>
  <c r="J34" i="6" s="1"/>
  <c r="N34" i="6"/>
  <c r="O34" i="6" s="1"/>
  <c r="S34" i="6"/>
  <c r="T34" i="6" s="1"/>
  <c r="X34" i="6"/>
  <c r="Y34" i="6"/>
  <c r="AC34" i="6"/>
  <c r="AD34" i="6" s="1"/>
  <c r="AH34" i="6"/>
  <c r="AI34" i="6" s="1"/>
  <c r="AM34" i="6"/>
  <c r="AN34" i="6" s="1"/>
  <c r="AR34" i="6"/>
  <c r="AS34" i="6"/>
  <c r="AW34" i="6"/>
  <c r="AX34" i="6" s="1"/>
  <c r="BB34" i="6"/>
  <c r="BC34" i="6" s="1"/>
  <c r="BG34" i="6"/>
  <c r="BH34" i="6" s="1"/>
  <c r="BL34" i="6"/>
  <c r="BM34" i="6"/>
  <c r="BQ34" i="6"/>
  <c r="BR34" i="6" s="1"/>
  <c r="BV34" i="6"/>
  <c r="BW34" i="6" s="1"/>
  <c r="CA34" i="6"/>
  <c r="CB34" i="6" s="1"/>
  <c r="CF34" i="6"/>
  <c r="CG34" i="6"/>
  <c r="CK34" i="6"/>
  <c r="CL34" i="6" s="1"/>
  <c r="CP34" i="6"/>
  <c r="CQ34" i="6" s="1"/>
  <c r="CU34" i="6"/>
  <c r="CV34" i="6" s="1"/>
  <c r="CZ34" i="6"/>
  <c r="DA34" i="6"/>
  <c r="DE34" i="6"/>
  <c r="DF34" i="6" s="1"/>
  <c r="DJ34" i="6"/>
  <c r="DK34" i="6" s="1"/>
  <c r="DO34" i="6"/>
  <c r="DP34" i="6" s="1"/>
  <c r="D35" i="6"/>
  <c r="E35" i="6"/>
  <c r="I35" i="6"/>
  <c r="J35" i="6" s="1"/>
  <c r="N35" i="6"/>
  <c r="O35" i="6" s="1"/>
  <c r="S35" i="6"/>
  <c r="T35" i="6" s="1"/>
  <c r="X35" i="6"/>
  <c r="Y35" i="6"/>
  <c r="AC35" i="6"/>
  <c r="AD35" i="6" s="1"/>
  <c r="AH35" i="6"/>
  <c r="AI35" i="6" s="1"/>
  <c r="AM35" i="6"/>
  <c r="AN35" i="6" s="1"/>
  <c r="AR35" i="6"/>
  <c r="AS35" i="6"/>
  <c r="AW35" i="6"/>
  <c r="AX35" i="6" s="1"/>
  <c r="BB35" i="6"/>
  <c r="BC35" i="6" s="1"/>
  <c r="BG35" i="6"/>
  <c r="BH35" i="6" s="1"/>
  <c r="BL35" i="6"/>
  <c r="BM35" i="6"/>
  <c r="BQ35" i="6"/>
  <c r="BR35" i="6" s="1"/>
  <c r="BV35" i="6"/>
  <c r="BW35" i="6" s="1"/>
  <c r="CA35" i="6"/>
  <c r="CB35" i="6" s="1"/>
  <c r="CF35" i="6"/>
  <c r="CG35" i="6"/>
  <c r="CK35" i="6"/>
  <c r="CL35" i="6" s="1"/>
  <c r="CP35" i="6"/>
  <c r="CQ35" i="6" s="1"/>
  <c r="CU35" i="6"/>
  <c r="CV35" i="6" s="1"/>
  <c r="CZ35" i="6"/>
  <c r="DA35" i="6"/>
  <c r="DE35" i="6"/>
  <c r="DF35" i="6" s="1"/>
  <c r="DJ35" i="6"/>
  <c r="DK35" i="6" s="1"/>
  <c r="DO35" i="6"/>
  <c r="DP35" i="6" s="1"/>
  <c r="D36" i="6"/>
  <c r="E36" i="6"/>
  <c r="I36" i="6"/>
  <c r="J36" i="6" s="1"/>
  <c r="N36" i="6"/>
  <c r="O36" i="6" s="1"/>
  <c r="S36" i="6"/>
  <c r="T36" i="6" s="1"/>
  <c r="X36" i="6"/>
  <c r="Y36" i="6"/>
  <c r="AC36" i="6"/>
  <c r="AD36" i="6" s="1"/>
  <c r="AH36" i="6"/>
  <c r="AI36" i="6" s="1"/>
  <c r="AM36" i="6"/>
  <c r="AN36" i="6" s="1"/>
  <c r="AR36" i="6"/>
  <c r="AS36" i="6"/>
  <c r="AW36" i="6"/>
  <c r="AX36" i="6" s="1"/>
  <c r="BB36" i="6"/>
  <c r="BC36" i="6" s="1"/>
  <c r="BG36" i="6"/>
  <c r="BH36" i="6" s="1"/>
  <c r="BL36" i="6"/>
  <c r="BM36" i="6"/>
  <c r="BQ36" i="6"/>
  <c r="BR36" i="6" s="1"/>
  <c r="BV36" i="6"/>
  <c r="BW36" i="6" s="1"/>
  <c r="CA36" i="6"/>
  <c r="CB36" i="6" s="1"/>
  <c r="CF36" i="6"/>
  <c r="CG36" i="6"/>
  <c r="CK36" i="6"/>
  <c r="CL36" i="6" s="1"/>
  <c r="CP36" i="6"/>
  <c r="CQ36" i="6" s="1"/>
  <c r="CU36" i="6"/>
  <c r="CV36" i="6" s="1"/>
  <c r="CZ36" i="6"/>
  <c r="DA36" i="6"/>
  <c r="DE36" i="6"/>
  <c r="DF36" i="6" s="1"/>
  <c r="DJ36" i="6"/>
  <c r="DK36" i="6" s="1"/>
  <c r="DO36" i="6"/>
  <c r="DP36" i="6" s="1"/>
  <c r="D37" i="6"/>
  <c r="E37" i="6"/>
  <c r="I37" i="6"/>
  <c r="J37" i="6" s="1"/>
  <c r="N37" i="6"/>
  <c r="O37" i="6" s="1"/>
  <c r="S37" i="6"/>
  <c r="T37" i="6" s="1"/>
  <c r="X37" i="6"/>
  <c r="Y37" i="6"/>
  <c r="AC37" i="6"/>
  <c r="AD37" i="6" s="1"/>
  <c r="AH37" i="6"/>
  <c r="AI37" i="6" s="1"/>
  <c r="AM37" i="6"/>
  <c r="AN37" i="6" s="1"/>
  <c r="AR37" i="6"/>
  <c r="AS37" i="6"/>
  <c r="AW37" i="6"/>
  <c r="AX37" i="6" s="1"/>
  <c r="BB37" i="6"/>
  <c r="BC37" i="6" s="1"/>
  <c r="BG37" i="6"/>
  <c r="BH37" i="6" s="1"/>
  <c r="BL37" i="6"/>
  <c r="BM37" i="6"/>
  <c r="BQ37" i="6"/>
  <c r="BR37" i="6" s="1"/>
  <c r="BV37" i="6"/>
  <c r="BW37" i="6" s="1"/>
  <c r="CA37" i="6"/>
  <c r="CB37" i="6" s="1"/>
  <c r="CF37" i="6"/>
  <c r="CG37" i="6"/>
  <c r="CK37" i="6"/>
  <c r="CL37" i="6" s="1"/>
  <c r="CP37" i="6"/>
  <c r="CQ37" i="6" s="1"/>
  <c r="CU37" i="6"/>
  <c r="CV37" i="6" s="1"/>
  <c r="CZ37" i="6"/>
  <c r="DA37" i="6"/>
  <c r="DE37" i="6"/>
  <c r="DF37" i="6" s="1"/>
  <c r="DJ37" i="6"/>
  <c r="DK37" i="6" s="1"/>
  <c r="DO37" i="6"/>
  <c r="DP37" i="6" s="1"/>
  <c r="D38" i="6"/>
  <c r="E38" i="6"/>
  <c r="I38" i="6"/>
  <c r="J38" i="6" s="1"/>
  <c r="N38" i="6"/>
  <c r="O38" i="6" s="1"/>
  <c r="S38" i="6"/>
  <c r="T38" i="6" s="1"/>
  <c r="X38" i="6"/>
  <c r="Y38" i="6"/>
  <c r="AC38" i="6"/>
  <c r="AD38" i="6" s="1"/>
  <c r="AH38" i="6"/>
  <c r="AI38" i="6" s="1"/>
  <c r="AM38" i="6"/>
  <c r="AN38" i="6" s="1"/>
  <c r="AR38" i="6"/>
  <c r="AS38" i="6"/>
  <c r="AW38" i="6"/>
  <c r="AX38" i="6" s="1"/>
  <c r="BB38" i="6"/>
  <c r="BC38" i="6" s="1"/>
  <c r="BG38" i="6"/>
  <c r="BH38" i="6" s="1"/>
  <c r="BL38" i="6"/>
  <c r="BM38" i="6"/>
  <c r="BQ38" i="6"/>
  <c r="BR38" i="6" s="1"/>
  <c r="BV38" i="6"/>
  <c r="BW38" i="6" s="1"/>
  <c r="CA38" i="6"/>
  <c r="CB38" i="6" s="1"/>
  <c r="CF38" i="6"/>
  <c r="CG38" i="6"/>
  <c r="CK38" i="6"/>
  <c r="CL38" i="6" s="1"/>
  <c r="CP38" i="6"/>
  <c r="CQ38" i="6" s="1"/>
  <c r="CU38" i="6"/>
  <c r="CV38" i="6" s="1"/>
  <c r="CZ38" i="6"/>
  <c r="DA38" i="6"/>
  <c r="DE38" i="6"/>
  <c r="DF38" i="6" s="1"/>
  <c r="DJ38" i="6"/>
  <c r="DK38" i="6" s="1"/>
  <c r="DO38" i="6"/>
  <c r="DP38" i="6" s="1"/>
  <c r="D39" i="6"/>
  <c r="I39" i="6"/>
  <c r="N39" i="6"/>
  <c r="S39" i="6"/>
  <c r="T39" i="6"/>
  <c r="V39" i="6" s="1"/>
  <c r="X39" i="6"/>
  <c r="AC39" i="6"/>
  <c r="AH39" i="6"/>
  <c r="AM39" i="6"/>
  <c r="AR39" i="6"/>
  <c r="AW39" i="6"/>
  <c r="BB39" i="6"/>
  <c r="BG39" i="6"/>
  <c r="BL39" i="6"/>
  <c r="BQ39" i="6"/>
  <c r="BV39" i="6"/>
  <c r="CA39" i="6"/>
  <c r="CF39" i="6"/>
  <c r="CK39" i="6"/>
  <c r="CP39" i="6"/>
  <c r="CU39" i="6"/>
  <c r="CZ39" i="6"/>
  <c r="DE39" i="6"/>
  <c r="DJ39" i="6"/>
  <c r="DK39" i="6" s="1"/>
  <c r="DO39" i="6"/>
  <c r="E45" i="6"/>
  <c r="J45" i="6"/>
  <c r="O45" i="6"/>
  <c r="T45" i="6"/>
  <c r="Y45" i="6"/>
  <c r="AD45" i="6"/>
  <c r="AI45" i="6"/>
  <c r="AN45" i="6"/>
  <c r="AS45" i="6"/>
  <c r="AX45" i="6"/>
  <c r="BC45" i="6"/>
  <c r="BH45" i="6"/>
  <c r="BM45" i="6"/>
  <c r="BR45" i="6"/>
  <c r="BW45" i="6"/>
  <c r="CB45" i="6"/>
  <c r="CG45" i="6"/>
  <c r="CL45" i="6"/>
  <c r="CQ45" i="6"/>
  <c r="CV45" i="6"/>
  <c r="DA45" i="6"/>
  <c r="DF45" i="6"/>
  <c r="DK45" i="6"/>
  <c r="DP45" i="6"/>
  <c r="D5" i="5"/>
  <c r="C14" i="5"/>
  <c r="C20" i="5"/>
  <c r="C22" i="5"/>
  <c r="D27" i="5"/>
  <c r="AN15" i="6" s="1"/>
  <c r="AP15" i="6" s="1"/>
  <c r="D28" i="5"/>
  <c r="AS16" i="6" s="1"/>
  <c r="AU16" i="6" s="1"/>
  <c r="C37" i="5"/>
  <c r="AN29" i="6" s="1"/>
  <c r="AP29" i="6" s="1"/>
  <c r="C38" i="5"/>
  <c r="AN30" i="6" s="1"/>
  <c r="AP30" i="6" s="1"/>
  <c r="C39" i="5"/>
  <c r="C40" i="5"/>
  <c r="C41" i="5"/>
  <c r="C47" i="5"/>
  <c r="AX39" i="6" s="1"/>
  <c r="C49" i="5"/>
  <c r="K4" i="6" s="1"/>
  <c r="C51" i="5"/>
  <c r="D58" i="5"/>
  <c r="I9" i="7" s="1"/>
  <c r="K9" i="7" s="1"/>
  <c r="D59" i="5"/>
  <c r="I10" i="7" s="1"/>
  <c r="K10" i="7" s="1"/>
  <c r="D60" i="5"/>
  <c r="I11" i="7" s="1"/>
  <c r="K11" i="7" s="1"/>
  <c r="C72" i="5"/>
  <c r="I17" i="7" s="1"/>
  <c r="C73" i="5"/>
  <c r="C74" i="5"/>
  <c r="C75" i="5"/>
  <c r="C82" i="5"/>
  <c r="C84" i="5"/>
  <c r="D93" i="5"/>
  <c r="O7" i="8" s="1"/>
  <c r="Q7" i="8" s="1"/>
  <c r="D94" i="5"/>
  <c r="D95" i="5"/>
  <c r="O9" i="8" s="1"/>
  <c r="Q9" i="8" s="1"/>
  <c r="C105" i="5"/>
  <c r="L15" i="8" s="1"/>
  <c r="C106" i="5"/>
  <c r="C113" i="5"/>
  <c r="C115" i="5"/>
  <c r="D123" i="5"/>
  <c r="I6" i="9" s="1"/>
  <c r="K6" i="9" s="1"/>
  <c r="D124" i="5"/>
  <c r="I7" i="9" s="1"/>
  <c r="K7" i="9" s="1"/>
  <c r="C132" i="5"/>
  <c r="C133" i="5"/>
  <c r="C137" i="5"/>
  <c r="I9" i="9" s="1"/>
  <c r="C139" i="5"/>
  <c r="I17" i="9" s="1"/>
  <c r="D146" i="5"/>
  <c r="D147" i="5"/>
  <c r="C155" i="5"/>
  <c r="F13" i="13" s="1"/>
  <c r="C156" i="5"/>
  <c r="F14" i="13" s="1"/>
  <c r="C160" i="5"/>
  <c r="E9" i="13" s="1"/>
  <c r="C162" i="5"/>
  <c r="E18" i="13" s="1"/>
  <c r="D169" i="5"/>
  <c r="E13" i="14" s="1"/>
  <c r="G13" i="14" s="1"/>
  <c r="D170" i="5"/>
  <c r="E14" i="14" s="1"/>
  <c r="G14" i="14" s="1"/>
  <c r="C178" i="5"/>
  <c r="F24" i="14" s="1"/>
  <c r="C179" i="5"/>
  <c r="C183" i="5"/>
  <c r="E20" i="14" s="1"/>
  <c r="C185" i="5"/>
  <c r="E31" i="14" s="1"/>
  <c r="D193" i="5"/>
  <c r="E5" i="10" s="1"/>
  <c r="G5" i="10" s="1"/>
  <c r="D194" i="5"/>
  <c r="E6" i="10" s="1"/>
  <c r="G6" i="10" s="1"/>
  <c r="C202" i="5"/>
  <c r="C208" i="5"/>
  <c r="F12" i="10" s="1"/>
  <c r="C210" i="5"/>
  <c r="E23" i="10" s="1"/>
  <c r="D216" i="5"/>
  <c r="D217" i="5"/>
  <c r="C225" i="5"/>
  <c r="F16" i="16" s="1"/>
  <c r="G16" i="16" s="1"/>
  <c r="C231" i="5"/>
  <c r="F12" i="16" s="1"/>
  <c r="C233" i="5"/>
  <c r="E23" i="16" s="1"/>
  <c r="E240" i="5"/>
  <c r="F4" i="12" s="1"/>
  <c r="H4" i="12" s="1"/>
  <c r="E241" i="5"/>
  <c r="F5" i="12" s="1"/>
  <c r="H5" i="12" s="1"/>
  <c r="C249" i="5"/>
  <c r="G15" i="12" s="1"/>
  <c r="H15" i="12" s="1"/>
  <c r="C250" i="5"/>
  <c r="C251" i="5"/>
  <c r="G17" i="12" s="1"/>
  <c r="H17" i="12" s="1"/>
  <c r="C252" i="5"/>
  <c r="C253" i="5"/>
  <c r="G19" i="12" s="1"/>
  <c r="H19" i="12" s="1"/>
  <c r="C254" i="5"/>
  <c r="C255" i="5"/>
  <c r="G21" i="12" s="1"/>
  <c r="H21" i="12" s="1"/>
  <c r="C262" i="5"/>
  <c r="G11" i="12" s="1"/>
  <c r="C264" i="5"/>
  <c r="G30" i="12" s="1"/>
  <c r="D273" i="5"/>
  <c r="C280" i="5"/>
  <c r="C281" i="5"/>
  <c r="C287" i="5"/>
  <c r="F23" i="15" s="1"/>
  <c r="G23" i="15" s="1"/>
  <c r="C291" i="5"/>
  <c r="C293" i="5"/>
  <c r="D300" i="5"/>
  <c r="G300" i="5"/>
  <c r="J300" i="5"/>
  <c r="M300" i="5"/>
  <c r="P300" i="5"/>
  <c r="D301" i="5"/>
  <c r="J301" i="5"/>
  <c r="M301" i="5"/>
  <c r="P301" i="5"/>
  <c r="D302" i="5"/>
  <c r="G302" i="5"/>
  <c r="J302" i="5"/>
  <c r="M302" i="5"/>
  <c r="P302" i="5"/>
  <c r="D303" i="5"/>
  <c r="C311" i="5"/>
  <c r="C312" i="5"/>
  <c r="C318" i="5"/>
  <c r="C320" i="5"/>
  <c r="D331" i="5"/>
  <c r="J6" i="11" s="1"/>
  <c r="L6" i="11" s="1"/>
  <c r="D332" i="5"/>
  <c r="J7" i="11" s="1"/>
  <c r="L7" i="11" s="1"/>
  <c r="C339" i="5"/>
  <c r="J16" i="11" s="1"/>
  <c r="L16" i="11" s="1"/>
  <c r="C340" i="5"/>
  <c r="C345" i="5"/>
  <c r="K11" i="11" s="1"/>
  <c r="C347" i="5"/>
  <c r="K23" i="11" s="1"/>
  <c r="D354" i="5"/>
  <c r="D355" i="5"/>
  <c r="D356" i="5"/>
  <c r="D357" i="5"/>
  <c r="D358" i="5"/>
  <c r="C364" i="5"/>
  <c r="C365" i="5"/>
  <c r="C366" i="5"/>
  <c r="C367" i="5"/>
  <c r="C368" i="5"/>
  <c r="C369" i="5"/>
  <c r="C370" i="5"/>
  <c r="C372" i="5"/>
  <c r="C374" i="5"/>
  <c r="D382" i="5"/>
  <c r="D383" i="5"/>
  <c r="D384" i="5"/>
  <c r="D385" i="5"/>
  <c r="D386" i="5"/>
  <c r="C392" i="5"/>
  <c r="C396" i="5"/>
  <c r="C398" i="5"/>
  <c r="D404" i="5"/>
  <c r="D405" i="5"/>
  <c r="D406" i="5"/>
  <c r="C412" i="5"/>
  <c r="K15" i="18" s="1"/>
  <c r="C413" i="5"/>
  <c r="C414" i="5"/>
  <c r="K17" i="18" s="1"/>
  <c r="C415" i="5"/>
  <c r="K18" i="18" s="1"/>
  <c r="C416" i="5"/>
  <c r="K19" i="18" s="1"/>
  <c r="C417" i="5"/>
  <c r="K20" i="18" s="1"/>
  <c r="C418" i="5"/>
  <c r="C420" i="5"/>
  <c r="C422" i="5"/>
  <c r="J25" i="18" s="1"/>
  <c r="D429" i="5"/>
  <c r="D430" i="5"/>
  <c r="D431" i="5"/>
  <c r="C436" i="5"/>
  <c r="J15" i="19" s="1"/>
  <c r="C437" i="5"/>
  <c r="C440" i="5"/>
  <c r="C442" i="5"/>
  <c r="J20" i="19" s="1"/>
  <c r="D448" i="5"/>
  <c r="D449" i="5"/>
  <c r="D450" i="5"/>
  <c r="C455" i="5"/>
  <c r="C456" i="5"/>
  <c r="C459" i="5"/>
  <c r="C461" i="5"/>
  <c r="I20" i="20" s="1"/>
  <c r="D468" i="5"/>
  <c r="D469" i="5"/>
  <c r="C475" i="5"/>
  <c r="C476" i="5"/>
  <c r="C479" i="5"/>
  <c r="C481" i="5"/>
  <c r="D487" i="5"/>
  <c r="D488" i="5"/>
  <c r="D489" i="5"/>
  <c r="C494" i="5"/>
  <c r="C495" i="5"/>
  <c r="C498" i="5"/>
  <c r="C500" i="5"/>
  <c r="E21" i="4"/>
  <c r="G21" i="4"/>
  <c r="E22" i="4"/>
  <c r="C288" i="5" s="1"/>
  <c r="K23" i="15" s="1"/>
  <c r="L23" i="15" s="1"/>
  <c r="G22" i="4"/>
  <c r="E23" i="4"/>
  <c r="C289" i="5" s="1"/>
  <c r="P23" i="15" s="1"/>
  <c r="Q23" i="15" s="1"/>
  <c r="G23" i="4"/>
  <c r="E24" i="4"/>
  <c r="C338" i="5" s="1"/>
  <c r="D33" i="4"/>
  <c r="D34" i="4"/>
  <c r="D38" i="4"/>
  <c r="D39" i="4"/>
  <c r="BZ19" i="2"/>
  <c r="BZ20" i="2"/>
  <c r="CI20" i="2" s="1"/>
  <c r="BZ24" i="2"/>
  <c r="CA24" i="2"/>
  <c r="CB24" i="2"/>
  <c r="CC24" i="2"/>
  <c r="CD24" i="2"/>
  <c r="CI24" i="2" s="1"/>
  <c r="CE24" i="2"/>
  <c r="CF24" i="2"/>
  <c r="CG24" i="2"/>
  <c r="C6" i="1"/>
  <c r="C7" i="1"/>
  <c r="C8" i="1"/>
  <c r="C9" i="1"/>
  <c r="C10" i="1"/>
  <c r="C11" i="1"/>
  <c r="C12" i="1" s="1"/>
  <c r="C13" i="1"/>
  <c r="C14" i="1"/>
  <c r="C15" i="1"/>
  <c r="C16" i="1"/>
  <c r="C17" i="1"/>
  <c r="C18" i="1" s="1"/>
  <c r="C19" i="1"/>
  <c r="C20" i="1" s="1"/>
  <c r="C21" i="1"/>
  <c r="C22" i="1" s="1"/>
  <c r="C23" i="1"/>
  <c r="C24" i="1" s="1"/>
  <c r="C25" i="1"/>
  <c r="C26" i="1"/>
  <c r="C27" i="1"/>
  <c r="C28" i="1" s="1"/>
  <c r="C29" i="1"/>
  <c r="C30" i="1" s="1"/>
  <c r="C31" i="1"/>
  <c r="C32" i="1"/>
  <c r="C33" i="1"/>
  <c r="K33" i="1"/>
  <c r="K37" i="1" s="1"/>
  <c r="K38" i="1" s="1"/>
  <c r="C34" i="1"/>
  <c r="K34" i="1"/>
  <c r="K35" i="1"/>
  <c r="C36" i="1"/>
  <c r="K36" i="1"/>
  <c r="C38" i="1"/>
  <c r="C46" i="1"/>
  <c r="C47" i="1"/>
  <c r="C49" i="1"/>
  <c r="C50" i="1"/>
  <c r="C51" i="1"/>
  <c r="C52" i="1"/>
  <c r="C60" i="1" l="1"/>
  <c r="C53" i="1"/>
  <c r="K8" i="9"/>
  <c r="G12" i="15"/>
  <c r="K16" i="18"/>
  <c r="Q10" i="15"/>
  <c r="G10" i="15"/>
  <c r="L11" i="15"/>
  <c r="CI26" i="2"/>
  <c r="D43" i="4" s="1"/>
  <c r="DB19" i="6"/>
  <c r="DA19" i="6"/>
  <c r="I11" i="20"/>
  <c r="J11" i="18"/>
  <c r="J11" i="19"/>
  <c r="AI17" i="17"/>
  <c r="AJ17" i="17" s="1"/>
  <c r="T17" i="17"/>
  <c r="U17" i="17" s="1"/>
  <c r="AN17" i="17"/>
  <c r="AO17" i="17" s="1"/>
  <c r="Y17" i="17"/>
  <c r="Z17" i="17" s="1"/>
  <c r="AS17" i="17"/>
  <c r="AT17" i="17" s="1"/>
  <c r="J16" i="17"/>
  <c r="AD17" i="17"/>
  <c r="AE17" i="17" s="1"/>
  <c r="P19" i="15"/>
  <c r="Q19" i="15" s="1"/>
  <c r="K19" i="15"/>
  <c r="L19" i="15" s="1"/>
  <c r="AN32" i="6"/>
  <c r="AP32" i="6" s="1"/>
  <c r="CB32" i="6"/>
  <c r="CD32" i="6" s="1"/>
  <c r="DP32" i="6"/>
  <c r="E32" i="6"/>
  <c r="G32" i="6" s="1"/>
  <c r="AS32" i="6"/>
  <c r="AU32" i="6" s="1"/>
  <c r="CG32" i="6"/>
  <c r="CI32" i="6" s="1"/>
  <c r="T32" i="6"/>
  <c r="V32" i="6" s="1"/>
  <c r="BH32" i="6"/>
  <c r="BJ32" i="6" s="1"/>
  <c r="CV32" i="6"/>
  <c r="CX32" i="6" s="1"/>
  <c r="BM39" i="6"/>
  <c r="BO39" i="6" s="1"/>
  <c r="AN39" i="6"/>
  <c r="AP39" i="6" s="1"/>
  <c r="DF32" i="6"/>
  <c r="J32" i="6"/>
  <c r="L32" i="6" s="1"/>
  <c r="BR31" i="6"/>
  <c r="BT31" i="6" s="1"/>
  <c r="BN20" i="6"/>
  <c r="BM20" i="6"/>
  <c r="CM15" i="6"/>
  <c r="CL15" i="6"/>
  <c r="J12" i="17"/>
  <c r="AI13" i="17"/>
  <c r="O12" i="17"/>
  <c r="T13" i="17"/>
  <c r="AN13" i="17"/>
  <c r="Y13" i="17"/>
  <c r="AS13" i="17"/>
  <c r="AD13" i="17"/>
  <c r="X9" i="17"/>
  <c r="Z9" i="17" s="1"/>
  <c r="N8" i="17"/>
  <c r="P8" i="17" s="1"/>
  <c r="AM9" i="17"/>
  <c r="AO9" i="17" s="1"/>
  <c r="AC9" i="17"/>
  <c r="AE9" i="17" s="1"/>
  <c r="AR9" i="17"/>
  <c r="S9" i="17"/>
  <c r="U9" i="17" s="1"/>
  <c r="I8" i="17"/>
  <c r="K8" i="17" s="1"/>
  <c r="AH9" i="17"/>
  <c r="Q10" i="8"/>
  <c r="AN31" i="6"/>
  <c r="AP31" i="6" s="1"/>
  <c r="CB31" i="6"/>
  <c r="CD31" i="6" s="1"/>
  <c r="DP31" i="6"/>
  <c r="E31" i="6"/>
  <c r="G31" i="6" s="1"/>
  <c r="AS31" i="6"/>
  <c r="AU31" i="6" s="1"/>
  <c r="CG31" i="6"/>
  <c r="CI31" i="6" s="1"/>
  <c r="T31" i="6"/>
  <c r="V31" i="6" s="1"/>
  <c r="BH31" i="6"/>
  <c r="BJ31" i="6" s="1"/>
  <c r="CV31" i="6"/>
  <c r="CX31" i="6" s="1"/>
  <c r="BH39" i="6"/>
  <c r="BJ39" i="6" s="1"/>
  <c r="O39" i="6"/>
  <c r="Q39" i="6" s="1"/>
  <c r="DA32" i="6"/>
  <c r="BW32" i="6"/>
  <c r="BY32" i="6" s="1"/>
  <c r="BY42" i="6" s="1"/>
  <c r="CQ31" i="6"/>
  <c r="CS31" i="6" s="1"/>
  <c r="CS42" i="6" s="1"/>
  <c r="BM31" i="6"/>
  <c r="BO31" i="6" s="1"/>
  <c r="AI31" i="6"/>
  <c r="AK31" i="6" s="1"/>
  <c r="AK42" i="6" s="1"/>
  <c r="CH20" i="6"/>
  <c r="CG20" i="6"/>
  <c r="F20" i="6"/>
  <c r="E20" i="6"/>
  <c r="AT19" i="6"/>
  <c r="AS19" i="6"/>
  <c r="CH18" i="6"/>
  <c r="CH23" i="6" s="1"/>
  <c r="CG18" i="6"/>
  <c r="F18" i="6"/>
  <c r="E18" i="6"/>
  <c r="CI33" i="6"/>
  <c r="Z21" i="6"/>
  <c r="Y21" i="6"/>
  <c r="BN18" i="6"/>
  <c r="BM18" i="6"/>
  <c r="C48" i="1"/>
  <c r="K9" i="9"/>
  <c r="K10" i="9" s="1"/>
  <c r="K16" i="9" s="1"/>
  <c r="I28" i="7"/>
  <c r="D28" i="7"/>
  <c r="DA39" i="6"/>
  <c r="CB39" i="6"/>
  <c r="CD39" i="6" s="1"/>
  <c r="J39" i="6"/>
  <c r="L39" i="6" s="1"/>
  <c r="BR32" i="6"/>
  <c r="CL31" i="6"/>
  <c r="CN31" i="6" s="1"/>
  <c r="AD31" i="6"/>
  <c r="AF31" i="6" s="1"/>
  <c r="AZ30" i="6"/>
  <c r="CL21" i="6"/>
  <c r="CN21" i="6" s="1"/>
  <c r="CM21" i="6"/>
  <c r="DK16" i="6"/>
  <c r="DL16" i="6"/>
  <c r="DL23" i="6" s="1"/>
  <c r="AI27" i="17"/>
  <c r="J26" i="17"/>
  <c r="Y27" i="17"/>
  <c r="AS27" i="17"/>
  <c r="O26" i="17"/>
  <c r="AD27" i="17"/>
  <c r="AN27" i="17"/>
  <c r="T27" i="17"/>
  <c r="Z19" i="6"/>
  <c r="Y19" i="6"/>
  <c r="AA19" i="6" s="1"/>
  <c r="J21" i="17"/>
  <c r="AN22" i="17"/>
  <c r="AO22" i="17" s="1"/>
  <c r="Y22" i="17"/>
  <c r="Z22" i="17" s="1"/>
  <c r="AS22" i="17"/>
  <c r="AT22" i="17" s="1"/>
  <c r="AD22" i="17"/>
  <c r="AE22" i="17" s="1"/>
  <c r="AI22" i="17"/>
  <c r="AJ22" i="17" s="1"/>
  <c r="AC7" i="17"/>
  <c r="AE7" i="17" s="1"/>
  <c r="AR7" i="17"/>
  <c r="AT7" i="17" s="1"/>
  <c r="I6" i="17"/>
  <c r="K6" i="17" s="1"/>
  <c r="S7" i="17"/>
  <c r="U7" i="17" s="1"/>
  <c r="AH7" i="17"/>
  <c r="AJ7" i="17" s="1"/>
  <c r="N6" i="17"/>
  <c r="P6" i="17" s="1"/>
  <c r="X7" i="17"/>
  <c r="Z7" i="17" s="1"/>
  <c r="AM7" i="17"/>
  <c r="AO7" i="17" s="1"/>
  <c r="J20" i="8"/>
  <c r="O20" i="8"/>
  <c r="T20" i="8"/>
  <c r="AP42" i="6"/>
  <c r="CV39" i="6"/>
  <c r="CX39" i="6" s="1"/>
  <c r="BC39" i="6"/>
  <c r="BE39" i="6" s="1"/>
  <c r="AI39" i="6"/>
  <c r="AK39" i="6" s="1"/>
  <c r="CQ32" i="6"/>
  <c r="CS32" i="6" s="1"/>
  <c r="BM32" i="6"/>
  <c r="BO32" i="6" s="1"/>
  <c r="AI32" i="6"/>
  <c r="AK32" i="6" s="1"/>
  <c r="BC31" i="6"/>
  <c r="BE31" i="6" s="1"/>
  <c r="BE42" i="6" s="1"/>
  <c r="Y31" i="6"/>
  <c r="DB20" i="6"/>
  <c r="DA20" i="6"/>
  <c r="DC20" i="6" s="1"/>
  <c r="Z20" i="6"/>
  <c r="Y20" i="6"/>
  <c r="AA20" i="6" s="1"/>
  <c r="BN19" i="6"/>
  <c r="BM19" i="6"/>
  <c r="BO19" i="6" s="1"/>
  <c r="DB18" i="6"/>
  <c r="DA18" i="6"/>
  <c r="DC18" i="6" s="1"/>
  <c r="Z18" i="6"/>
  <c r="Y18" i="6"/>
  <c r="AA18" i="6" s="1"/>
  <c r="I20" i="7"/>
  <c r="D20" i="7"/>
  <c r="K3" i="6"/>
  <c r="M3" i="6" s="1"/>
  <c r="M4" i="6" s="1"/>
  <c r="J16" i="6"/>
  <c r="L16" i="6" s="1"/>
  <c r="BW16" i="6"/>
  <c r="BY16" i="6" s="1"/>
  <c r="CL16" i="6"/>
  <c r="CN16" i="6" s="1"/>
  <c r="T16" i="6"/>
  <c r="V16" i="6" s="1"/>
  <c r="E16" i="6"/>
  <c r="G16" i="6" s="1"/>
  <c r="BC16" i="6"/>
  <c r="BE16" i="6" s="1"/>
  <c r="BH16" i="6"/>
  <c r="BJ16" i="6" s="1"/>
  <c r="CB16" i="6"/>
  <c r="CD16" i="6" s="1"/>
  <c r="CV16" i="6"/>
  <c r="CX16" i="6" s="1"/>
  <c r="BM16" i="6"/>
  <c r="BO16" i="6" s="1"/>
  <c r="CG16" i="6"/>
  <c r="CI16" i="6" s="1"/>
  <c r="DP39" i="6"/>
  <c r="CL32" i="6"/>
  <c r="CN32" i="6" s="1"/>
  <c r="CN42" i="6" s="1"/>
  <c r="AD32" i="6"/>
  <c r="AF32" i="6" s="1"/>
  <c r="AX31" i="6"/>
  <c r="BT29" i="6"/>
  <c r="F20" i="15"/>
  <c r="G20" i="15" s="1"/>
  <c r="P20" i="15"/>
  <c r="Q20" i="15" s="1"/>
  <c r="K20" i="15"/>
  <c r="L20" i="15" s="1"/>
  <c r="AI20" i="17"/>
  <c r="AJ20" i="17" s="1"/>
  <c r="J19" i="17"/>
  <c r="AN20" i="17"/>
  <c r="AO20" i="17" s="1"/>
  <c r="Y20" i="17"/>
  <c r="Z20" i="17" s="1"/>
  <c r="AS20" i="17"/>
  <c r="AT20" i="17" s="1"/>
  <c r="AD20" i="17"/>
  <c r="AE20" i="17" s="1"/>
  <c r="AH5" i="17"/>
  <c r="AJ5" i="17" s="1"/>
  <c r="X5" i="17"/>
  <c r="Z5" i="17" s="1"/>
  <c r="AM5" i="17"/>
  <c r="AO5" i="17" s="1"/>
  <c r="AC5" i="17"/>
  <c r="AE5" i="17" s="1"/>
  <c r="AR5" i="17"/>
  <c r="AT5" i="17" s="1"/>
  <c r="Q16" i="8"/>
  <c r="Q17" i="8" s="1"/>
  <c r="L16" i="8"/>
  <c r="CQ39" i="6"/>
  <c r="CS39" i="6" s="1"/>
  <c r="BW39" i="6"/>
  <c r="BY39" i="6" s="1"/>
  <c r="BC32" i="6"/>
  <c r="BE32" i="6" s="1"/>
  <c r="Y32" i="6"/>
  <c r="DK31" i="6"/>
  <c r="O31" i="6"/>
  <c r="Q31" i="6" s="1"/>
  <c r="Q42" i="6" s="1"/>
  <c r="BO29" i="6"/>
  <c r="F21" i="6"/>
  <c r="E21" i="6"/>
  <c r="AT20" i="6"/>
  <c r="AS20" i="6"/>
  <c r="CH19" i="6"/>
  <c r="CG19" i="6"/>
  <c r="F19" i="6"/>
  <c r="E19" i="6"/>
  <c r="AT18" i="6"/>
  <c r="AS18" i="6"/>
  <c r="AD18" i="17"/>
  <c r="AE18" i="17" s="1"/>
  <c r="AI18" i="17"/>
  <c r="AJ18" i="17" s="1"/>
  <c r="J17" i="17"/>
  <c r="AN18" i="17"/>
  <c r="AO18" i="17" s="1"/>
  <c r="Y18" i="17"/>
  <c r="Z18" i="17" s="1"/>
  <c r="AS18" i="17"/>
  <c r="AT18" i="17" s="1"/>
  <c r="I18" i="7"/>
  <c r="D18" i="7"/>
  <c r="AD39" i="6"/>
  <c r="AF39" i="6" s="1"/>
  <c r="BR39" i="6"/>
  <c r="BT39" i="6" s="1"/>
  <c r="DF39" i="6"/>
  <c r="E39" i="6"/>
  <c r="G39" i="6" s="1"/>
  <c r="AS39" i="6"/>
  <c r="AU39" i="6" s="1"/>
  <c r="CG39" i="6"/>
  <c r="CI39" i="6" s="1"/>
  <c r="CL39" i="6"/>
  <c r="CN39" i="6" s="1"/>
  <c r="Y39" i="6"/>
  <c r="AX32" i="6"/>
  <c r="DF31" i="6"/>
  <c r="DH31" i="6" s="1"/>
  <c r="J31" i="6"/>
  <c r="L31" i="6" s="1"/>
  <c r="L42" i="6" s="1"/>
  <c r="BT30" i="6"/>
  <c r="AF42" i="6"/>
  <c r="BX21" i="6"/>
  <c r="BX23" i="6" s="1"/>
  <c r="BW21" i="6"/>
  <c r="BY21" i="6" s="1"/>
  <c r="BS16" i="6"/>
  <c r="BT33" i="6" s="1"/>
  <c r="BR16" i="6"/>
  <c r="BT16" i="6" s="1"/>
  <c r="T19" i="17"/>
  <c r="AN19" i="17"/>
  <c r="AO19" i="17" s="1"/>
  <c r="O18" i="17"/>
  <c r="Y19" i="17"/>
  <c r="Z19" i="17" s="1"/>
  <c r="AS19" i="17"/>
  <c r="AT19" i="17" s="1"/>
  <c r="AD19" i="17"/>
  <c r="AE19" i="17" s="1"/>
  <c r="AI19" i="17"/>
  <c r="AJ19" i="17" s="1"/>
  <c r="O8" i="8"/>
  <c r="Q8" i="8" s="1"/>
  <c r="J8" i="8"/>
  <c r="L8" i="8" s="1"/>
  <c r="T8" i="8"/>
  <c r="V8" i="8" s="1"/>
  <c r="DR21" i="6"/>
  <c r="BS21" i="6"/>
  <c r="BT21" i="6" s="1"/>
  <c r="BC21" i="6"/>
  <c r="BE21" i="6" s="1"/>
  <c r="AP21" i="6"/>
  <c r="U21" i="6"/>
  <c r="DQ20" i="6"/>
  <c r="CW20" i="6"/>
  <c r="CC20" i="6"/>
  <c r="BI20" i="6"/>
  <c r="AO20" i="6"/>
  <c r="AP20" i="6" s="1"/>
  <c r="U20" i="6"/>
  <c r="DQ19" i="6"/>
  <c r="DR19" i="6" s="1"/>
  <c r="CW19" i="6"/>
  <c r="CC19" i="6"/>
  <c r="BI19" i="6"/>
  <c r="AO19" i="6"/>
  <c r="U19" i="6"/>
  <c r="DQ18" i="6"/>
  <c r="DR18" i="6" s="1"/>
  <c r="CW18" i="6"/>
  <c r="CC18" i="6"/>
  <c r="CD18" i="6" s="1"/>
  <c r="BI18" i="6"/>
  <c r="AO18" i="6"/>
  <c r="U18" i="6"/>
  <c r="U23" i="6" s="1"/>
  <c r="O17" i="6"/>
  <c r="Q17" i="6" s="1"/>
  <c r="DG16" i="6"/>
  <c r="DH29" i="6" s="1"/>
  <c r="DF16" i="6"/>
  <c r="DH16" i="6" s="1"/>
  <c r="BC15" i="6"/>
  <c r="BE15" i="6" s="1"/>
  <c r="CV30" i="6"/>
  <c r="CX30" i="6" s="1"/>
  <c r="BH30" i="6"/>
  <c r="BJ30" i="6" s="1"/>
  <c r="T30" i="6"/>
  <c r="V30" i="6" s="1"/>
  <c r="CV29" i="6"/>
  <c r="CX29" i="6" s="1"/>
  <c r="BH29" i="6"/>
  <c r="BJ29" i="6" s="1"/>
  <c r="T29" i="6"/>
  <c r="V29" i="6" s="1"/>
  <c r="DF25" i="6"/>
  <c r="CL25" i="6"/>
  <c r="BR25" i="6"/>
  <c r="AX25" i="6"/>
  <c r="AD25" i="6"/>
  <c r="J25" i="6"/>
  <c r="V21" i="6"/>
  <c r="DR20" i="6"/>
  <c r="CX20" i="6"/>
  <c r="CD20" i="6"/>
  <c r="BJ20" i="6"/>
  <c r="V20" i="6"/>
  <c r="CX19" i="6"/>
  <c r="CD19" i="6"/>
  <c r="BJ19" i="6"/>
  <c r="AP19" i="6"/>
  <c r="V19" i="6"/>
  <c r="CX18" i="6"/>
  <c r="BJ18" i="6"/>
  <c r="AP18" i="6"/>
  <c r="V18" i="6"/>
  <c r="DA16" i="6"/>
  <c r="DC16" i="6" s="1"/>
  <c r="DB16" i="6"/>
  <c r="DB23" i="6" s="1"/>
  <c r="O16" i="6"/>
  <c r="Q16" i="6" s="1"/>
  <c r="I8" i="18"/>
  <c r="CG30" i="6"/>
  <c r="CI30" i="6" s="1"/>
  <c r="AS30" i="6"/>
  <c r="AU30" i="6" s="1"/>
  <c r="E30" i="6"/>
  <c r="G30" i="6" s="1"/>
  <c r="CG29" i="6"/>
  <c r="CI29" i="6" s="1"/>
  <c r="CI42" i="6" s="1"/>
  <c r="AS29" i="6"/>
  <c r="AU29" i="6" s="1"/>
  <c r="E29" i="6"/>
  <c r="G29" i="6" s="1"/>
  <c r="G42" i="6" s="1"/>
  <c r="CX21" i="6"/>
  <c r="CI17" i="6"/>
  <c r="AK17" i="6"/>
  <c r="K17" i="6"/>
  <c r="K23" i="6" s="1"/>
  <c r="J17" i="6"/>
  <c r="DG15" i="6"/>
  <c r="DG23" i="6" s="1"/>
  <c r="DF15" i="6"/>
  <c r="Y15" i="6"/>
  <c r="AA15" i="6" s="1"/>
  <c r="K12" i="7"/>
  <c r="DA25" i="6"/>
  <c r="CG25" i="6"/>
  <c r="BM25" i="6"/>
  <c r="AS25" i="6"/>
  <c r="Y25" i="6"/>
  <c r="E25" i="6"/>
  <c r="CC21" i="6"/>
  <c r="CD21" i="6" s="1"/>
  <c r="BM21" i="6"/>
  <c r="BO21" i="6" s="1"/>
  <c r="AZ21" i="6"/>
  <c r="DK17" i="6"/>
  <c r="DL17" i="6"/>
  <c r="CC17" i="6"/>
  <c r="CB17" i="6"/>
  <c r="CD17" i="6" s="1"/>
  <c r="BN17" i="6"/>
  <c r="BO17" i="6" s="1"/>
  <c r="AE17" i="6"/>
  <c r="AD17" i="6"/>
  <c r="G17" i="6"/>
  <c r="AI16" i="6"/>
  <c r="AK16" i="6" s="1"/>
  <c r="DA15" i="6"/>
  <c r="DC15" i="6" s="1"/>
  <c r="BW15" i="6"/>
  <c r="BY15" i="6" s="1"/>
  <c r="I19" i="7"/>
  <c r="K19" i="7" s="1"/>
  <c r="K20" i="7"/>
  <c r="J15" i="7"/>
  <c r="K17" i="7" s="1"/>
  <c r="G20" i="12"/>
  <c r="H20" i="12" s="1"/>
  <c r="T23" i="17"/>
  <c r="U23" i="17" s="1"/>
  <c r="AN23" i="17"/>
  <c r="AO23" i="17" s="1"/>
  <c r="O22" i="17"/>
  <c r="AD23" i="17"/>
  <c r="AE23" i="17" s="1"/>
  <c r="N7" i="17"/>
  <c r="P7" i="17" s="1"/>
  <c r="X8" i="17"/>
  <c r="Z8" i="17" s="1"/>
  <c r="AR8" i="17"/>
  <c r="AT8" i="17" s="1"/>
  <c r="AH8" i="17"/>
  <c r="AJ8" i="17" s="1"/>
  <c r="I7" i="17"/>
  <c r="K7" i="17" s="1"/>
  <c r="S8" i="17"/>
  <c r="U8" i="17" s="1"/>
  <c r="AM8" i="17"/>
  <c r="AO8" i="17" s="1"/>
  <c r="J27" i="15"/>
  <c r="O27" i="15"/>
  <c r="E27" i="15"/>
  <c r="E9" i="15"/>
  <c r="G9" i="15" s="1"/>
  <c r="O9" i="15"/>
  <c r="Q9" i="15" s="1"/>
  <c r="J9" i="15"/>
  <c r="L9" i="15" s="1"/>
  <c r="G11" i="10"/>
  <c r="J11" i="8"/>
  <c r="O11" i="8"/>
  <c r="T11" i="8"/>
  <c r="I13" i="7"/>
  <c r="D13" i="7"/>
  <c r="DG21" i="6"/>
  <c r="CQ21" i="6"/>
  <c r="CS21" i="6" s="1"/>
  <c r="AE21" i="6"/>
  <c r="DP30" i="6"/>
  <c r="CB30" i="6"/>
  <c r="CD30" i="6" s="1"/>
  <c r="DP29" i="6"/>
  <c r="CB29" i="6"/>
  <c r="CD29" i="6" s="1"/>
  <c r="CD42" i="6" s="1"/>
  <c r="DP25" i="6"/>
  <c r="CV25" i="6"/>
  <c r="CB25" i="6"/>
  <c r="BH25" i="6"/>
  <c r="AN25" i="6"/>
  <c r="T25" i="6"/>
  <c r="DH21" i="6"/>
  <c r="AF21" i="6"/>
  <c r="DH20" i="6"/>
  <c r="CN20" i="6"/>
  <c r="BT20" i="6"/>
  <c r="AZ20" i="6"/>
  <c r="AF20" i="6"/>
  <c r="L20" i="6"/>
  <c r="DH19" i="6"/>
  <c r="CN19" i="6"/>
  <c r="BT19" i="6"/>
  <c r="AZ19" i="6"/>
  <c r="AF19" i="6"/>
  <c r="L19" i="6"/>
  <c r="DH18" i="6"/>
  <c r="CN18" i="6"/>
  <c r="BT18" i="6"/>
  <c r="AZ18" i="6"/>
  <c r="AF18" i="6"/>
  <c r="L18" i="6"/>
  <c r="DG17" i="6"/>
  <c r="DF17" i="6"/>
  <c r="DH17" i="6" s="1"/>
  <c r="AA17" i="6"/>
  <c r="DQ16" i="6"/>
  <c r="DP16" i="6"/>
  <c r="CQ16" i="6"/>
  <c r="CS16" i="6" s="1"/>
  <c r="Y16" i="6"/>
  <c r="BM15" i="6"/>
  <c r="BO15" i="6" s="1"/>
  <c r="J15" i="11"/>
  <c r="L15" i="11" s="1"/>
  <c r="K21" i="18"/>
  <c r="K22" i="18" s="1"/>
  <c r="K16" i="19"/>
  <c r="J16" i="20"/>
  <c r="O20" i="17"/>
  <c r="Y21" i="17"/>
  <c r="Z21" i="17" s="1"/>
  <c r="AS21" i="17"/>
  <c r="AT21" i="17" s="1"/>
  <c r="AI21" i="17"/>
  <c r="AJ21" i="17" s="1"/>
  <c r="T21" i="17"/>
  <c r="U21" i="17" s="1"/>
  <c r="AN21" i="17"/>
  <c r="AO21" i="17" s="1"/>
  <c r="AD21" i="17"/>
  <c r="AE21" i="17" s="1"/>
  <c r="AR6" i="17"/>
  <c r="AT6" i="17" s="1"/>
  <c r="S6" i="17"/>
  <c r="U6" i="17" s="1"/>
  <c r="AH6" i="17"/>
  <c r="AJ6" i="17" s="1"/>
  <c r="X6" i="17"/>
  <c r="Z6" i="17" s="1"/>
  <c r="AM6" i="17"/>
  <c r="AO6" i="17" s="1"/>
  <c r="AC6" i="17"/>
  <c r="AE6" i="17" s="1"/>
  <c r="F15" i="15"/>
  <c r="K15" i="15"/>
  <c r="P15" i="15"/>
  <c r="L17" i="8"/>
  <c r="O15" i="6"/>
  <c r="Q15" i="6" s="1"/>
  <c r="Q23" i="6" s="1"/>
  <c r="Q25" i="6" s="1"/>
  <c r="AI15" i="6"/>
  <c r="AK15" i="6" s="1"/>
  <c r="AX15" i="6"/>
  <c r="AZ15" i="6" s="1"/>
  <c r="DK15" i="6"/>
  <c r="DM15" i="6" s="1"/>
  <c r="E15" i="6"/>
  <c r="G15" i="6" s="1"/>
  <c r="T15" i="6"/>
  <c r="V15" i="6" s="1"/>
  <c r="V23" i="6" s="1"/>
  <c r="CG15" i="6"/>
  <c r="CI15" i="6" s="1"/>
  <c r="CV15" i="6"/>
  <c r="CX15" i="6" s="1"/>
  <c r="CX23" i="6" s="1"/>
  <c r="J15" i="6"/>
  <c r="L15" i="6" s="1"/>
  <c r="AS15" i="6"/>
  <c r="AU15" i="6" s="1"/>
  <c r="BH15" i="6"/>
  <c r="BJ15" i="6" s="1"/>
  <c r="BJ23" i="6" s="1"/>
  <c r="BJ21" i="6"/>
  <c r="AY16" i="6"/>
  <c r="AY23" i="6" s="1"/>
  <c r="AX16" i="6"/>
  <c r="DP15" i="6"/>
  <c r="DR15" i="6" s="1"/>
  <c r="CQ15" i="6"/>
  <c r="CR15" i="6"/>
  <c r="CR23" i="6" s="1"/>
  <c r="D11" i="7"/>
  <c r="J9" i="8"/>
  <c r="L9" i="8" s="1"/>
  <c r="K9" i="8"/>
  <c r="J17" i="11"/>
  <c r="L17" i="11" s="1"/>
  <c r="G16" i="12"/>
  <c r="H16" i="12" s="1"/>
  <c r="H27" i="12" s="1"/>
  <c r="V15" i="8"/>
  <c r="V17" i="8" s="1"/>
  <c r="K10" i="11"/>
  <c r="AD16" i="6"/>
  <c r="AF16" i="6" s="1"/>
  <c r="BR15" i="6"/>
  <c r="BT15" i="6" s="1"/>
  <c r="D19" i="7"/>
  <c r="D17" i="7"/>
  <c r="F16" i="10"/>
  <c r="G16" i="10" s="1"/>
  <c r="G20" i="10" s="1"/>
  <c r="L9" i="11"/>
  <c r="L10" i="11" s="1"/>
  <c r="O11" i="15"/>
  <c r="P11" i="15"/>
  <c r="J22" i="17"/>
  <c r="D10" i="7"/>
  <c r="T7" i="8"/>
  <c r="J14" i="9"/>
  <c r="K14" i="9" s="1"/>
  <c r="F25" i="14"/>
  <c r="AU17" i="6"/>
  <c r="Z16" i="6"/>
  <c r="Z23" i="6" s="1"/>
  <c r="BN15" i="6"/>
  <c r="BN23" i="6" s="1"/>
  <c r="V16" i="8"/>
  <c r="T9" i="8"/>
  <c r="U9" i="8"/>
  <c r="J13" i="9"/>
  <c r="K13" i="9" s="1"/>
  <c r="K15" i="9" s="1"/>
  <c r="G18" i="12"/>
  <c r="H18" i="12" s="1"/>
  <c r="E13" i="15"/>
  <c r="F13" i="15"/>
  <c r="G13" i="15" s="1"/>
  <c r="AI23" i="17"/>
  <c r="AJ23" i="17" s="1"/>
  <c r="AN16" i="6"/>
  <c r="AP16" i="6" s="1"/>
  <c r="CB15" i="6"/>
  <c r="CD15" i="6" s="1"/>
  <c r="H8" i="12"/>
  <c r="AD15" i="6"/>
  <c r="AF15" i="6" s="1"/>
  <c r="D9" i="7"/>
  <c r="J7" i="8"/>
  <c r="L7" i="8" s="1"/>
  <c r="T22" i="17"/>
  <c r="U22" i="17" s="1"/>
  <c r="N5" i="17"/>
  <c r="I8" i="19"/>
  <c r="K8" i="19" s="1"/>
  <c r="E6" i="13"/>
  <c r="F19" i="15"/>
  <c r="G19" i="15" s="1"/>
  <c r="G24" i="15" s="1"/>
  <c r="J20" i="17"/>
  <c r="O17" i="17"/>
  <c r="K21" i="17"/>
  <c r="K19" i="17"/>
  <c r="K22" i="17"/>
  <c r="K17" i="17"/>
  <c r="K20" i="17"/>
  <c r="K16" i="17"/>
  <c r="I7" i="19"/>
  <c r="F6" i="12"/>
  <c r="H6" i="12" s="1"/>
  <c r="F19" i="14"/>
  <c r="E5" i="16"/>
  <c r="F5" i="16"/>
  <c r="O19" i="17"/>
  <c r="O16" i="17"/>
  <c r="P16" i="17" s="1"/>
  <c r="I6" i="19"/>
  <c r="K6" i="19" s="1"/>
  <c r="Y23" i="17"/>
  <c r="Z23" i="17" s="1"/>
  <c r="I7" i="18"/>
  <c r="K7" i="18" s="1"/>
  <c r="I15" i="20"/>
  <c r="E11" i="7"/>
  <c r="E7" i="13"/>
  <c r="G7" i="13" s="1"/>
  <c r="O21" i="17"/>
  <c r="T18" i="17"/>
  <c r="U18" i="17" s="1"/>
  <c r="AT9" i="17"/>
  <c r="I6" i="18"/>
  <c r="K6" i="18" s="1"/>
  <c r="H8" i="20"/>
  <c r="E10" i="7"/>
  <c r="F20" i="7" s="1"/>
  <c r="E9" i="7"/>
  <c r="U7" i="8"/>
  <c r="K7" i="8"/>
  <c r="K12" i="8" s="1"/>
  <c r="O13" i="15"/>
  <c r="P13" i="15"/>
  <c r="J12" i="15"/>
  <c r="K12" i="15"/>
  <c r="E11" i="15"/>
  <c r="F11" i="15"/>
  <c r="E9" i="12"/>
  <c r="F7" i="12"/>
  <c r="H7" i="12" s="1"/>
  <c r="G15" i="14"/>
  <c r="G19" i="14" s="1"/>
  <c r="AS23" i="17"/>
  <c r="AT23" i="17" s="1"/>
  <c r="T20" i="17"/>
  <c r="J18" i="17"/>
  <c r="K18" i="17" s="1"/>
  <c r="AJ9" i="17"/>
  <c r="U19" i="17"/>
  <c r="U20" i="17"/>
  <c r="H6" i="20"/>
  <c r="E6" i="16"/>
  <c r="G6" i="16" s="1"/>
  <c r="G19" i="16" s="1"/>
  <c r="S5" i="17"/>
  <c r="U5" i="17" s="1"/>
  <c r="U12" i="17" s="1"/>
  <c r="I5" i="17"/>
  <c r="K5" i="17" s="1"/>
  <c r="H7" i="20"/>
  <c r="J7" i="20" s="1"/>
  <c r="F6" i="13"/>
  <c r="F8" i="13" s="1"/>
  <c r="O5" i="17"/>
  <c r="O11" i="17" s="1"/>
  <c r="J8" i="18"/>
  <c r="J6" i="18"/>
  <c r="J7" i="19"/>
  <c r="J10" i="19" s="1"/>
  <c r="K15" i="19" s="1"/>
  <c r="K17" i="19" s="1"/>
  <c r="I8" i="20"/>
  <c r="I6" i="20"/>
  <c r="I10" i="20" s="1"/>
  <c r="J15" i="20" s="1"/>
  <c r="J17" i="20" s="1"/>
  <c r="K10" i="15"/>
  <c r="L10" i="15" s="1"/>
  <c r="AK23" i="6" l="1"/>
  <c r="CX25" i="6"/>
  <c r="CX26" i="6" s="1"/>
  <c r="K13" i="7"/>
  <c r="K15" i="7" s="1"/>
  <c r="BE23" i="6"/>
  <c r="BE25" i="6" s="1"/>
  <c r="K11" i="17"/>
  <c r="Q24" i="15"/>
  <c r="H10" i="12"/>
  <c r="H11" i="12" s="1"/>
  <c r="L10" i="8"/>
  <c r="G20" i="14"/>
  <c r="G21" i="14" s="1"/>
  <c r="G30" i="14" s="1"/>
  <c r="AP23" i="6"/>
  <c r="K24" i="7"/>
  <c r="BE44" i="6"/>
  <c r="K17" i="9"/>
  <c r="F18" i="7"/>
  <c r="L11" i="11"/>
  <c r="L12" i="11"/>
  <c r="Q12" i="8"/>
  <c r="Q19" i="8" s="1"/>
  <c r="Q11" i="8"/>
  <c r="DM29" i="6"/>
  <c r="U24" i="17"/>
  <c r="G6" i="13"/>
  <c r="G8" i="13" s="1"/>
  <c r="F9" i="7"/>
  <c r="AZ16" i="6"/>
  <c r="DR16" i="6"/>
  <c r="DR23" i="6" s="1"/>
  <c r="DR29" i="6"/>
  <c r="AF17" i="6"/>
  <c r="V42" i="6"/>
  <c r="K18" i="7"/>
  <c r="AU18" i="6"/>
  <c r="G21" i="6"/>
  <c r="AT12" i="17"/>
  <c r="DH30" i="6"/>
  <c r="DH42" i="6" s="1"/>
  <c r="DC29" i="6"/>
  <c r="DM16" i="6"/>
  <c r="G20" i="6"/>
  <c r="CN15" i="6"/>
  <c r="CN23" i="6" s="1"/>
  <c r="AE24" i="17"/>
  <c r="DQ23" i="6"/>
  <c r="V25" i="6"/>
  <c r="V26" i="6" s="1"/>
  <c r="AE23" i="6"/>
  <c r="BJ42" i="6"/>
  <c r="AT23" i="6"/>
  <c r="AE12" i="17"/>
  <c r="AZ31" i="6"/>
  <c r="AA31" i="6"/>
  <c r="CM23" i="6"/>
  <c r="DH32" i="6"/>
  <c r="DM33" i="6"/>
  <c r="AA39" i="6"/>
  <c r="K12" i="17"/>
  <c r="K13" i="17" s="1"/>
  <c r="G5" i="16"/>
  <c r="F11" i="16"/>
  <c r="AF23" i="6"/>
  <c r="U13" i="17"/>
  <c r="U14" i="17" s="1"/>
  <c r="G11" i="15"/>
  <c r="G14" i="15" s="1"/>
  <c r="E15" i="7"/>
  <c r="P5" i="17"/>
  <c r="P11" i="17" s="1"/>
  <c r="F17" i="7"/>
  <c r="AP25" i="6"/>
  <c r="DR30" i="6"/>
  <c r="K8" i="18"/>
  <c r="CX42" i="6"/>
  <c r="P18" i="17"/>
  <c r="G19" i="6"/>
  <c r="AO12" i="17"/>
  <c r="M5" i="6"/>
  <c r="BT32" i="6"/>
  <c r="BT42" i="6" s="1"/>
  <c r="G18" i="6"/>
  <c r="CI20" i="6"/>
  <c r="DC32" i="6"/>
  <c r="BO20" i="6"/>
  <c r="DH33" i="6"/>
  <c r="AT24" i="17"/>
  <c r="DC19" i="6"/>
  <c r="DC23" i="6" s="1"/>
  <c r="DM39" i="6"/>
  <c r="G25" i="14"/>
  <c r="G24" i="14"/>
  <c r="G28" i="14" s="1"/>
  <c r="V7" i="8"/>
  <c r="F19" i="7"/>
  <c r="AZ23" i="6"/>
  <c r="BJ25" i="6"/>
  <c r="BJ26" i="6" s="1"/>
  <c r="AF25" i="6"/>
  <c r="AO23" i="6"/>
  <c r="BO42" i="6"/>
  <c r="Z12" i="17"/>
  <c r="AZ33" i="6"/>
  <c r="F23" i="6"/>
  <c r="DC33" i="6"/>
  <c r="DR32" i="6"/>
  <c r="Z24" i="17"/>
  <c r="CD23" i="6"/>
  <c r="J10" i="18"/>
  <c r="J6" i="20"/>
  <c r="L12" i="15"/>
  <c r="L14" i="15" s="1"/>
  <c r="J8" i="20"/>
  <c r="V9" i="8"/>
  <c r="F10" i="7"/>
  <c r="BT23" i="6"/>
  <c r="F11" i="7"/>
  <c r="L20" i="11"/>
  <c r="CD25" i="6"/>
  <c r="G13" i="10"/>
  <c r="G22" i="10" s="1"/>
  <c r="G12" i="10"/>
  <c r="P22" i="17"/>
  <c r="BY23" i="6"/>
  <c r="CC23" i="6"/>
  <c r="DH15" i="6"/>
  <c r="DH23" i="6" s="1"/>
  <c r="DH25" i="6" s="1"/>
  <c r="AU42" i="6"/>
  <c r="AZ25" i="6"/>
  <c r="BI23" i="6"/>
  <c r="DH39" i="6"/>
  <c r="CI19" i="6"/>
  <c r="DC30" i="6"/>
  <c r="AJ12" i="17"/>
  <c r="AA33" i="6"/>
  <c r="BO18" i="6"/>
  <c r="BO23" i="6" s="1"/>
  <c r="BO25" i="6" s="1"/>
  <c r="CI18" i="6"/>
  <c r="DR31" i="6"/>
  <c r="DC31" i="6"/>
  <c r="AO24" i="17"/>
  <c r="K7" i="19"/>
  <c r="K10" i="19" s="1"/>
  <c r="K14" i="15"/>
  <c r="Q26" i="6"/>
  <c r="BT25" i="6"/>
  <c r="Q44" i="6"/>
  <c r="DR33" i="6"/>
  <c r="AA29" i="6"/>
  <c r="AA30" i="6"/>
  <c r="AZ39" i="6"/>
  <c r="DM30" i="6"/>
  <c r="G14" i="13"/>
  <c r="G13" i="13"/>
  <c r="L11" i="8"/>
  <c r="L12" i="8" s="1"/>
  <c r="L19" i="8" s="1"/>
  <c r="AA32" i="6"/>
  <c r="K10" i="18"/>
  <c r="P17" i="17"/>
  <c r="P20" i="17"/>
  <c r="P21" i="17"/>
  <c r="P19" i="17"/>
  <c r="Q13" i="15"/>
  <c r="K23" i="17"/>
  <c r="F14" i="15"/>
  <c r="P14" i="15"/>
  <c r="Q11" i="15"/>
  <c r="CS15" i="6"/>
  <c r="CS23" i="6" s="1"/>
  <c r="AA16" i="6"/>
  <c r="AA23" i="6" s="1"/>
  <c r="DM17" i="6"/>
  <c r="L17" i="6"/>
  <c r="L23" i="6" s="1"/>
  <c r="CN25" i="6"/>
  <c r="BE26" i="6"/>
  <c r="BS23" i="6"/>
  <c r="AZ32" i="6"/>
  <c r="AU20" i="6"/>
  <c r="DM31" i="6"/>
  <c r="AK25" i="6"/>
  <c r="AK26" i="6" s="1"/>
  <c r="AK44" i="6" s="1"/>
  <c r="DR39" i="6"/>
  <c r="DC39" i="6"/>
  <c r="AA21" i="6"/>
  <c r="AU19" i="6"/>
  <c r="AU23" i="6" s="1"/>
  <c r="AZ29" i="6"/>
  <c r="AZ42" i="6" s="1"/>
  <c r="L24" i="15"/>
  <c r="AJ24" i="17"/>
  <c r="C184" i="5"/>
  <c r="E32" i="14" s="1"/>
  <c r="C263" i="5"/>
  <c r="G31" i="12" s="1"/>
  <c r="C138" i="5"/>
  <c r="I18" i="9" s="1"/>
  <c r="K18" i="9" s="1"/>
  <c r="K19" i="9" s="1"/>
  <c r="K20" i="9" s="1"/>
  <c r="C421" i="5"/>
  <c r="J26" i="18" s="1"/>
  <c r="C441" i="5"/>
  <c r="J21" i="19" s="1"/>
  <c r="C460" i="5"/>
  <c r="I21" i="20" s="1"/>
  <c r="C83" i="5"/>
  <c r="C114" i="5"/>
  <c r="C21" i="5"/>
  <c r="C209" i="5"/>
  <c r="E24" i="10" s="1"/>
  <c r="C232" i="5"/>
  <c r="E24" i="16" s="1"/>
  <c r="C480" i="5"/>
  <c r="C499" i="5"/>
  <c r="C161" i="5"/>
  <c r="E19" i="13" s="1"/>
  <c r="C319" i="5"/>
  <c r="C346" i="5"/>
  <c r="K24" i="11" s="1"/>
  <c r="C50" i="5"/>
  <c r="C397" i="5"/>
  <c r="C292" i="5"/>
  <c r="C373" i="5"/>
  <c r="DM32" i="6"/>
  <c r="J10" i="20" l="1"/>
  <c r="G23" i="6"/>
  <c r="V44" i="6"/>
  <c r="K25" i="17"/>
  <c r="DM23" i="6"/>
  <c r="CI23" i="6"/>
  <c r="CI25" i="6" s="1"/>
  <c r="CI26" i="6" s="1"/>
  <c r="CI44" i="6" s="1"/>
  <c r="H12" i="12"/>
  <c r="H29" i="12" s="1"/>
  <c r="H30" i="12" s="1"/>
  <c r="H31" i="12" s="1"/>
  <c r="Q14" i="15"/>
  <c r="P23" i="17"/>
  <c r="AA25" i="6"/>
  <c r="AA26" i="6" s="1"/>
  <c r="G31" i="14"/>
  <c r="G32" i="14" s="1"/>
  <c r="G33" i="14" s="1"/>
  <c r="G34" i="14" s="1"/>
  <c r="G25" i="6"/>
  <c r="G26" i="6" s="1"/>
  <c r="G44" i="6" s="1"/>
  <c r="AU25" i="6"/>
  <c r="AU26" i="6" s="1"/>
  <c r="AU44" i="6" s="1"/>
  <c r="Q15" i="15"/>
  <c r="Q16" i="15" s="1"/>
  <c r="Q26" i="15" s="1"/>
  <c r="K11" i="19"/>
  <c r="K12" i="19" s="1"/>
  <c r="K19" i="19" s="1"/>
  <c r="DC25" i="6"/>
  <c r="DC26" i="6" s="1"/>
  <c r="K26" i="17"/>
  <c r="K28" i="17" s="1"/>
  <c r="K30" i="17" s="1"/>
  <c r="DM25" i="6"/>
  <c r="DM26" i="6" s="1"/>
  <c r="K21" i="9"/>
  <c r="F13" i="3" s="1"/>
  <c r="K22" i="9"/>
  <c r="F14" i="3" s="1"/>
  <c r="J25" i="9"/>
  <c r="K25" i="9" s="1"/>
  <c r="F12" i="3"/>
  <c r="L26" i="6"/>
  <c r="L44" i="6" s="1"/>
  <c r="L25" i="6"/>
  <c r="L20" i="8"/>
  <c r="G23" i="10"/>
  <c r="G24" i="10" s="1"/>
  <c r="G15" i="15"/>
  <c r="G16" i="15"/>
  <c r="G26" i="15" s="1"/>
  <c r="DR25" i="6"/>
  <c r="DR26" i="6" s="1"/>
  <c r="AK45" i="6"/>
  <c r="AK46" i="6"/>
  <c r="AK47" i="6" s="1"/>
  <c r="AK48" i="6" s="1"/>
  <c r="Q20" i="8"/>
  <c r="Q21" i="8" s="1"/>
  <c r="Q22" i="8" s="1"/>
  <c r="Q23" i="8" s="1"/>
  <c r="Q24" i="8" s="1"/>
  <c r="K27" i="19"/>
  <c r="K28" i="19"/>
  <c r="K29" i="19"/>
  <c r="K30" i="19"/>
  <c r="K31" i="19"/>
  <c r="AA42" i="6"/>
  <c r="BT26" i="6"/>
  <c r="BT44" i="6" s="1"/>
  <c r="CD26" i="6"/>
  <c r="CD44" i="6" s="1"/>
  <c r="Z13" i="17"/>
  <c r="Z14" i="17" s="1"/>
  <c r="Z26" i="17" s="1"/>
  <c r="AZ26" i="6"/>
  <c r="AZ44" i="6" s="1"/>
  <c r="AO13" i="17"/>
  <c r="AO14" i="17" s="1"/>
  <c r="AO26" i="17" s="1"/>
  <c r="AF26" i="6"/>
  <c r="AF44" i="6" s="1"/>
  <c r="O27" i="17"/>
  <c r="T28" i="17"/>
  <c r="AN28" i="17"/>
  <c r="AD28" i="17"/>
  <c r="J27" i="17"/>
  <c r="K27" i="17" s="1"/>
  <c r="AI28" i="17"/>
  <c r="Y28" i="17"/>
  <c r="AS28" i="17"/>
  <c r="J32" i="18"/>
  <c r="CS25" i="6"/>
  <c r="CS26" i="6" s="1"/>
  <c r="CS44" i="6" s="1"/>
  <c r="CN26" i="6"/>
  <c r="CN44" i="6" s="1"/>
  <c r="Q45" i="6"/>
  <c r="F24" i="7"/>
  <c r="V45" i="6"/>
  <c r="V46" i="6" s="1"/>
  <c r="J28" i="20"/>
  <c r="J29" i="20"/>
  <c r="J30" i="20"/>
  <c r="J31" i="20"/>
  <c r="J27" i="20"/>
  <c r="G18" i="16"/>
  <c r="G20" i="16" s="1"/>
  <c r="G11" i="16"/>
  <c r="F12" i="7"/>
  <c r="V10" i="8"/>
  <c r="P13" i="17"/>
  <c r="P25" i="17" s="1"/>
  <c r="P12" i="17"/>
  <c r="G11" i="13"/>
  <c r="G17" i="13" s="1"/>
  <c r="G9" i="13"/>
  <c r="BJ44" i="6"/>
  <c r="L15" i="15"/>
  <c r="L16" i="15" s="1"/>
  <c r="L26" i="15" s="1"/>
  <c r="K27" i="7"/>
  <c r="K6" i="6"/>
  <c r="M6" i="6" s="1"/>
  <c r="M7" i="6" s="1"/>
  <c r="M8" i="6" s="1"/>
  <c r="E46" i="6"/>
  <c r="Y46" i="6"/>
  <c r="AS46" i="6"/>
  <c r="BM46" i="6"/>
  <c r="CG46" i="6"/>
  <c r="DA46" i="6"/>
  <c r="T46" i="6"/>
  <c r="BH46" i="6"/>
  <c r="CV46" i="6"/>
  <c r="AD46" i="6"/>
  <c r="BR46" i="6"/>
  <c r="DF46" i="6"/>
  <c r="AI46" i="6"/>
  <c r="BW46" i="6"/>
  <c r="DK46" i="6"/>
  <c r="O46" i="6"/>
  <c r="Q46" i="6" s="1"/>
  <c r="AN46" i="6"/>
  <c r="CB46" i="6"/>
  <c r="DP46" i="6"/>
  <c r="BC46" i="6"/>
  <c r="J46" i="6"/>
  <c r="AX46" i="6"/>
  <c r="CL46" i="6"/>
  <c r="CQ46" i="6"/>
  <c r="DH26" i="6"/>
  <c r="DH44" i="6" s="1"/>
  <c r="L22" i="11"/>
  <c r="DC42" i="6"/>
  <c r="U26" i="17"/>
  <c r="CX44" i="6"/>
  <c r="O21" i="8"/>
  <c r="T21" i="8"/>
  <c r="J21" i="8"/>
  <c r="K11" i="18"/>
  <c r="K12" i="18" s="1"/>
  <c r="K24" i="18" s="1"/>
  <c r="AJ13" i="17"/>
  <c r="AJ14" i="17" s="1"/>
  <c r="AJ26" i="17" s="1"/>
  <c r="DM42" i="6"/>
  <c r="AP26" i="6"/>
  <c r="AP44" i="6" s="1"/>
  <c r="E28" i="15"/>
  <c r="O28" i="15"/>
  <c r="J28" i="15"/>
  <c r="I29" i="7"/>
  <c r="D29" i="7"/>
  <c r="J11" i="20"/>
  <c r="J12" i="20" s="1"/>
  <c r="J19" i="20" s="1"/>
  <c r="AT13" i="17"/>
  <c r="AT14" i="17" s="1"/>
  <c r="AT26" i="17" s="1"/>
  <c r="DR42" i="6"/>
  <c r="BE45" i="6"/>
  <c r="BE46" i="6" s="1"/>
  <c r="BE47" i="6" s="1"/>
  <c r="BE48" i="6" s="1"/>
  <c r="BO26" i="6"/>
  <c r="BO44" i="6" s="1"/>
  <c r="BY25" i="6"/>
  <c r="BY26" i="6" s="1"/>
  <c r="BY44" i="6" s="1"/>
  <c r="AE13" i="17"/>
  <c r="AE14" i="17" s="1"/>
  <c r="AE26" i="17" s="1"/>
  <c r="D5" i="17" l="1"/>
  <c r="E4" i="17" s="1"/>
  <c r="F112" i="3"/>
  <c r="Q47" i="6"/>
  <c r="Q48" i="6" s="1"/>
  <c r="DM44" i="6"/>
  <c r="DM45" i="6" s="1"/>
  <c r="AT27" i="17"/>
  <c r="F34" i="3"/>
  <c r="F58" i="3"/>
  <c r="F82" i="3"/>
  <c r="J20" i="20"/>
  <c r="J21" i="20"/>
  <c r="AJ27" i="17"/>
  <c r="AJ29" i="17" s="1"/>
  <c r="AJ31" i="17" s="1"/>
  <c r="K20" i="19"/>
  <c r="AE27" i="17"/>
  <c r="K25" i="18"/>
  <c r="K26" i="18" s="1"/>
  <c r="K27" i="18" s="1"/>
  <c r="K28" i="18" s="1"/>
  <c r="D4" i="18" s="1"/>
  <c r="E4" i="18" s="1"/>
  <c r="BT45" i="6"/>
  <c r="F18" i="3"/>
  <c r="F17" i="3"/>
  <c r="Q28" i="15"/>
  <c r="Q29" i="15" s="1"/>
  <c r="Q30" i="15" s="1"/>
  <c r="Q27" i="15"/>
  <c r="P26" i="17"/>
  <c r="P28" i="17" s="1"/>
  <c r="P30" i="17" s="1"/>
  <c r="F38" i="3"/>
  <c r="F62" i="3"/>
  <c r="F86" i="3"/>
  <c r="AU45" i="6"/>
  <c r="G45" i="6"/>
  <c r="BO45" i="6"/>
  <c r="BO46" i="6" s="1"/>
  <c r="AO29" i="17"/>
  <c r="AO31" i="17" s="1"/>
  <c r="AO27" i="17"/>
  <c r="CI45" i="6"/>
  <c r="G36" i="14"/>
  <c r="G37" i="14"/>
  <c r="F40" i="14"/>
  <c r="G40" i="14" s="1"/>
  <c r="G35" i="14"/>
  <c r="F9" i="3"/>
  <c r="F29" i="3"/>
  <c r="F42" i="3"/>
  <c r="F66" i="3"/>
  <c r="F90" i="3"/>
  <c r="L27" i="15"/>
  <c r="L28" i="15" s="1"/>
  <c r="L29" i="15" s="1"/>
  <c r="L30" i="15" s="1"/>
  <c r="AZ45" i="6"/>
  <c r="AZ46" i="6"/>
  <c r="AZ47" i="6" s="1"/>
  <c r="AZ48" i="6" s="1"/>
  <c r="F15" i="7"/>
  <c r="F27" i="7" s="1"/>
  <c r="F13" i="7"/>
  <c r="G12" i="16"/>
  <c r="G13" i="16" s="1"/>
  <c r="G22" i="16" s="1"/>
  <c r="V47" i="6"/>
  <c r="V48" i="6" s="1"/>
  <c r="H32" i="12"/>
  <c r="H34" i="12" s="1"/>
  <c r="F106" i="3" s="1"/>
  <c r="BY45" i="6"/>
  <c r="BY46" i="6" s="1"/>
  <c r="U27" i="17"/>
  <c r="U28" i="17" s="1"/>
  <c r="BJ45" i="6"/>
  <c r="AE28" i="17"/>
  <c r="G25" i="10"/>
  <c r="AP45" i="6"/>
  <c r="AP46" i="6" s="1"/>
  <c r="AP47" i="6" s="1"/>
  <c r="AP48" i="6" s="1"/>
  <c r="DC44" i="6"/>
  <c r="CS45" i="6"/>
  <c r="CS46" i="6" s="1"/>
  <c r="AO28" i="17"/>
  <c r="L23" i="11"/>
  <c r="G18" i="13"/>
  <c r="G19" i="13"/>
  <c r="L21" i="8"/>
  <c r="L22" i="8" s="1"/>
  <c r="L23" i="8" s="1"/>
  <c r="L24" i="8" s="1"/>
  <c r="AJ28" i="17"/>
  <c r="L45" i="6"/>
  <c r="L46" i="6" s="1"/>
  <c r="P27" i="17"/>
  <c r="CD45" i="6"/>
  <c r="CD46" i="6"/>
  <c r="CD47" i="6" s="1"/>
  <c r="CD48" i="6" s="1"/>
  <c r="CX45" i="6"/>
  <c r="CX46" i="6" s="1"/>
  <c r="DH45" i="6"/>
  <c r="DH46" i="6"/>
  <c r="DH47" i="6" s="1"/>
  <c r="DH48" i="6" s="1"/>
  <c r="CN45" i="6"/>
  <c r="CN46" i="6"/>
  <c r="G27" i="15"/>
  <c r="G28" i="15" s="1"/>
  <c r="DR44" i="6"/>
  <c r="Z27" i="17"/>
  <c r="Z28" i="17" s="1"/>
  <c r="Z29" i="17" s="1"/>
  <c r="Z31" i="17" s="1"/>
  <c r="K29" i="7"/>
  <c r="K30" i="7" s="1"/>
  <c r="K31" i="7" s="1"/>
  <c r="K32" i="7" s="1"/>
  <c r="F108" i="3" s="1"/>
  <c r="K28" i="7"/>
  <c r="V11" i="8"/>
  <c r="V12" i="8" s="1"/>
  <c r="V19" i="8" s="1"/>
  <c r="AF45" i="6"/>
  <c r="AF46" i="6"/>
  <c r="AA44" i="6"/>
  <c r="D6" i="17" l="1"/>
  <c r="E5" i="17" s="1"/>
  <c r="F113" i="3"/>
  <c r="D10" i="17"/>
  <c r="E9" i="17" s="1"/>
  <c r="F117" i="3"/>
  <c r="AF47" i="6"/>
  <c r="AF48" i="6" s="1"/>
  <c r="F85" i="3" s="1"/>
  <c r="CN47" i="6"/>
  <c r="CN48" i="6" s="1"/>
  <c r="F97" i="3" s="1"/>
  <c r="L24" i="11"/>
  <c r="L25" i="11" s="1"/>
  <c r="L26" i="11" s="1"/>
  <c r="U29" i="17"/>
  <c r="U31" i="17" s="1"/>
  <c r="AE29" i="17"/>
  <c r="AE31" i="17" s="1"/>
  <c r="DM46" i="6"/>
  <c r="DM47" i="6" s="1"/>
  <c r="DM48" i="6" s="1"/>
  <c r="BY47" i="6"/>
  <c r="BY48" i="6" s="1"/>
  <c r="F46" i="3" s="1"/>
  <c r="BJ47" i="6"/>
  <c r="BJ48" i="6" s="1"/>
  <c r="F67" i="3" s="1"/>
  <c r="D8" i="17"/>
  <c r="E7" i="17" s="1"/>
  <c r="F115" i="3"/>
  <c r="D11" i="17"/>
  <c r="E10" i="17" s="1"/>
  <c r="F118" i="3"/>
  <c r="CS47" i="6"/>
  <c r="CS48" i="6" s="1"/>
  <c r="J22" i="20"/>
  <c r="J23" i="20" s="1"/>
  <c r="D4" i="20" s="1"/>
  <c r="E4" i="20" s="1"/>
  <c r="G20" i="13"/>
  <c r="G21" i="13" s="1"/>
  <c r="G22" i="13" s="1"/>
  <c r="BJ46" i="6"/>
  <c r="F91" i="3"/>
  <c r="F101" i="3"/>
  <c r="F77" i="3"/>
  <c r="F53" i="3"/>
  <c r="F23" i="3"/>
  <c r="F7" i="3"/>
  <c r="F61" i="3"/>
  <c r="F37" i="3"/>
  <c r="V20" i="8"/>
  <c r="F15" i="3"/>
  <c r="F16" i="3"/>
  <c r="F6" i="3"/>
  <c r="F22" i="3"/>
  <c r="F24" i="3"/>
  <c r="F25" i="3"/>
  <c r="G23" i="16"/>
  <c r="F59" i="3"/>
  <c r="F35" i="3"/>
  <c r="F83" i="3"/>
  <c r="F87" i="3"/>
  <c r="F63" i="3"/>
  <c r="F39" i="3"/>
  <c r="F43" i="14"/>
  <c r="G43" i="14" s="1"/>
  <c r="F4" i="3"/>
  <c r="BO47" i="6"/>
  <c r="BO48" i="6" s="1"/>
  <c r="DR45" i="6"/>
  <c r="DR46" i="6"/>
  <c r="F42" i="14"/>
  <c r="G42" i="14" s="1"/>
  <c r="F11" i="3"/>
  <c r="F31" i="3"/>
  <c r="DC45" i="6"/>
  <c r="DC46" i="6" s="1"/>
  <c r="G29" i="15"/>
  <c r="G30" i="15" s="1"/>
  <c r="G33" i="10"/>
  <c r="G34" i="10" s="1"/>
  <c r="G26" i="10"/>
  <c r="G27" i="10" s="1"/>
  <c r="F107" i="3" s="1"/>
  <c r="F28" i="7"/>
  <c r="F29" i="7" s="1"/>
  <c r="F30" i="7" s="1"/>
  <c r="F31" i="7" s="1"/>
  <c r="F32" i="7" s="1"/>
  <c r="CI46" i="6"/>
  <c r="CI47" i="6" s="1"/>
  <c r="CI48" i="6" s="1"/>
  <c r="G46" i="6"/>
  <c r="G47" i="6" s="1"/>
  <c r="G48" i="6" s="1"/>
  <c r="BT46" i="6"/>
  <c r="BT47" i="6" s="1"/>
  <c r="BT48" i="6" s="1"/>
  <c r="K21" i="19"/>
  <c r="K22" i="19" s="1"/>
  <c r="K23" i="19" s="1"/>
  <c r="D4" i="19" s="1"/>
  <c r="E4" i="19" s="1"/>
  <c r="F50" i="3"/>
  <c r="F74" i="3"/>
  <c r="F98" i="3"/>
  <c r="F89" i="3"/>
  <c r="F65" i="3"/>
  <c r="F41" i="3"/>
  <c r="AT28" i="17"/>
  <c r="AT29" i="17" s="1"/>
  <c r="AT31" i="17" s="1"/>
  <c r="CX47" i="6"/>
  <c r="CX48" i="6" s="1"/>
  <c r="L47" i="6"/>
  <c r="L48" i="6" s="1"/>
  <c r="AA45" i="6"/>
  <c r="AA46" i="6" s="1"/>
  <c r="AU46" i="6"/>
  <c r="AU47" i="6" s="1"/>
  <c r="AU48" i="6" s="1"/>
  <c r="F41" i="14"/>
  <c r="G41" i="14" s="1"/>
  <c r="F30" i="3"/>
  <c r="F10" i="3"/>
  <c r="F47" i="3"/>
  <c r="F71" i="3"/>
  <c r="F95" i="3"/>
  <c r="F105" i="3" l="1"/>
  <c r="F104" i="3"/>
  <c r="F102" i="3"/>
  <c r="F54" i="3"/>
  <c r="F78" i="3"/>
  <c r="G24" i="16"/>
  <c r="G25" i="16" s="1"/>
  <c r="G26" i="16" s="1"/>
  <c r="F49" i="3"/>
  <c r="F73" i="3"/>
  <c r="DR47" i="6"/>
  <c r="DR48" i="6" s="1"/>
  <c r="F26" i="13"/>
  <c r="G26" i="13" s="1"/>
  <c r="F94" i="3"/>
  <c r="D9" i="17"/>
  <c r="E8" i="17" s="1"/>
  <c r="F116" i="3"/>
  <c r="DC47" i="6"/>
  <c r="DC48" i="6" s="1"/>
  <c r="F52" i="3" s="1"/>
  <c r="G23" i="13"/>
  <c r="F28" i="13" s="1"/>
  <c r="G28" i="13" s="1"/>
  <c r="F70" i="3"/>
  <c r="F43" i="3"/>
  <c r="D7" i="17"/>
  <c r="E6" i="17" s="1"/>
  <c r="F114" i="3"/>
  <c r="D12" i="17"/>
  <c r="E11" i="17" s="1"/>
  <c r="F119" i="3"/>
  <c r="V21" i="8"/>
  <c r="V22" i="8" s="1"/>
  <c r="V23" i="8" s="1"/>
  <c r="V24" i="8" s="1"/>
  <c r="F109" i="3"/>
  <c r="F3" i="3"/>
  <c r="F80" i="3"/>
  <c r="F56" i="3"/>
  <c r="F32" i="3"/>
  <c r="F45" i="3"/>
  <c r="F93" i="3"/>
  <c r="F69" i="3"/>
  <c r="F72" i="3"/>
  <c r="F48" i="3"/>
  <c r="F96" i="3"/>
  <c r="F103" i="3"/>
  <c r="F79" i="3"/>
  <c r="F55" i="3"/>
  <c r="F8" i="3"/>
  <c r="F21" i="3"/>
  <c r="F5" i="3"/>
  <c r="F44" i="3"/>
  <c r="F68" i="3"/>
  <c r="F92" i="3"/>
  <c r="AA47" i="6"/>
  <c r="AA48" i="6" s="1"/>
  <c r="F27" i="13"/>
  <c r="G27" i="13" s="1"/>
  <c r="F26" i="3"/>
  <c r="F27" i="3"/>
  <c r="F33" i="3"/>
  <c r="F57" i="3"/>
  <c r="F81" i="3"/>
  <c r="F99" i="3"/>
  <c r="F75" i="3"/>
  <c r="F51" i="3"/>
  <c r="G37" i="10"/>
  <c r="G36" i="10"/>
  <c r="F88" i="3"/>
  <c r="F64" i="3"/>
  <c r="F40" i="3"/>
  <c r="F19" i="3" l="1"/>
  <c r="F20" i="3"/>
  <c r="F100" i="3"/>
  <c r="F76" i="3"/>
  <c r="F28" i="3"/>
  <c r="F36" i="3"/>
  <c r="F60" i="3"/>
  <c r="F8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78B3EDC1-B6D0-4B5B-8DC5-523C4283FD00}">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G3" authorId="0" shapeId="0" xr:uid="{6CAABD9B-B723-4B0F-92E5-CAB237E977D2}">
      <text>
        <r>
          <rPr>
            <b/>
            <sz val="9"/>
            <color indexed="81"/>
            <rFont val="Tahoma"/>
            <family val="2"/>
          </rPr>
          <t>kara:</t>
        </r>
        <r>
          <rPr>
            <sz val="9"/>
            <color indexed="81"/>
            <rFont val="Tahoma"/>
            <family val="2"/>
          </rPr>
          <t xml:space="preserve">
# of checks for FY19 based on MCB (3 contracts) is 507
</t>
        </r>
      </text>
    </comment>
  </commentList>
</comments>
</file>

<file path=xl/sharedStrings.xml><?xml version="1.0" encoding="utf-8"?>
<sst xmlns="http://schemas.openxmlformats.org/spreadsheetml/2006/main" count="2359" uniqueCount="704">
  <si>
    <t>NURSING BLEND</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</si>
  <si>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</si>
  <si>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t>
  </si>
  <si>
    <t>Figures with a single asterisk utilize the May 2021 BLS / OEWS information at 53rd percentile because the exact same information for May 2022 indicates a decrease at the 53rd percentile</t>
  </si>
  <si>
    <t>*</t>
  </si>
  <si>
    <t>Important Notes</t>
  </si>
  <si>
    <t>M2022 BLS 50/50 Blend Cl. Mgr &amp; LICSW</t>
  </si>
  <si>
    <t>Doctorate Level</t>
  </si>
  <si>
    <t>M2022 BLS  Occ Code 49-0000 and 49-9071 (average)</t>
  </si>
  <si>
    <t>Maintenence III</t>
  </si>
  <si>
    <t>M2022 BLS  Occ Code 49-9099</t>
  </si>
  <si>
    <t>Maintenence II</t>
  </si>
  <si>
    <t>M2022 BLS  Occ Code 37-0000</t>
  </si>
  <si>
    <t>Maintenence I</t>
  </si>
  <si>
    <t>Benchmarked to Direct Care III</t>
  </si>
  <si>
    <t>Food Service III</t>
  </si>
  <si>
    <t>Average of benchmarks Direct Care and Direct Care III</t>
  </si>
  <si>
    <t>Food Service II</t>
  </si>
  <si>
    <t>Benchmarked to Direct Care</t>
  </si>
  <si>
    <t>Food Service I</t>
  </si>
  <si>
    <t>M2022 BLS  Occ Code 29-1071</t>
  </si>
  <si>
    <t>Physician Assistants</t>
  </si>
  <si>
    <t>M2022 BLS  (29-1222 Physicians) National Annual Mean</t>
  </si>
  <si>
    <t>Medical Director</t>
  </si>
  <si>
    <t>M2021 BLS  NAICS 623200 (Nat'l)   Intellectual and Developmental Disability,   Residential, Mental Health, and Substance Abuse Facilities</t>
  </si>
  <si>
    <t>Psychiatrist *</t>
  </si>
  <si>
    <t>Misc. BLS benchmarks</t>
  </si>
  <si>
    <t>C.257 Benchmark</t>
  </si>
  <si>
    <t>Admin Allocation</t>
  </si>
  <si>
    <t xml:space="preserve">Terminal leave, and  retirement.  Does include Paid Family Medical Leave tax.
Includes and additional 2% to be used at providers descretion for retirement and/or other benefits
</t>
  </si>
  <si>
    <t>% of FTE:</t>
  </si>
  <si>
    <t xml:space="preserve">Benchmarked to FY23 (approved) Commonwealth (office of the Comptroller) T&amp;F rate, less </t>
  </si>
  <si>
    <t xml:space="preserve">Tax and Fringe =  </t>
  </si>
  <si>
    <t>Total Hours per FTE:</t>
  </si>
  <si>
    <t>training</t>
  </si>
  <si>
    <r>
      <t xml:space="preserve">Clerical, Support &amp; Direct Care Relief Staff are benched to Direct Care </t>
    </r>
    <r>
      <rPr>
        <b/>
        <i/>
        <sz val="20"/>
        <color theme="1"/>
        <rFont val="Calibri"/>
        <family val="2"/>
        <scheme val="minor"/>
      </rPr>
      <t>**</t>
    </r>
  </si>
  <si>
    <t>holidays</t>
  </si>
  <si>
    <t>sick/ personal</t>
  </si>
  <si>
    <t>Registered Nurse (MA / APRN) (annual)</t>
  </si>
  <si>
    <t>vacation</t>
  </si>
  <si>
    <t>29-1171</t>
  </si>
  <si>
    <t>Minimum of a Masters of Science in one of the APRN roles. Must be licensed</t>
  </si>
  <si>
    <t>Registerd Nurse (MA / APRN) (hourly)</t>
  </si>
  <si>
    <t>Hours</t>
  </si>
  <si>
    <t>Days</t>
  </si>
  <si>
    <t>Registered Nurse (BA) (annual)</t>
  </si>
  <si>
    <t>Model</t>
  </si>
  <si>
    <t>Relief Assumptions:</t>
  </si>
  <si>
    <t>29-1141</t>
  </si>
  <si>
    <t>Minimum of an associates degree in nursing, a diploma from an approved nursing program, or a Bachelors of Science in Nursing</t>
  </si>
  <si>
    <t>Registerd Nurse (BA) (hourly)</t>
  </si>
  <si>
    <t>Speech Language Pathologists (annual) *</t>
  </si>
  <si>
    <r>
      <rPr>
        <b/>
        <sz val="20"/>
        <color rgb="FFFF0000"/>
        <rFont val="Calibri"/>
        <family val="2"/>
        <scheme val="minor"/>
      </rPr>
      <t>*PLEASE SEE NOTE BELOW</t>
    </r>
    <r>
      <rPr>
        <sz val="20"/>
        <color theme="1"/>
        <rFont val="Calibri"/>
        <family val="2"/>
        <scheme val="minor"/>
      </rPr>
      <t xml:space="preserve">
29-1129, 29-1127</t>
    </r>
  </si>
  <si>
    <t>Masters Level</t>
  </si>
  <si>
    <t>Speech Language Pathologists (hourly) *</t>
  </si>
  <si>
    <t>Clinical Manager /  Psychologists  (annual)</t>
  </si>
  <si>
    <t>19-3033, 19-3034</t>
  </si>
  <si>
    <t>Masters with Licensure in Related Discipline and supervising/managerial related experience</t>
  </si>
  <si>
    <t>Clinical Manager, Clinical Director</t>
  </si>
  <si>
    <t>Clinical Manager / Psychologists (hourly)</t>
  </si>
  <si>
    <t>Physical Therapist (annual)</t>
  </si>
  <si>
    <t>29-1129, 31-2021, 29-1123  (20%/20%/60%)</t>
  </si>
  <si>
    <t>Physical Therapists</t>
  </si>
  <si>
    <t>Physical Therapist (hourly)</t>
  </si>
  <si>
    <t>Occupational Therapist (annual) *</t>
  </si>
  <si>
    <r>
      <rPr>
        <b/>
        <sz val="20"/>
        <color rgb="FFFF0000"/>
        <rFont val="Calibri"/>
        <family val="2"/>
        <scheme val="minor"/>
      </rPr>
      <t>*PLEASE SEE NOTE BELOW</t>
    </r>
    <r>
      <rPr>
        <sz val="20"/>
        <color theme="1"/>
        <rFont val="Calibri"/>
        <family val="2"/>
        <scheme val="minor"/>
      </rPr>
      <t xml:space="preserve">
29-1129, 31-2011, 29-1122 (25%/25%/50%)</t>
    </r>
  </si>
  <si>
    <t>Occupational Therapists</t>
  </si>
  <si>
    <t>Occupational Therapist (hourly) *</t>
  </si>
  <si>
    <t>Program director</t>
  </si>
  <si>
    <t>Program Management (annual)</t>
  </si>
  <si>
    <t>11-9151</t>
  </si>
  <si>
    <t>BA Level w/ 3+ years related work experience</t>
  </si>
  <si>
    <t xml:space="preserve">Program manager, Program management, </t>
  </si>
  <si>
    <t>Program Management (hourly)</t>
  </si>
  <si>
    <t>Dietician / Nutritionist (annual)</t>
  </si>
  <si>
    <t>29-1031</t>
  </si>
  <si>
    <t xml:space="preserve">Bachelors Level </t>
  </si>
  <si>
    <t>Dietician / Nutritionist (hourly)</t>
  </si>
  <si>
    <t>Clinical w/ Independent licensure (annual)</t>
  </si>
  <si>
    <t>19-3033, 21-1021, 21-1022, 19-3034</t>
  </si>
  <si>
    <t xml:space="preserve">Masters with Licensure in Related Discipline </t>
  </si>
  <si>
    <t>LPHA, LICSW, LMHC, LBHA, BCBA</t>
  </si>
  <si>
    <t>Clinical w/ Independent licensure (hourly)</t>
  </si>
  <si>
    <t>Assistant Manager</t>
  </si>
  <si>
    <t>LPN (annual)</t>
  </si>
  <si>
    <t>29-2061</t>
  </si>
  <si>
    <t>Complete a state approved nurse education program for licensed practical or licensed vocation nurse</t>
  </si>
  <si>
    <t>LPN (hourly)</t>
  </si>
  <si>
    <t>Clinical without Independent Licensure</t>
  </si>
  <si>
    <t>Case Manager / Social Worker / Clinical w/o independent License</t>
  </si>
  <si>
    <t>21-1021, 21-1019, 21-1022, 21-1029</t>
  </si>
  <si>
    <t>LDAC2,  LMSW, LCSW</t>
  </si>
  <si>
    <t>Case Manager / Social Worker / Clinical w/o independent License (hourly)</t>
  </si>
  <si>
    <t>LDAC1</t>
  </si>
  <si>
    <t>Case / Social Worker (annual)</t>
  </si>
  <si>
    <t>21-1021, 21-1099</t>
  </si>
  <si>
    <t>Bachelors Level or 8+ years related experience</t>
  </si>
  <si>
    <t>BA level social worker, LSW, BSW</t>
  </si>
  <si>
    <t xml:space="preserve">Case / Social Worker (hourly) </t>
  </si>
  <si>
    <t>Certified Nursing Assistant  (annual)</t>
  </si>
  <si>
    <t>31-1131</t>
  </si>
  <si>
    <t>Completed a state-approved education program and must pass their state’s competency exam. </t>
  </si>
  <si>
    <t>Certified Nursing Assistant  (hourly)</t>
  </si>
  <si>
    <t>Developmental Specialist,  Triage Specialist, Medical Assistant</t>
  </si>
  <si>
    <t>Direct Care III (annual)</t>
  </si>
  <si>
    <t>21-1094, 21-1015, 21-1018, 21-1023, 39-1022</t>
  </si>
  <si>
    <t>Bachelors Level or 5+ years related experience</t>
  </si>
  <si>
    <t>Direct Care Supervisor, Direct Care Bachelors</t>
  </si>
  <si>
    <t>Direct Care III (hourly)</t>
  </si>
  <si>
    <t>Direct Care  (annual)</t>
  </si>
  <si>
    <r>
      <rPr>
        <b/>
        <sz val="20"/>
        <color rgb="FFFF0000"/>
        <rFont val="Calibri"/>
        <family val="2"/>
        <scheme val="minor"/>
      </rPr>
      <t>**PLEASE SEE NOTE BELOW</t>
    </r>
    <r>
      <rPr>
        <sz val="20"/>
        <color theme="1"/>
        <rFont val="Calibri"/>
        <family val="2"/>
        <scheme val="minor"/>
      </rPr>
      <t xml:space="preserve">
21-1093, 31-1120, 31-2022, 31-9099</t>
    </r>
  </si>
  <si>
    <t>High School diploma / GED / State Training</t>
  </si>
  <si>
    <t>Direct Care, Direct Care Blend, Non Specialized DC, Peer mentor, Family Specialist/ Partner</t>
  </si>
  <si>
    <t>Direct Care (hourly)</t>
  </si>
  <si>
    <t>BLS Occupational Code(s)</t>
  </si>
  <si>
    <t>Minimum Education and/or certification/Training/Experience</t>
  </si>
  <si>
    <t>Common model titles (not all inclusive)</t>
  </si>
  <si>
    <t>53 Percentile</t>
  </si>
  <si>
    <t>Position</t>
  </si>
  <si>
    <t>BLS / OES</t>
  </si>
  <si>
    <t>Source:</t>
  </si>
  <si>
    <t>CAF:</t>
  </si>
  <si>
    <t>2025Q4</t>
  </si>
  <si>
    <t>2025Q3</t>
  </si>
  <si>
    <t>2025Q2</t>
  </si>
  <si>
    <t>2025Q1</t>
  </si>
  <si>
    <t>2024Q4</t>
  </si>
  <si>
    <t>2024Q3</t>
  </si>
  <si>
    <t>2024Q2</t>
  </si>
  <si>
    <t>2024Q1</t>
  </si>
  <si>
    <t>January 1, 2024 - December 31, 2025</t>
  </si>
  <si>
    <t xml:space="preserve">Prospective rate period: </t>
  </si>
  <si>
    <t>Average</t>
  </si>
  <si>
    <t>FY24</t>
  </si>
  <si>
    <t xml:space="preserve">Base period: </t>
  </si>
  <si>
    <t>Assumption for new rates that are to be promulgated January 2024</t>
  </si>
  <si>
    <t>New Rates</t>
  </si>
  <si>
    <t>CPIPESSMA</t>
  </si>
  <si>
    <t>CPI--PESSIMISTIC SCENARIO (1982-84=1)</t>
  </si>
  <si>
    <t>CPIOPTMA</t>
  </si>
  <si>
    <t>CPI--OPTIMISTIC SCENARIO (1982-84=1)</t>
  </si>
  <si>
    <t>CPIBASEMA</t>
  </si>
  <si>
    <t>CPI--BASELINE SCENARIO (1982-84=1)</t>
  </si>
  <si>
    <t>2028Q4</t>
  </si>
  <si>
    <t>2028Q3</t>
  </si>
  <si>
    <t>2028Q2</t>
  </si>
  <si>
    <t>2028Q1</t>
  </si>
  <si>
    <t>2027Q4</t>
  </si>
  <si>
    <t>2027Q3</t>
  </si>
  <si>
    <t>2027Q2</t>
  </si>
  <si>
    <t>2027Q1</t>
  </si>
  <si>
    <t>2026Q4</t>
  </si>
  <si>
    <t>2026Q3</t>
  </si>
  <si>
    <t>2026Q2</t>
  </si>
  <si>
    <t>2026Q1</t>
  </si>
  <si>
    <t>2023Q4</t>
  </si>
  <si>
    <t>2023Q3</t>
  </si>
  <si>
    <t>2023Q2</t>
  </si>
  <si>
    <t>2023Q1</t>
  </si>
  <si>
    <t>2022Q4</t>
  </si>
  <si>
    <t>2022Q3</t>
  </si>
  <si>
    <t>2022Q2</t>
  </si>
  <si>
    <t>2022Q1</t>
  </si>
  <si>
    <t>2021Q4</t>
  </si>
  <si>
    <t>2021Q3</t>
  </si>
  <si>
    <t>2021Q2</t>
  </si>
  <si>
    <t>2021Q1</t>
  </si>
  <si>
    <t>2020Q4</t>
  </si>
  <si>
    <t>2020Q3</t>
  </si>
  <si>
    <t>2020Q2</t>
  </si>
  <si>
    <t>2020Q1</t>
  </si>
  <si>
    <t>2019Q4</t>
  </si>
  <si>
    <t>2019Q3</t>
  </si>
  <si>
    <t>2019Q2</t>
  </si>
  <si>
    <t>2019Q1</t>
  </si>
  <si>
    <t>2018Q4</t>
  </si>
  <si>
    <t>2018Q3</t>
  </si>
  <si>
    <t>2018Q2</t>
  </si>
  <si>
    <t>2018Q1</t>
  </si>
  <si>
    <t>2017Q4</t>
  </si>
  <si>
    <t>2017Q3</t>
  </si>
  <si>
    <t>2017Q2</t>
  </si>
  <si>
    <t>2017Q1</t>
  </si>
  <si>
    <t>2016Q4</t>
  </si>
  <si>
    <t>2016Q3</t>
  </si>
  <si>
    <t>2016Q2</t>
  </si>
  <si>
    <t>2016Q1</t>
  </si>
  <si>
    <t>2015Q4</t>
  </si>
  <si>
    <t>2015Q3</t>
  </si>
  <si>
    <t>2015Q2</t>
  </si>
  <si>
    <t>2015Q1</t>
  </si>
  <si>
    <t>2014Q4</t>
  </si>
  <si>
    <t>2014Q3</t>
  </si>
  <si>
    <t>2014Q2</t>
  </si>
  <si>
    <t>2014Q1</t>
  </si>
  <si>
    <t>2013Q4</t>
  </si>
  <si>
    <t>2013Q3</t>
  </si>
  <si>
    <t>2013Q2</t>
  </si>
  <si>
    <t>2013Q1</t>
  </si>
  <si>
    <t>2012Q4</t>
  </si>
  <si>
    <t>2012Q3</t>
  </si>
  <si>
    <t>2012Q2</t>
  </si>
  <si>
    <t>2012Q1</t>
  </si>
  <si>
    <t>2011Q4</t>
  </si>
  <si>
    <t>2011Q3</t>
  </si>
  <si>
    <t>2011Q2</t>
  </si>
  <si>
    <t>2011Q1</t>
  </si>
  <si>
    <t>2010Q4</t>
  </si>
  <si>
    <t>2010Q3</t>
  </si>
  <si>
    <t>2010Q2</t>
  </si>
  <si>
    <t>2010Q1</t>
  </si>
  <si>
    <t>2009Q4</t>
  </si>
  <si>
    <t>2009Q3</t>
  </si>
  <si>
    <t>2009Q2</t>
  </si>
  <si>
    <t>2009Q1</t>
  </si>
  <si>
    <t>2008Q4</t>
  </si>
  <si>
    <t>2008Q3</t>
  </si>
  <si>
    <t>2008Q2</t>
  </si>
  <si>
    <t>2008Q1</t>
  </si>
  <si>
    <t>2007Q4</t>
  </si>
  <si>
    <t>2007Q3</t>
  </si>
  <si>
    <t>2007Q2</t>
  </si>
  <si>
    <t>2007Q1</t>
  </si>
  <si>
    <t>2006Q4</t>
  </si>
  <si>
    <t>2006Q3</t>
  </si>
  <si>
    <t>2006Q2</t>
  </si>
  <si>
    <t>2006Q1</t>
  </si>
  <si>
    <t>2005Q4</t>
  </si>
  <si>
    <t>2005Q3</t>
  </si>
  <si>
    <t>2005Q2</t>
  </si>
  <si>
    <t>2005Q1</t>
  </si>
  <si>
    <t>2004Q4</t>
  </si>
  <si>
    <t>2004Q3</t>
  </si>
  <si>
    <t>2004Q2</t>
  </si>
  <si>
    <t>2004Q1</t>
  </si>
  <si>
    <t>NAME</t>
  </si>
  <si>
    <t>FY26</t>
  </si>
  <si>
    <t>FY25</t>
  </si>
  <si>
    <t>FY23</t>
  </si>
  <si>
    <t>FY21</t>
  </si>
  <si>
    <t>Prepared by Michael Lynch, 781-301-9129</t>
  </si>
  <si>
    <t>S&amp;P Global Market Intelligence, Spring 2023 Forecast</t>
  </si>
  <si>
    <t>Massachusetts Economic Indicators</t>
  </si>
  <si>
    <t>Community Based After School - Social &amp; Rec</t>
  </si>
  <si>
    <t xml:space="preserve">Enrolled day </t>
  </si>
  <si>
    <t xml:space="preserve">Adolescent Support </t>
  </si>
  <si>
    <t>Hourly</t>
  </si>
  <si>
    <t>Combined Hourly Services - Non - Clinical</t>
  </si>
  <si>
    <t>Combined Hourly Services - Clinical</t>
  </si>
  <si>
    <t>Session</t>
  </si>
  <si>
    <t>                     Transportation</t>
  </si>
  <si>
    <t>                     Occupancy purchase of space</t>
  </si>
  <si>
    <t>                     Child Care</t>
  </si>
  <si>
    <t>                     Meals</t>
  </si>
  <si>
    <t xml:space="preserve">                     Facilitator/coordinator </t>
  </si>
  <si>
    <t>             Add-ons for a Parent Skill Development Program Model:</t>
  </si>
  <si>
    <t xml:space="preserve">     Parent Skill Development Program Model </t>
  </si>
  <si>
    <t>                     Facilitator/coordinator</t>
  </si>
  <si>
    <t>             Add-ons for a Family Skills Development Program Model</t>
  </si>
  <si>
    <t>     Family Skills Development Program Model</t>
  </si>
  <si>
    <t>                     Occupancy purchase of space</t>
  </si>
  <si>
    <t>             Add-ons for a Specialty Family Skills Development Program Model</t>
  </si>
  <si>
    <t>     Specialty Family Skills Development Program Model</t>
  </si>
  <si>
    <t>15 minutes</t>
  </si>
  <si>
    <t>Family Navigation</t>
  </si>
  <si>
    <t>Enrolled day</t>
  </si>
  <si>
    <t>     Educational Coordination</t>
  </si>
  <si>
    <t>     Model G Direct Care and Clinical Higher Intensive</t>
  </si>
  <si>
    <t>     Model F Direct Care and Clinical Highest Intensive</t>
  </si>
  <si>
    <t>     Model E Direct Care and Clinical High Intensive</t>
  </si>
  <si>
    <t>     Model D Clinical</t>
  </si>
  <si>
    <t>     Model C Direct Care and Clinical More Intensive</t>
  </si>
  <si>
    <t>     Model B Direct Care and Clinical Less Intensive</t>
  </si>
  <si>
    <t>     Model A-2 Direct Care–Nonclinical More Intensive</t>
  </si>
  <si>
    <t>     Model A-1 Direct Care–Nonclinical Less Intensive</t>
  </si>
  <si>
    <t>Comprehensive Services:</t>
  </si>
  <si>
    <t>Transaction</t>
  </si>
  <si>
    <t>Family Navigation (MCB)</t>
  </si>
  <si>
    <t>Service Navigation</t>
  </si>
  <si>
    <t>Month</t>
  </si>
  <si>
    <t>Agency w/choice Admin Fee</t>
  </si>
  <si>
    <t>Financial Assistance Administration</t>
  </si>
  <si>
    <t>Medically Complex Programs</t>
  </si>
  <si>
    <t>Intensive Flexible Family Support Services</t>
  </si>
  <si>
    <t>Autism Support Center/Family Support Center</t>
  </si>
  <si>
    <t>Respite in Recipient’s Home. 1:3</t>
  </si>
  <si>
    <t>Respite in Recipient’s Home. 1:2</t>
  </si>
  <si>
    <t>Respite in Recipient’s Home. 1:1</t>
  </si>
  <si>
    <t>Peer Support Group of 5</t>
  </si>
  <si>
    <t>Peer Support Group of 2</t>
  </si>
  <si>
    <t>Peer Support</t>
  </si>
  <si>
    <t>Day</t>
  </si>
  <si>
    <t>Stabilization Care Giver's Home Level 3</t>
  </si>
  <si>
    <t>Stabilization Care Giver's Home Level 2</t>
  </si>
  <si>
    <t>Stabilization Care Giver's Home Level 1</t>
  </si>
  <si>
    <t>Behavioral Support Services PhD</t>
  </si>
  <si>
    <t>Behavioral Support Services Master’s</t>
  </si>
  <si>
    <t>Behavioral Support Services Bachelor's</t>
  </si>
  <si>
    <t>Family Training Group of 5</t>
  </si>
  <si>
    <t>Family Training Group of 2</t>
  </si>
  <si>
    <t>Family Training</t>
  </si>
  <si>
    <t>Adult Companion Services Group of 3</t>
  </si>
  <si>
    <t>Adult Companion Services Group of 2</t>
  </si>
  <si>
    <t>Adult Companion</t>
  </si>
  <si>
    <t xml:space="preserve">Child Respite in Caregiver's Home </t>
  </si>
  <si>
    <t>Respite in Caregiver’s Home Level 3</t>
  </si>
  <si>
    <t>Respite in Caregiver’s Home Level 2</t>
  </si>
  <si>
    <t>Respite in Caregiver’s Home Level 1</t>
  </si>
  <si>
    <t>Respite in Recipient’s Home</t>
  </si>
  <si>
    <t>New proposed rate 
Jan 1, 2024</t>
  </si>
  <si>
    <t>Current Rate</t>
  </si>
  <si>
    <t>Unit of Service</t>
  </si>
  <si>
    <t>Center Size</t>
  </si>
  <si>
    <t>Level</t>
  </si>
  <si>
    <t>Prospective rate period: 1/1/24-12/31/25</t>
  </si>
  <si>
    <t>Spring 2023 CAF</t>
  </si>
  <si>
    <t>MA EOHHS C. 257 Benchmark</t>
  </si>
  <si>
    <t>weighted average</t>
  </si>
  <si>
    <t>average</t>
  </si>
  <si>
    <t>Admin Alloc. FY20 Data</t>
  </si>
  <si>
    <t>T &amp; F FY22 Data</t>
  </si>
  <si>
    <t>Flex Spending</t>
  </si>
  <si>
    <t>Specialty Consulations</t>
  </si>
  <si>
    <t>Non Staff Direct Exp.</t>
  </si>
  <si>
    <t>Stipend - Level 3</t>
  </si>
  <si>
    <t>*Are these new stipend levels ok?</t>
  </si>
  <si>
    <t>Stipend - Level 2</t>
  </si>
  <si>
    <t>stipend to dc salary % increase applied</t>
  </si>
  <si>
    <t xml:space="preserve">Stipend - Level 1 </t>
  </si>
  <si>
    <t xml:space="preserve">Flex Spending </t>
  </si>
  <si>
    <t>Total Other Program Expense per FTE</t>
  </si>
  <si>
    <t>36E</t>
  </si>
  <si>
    <t>Other Expense</t>
  </si>
  <si>
    <t>35E</t>
  </si>
  <si>
    <t>Program Supplies &amp; Materials 215</t>
  </si>
  <si>
    <t>33E</t>
  </si>
  <si>
    <t>Other Commercial Prod. &amp; Svs. 214</t>
  </si>
  <si>
    <t>32E</t>
  </si>
  <si>
    <t>Direct Client Wages 214</t>
  </si>
  <si>
    <t>31E</t>
  </si>
  <si>
    <t>Provision Material Goods/Svs./Benefits 212</t>
  </si>
  <si>
    <t>30E</t>
  </si>
  <si>
    <t>Client Personal Allowances 211</t>
  </si>
  <si>
    <t>29E</t>
  </si>
  <si>
    <t>Incidental Medical /Medicine/Pharmacy 209</t>
  </si>
  <si>
    <t>28E</t>
  </si>
  <si>
    <t>Vehicle Depreciation 208</t>
  </si>
  <si>
    <t>27E</t>
  </si>
  <si>
    <t>Vehicle Expenses 208</t>
  </si>
  <si>
    <t>26E</t>
  </si>
  <si>
    <t>Client Transportation 208</t>
  </si>
  <si>
    <t>25E</t>
  </si>
  <si>
    <t>Meals 207</t>
  </si>
  <si>
    <t>24E</t>
  </si>
  <si>
    <t>Staff Mileage / Travel 205</t>
  </si>
  <si>
    <t>23E</t>
  </si>
  <si>
    <t>Staff Training 204</t>
  </si>
  <si>
    <t>22E</t>
  </si>
  <si>
    <t>Stipends</t>
  </si>
  <si>
    <t>20E</t>
  </si>
  <si>
    <t>Total Occupancy</t>
  </si>
  <si>
    <t>17E</t>
  </si>
  <si>
    <t>FY22 Wt Avg</t>
  </si>
  <si>
    <t>Current (FY20 Wt Avg)</t>
  </si>
  <si>
    <t>Non-Salary Expense</t>
  </si>
  <si>
    <t>Below the Line</t>
  </si>
  <si>
    <t>Admin. Allocation</t>
  </si>
  <si>
    <t>CAF Rate</t>
  </si>
  <si>
    <t>Taxes &amp; Fringe</t>
  </si>
  <si>
    <t>FY22 UFR Wtg Avg Data</t>
  </si>
  <si>
    <t>Source</t>
  </si>
  <si>
    <t>Amount</t>
  </si>
  <si>
    <t>Non-Salary Expenses</t>
  </si>
  <si>
    <t>Direct Care</t>
  </si>
  <si>
    <t>Clerical Support</t>
  </si>
  <si>
    <t>Program Management</t>
  </si>
  <si>
    <t>Management</t>
  </si>
  <si>
    <t>Salary</t>
  </si>
  <si>
    <t>Benchmark Title</t>
  </si>
  <si>
    <t>Functional Title</t>
  </si>
  <si>
    <t>FTE</t>
  </si>
  <si>
    <t>SALARY</t>
  </si>
  <si>
    <t>TITLE</t>
  </si>
  <si>
    <t>Adolescent Support Network Model</t>
  </si>
  <si>
    <t>FY22 UFR Wtg Avg (23E,25E,26E,27E)</t>
  </si>
  <si>
    <t>Transportation</t>
  </si>
  <si>
    <t>Direct Care III</t>
  </si>
  <si>
    <t>IFC Staff</t>
  </si>
  <si>
    <t>Case Worker</t>
  </si>
  <si>
    <t>Unbundled IFC Special Supports</t>
  </si>
  <si>
    <t>Direct Care Staffing</t>
  </si>
  <si>
    <t>Case Manager</t>
  </si>
  <si>
    <t>Parent Skill Development Group</t>
  </si>
  <si>
    <t>Family Skills Development Group</t>
  </si>
  <si>
    <t>Capacity</t>
  </si>
  <si>
    <t>Specialty Family Skills Development Group</t>
  </si>
  <si>
    <t>Program Support</t>
  </si>
  <si>
    <t>Case manager</t>
  </si>
  <si>
    <t>Education Coordinator</t>
  </si>
  <si>
    <t>Ratio</t>
  </si>
  <si>
    <t>Educational Coordinator ("Treehouse")</t>
  </si>
  <si>
    <t>Program Support-Clerical</t>
  </si>
  <si>
    <t>Clinical w/ Independent licensure</t>
  </si>
  <si>
    <t>Clinical</t>
  </si>
  <si>
    <t>Model G Direct Care and Clinical Higher Intensive</t>
  </si>
  <si>
    <t>Model F Direct Care and Clinical Highest Intensive</t>
  </si>
  <si>
    <t>Model E Direct Care and Clinical High Intensive</t>
  </si>
  <si>
    <t>Model D Clinical</t>
  </si>
  <si>
    <t>Model C Direct Care and Clinical More Intensive</t>
  </si>
  <si>
    <t>Model B Direct Care and Clinical Less Intensive</t>
  </si>
  <si>
    <t>Model A-2 Direct Care Non Clinical More Intensive</t>
  </si>
  <si>
    <t>Model A-1 Direct Care Non Clinical Less Intensive</t>
  </si>
  <si>
    <t>LEVEL and FTE</t>
  </si>
  <si>
    <t>DCF Clinical Comp</t>
  </si>
  <si>
    <t>Purchaser Reccomentation</t>
  </si>
  <si>
    <t>Prior Benchmark plus CAF</t>
  </si>
  <si>
    <t>Intensive Family Flexible Supports</t>
  </si>
  <si>
    <t>Utilization Rate</t>
  </si>
  <si>
    <t>Number of beds</t>
  </si>
  <si>
    <t>DC- Support</t>
  </si>
  <si>
    <t>Nurse-blended rate</t>
  </si>
  <si>
    <t>Med-Nurse</t>
  </si>
  <si>
    <t>PLANNED SITE BASED RESPITE FOR CHILDREN WITH HIGH INTESITY SUPPORT NEEDS</t>
  </si>
  <si>
    <t>PLANNED SITE BASED RESPITE FOR CHILDREN WITH HIGH INTESITY SUPPORT NEEDS - Days staffed per week</t>
  </si>
  <si>
    <t>PLANNED SITE BASED RESPITE FOR CHILDREN WITH HIGH INTESITY SUPPORT NEEDS - Beds per FTE</t>
  </si>
  <si>
    <t>PLANNED SITE BASED RESPITE FOR CHILDREN</t>
  </si>
  <si>
    <t>PLANNED SITE BASED RESPITE FOR CHILDREN - Days staffed per week</t>
  </si>
  <si>
    <t>PLANNED SITE BASED RESPITE FOR CHILDREN - Beds per FTE</t>
  </si>
  <si>
    <t>SITE BASED RESPITE WITH NURSING</t>
  </si>
  <si>
    <t>SITE BASED RESPITE WITH NURSING - Days staffed per week</t>
  </si>
  <si>
    <t>SITE BASED RESPITE WITH NURSING - Beds per FTE</t>
  </si>
  <si>
    <t>SITE BASED RESPITE</t>
  </si>
  <si>
    <t>SITE BASED RESPITE - Days Staffed per Week</t>
  </si>
  <si>
    <t xml:space="preserve">SITE BASED RESPITE - Beds per FTE </t>
  </si>
  <si>
    <t>Site Based Respite</t>
  </si>
  <si>
    <t>Prior rate w/ CAF</t>
  </si>
  <si>
    <t>Level 3</t>
  </si>
  <si>
    <t>Level 2</t>
  </si>
  <si>
    <t>Level 1</t>
  </si>
  <si>
    <t>Respite Caregiver Home</t>
  </si>
  <si>
    <t>No. of Clients per Program</t>
  </si>
  <si>
    <t>Purchaser Reccomendation</t>
  </si>
  <si>
    <t>Ratio (Client to Staff)</t>
  </si>
  <si>
    <t>Ratio 
(Client to Staff)</t>
  </si>
  <si>
    <t>Med Complex</t>
  </si>
  <si>
    <t>Prior Rate with CAF</t>
  </si>
  <si>
    <t>Direct Care Staff</t>
  </si>
  <si>
    <t>MCB Family Navigation Administrative Service</t>
  </si>
  <si>
    <t>MCB FAMS</t>
  </si>
  <si>
    <t>Client Financial Assistance Admin Fee</t>
  </si>
  <si>
    <t>Fin. Assistance Admin</t>
  </si>
  <si>
    <t>Respite - receipient home</t>
  </si>
  <si>
    <t>Respite - Recipient Home</t>
  </si>
  <si>
    <t>FY22 UFR Wtg Avg Data per FTE</t>
  </si>
  <si>
    <t>Behav. Supp. - Master's</t>
  </si>
  <si>
    <t>Behav. Supp. - Doctorate</t>
  </si>
  <si>
    <t>Behav.Supp. - Bachelor's</t>
  </si>
  <si>
    <t>Family Stabilization - Behavioral Support -  Doctorate Level</t>
  </si>
  <si>
    <t>Family Stabilization - Behavioral Support - Master's Level</t>
  </si>
  <si>
    <t>Family Stabilization - Behavioral Support - Bachelor Level</t>
  </si>
  <si>
    <t>Behavioral Support</t>
  </si>
  <si>
    <t>Family Navigator</t>
  </si>
  <si>
    <t xml:space="preserve">AWC Administration  - 6753 </t>
  </si>
  <si>
    <t>Family Navigation 3700</t>
  </si>
  <si>
    <t>AWC Admin-Family Nav FY24</t>
  </si>
  <si>
    <t>Purchaser Recommendation</t>
  </si>
  <si>
    <t>FY21 UFR Wtg Avg Data per FTE</t>
  </si>
  <si>
    <t>N/A</t>
  </si>
  <si>
    <t>BTL Scale</t>
  </si>
  <si>
    <t>Prog. Dir.</t>
  </si>
  <si>
    <t>9 Direct Care</t>
  </si>
  <si>
    <t xml:space="preserve">12 Case Manager </t>
  </si>
  <si>
    <t xml:space="preserve">11.5 Case Manager </t>
  </si>
  <si>
    <t xml:space="preserve">11 Case Manager </t>
  </si>
  <si>
    <t xml:space="preserve">10.5 Case Manager </t>
  </si>
  <si>
    <t xml:space="preserve">10 Case Manager </t>
  </si>
  <si>
    <t xml:space="preserve">9.5 Case Manager  </t>
  </si>
  <si>
    <t xml:space="preserve">9 Case Manager </t>
  </si>
  <si>
    <t>8.5 Case Manager</t>
  </si>
  <si>
    <t xml:space="preserve">8 Case Manager  </t>
  </si>
  <si>
    <t xml:space="preserve">7.5 Case Manager  </t>
  </si>
  <si>
    <t xml:space="preserve">7 Case Manager  </t>
  </si>
  <si>
    <t xml:space="preserve">6.5 Case Manager </t>
  </si>
  <si>
    <t xml:space="preserve">6 Case Manager </t>
  </si>
  <si>
    <t xml:space="preserve">5.5 Case Manager  </t>
  </si>
  <si>
    <t xml:space="preserve">5 Case Manager </t>
  </si>
  <si>
    <t xml:space="preserve">4.5 Case Manager </t>
  </si>
  <si>
    <t xml:space="preserve">4 Case Manager </t>
  </si>
  <si>
    <t>3.5 Case Manager</t>
  </si>
  <si>
    <t>3 Case Manager</t>
  </si>
  <si>
    <t>2.5 Case Manager</t>
  </si>
  <si>
    <t xml:space="preserve"> 2 Case Manager (Base Program)</t>
  </si>
  <si>
    <t xml:space="preserve">1.5 Case Manager  </t>
  </si>
  <si>
    <t xml:space="preserve">1 Case Manager  </t>
  </si>
  <si>
    <t>.5 Case Manager (Culturally Linguistic)</t>
  </si>
  <si>
    <t>Model and FTE Level</t>
  </si>
  <si>
    <t>Autism Family Support Centers</t>
  </si>
  <si>
    <t>Direct Care I</t>
  </si>
  <si>
    <t>Rate:</t>
  </si>
  <si>
    <t>TOTAL</t>
  </si>
  <si>
    <t>Total Expenses</t>
  </si>
  <si>
    <t>Total Non-Salary</t>
  </si>
  <si>
    <t>Total Salary</t>
  </si>
  <si>
    <t>Total Staffing</t>
  </si>
  <si>
    <t>Expense</t>
  </si>
  <si>
    <t>Exp</t>
  </si>
  <si>
    <t>12 Case Manager FTE Model</t>
  </si>
  <si>
    <t>11.5 Case Manager FTE Model</t>
  </si>
  <si>
    <t>11 Case Manager FTE Model</t>
  </si>
  <si>
    <t>10.5 Case Manager FTE Model</t>
  </si>
  <si>
    <t>10 Case Manager FTE Model</t>
  </si>
  <si>
    <t>9.5 Case Manager  FTE Model</t>
  </si>
  <si>
    <t>9 Case Manager  FTE Model</t>
  </si>
  <si>
    <t>8.5 Case Manager FTE Model</t>
  </si>
  <si>
    <t>8 Case Manager  FTE Model</t>
  </si>
  <si>
    <t>7.5 Case Manager  FTE Model</t>
  </si>
  <si>
    <t>7 Case Manager  FTE Model</t>
  </si>
  <si>
    <t>6.5 Case Manager  FTE Model</t>
  </si>
  <si>
    <t>6 Case Manager  FTE Model</t>
  </si>
  <si>
    <t>5.5 Case Manager  FTE Model</t>
  </si>
  <si>
    <t>5 Case Manager  FTE Model</t>
  </si>
  <si>
    <t>4.5 Case Manager  FTE Model</t>
  </si>
  <si>
    <t>4 Case Manager  FTE Model</t>
  </si>
  <si>
    <t>3.5 Case Manager  FTE Model</t>
  </si>
  <si>
    <t>3 Case Manager  FTE Model</t>
  </si>
  <si>
    <t>2.5 Case Manager  FTE Model</t>
  </si>
  <si>
    <t xml:space="preserve"> 2 Case Manager  FTE Model (Base Program)</t>
  </si>
  <si>
    <t>1.5 Case Manager  FTE Model</t>
  </si>
  <si>
    <t>1 Case Manager  FTE Model</t>
  </si>
  <si>
    <t>.5 Case Manager FTE Model (Culturally Linguistic)</t>
  </si>
  <si>
    <t>Monthly Rate</t>
  </si>
  <si>
    <t xml:space="preserve">TOTAL  </t>
  </si>
  <si>
    <t>Direct Care Add-On</t>
  </si>
  <si>
    <t>RATE - PER CLIENT PER MONTH</t>
  </si>
  <si>
    <t>Rate for 15 minutes</t>
  </si>
  <si>
    <t xml:space="preserve">Hourly Rate </t>
  </si>
  <si>
    <t>Total</t>
  </si>
  <si>
    <t>Total Reimbursable Exp. Excl. Admin.</t>
  </si>
  <si>
    <t>Total Non-Salary Expenses</t>
  </si>
  <si>
    <t>Total Productive Hours</t>
  </si>
  <si>
    <t>Total Family Navigator FTEs</t>
  </si>
  <si>
    <t>Productive hours per FTE</t>
  </si>
  <si>
    <t>Subtotal non-billable hours</t>
  </si>
  <si>
    <t>Admin / Paperwork</t>
  </si>
  <si>
    <t>Travel</t>
  </si>
  <si>
    <t>training (3 days)</t>
  </si>
  <si>
    <t xml:space="preserve">sick and personal </t>
  </si>
  <si>
    <t>Non-Billable Hours</t>
  </si>
  <si>
    <t>Max # of Billable  Hours</t>
  </si>
  <si>
    <t>Weeks</t>
  </si>
  <si>
    <t>Family Navigation Productivity Standard</t>
  </si>
  <si>
    <t>Total Hours</t>
  </si>
  <si>
    <t>Unit - Per Client Per Month</t>
  </si>
  <si>
    <t>Unit - Per Client Hour</t>
  </si>
  <si>
    <t>Family Stabilization - AWC Administration  - 6753 - Monthly</t>
  </si>
  <si>
    <t>Family Stabilization - Family Navigation 3700 - Hourly</t>
  </si>
  <si>
    <t>Agency With Choice</t>
  </si>
  <si>
    <t>Proposed Rate per 15 Minutes</t>
  </si>
  <si>
    <t>Rate per 15 Minutes</t>
  </si>
  <si>
    <t>Unit Rate Per Available Client Hour</t>
  </si>
  <si>
    <t>Hourly Rate</t>
  </si>
  <si>
    <t>Total Productive Hours per FTE</t>
  </si>
  <si>
    <t xml:space="preserve">Average FTEs </t>
  </si>
  <si>
    <t xml:space="preserve">Total Yearly Available Hours </t>
  </si>
  <si>
    <t>Subtotal Unproductive Hours</t>
  </si>
  <si>
    <t>Admin/Supervision</t>
  </si>
  <si>
    <t>Holidays</t>
  </si>
  <si>
    <t>Training</t>
  </si>
  <si>
    <t>Sick &amp; Personal</t>
  </si>
  <si>
    <t xml:space="preserve"> FTEs</t>
  </si>
  <si>
    <t>Postion</t>
  </si>
  <si>
    <t>Vacation</t>
  </si>
  <si>
    <t>Available Client Hours Per Site</t>
  </si>
  <si>
    <t>Total Availble Hours</t>
  </si>
  <si>
    <t>Doctorate</t>
  </si>
  <si>
    <t>Masters</t>
  </si>
  <si>
    <t>Bachelor</t>
  </si>
  <si>
    <t>Productivity Standard - Per FTE</t>
  </si>
  <si>
    <t>BEHAVIORAL SUPPORT</t>
  </si>
  <si>
    <t>FT / PS Group of 5</t>
  </si>
  <si>
    <t>FT / PS Group of 2</t>
  </si>
  <si>
    <t>FT / PS Rate per Hour</t>
  </si>
  <si>
    <t>% Increase</t>
  </si>
  <si>
    <t>Proposed Rate</t>
  </si>
  <si>
    <t>Total Yearly Hours</t>
  </si>
  <si>
    <t xml:space="preserve">Family Training </t>
  </si>
  <si>
    <t>Total / Hr (15.25 per 7 Hills)</t>
  </si>
  <si>
    <t>Total/ Check (40 per 7 Hills)</t>
  </si>
  <si>
    <t>Cost/ Check</t>
  </si>
  <si>
    <t>Cost / Hour</t>
  </si>
  <si>
    <t>Monthly</t>
  </si>
  <si>
    <t>Cost / Month</t>
  </si>
  <si>
    <t>Annual</t>
  </si>
  <si>
    <t xml:space="preserve">Total Hours/ Month </t>
  </si>
  <si>
    <t>Rate per Transaction</t>
  </si>
  <si>
    <t>Monthly Cost</t>
  </si>
  <si>
    <t>Total Salaries</t>
  </si>
  <si>
    <t>Rate Per Enrolled Day</t>
  </si>
  <si>
    <t xml:space="preserve">Capacity </t>
  </si>
  <si>
    <t>Ratio (Clients per staff member)</t>
  </si>
  <si>
    <t>Intensive Family Flexible Supports (DDS)</t>
  </si>
  <si>
    <t>Rate Per Enrolled Month</t>
  </si>
  <si>
    <t xml:space="preserve"> Peer Support </t>
  </si>
  <si>
    <t>Respite Day (recipients home)</t>
  </si>
  <si>
    <t>Respite 1:3 (recipients home)</t>
  </si>
  <si>
    <t>Respite 1:2 (recipients home)</t>
  </si>
  <si>
    <t>Respite 1:1 (recipients home)</t>
  </si>
  <si>
    <t>Daily Rate</t>
  </si>
  <si>
    <t>Respite In Caregiver's Home - Level 3</t>
  </si>
  <si>
    <t>Respite In Caregiver's Home - Level 2</t>
  </si>
  <si>
    <t>Respite In Caregiver's Home - Level 1</t>
  </si>
  <si>
    <t>RESPITE CAREGIVER'S HOME</t>
  </si>
  <si>
    <t>Unit Rate</t>
  </si>
  <si>
    <t>Annual Checks</t>
  </si>
  <si>
    <t>Total (independent of sessions)</t>
  </si>
  <si>
    <t>CAF (Prg Exp)</t>
  </si>
  <si>
    <t>Admin M&amp;G</t>
  </si>
  <si>
    <t>MODEL G</t>
  </si>
  <si>
    <t>MODEL F</t>
  </si>
  <si>
    <t>MODEL E</t>
  </si>
  <si>
    <t>MODEL D</t>
  </si>
  <si>
    <t>MODEL C</t>
  </si>
  <si>
    <t>MODEL B</t>
  </si>
  <si>
    <t>MODEL A-2</t>
  </si>
  <si>
    <t>MODEL A-1</t>
  </si>
  <si>
    <t>Expenses</t>
  </si>
  <si>
    <t>Occupancy (purchase of space)</t>
  </si>
  <si>
    <t>Proposed</t>
  </si>
  <si>
    <t>Current</t>
  </si>
  <si>
    <t>Add-ons</t>
  </si>
  <si>
    <t>Rate per Session</t>
  </si>
  <si>
    <t>Per 11 session group</t>
  </si>
  <si>
    <t>Sp. Fam</t>
  </si>
  <si>
    <t>Transportation (beyond incidentals)</t>
  </si>
  <si>
    <t>Child Care</t>
  </si>
  <si>
    <t>Meals</t>
  </si>
  <si>
    <t>Facilitator/Coordinators</t>
  </si>
  <si>
    <t xml:space="preserve">Total Rate </t>
  </si>
  <si>
    <t>Curriculum</t>
  </si>
  <si>
    <t>Occupancy (fixed -Standard/session)</t>
  </si>
  <si>
    <t>Per 10 session group</t>
  </si>
  <si>
    <t>Fam Skills</t>
  </si>
  <si>
    <t>Total (Independent of Sessions)</t>
  </si>
  <si>
    <t>Parent Skills</t>
  </si>
  <si>
    <t>RATE: (per enrolled day)</t>
  </si>
  <si>
    <t>FTEs</t>
  </si>
  <si>
    <t>Staff Salary</t>
  </si>
  <si>
    <t>Edu Coor.</t>
  </si>
  <si>
    <t>% diff</t>
  </si>
  <si>
    <t>Rate (15 min)</t>
  </si>
  <si>
    <t>Rate (Hourly)</t>
  </si>
  <si>
    <t>Direct Admin</t>
  </si>
  <si>
    <t>Proposed Rate:</t>
  </si>
  <si>
    <t>Occupancy</t>
  </si>
  <si>
    <t>Flex Pool:</t>
  </si>
  <si>
    <t>Total Compensation</t>
  </si>
  <si>
    <t>Rolling the existing rate forward:</t>
  </si>
  <si>
    <t>CAF (Compensation)</t>
  </si>
  <si>
    <t>Non Clinical</t>
  </si>
  <si>
    <t>TOTAL SUPPORT RATE</t>
  </si>
  <si>
    <t>Flex pool ( provider to maintain pool, amt is not child-specific)</t>
  </si>
  <si>
    <t>COMBINED HOURLY SERVICES</t>
  </si>
  <si>
    <t>Sub Total excl Flex</t>
  </si>
  <si>
    <t xml:space="preserve">current </t>
  </si>
  <si>
    <t>RATE:</t>
  </si>
  <si>
    <t>Other @ 20% total cost</t>
  </si>
  <si>
    <t xml:space="preserve">Total </t>
  </si>
  <si>
    <t>Total Empl Comp &amp; Exp</t>
  </si>
  <si>
    <t>CAF</t>
  </si>
  <si>
    <t>Tax/Fringe @ 25% personnel</t>
  </si>
  <si>
    <t>Sub Total Salary &amp; Wage</t>
  </si>
  <si>
    <t>Tax &amp; Fringe</t>
  </si>
  <si>
    <t>Program director @ 10% salaries</t>
  </si>
  <si>
    <t>Unit Cost</t>
  </si>
  <si>
    <t>FY22 UFR Wtg Avg</t>
  </si>
  <si>
    <t>Additional Support @  5 hrs/wk</t>
  </si>
  <si>
    <t>Other Exp (Program Supplies &amp; Materials)</t>
  </si>
  <si>
    <t>Sub Total Dir Care</t>
  </si>
  <si>
    <t>Supervisor: Ratio 1:6 workers</t>
  </si>
  <si>
    <t>Benchmark Expenses</t>
  </si>
  <si>
    <t>Family Resource Worker ratio 1:30</t>
  </si>
  <si>
    <t>BLS Benchmark M2022 53rd percentile</t>
  </si>
  <si>
    <t>Child Care Worker: Ratio 1:8</t>
  </si>
  <si>
    <t xml:space="preserve">Management </t>
  </si>
  <si>
    <t>% Total Reimb Exp.</t>
  </si>
  <si>
    <t>Cost per child day</t>
  </si>
  <si>
    <t xml:space="preserve"> Cost per child week</t>
  </si>
  <si>
    <t xml:space="preserve"> Cost per child</t>
  </si>
  <si>
    <t>Annual cost</t>
  </si>
  <si>
    <t># children</t>
  </si>
  <si>
    <t>Input - Where Providers proposed to hire staff as "Additional Support"</t>
  </si>
  <si>
    <t>Sal</t>
  </si>
  <si>
    <t>NON-CLINICAL (full day)</t>
  </si>
  <si>
    <t>NON-CLINICAL (half day)</t>
  </si>
  <si>
    <t>Revision as Basis of Extracting Family Resource Worker</t>
  </si>
  <si>
    <t>Days:</t>
  </si>
  <si>
    <t>Clients:</t>
  </si>
  <si>
    <t xml:space="preserve">Benchmark Salaries </t>
  </si>
  <si>
    <t>MODEL BUDGET (full day)</t>
  </si>
  <si>
    <t>MODEL BUDGET- (half day)</t>
  </si>
  <si>
    <t>MASTER DATA LOOK-UP TABLE</t>
  </si>
  <si>
    <t>Revised Unbundled IFC Support Services</t>
  </si>
  <si>
    <t>After School / Day Respite</t>
  </si>
  <si>
    <t>Adolescent Supp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</si>
</sst>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0.0%"/>
    <numFmt numFmtId="167" formatCode="0.0"/>
    <numFmt numFmtId="168" formatCode="\$#,##0"/>
    <numFmt numFmtId="169" formatCode="[$-409]mmmm\ d\,\ yyyy;@"/>
    <numFmt numFmtId="170" formatCode="0.000"/>
    <numFmt numFmtId="171" formatCode="_(&quot;$&quot;* #,##0_);_(&quot;$&quot;* \(#,##0\);_(&quot;$&quot;* &quot;-&quot;??_);_(@_)"/>
    <numFmt numFmtId="172" formatCode="&quot;$&quot;#,##0.0000"/>
    <numFmt numFmtId="173" formatCode="\$#,##0.00"/>
    <numFmt numFmtId="174" formatCode="_(* #,##0_);_(* \(#,##0\);_(* &quot;-&quot;??_);_(@_)"/>
    <numFmt numFmtId="175" formatCode="&quot;$&quot;#,##0.000000000"/>
    <numFmt numFmtId="177" formatCode="0.0000"/>
    <numFmt numFmtId="178" formatCode="_(* #,##0.0_);_(* \(#,##0.0\);_(* &quot;-&quot;??_);_(@_)"/>
    <numFmt numFmtId="179" formatCode="#,##0.0_);\(#,##0.0\)"/>
  </numFmts>
  <fonts count="6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20"/>
      <color theme="1"/>
      <name val="Calibri"/>
      <family val="2"/>
      <scheme val="minor"/>
    </font>
    <font>
      <sz val="14"/>
      <color theme="1"/>
      <name val="Calibri"/>
      <family val="2"/>
      <scheme val="minor"/>
    </font>
    <font>
      <b/>
      <sz val="20"/>
      <color theme="1"/>
      <name val="Calibri"/>
      <family val="2"/>
      <scheme val="minor"/>
    </font>
    <font>
      <b/>
      <sz val="20"/>
      <color rgb="FFFF0000"/>
      <name val="Calibri"/>
      <family val="2"/>
      <scheme val="minor"/>
    </font>
    <font>
      <b/>
      <i/>
      <sz val="20"/>
      <color theme="1"/>
      <name val="Calibri"/>
      <family val="2"/>
      <scheme val="minor"/>
    </font>
    <font>
      <sz val="11"/>
      <color indexed="8"/>
      <name val="Calibri"/>
      <family val="2"/>
    </font>
    <font>
      <sz val="14"/>
      <name val="Arial"/>
      <family val="2"/>
    </font>
    <font>
      <b/>
      <sz val="14"/>
      <name val="Arial"/>
      <family val="2"/>
    </font>
    <font>
      <i/>
      <sz val="20"/>
      <color theme="1"/>
      <name val="Calibri"/>
      <family val="2"/>
      <scheme val="minor"/>
    </font>
    <font>
      <sz val="20"/>
      <color rgb="FFFF0000"/>
      <name val="Calibri"/>
      <family val="2"/>
      <scheme val="minor"/>
    </font>
    <font>
      <b/>
      <u/>
      <sz val="14"/>
      <name val="Arial"/>
      <family val="2"/>
    </font>
    <font>
      <b/>
      <sz val="20"/>
      <name val="Calibri"/>
      <family val="2"/>
      <scheme val="minor"/>
    </font>
    <font>
      <b/>
      <sz val="12"/>
      <color indexed="81"/>
      <name val="Tahoma"/>
      <family val="2"/>
    </font>
    <font>
      <sz val="10"/>
      <color indexed="81"/>
      <name val="Tahoma"/>
      <family val="2"/>
    </font>
    <font>
      <sz val="10"/>
      <name val="Arial"/>
      <family val="2"/>
    </font>
    <font>
      <b/>
      <sz val="10"/>
      <name val="Arial"/>
      <family val="2"/>
    </font>
    <font>
      <sz val="10"/>
      <color theme="1"/>
      <name val="Arial"/>
      <family val="2"/>
    </font>
    <font>
      <b/>
      <u/>
      <sz val="10"/>
      <name val="Arial"/>
      <family val="2"/>
    </font>
    <font>
      <sz val="10"/>
      <color rgb="FFFF0000"/>
      <name val="Arial"/>
      <family val="2"/>
    </font>
    <font>
      <b/>
      <sz val="10"/>
      <color rgb="FFFF0000"/>
      <name val="Arial"/>
      <family val="2"/>
    </font>
    <font>
      <sz val="10"/>
      <color theme="0"/>
      <name val="Arial"/>
      <family val="2"/>
    </font>
    <font>
      <b/>
      <sz val="11"/>
      <name val="Arial"/>
      <family val="2"/>
    </font>
    <font>
      <b/>
      <sz val="12"/>
      <name val="Arial"/>
      <family val="2"/>
    </font>
    <font>
      <sz val="11"/>
      <name val="Calibri Light"/>
      <family val="1"/>
      <scheme val="major"/>
    </font>
    <font>
      <sz val="11"/>
      <color rgb="FFFF0000"/>
      <name val="Calibri Light"/>
      <family val="1"/>
      <scheme val="major"/>
    </font>
    <font>
      <sz val="11"/>
      <name val="Calibri"/>
      <family val="2"/>
      <scheme val="minor"/>
    </font>
    <font>
      <sz val="11"/>
      <color theme="1"/>
      <name val="Calibri Light"/>
      <family val="2"/>
      <scheme val="major"/>
    </font>
    <font>
      <sz val="11"/>
      <color theme="1"/>
      <name val="Calibri Light"/>
      <family val="1"/>
      <scheme val="major"/>
    </font>
    <font>
      <b/>
      <sz val="11"/>
      <name val="Calibri Light"/>
      <family val="1"/>
      <scheme val="major"/>
    </font>
    <font>
      <b/>
      <sz val="11"/>
      <color theme="1"/>
      <name val="Calibri Light"/>
      <family val="1"/>
      <scheme val="major"/>
    </font>
    <font>
      <b/>
      <sz val="11"/>
      <color rgb="FFFF0000"/>
      <name val="Calibri"/>
      <family val="2"/>
      <scheme val="minor"/>
    </font>
    <font>
      <b/>
      <sz val="10"/>
      <color rgb="FFFF0000"/>
      <name val="Calibri"/>
      <family val="2"/>
      <scheme val="minor"/>
    </font>
    <font>
      <b/>
      <sz val="10"/>
      <color theme="1"/>
      <name val="Calibri"/>
      <family val="2"/>
      <scheme val="minor"/>
    </font>
    <font>
      <sz val="10"/>
      <name val="Calibri"/>
      <family val="2"/>
      <scheme val="minor"/>
    </font>
    <font>
      <i/>
      <sz val="11"/>
      <color theme="1"/>
      <name val="Calibri"/>
      <family val="2"/>
      <scheme val="minor"/>
    </font>
    <font>
      <b/>
      <sz val="11"/>
      <name val="Calibri"/>
      <family val="2"/>
      <scheme val="minor"/>
    </font>
    <font>
      <b/>
      <sz val="16"/>
      <color theme="1"/>
      <name val="Calibri"/>
      <family val="2"/>
      <scheme val="minor"/>
    </font>
    <font>
      <sz val="11"/>
      <name val="Arial"/>
      <family val="2"/>
    </font>
    <font>
      <b/>
      <sz val="10"/>
      <name val="Calibri"/>
      <family val="2"/>
      <scheme val="minor"/>
    </font>
    <font>
      <b/>
      <sz val="14"/>
      <color theme="1"/>
      <name val="Calibri"/>
      <family val="2"/>
      <scheme val="minor"/>
    </font>
    <font>
      <b/>
      <i/>
      <sz val="11"/>
      <name val="Calibri"/>
      <family val="2"/>
      <scheme val="minor"/>
    </font>
    <font>
      <b/>
      <i/>
      <sz val="11"/>
      <color theme="1"/>
      <name val="Calibri"/>
      <family val="2"/>
      <scheme val="minor"/>
    </font>
    <font>
      <i/>
      <sz val="11"/>
      <name val="Calibri"/>
      <family val="2"/>
      <scheme val="minor"/>
    </font>
    <font>
      <sz val="11"/>
      <color theme="1"/>
      <name val="Calibri"/>
      <family val="2"/>
    </font>
    <font>
      <i/>
      <sz val="9"/>
      <name val="Calibri"/>
      <family val="2"/>
      <scheme val="minor"/>
    </font>
    <font>
      <sz val="10"/>
      <color theme="1"/>
      <name val="Calibri"/>
      <family val="2"/>
      <scheme val="minor"/>
    </font>
    <font>
      <b/>
      <sz val="14"/>
      <name val="Calibri"/>
      <family val="2"/>
      <scheme val="minor"/>
    </font>
    <font>
      <b/>
      <i/>
      <sz val="10"/>
      <name val="Calibri"/>
      <family val="2"/>
      <scheme val="minor"/>
    </font>
    <font>
      <sz val="10"/>
      <color rgb="FFFF0000"/>
      <name val="Calibri"/>
      <family val="2"/>
      <scheme val="minor"/>
    </font>
    <font>
      <b/>
      <sz val="12"/>
      <name val="Calibri"/>
      <family val="2"/>
      <scheme val="minor"/>
    </font>
    <font>
      <sz val="12"/>
      <name val="Calibri"/>
      <family val="2"/>
      <scheme val="minor"/>
    </font>
    <font>
      <sz val="16"/>
      <name val="Arial"/>
      <family val="2"/>
    </font>
    <font>
      <b/>
      <sz val="18"/>
      <name val="Calibri"/>
      <family val="2"/>
      <scheme val="minor"/>
    </font>
    <font>
      <b/>
      <sz val="9"/>
      <color indexed="81"/>
      <name val="Tahoma"/>
      <family val="2"/>
    </font>
    <font>
      <sz val="9"/>
      <color indexed="81"/>
      <name val="Tahoma"/>
      <family val="2"/>
    </font>
    <font>
      <b/>
      <sz val="10"/>
      <color indexed="8"/>
      <name val="Calibri"/>
      <family val="2"/>
      <scheme val="minor"/>
    </font>
    <font>
      <sz val="10"/>
      <color theme="0"/>
      <name val="Calibri"/>
      <family val="2"/>
      <scheme val="minor"/>
    </font>
  </fonts>
  <fills count="3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6"/>
        <bgColor indexed="64"/>
      </patternFill>
    </fill>
    <fill>
      <patternFill patternType="solid">
        <fgColor theme="2" tint="-0.49998474074526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9" tint="0.79998168889431442"/>
        <bgColor rgb="FF000000"/>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FFCC"/>
        <bgColor indexed="64"/>
      </patternFill>
    </fill>
    <fill>
      <patternFill patternType="solid">
        <fgColor indexed="9"/>
        <bgColor indexed="64"/>
      </patternFill>
    </fill>
  </fills>
  <borders count="8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bottom style="double">
        <color indexed="64"/>
      </bottom>
      <diagonal/>
    </border>
    <border>
      <left/>
      <right/>
      <top/>
      <bottom style="double">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double">
        <color indexed="58"/>
      </top>
      <bottom style="medium">
        <color indexed="64"/>
      </bottom>
      <diagonal/>
    </border>
    <border>
      <left/>
      <right/>
      <top style="double">
        <color indexed="58"/>
      </top>
      <bottom style="medium">
        <color indexed="64"/>
      </bottom>
      <diagonal/>
    </border>
    <border>
      <left style="medium">
        <color indexed="64"/>
      </left>
      <right/>
      <top style="double">
        <color indexed="58"/>
      </top>
      <bottom style="medium">
        <color indexed="64"/>
      </bottom>
      <diagonal/>
    </border>
    <border>
      <left/>
      <right style="medium">
        <color indexed="64"/>
      </right>
      <top style="thin">
        <color indexed="58"/>
      </top>
      <bottom style="thin">
        <color indexed="58"/>
      </bottom>
      <diagonal/>
    </border>
    <border>
      <left/>
      <right/>
      <top style="thin">
        <color indexed="58"/>
      </top>
      <bottom style="thin">
        <color indexed="58"/>
      </bottom>
      <diagonal/>
    </border>
    <border>
      <left/>
      <right/>
      <top/>
      <bottom style="thin">
        <color indexed="58"/>
      </bottom>
      <diagonal/>
    </border>
    <border>
      <left style="thin">
        <color indexed="64"/>
      </left>
      <right style="thin">
        <color indexed="64"/>
      </right>
      <top/>
      <bottom style="medium">
        <color indexed="64"/>
      </bottom>
      <diagonal/>
    </border>
  </borders>
  <cellStyleXfs count="2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9" fillId="0" borderId="0" applyFont="0" applyFill="0" applyBorder="0" applyAlignment="0" applyProtection="0"/>
    <xf numFmtId="0" fontId="18" fillId="0" borderId="0"/>
    <xf numFmtId="0" fontId="20" fillId="0" borderId="0">
      <alignment horizontal="left" vertical="center" wrapText="1"/>
    </xf>
    <xf numFmtId="9" fontId="20" fillId="0" borderId="0" applyFont="0" applyFill="0" applyBorder="0" applyAlignment="0" applyProtection="0"/>
    <xf numFmtId="3" fontId="18" fillId="0" borderId="0">
      <alignment horizontal="left" vertical="top" wrapText="1"/>
    </xf>
    <xf numFmtId="0" fontId="18" fillId="0" borderId="0"/>
    <xf numFmtId="0" fontId="18" fillId="0" borderId="0"/>
    <xf numFmtId="0" fontId="18" fillId="0" borderId="0"/>
    <xf numFmtId="0" fontId="41" fillId="0" borderId="0"/>
    <xf numFmtId="0" fontId="1" fillId="0" borderId="0"/>
    <xf numFmtId="0" fontId="47" fillId="0" borderId="0"/>
    <xf numFmtId="43" fontId="9" fillId="0" borderId="0" applyFont="0" applyFill="0" applyBorder="0" applyAlignment="0" applyProtection="0"/>
    <xf numFmtId="44" fontId="9" fillId="0" borderId="0" applyFont="0" applyFill="0" applyBorder="0" applyAlignment="0" applyProtection="0"/>
    <xf numFmtId="0" fontId="1" fillId="0" borderId="0"/>
    <xf numFmtId="0" fontId="47" fillId="0" borderId="0"/>
    <xf numFmtId="44" fontId="9" fillId="0" borderId="0" applyFont="0" applyFill="0" applyBorder="0" applyAlignment="0" applyProtection="0"/>
    <xf numFmtId="0" fontId="47" fillId="0" borderId="0"/>
    <xf numFmtId="0" fontId="47" fillId="0" borderId="0"/>
    <xf numFmtId="43" fontId="18" fillId="0" borderId="0" applyFont="0" applyFill="0" applyBorder="0" applyAlignment="0" applyProtection="0"/>
  </cellStyleXfs>
  <cellXfs count="1402">
    <xf numFmtId="0" fontId="0" fillId="0" borderId="0" xfId="0"/>
    <xf numFmtId="0" fontId="4" fillId="0" borderId="0" xfId="4" applyFont="1"/>
    <xf numFmtId="0" fontId="4" fillId="0" borderId="0" xfId="4" applyFont="1" applyAlignment="1">
      <alignment wrapText="1"/>
    </xf>
    <xf numFmtId="164" fontId="5" fillId="0" borderId="0" xfId="4" applyNumberFormat="1" applyFont="1"/>
    <xf numFmtId="0" fontId="5" fillId="0" borderId="0" xfId="4" applyFont="1"/>
    <xf numFmtId="0" fontId="4" fillId="0" borderId="0" xfId="4" applyFont="1" applyAlignment="1">
      <alignment horizontal="left" vertical="top" wrapText="1"/>
    </xf>
    <xf numFmtId="0" fontId="6" fillId="0" borderId="0" xfId="4" applyFont="1" applyAlignment="1">
      <alignment horizontal="right" vertical="top"/>
    </xf>
    <xf numFmtId="0" fontId="6" fillId="0" borderId="0" xfId="4" applyFont="1" applyAlignment="1">
      <alignment horizontal="right"/>
    </xf>
    <xf numFmtId="0" fontId="7" fillId="0" borderId="0" xfId="4" applyFont="1" applyAlignment="1">
      <alignment horizontal="center"/>
    </xf>
    <xf numFmtId="6" fontId="4" fillId="0" borderId="0" xfId="4" applyNumberFormat="1" applyFont="1" applyAlignment="1">
      <alignment horizontal="center"/>
    </xf>
    <xf numFmtId="0" fontId="4" fillId="0" borderId="0" xfId="4" applyFont="1" applyAlignment="1">
      <alignment horizontal="right"/>
    </xf>
    <xf numFmtId="0" fontId="4" fillId="2" borderId="0" xfId="4" applyFont="1" applyFill="1"/>
    <xf numFmtId="6" fontId="4" fillId="2" borderId="0" xfId="4" applyNumberFormat="1" applyFont="1" applyFill="1" applyAlignment="1">
      <alignment horizontal="center"/>
    </xf>
    <xf numFmtId="0" fontId="4" fillId="2" borderId="0" xfId="4" applyFont="1" applyFill="1" applyAlignment="1">
      <alignment horizontal="right"/>
    </xf>
    <xf numFmtId="165" fontId="4" fillId="0" borderId="0" xfId="4" applyNumberFormat="1" applyFont="1" applyAlignment="1">
      <alignment horizontal="center"/>
    </xf>
    <xf numFmtId="0" fontId="8" fillId="0" borderId="0" xfId="4" applyFont="1" applyAlignment="1">
      <alignment horizontal="right"/>
    </xf>
    <xf numFmtId="0" fontId="4" fillId="0" borderId="0" xfId="4" applyFont="1" applyAlignment="1">
      <alignment horizontal="center"/>
    </xf>
    <xf numFmtId="9" fontId="4" fillId="0" borderId="0" xfId="3" applyFont="1"/>
    <xf numFmtId="9" fontId="4" fillId="0" borderId="0" xfId="3" applyFont="1" applyAlignment="1">
      <alignment horizontal="center"/>
    </xf>
    <xf numFmtId="0" fontId="4" fillId="0" borderId="0" xfId="4" applyFont="1" applyAlignment="1">
      <alignment horizontal="center"/>
    </xf>
    <xf numFmtId="166" fontId="10" fillId="0" borderId="1" xfId="5" quotePrefix="1" applyNumberFormat="1" applyFont="1" applyBorder="1" applyAlignment="1">
      <alignment horizontal="center"/>
    </xf>
    <xf numFmtId="166" fontId="10" fillId="0" borderId="2" xfId="5" applyNumberFormat="1" applyFont="1" applyBorder="1" applyAlignment="1">
      <alignment horizontal="center"/>
    </xf>
    <xf numFmtId="0" fontId="10" fillId="0" borderId="2" xfId="0" applyFont="1" applyBorder="1" applyAlignment="1">
      <alignment horizontal="right"/>
    </xf>
    <xf numFmtId="0" fontId="10" fillId="0" borderId="3" xfId="0" applyFont="1" applyBorder="1"/>
    <xf numFmtId="10" fontId="4" fillId="0" borderId="0" xfId="3" applyNumberFormat="1" applyFont="1" applyAlignment="1">
      <alignment horizontal="center"/>
    </xf>
    <xf numFmtId="167" fontId="11" fillId="0" borderId="4" xfId="0" applyNumberFormat="1" applyFont="1" applyBorder="1" applyAlignment="1">
      <alignment horizontal="right"/>
    </xf>
    <xf numFmtId="0" fontId="10" fillId="0" borderId="0" xfId="0" applyFont="1" applyAlignment="1">
      <alignment horizontal="center"/>
    </xf>
    <xf numFmtId="0" fontId="10" fillId="0" borderId="0" xfId="0" applyFont="1" applyAlignment="1">
      <alignment horizontal="right"/>
    </xf>
    <xf numFmtId="0" fontId="10" fillId="0" borderId="5" xfId="0" applyFont="1" applyBorder="1"/>
    <xf numFmtId="1" fontId="11" fillId="0" borderId="6" xfId="0" applyNumberFormat="1" applyFont="1" applyBorder="1" applyAlignment="1">
      <alignment horizontal="right"/>
    </xf>
    <xf numFmtId="0" fontId="10" fillId="0" borderId="7" xfId="0" applyFont="1" applyBorder="1" applyAlignment="1">
      <alignment horizontal="center"/>
    </xf>
    <xf numFmtId="0" fontId="10" fillId="0" borderId="8" xfId="0" applyFont="1" applyBorder="1"/>
    <xf numFmtId="0" fontId="12" fillId="0" borderId="0" xfId="4" applyFont="1" applyAlignment="1">
      <alignment horizontal="right" wrapText="1"/>
    </xf>
    <xf numFmtId="1" fontId="11" fillId="0" borderId="4" xfId="0" applyNumberFormat="1" applyFont="1" applyBorder="1" applyAlignment="1">
      <alignment horizontal="right"/>
    </xf>
    <xf numFmtId="0" fontId="4" fillId="0" borderId="1" xfId="4" applyFont="1" applyBorder="1" applyAlignment="1">
      <alignment horizontal="left" vertical="center" wrapText="1"/>
    </xf>
    <xf numFmtId="0" fontId="4" fillId="0" borderId="2" xfId="4" applyFont="1" applyBorder="1"/>
    <xf numFmtId="165" fontId="4" fillId="0" borderId="2" xfId="4" applyNumberFormat="1" applyFont="1" applyBorder="1" applyAlignment="1">
      <alignment horizontal="center"/>
    </xf>
    <xf numFmtId="0" fontId="4" fillId="0" borderId="3" xfId="4" applyFont="1" applyBorder="1"/>
    <xf numFmtId="0" fontId="4" fillId="0" borderId="9" xfId="4" applyFont="1" applyBorder="1" applyAlignment="1">
      <alignment horizontal="left" vertical="center" wrapText="1"/>
    </xf>
    <xf numFmtId="0" fontId="4" fillId="0" borderId="10" xfId="4" applyFont="1" applyBorder="1"/>
    <xf numFmtId="164" fontId="4" fillId="0" borderId="11" xfId="4" applyNumberFormat="1" applyFont="1" applyBorder="1" applyAlignment="1">
      <alignment horizontal="center"/>
    </xf>
    <xf numFmtId="0" fontId="4" fillId="0" borderId="12" xfId="4" applyFont="1" applyBorder="1"/>
    <xf numFmtId="168" fontId="11" fillId="0" borderId="0" xfId="0" applyNumberFormat="1" applyFont="1" applyAlignment="1">
      <alignment horizontal="center"/>
    </xf>
    <xf numFmtId="0" fontId="11" fillId="0" borderId="0" xfId="0" applyFont="1" applyAlignment="1">
      <alignment horizontal="center"/>
    </xf>
    <xf numFmtId="0" fontId="11" fillId="0" borderId="5" xfId="0" applyFont="1" applyBorder="1"/>
    <xf numFmtId="165" fontId="13" fillId="0" borderId="2" xfId="4" applyNumberFormat="1" applyFont="1" applyBorder="1" applyAlignment="1">
      <alignment horizontal="center"/>
    </xf>
    <xf numFmtId="0" fontId="14" fillId="0" borderId="9" xfId="0" applyFont="1" applyBorder="1"/>
    <xf numFmtId="0" fontId="14" fillId="0" borderId="10" xfId="0" applyFont="1" applyBorder="1" applyAlignment="1">
      <alignment horizontal="center"/>
    </xf>
    <xf numFmtId="0" fontId="11" fillId="0" borderId="12" xfId="0" applyFont="1" applyBorder="1"/>
    <xf numFmtId="0" fontId="8" fillId="0" borderId="3" xfId="4" applyFont="1" applyBorder="1"/>
    <xf numFmtId="0" fontId="8" fillId="0" borderId="12" xfId="4" applyFont="1" applyBorder="1"/>
    <xf numFmtId="0" fontId="4" fillId="0" borderId="2" xfId="4" applyFont="1" applyBorder="1" applyAlignment="1">
      <alignment vertical="top" wrapText="1"/>
    </xf>
    <xf numFmtId="0" fontId="4" fillId="0" borderId="10" xfId="4" applyFont="1" applyBorder="1" applyAlignment="1">
      <alignment vertical="top" wrapText="1"/>
    </xf>
    <xf numFmtId="164" fontId="4" fillId="0" borderId="0" xfId="4" applyNumberFormat="1" applyFont="1" applyAlignment="1">
      <alignment horizontal="center"/>
    </xf>
    <xf numFmtId="0" fontId="4" fillId="0" borderId="5" xfId="4" applyFont="1" applyBorder="1"/>
    <xf numFmtId="0" fontId="8" fillId="0" borderId="5" xfId="4" applyFont="1" applyBorder="1"/>
    <xf numFmtId="49" fontId="4" fillId="0" borderId="1" xfId="4" applyNumberFormat="1" applyFont="1" applyBorder="1" applyAlignment="1">
      <alignment horizontal="left" vertical="center" wrapText="1"/>
    </xf>
    <xf numFmtId="49" fontId="4" fillId="0" borderId="9" xfId="4" applyNumberFormat="1" applyFont="1" applyBorder="1" applyAlignment="1">
      <alignment horizontal="left" vertical="center" wrapText="1"/>
    </xf>
    <xf numFmtId="164" fontId="4" fillId="0" borderId="10" xfId="4" applyNumberFormat="1" applyFont="1" applyBorder="1" applyAlignment="1">
      <alignment horizontal="center"/>
    </xf>
    <xf numFmtId="0" fontId="4" fillId="0" borderId="3" xfId="4" applyFont="1" applyBorder="1" applyAlignment="1">
      <alignment wrapText="1"/>
    </xf>
    <xf numFmtId="0" fontId="4" fillId="0" borderId="12" xfId="4" applyFont="1" applyBorder="1" applyAlignment="1">
      <alignment wrapText="1"/>
    </xf>
    <xf numFmtId="0" fontId="4" fillId="0" borderId="4" xfId="4" applyFont="1" applyBorder="1" applyAlignment="1">
      <alignment horizontal="left" vertical="center" wrapText="1"/>
    </xf>
    <xf numFmtId="0" fontId="4" fillId="0" borderId="2" xfId="4" applyFont="1" applyBorder="1" applyAlignment="1">
      <alignment horizontal="left" vertical="top" wrapText="1"/>
    </xf>
    <xf numFmtId="0" fontId="4" fillId="0" borderId="10" xfId="4" applyFont="1" applyBorder="1" applyAlignment="1">
      <alignment horizontal="left" vertical="top" wrapText="1"/>
    </xf>
    <xf numFmtId="0" fontId="6" fillId="0" borderId="0" xfId="4" applyFont="1" applyAlignment="1">
      <alignment horizontal="left" wrapText="1"/>
    </xf>
    <xf numFmtId="0" fontId="6" fillId="0" borderId="0" xfId="4" applyFont="1"/>
    <xf numFmtId="9" fontId="6" fillId="0" borderId="0" xfId="4" applyNumberFormat="1" applyFont="1" applyAlignment="1">
      <alignment horizontal="center" wrapText="1"/>
    </xf>
    <xf numFmtId="0" fontId="6" fillId="0" borderId="0" xfId="4" applyFont="1" applyAlignment="1">
      <alignment horizontal="center"/>
    </xf>
    <xf numFmtId="169" fontId="6" fillId="0" borderId="0" xfId="4" applyNumberFormat="1" applyFont="1" applyAlignment="1">
      <alignment horizontal="left" vertical="top"/>
    </xf>
    <xf numFmtId="17" fontId="7" fillId="0" borderId="0" xfId="4" applyNumberFormat="1" applyFont="1" applyAlignment="1">
      <alignment horizontal="center"/>
    </xf>
    <xf numFmtId="0" fontId="15" fillId="0" borderId="0" xfId="4" applyFont="1" applyAlignment="1">
      <alignment horizontal="center"/>
    </xf>
    <xf numFmtId="0" fontId="18" fillId="0" borderId="0" xfId="6"/>
    <xf numFmtId="0" fontId="19" fillId="0" borderId="0" xfId="6" applyFont="1"/>
    <xf numFmtId="0" fontId="20" fillId="0" borderId="13" xfId="7" applyBorder="1" applyAlignment="1"/>
    <xf numFmtId="0" fontId="20" fillId="0" borderId="7" xfId="7" applyBorder="1" applyAlignment="1"/>
    <xf numFmtId="0" fontId="20" fillId="0" borderId="14" xfId="7" applyBorder="1" applyAlignment="1"/>
    <xf numFmtId="10" fontId="19" fillId="3" borderId="15" xfId="8" applyNumberFormat="1" applyFont="1" applyFill="1" applyBorder="1" applyAlignment="1">
      <alignment horizontal="center"/>
    </xf>
    <xf numFmtId="0" fontId="19" fillId="3" borderId="0" xfId="7" applyFont="1" applyFill="1" applyAlignment="1">
      <alignment horizontal="right"/>
    </xf>
    <xf numFmtId="0" fontId="20" fillId="0" borderId="0" xfId="7" applyAlignment="1"/>
    <xf numFmtId="0" fontId="20" fillId="0" borderId="16" xfId="7" applyBorder="1" applyAlignment="1"/>
    <xf numFmtId="0" fontId="20" fillId="0" borderId="15" xfId="7" applyBorder="1" applyAlignment="1">
      <alignment horizontal="center"/>
    </xf>
    <xf numFmtId="170" fontId="20" fillId="0" borderId="15" xfId="7" applyNumberFormat="1" applyBorder="1" applyAlignment="1">
      <alignment horizontal="center"/>
    </xf>
    <xf numFmtId="170" fontId="18" fillId="0" borderId="17" xfId="9" applyNumberFormat="1" applyBorder="1" applyAlignment="1"/>
    <xf numFmtId="0" fontId="20" fillId="0" borderId="0" xfId="7" applyAlignment="1">
      <alignment horizontal="right"/>
    </xf>
    <xf numFmtId="0" fontId="20" fillId="0" borderId="16" xfId="7" applyBorder="1" applyAlignment="1">
      <alignment horizontal="right"/>
    </xf>
    <xf numFmtId="0" fontId="20" fillId="0" borderId="0" xfId="7" applyAlignment="1">
      <alignment horizontal="right"/>
    </xf>
    <xf numFmtId="0" fontId="20" fillId="0" borderId="16" xfId="7" applyBorder="1" applyAlignment="1">
      <alignment horizontal="right"/>
    </xf>
    <xf numFmtId="170" fontId="18" fillId="0" borderId="0" xfId="9" applyNumberFormat="1" applyAlignment="1"/>
    <xf numFmtId="170" fontId="18" fillId="0" borderId="18" xfId="9" applyNumberFormat="1" applyBorder="1" applyAlignment="1"/>
    <xf numFmtId="0" fontId="21" fillId="0" borderId="15" xfId="7" applyFont="1" applyBorder="1" applyAlignment="1">
      <alignment horizontal="center"/>
    </xf>
    <xf numFmtId="3" fontId="19" fillId="0" borderId="0" xfId="9" applyFont="1" applyAlignment="1"/>
    <xf numFmtId="0" fontId="20" fillId="0" borderId="15" xfId="7" applyBorder="1" applyAlignment="1"/>
    <xf numFmtId="0" fontId="19" fillId="0" borderId="0" xfId="7" applyFont="1" applyAlignment="1">
      <alignment horizontal="center"/>
    </xf>
    <xf numFmtId="0" fontId="20" fillId="0" borderId="19" xfId="7" applyBorder="1" applyAlignment="1"/>
    <xf numFmtId="0" fontId="20" fillId="0" borderId="20" xfId="7" applyBorder="1" applyAlignment="1"/>
    <xf numFmtId="0" fontId="20" fillId="0" borderId="21" xfId="7" applyBorder="1" applyAlignment="1"/>
    <xf numFmtId="167" fontId="18" fillId="0" borderId="0" xfId="6" applyNumberFormat="1"/>
    <xf numFmtId="0" fontId="22" fillId="0" borderId="0" xfId="7" applyFont="1" applyAlignment="1"/>
    <xf numFmtId="0" fontId="23" fillId="0" borderId="0" xfId="7" applyFont="1" applyAlignment="1"/>
    <xf numFmtId="0" fontId="19" fillId="0" borderId="0" xfId="7" applyFont="1" applyAlignment="1"/>
    <xf numFmtId="170" fontId="18" fillId="0" borderId="0" xfId="6" applyNumberFormat="1"/>
    <xf numFmtId="2" fontId="18" fillId="0" borderId="0" xfId="6" applyNumberFormat="1"/>
    <xf numFmtId="14" fontId="19" fillId="0" borderId="0" xfId="6" applyNumberFormat="1" applyFont="1"/>
    <xf numFmtId="3" fontId="24" fillId="4" borderId="0" xfId="9" applyFont="1" applyFill="1" applyAlignment="1">
      <alignment horizontal="center"/>
    </xf>
    <xf numFmtId="3" fontId="24" fillId="5" borderId="0" xfId="9" applyFont="1" applyFill="1" applyAlignment="1">
      <alignment horizontal="center"/>
    </xf>
    <xf numFmtId="3" fontId="24" fillId="6" borderId="0" xfId="9" applyFont="1" applyFill="1" applyAlignment="1">
      <alignment horizontal="center"/>
    </xf>
    <xf numFmtId="0" fontId="24" fillId="7" borderId="0" xfId="10" applyFont="1" applyFill="1"/>
    <xf numFmtId="0" fontId="24" fillId="0" borderId="0" xfId="10" applyFont="1"/>
    <xf numFmtId="0" fontId="19" fillId="8" borderId="1" xfId="6" applyFont="1" applyFill="1" applyBorder="1"/>
    <xf numFmtId="0" fontId="25" fillId="8" borderId="2" xfId="6" applyFont="1" applyFill="1" applyBorder="1"/>
    <xf numFmtId="0" fontId="19" fillId="8" borderId="4" xfId="6" applyFont="1" applyFill="1" applyBorder="1"/>
    <xf numFmtId="0" fontId="26" fillId="8" borderId="0" xfId="6" applyFont="1" applyFill="1"/>
    <xf numFmtId="0" fontId="11" fillId="8" borderId="9" xfId="6" applyFont="1" applyFill="1" applyBorder="1" applyAlignment="1">
      <alignment horizontal="left"/>
    </xf>
    <xf numFmtId="0" fontId="11" fillId="8" borderId="10" xfId="6" applyFont="1" applyFill="1" applyBorder="1" applyAlignment="1">
      <alignment horizontal="left"/>
    </xf>
    <xf numFmtId="44" fontId="0" fillId="0" borderId="0" xfId="2" applyFont="1" applyFill="1"/>
    <xf numFmtId="44" fontId="0" fillId="0" borderId="0" xfId="2" applyFont="1"/>
    <xf numFmtId="44" fontId="0" fillId="0" borderId="17" xfId="2" applyFont="1" applyFill="1" applyBorder="1"/>
    <xf numFmtId="44" fontId="0" fillId="0" borderId="17" xfId="2" applyFont="1" applyBorder="1"/>
    <xf numFmtId="0" fontId="0" fillId="0" borderId="17" xfId="0" applyBorder="1"/>
    <xf numFmtId="0" fontId="0" fillId="9" borderId="17" xfId="0" applyFill="1" applyBorder="1"/>
    <xf numFmtId="171" fontId="0" fillId="0" borderId="17" xfId="2" applyNumberFormat="1" applyFont="1" applyFill="1" applyBorder="1"/>
    <xf numFmtId="44" fontId="27" fillId="10" borderId="17" xfId="2" applyFont="1" applyFill="1" applyBorder="1" applyAlignment="1">
      <alignment horizontal="center" vertical="center" wrapText="1"/>
    </xf>
    <xf numFmtId="172" fontId="27" fillId="10" borderId="17" xfId="0" applyNumberFormat="1" applyFont="1" applyFill="1" applyBorder="1" applyAlignment="1">
      <alignment horizontal="center" vertical="center" wrapText="1"/>
    </xf>
    <xf numFmtId="0" fontId="27" fillId="0" borderId="17" xfId="0" applyFont="1" applyBorder="1" applyAlignment="1">
      <alignment horizontal="center" vertical="center"/>
    </xf>
    <xf numFmtId="0" fontId="0" fillId="10" borderId="17" xfId="0" applyFill="1" applyBorder="1"/>
    <xf numFmtId="0" fontId="27" fillId="10" borderId="17" xfId="0" applyFont="1" applyFill="1" applyBorder="1" applyAlignment="1">
      <alignment horizontal="center" vertical="center"/>
    </xf>
    <xf numFmtId="172" fontId="27" fillId="10" borderId="17" xfId="0" applyNumberFormat="1" applyFont="1" applyFill="1" applyBorder="1" applyAlignment="1">
      <alignment horizontal="center" vertical="center"/>
    </xf>
    <xf numFmtId="44" fontId="27" fillId="10" borderId="17" xfId="2" applyFont="1" applyFill="1" applyBorder="1" applyAlignment="1">
      <alignment horizontal="center" vertical="center"/>
    </xf>
    <xf numFmtId="167" fontId="27" fillId="10" borderId="17" xfId="0" applyNumberFormat="1" applyFont="1" applyFill="1" applyBorder="1" applyAlignment="1">
      <alignment vertical="center"/>
    </xf>
    <xf numFmtId="167" fontId="27" fillId="10" borderId="17" xfId="0" applyNumberFormat="1" applyFont="1" applyFill="1" applyBorder="1" applyAlignment="1">
      <alignment horizontal="center" vertical="center"/>
    </xf>
    <xf numFmtId="167" fontId="28" fillId="10" borderId="17" xfId="0" applyNumberFormat="1" applyFont="1" applyFill="1" applyBorder="1" applyAlignment="1">
      <alignment horizontal="center" vertical="center"/>
    </xf>
    <xf numFmtId="44" fontId="29" fillId="0" borderId="17" xfId="2" applyFont="1" applyFill="1" applyBorder="1"/>
    <xf numFmtId="0" fontId="30" fillId="10" borderId="17" xfId="0" applyFont="1" applyFill="1" applyBorder="1" applyAlignment="1">
      <alignment horizontal="center"/>
    </xf>
    <xf numFmtId="0" fontId="31" fillId="10" borderId="17" xfId="0" applyFont="1" applyFill="1" applyBorder="1" applyAlignment="1">
      <alignment horizontal="center"/>
    </xf>
    <xf numFmtId="44" fontId="32" fillId="0" borderId="17" xfId="2" applyFont="1" applyFill="1" applyBorder="1" applyAlignment="1">
      <alignment horizontal="center" vertical="center" wrapText="1"/>
    </xf>
    <xf numFmtId="44" fontId="32" fillId="11" borderId="17" xfId="2" applyFont="1" applyFill="1" applyBorder="1" applyAlignment="1">
      <alignment horizontal="center" vertical="center" wrapText="1"/>
    </xf>
    <xf numFmtId="172" fontId="33" fillId="11" borderId="17" xfId="0" applyNumberFormat="1" applyFont="1" applyFill="1" applyBorder="1" applyAlignment="1">
      <alignment horizontal="center" vertical="center" wrapText="1"/>
    </xf>
    <xf numFmtId="167" fontId="33" fillId="11" borderId="17" xfId="0" applyNumberFormat="1" applyFont="1" applyFill="1" applyBorder="1" applyAlignment="1">
      <alignment horizontal="center" vertical="center" wrapText="1"/>
    </xf>
    <xf numFmtId="0" fontId="33" fillId="11" borderId="17" xfId="0" applyFont="1" applyFill="1" applyBorder="1" applyAlignment="1">
      <alignment horizontal="center" vertical="center" wrapText="1"/>
    </xf>
    <xf numFmtId="10" fontId="0" fillId="0" borderId="1" xfId="0" applyNumberFormat="1" applyBorder="1"/>
    <xf numFmtId="0" fontId="0" fillId="0" borderId="3" xfId="0" applyBorder="1"/>
    <xf numFmtId="0" fontId="0" fillId="0" borderId="9" xfId="0" applyBorder="1" applyAlignment="1">
      <alignment horizontal="center"/>
    </xf>
    <xf numFmtId="0" fontId="0" fillId="0" borderId="12" xfId="0" applyBorder="1" applyAlignment="1">
      <alignment horizontal="center"/>
    </xf>
    <xf numFmtId="10" fontId="34" fillId="0" borderId="22" xfId="3" applyNumberFormat="1" applyFont="1" applyBorder="1"/>
    <xf numFmtId="0" fontId="35" fillId="10" borderId="3" xfId="0" applyFont="1" applyFill="1" applyBorder="1"/>
    <xf numFmtId="10" fontId="36" fillId="0" borderId="23" xfId="3" applyNumberFormat="1" applyFont="1" applyBorder="1"/>
    <xf numFmtId="0" fontId="36" fillId="0" borderId="5" xfId="0" applyFont="1" applyBorder="1" applyAlignment="1">
      <alignment horizontal="left"/>
    </xf>
    <xf numFmtId="10" fontId="36" fillId="0" borderId="24" xfId="3" applyNumberFormat="1" applyFont="1" applyBorder="1"/>
    <xf numFmtId="0" fontId="36" fillId="0" borderId="12" xfId="0" applyFont="1" applyBorder="1" applyAlignment="1">
      <alignment horizontal="left"/>
    </xf>
    <xf numFmtId="10" fontId="34" fillId="3" borderId="22" xfId="3" applyNumberFormat="1" applyFont="1" applyFill="1" applyBorder="1"/>
    <xf numFmtId="171" fontId="37" fillId="0" borderId="1" xfId="2" applyNumberFormat="1" applyFont="1" applyBorder="1"/>
    <xf numFmtId="0" fontId="0" fillId="0" borderId="22" xfId="0" applyBorder="1"/>
    <xf numFmtId="0" fontId="37" fillId="0" borderId="2" xfId="11" applyFont="1" applyBorder="1"/>
    <xf numFmtId="171" fontId="37" fillId="0" borderId="4" xfId="2" applyNumberFormat="1" applyFont="1" applyBorder="1"/>
    <xf numFmtId="0" fontId="0" fillId="0" borderId="23" xfId="0" applyBorder="1"/>
    <xf numFmtId="0" fontId="37" fillId="0" borderId="0" xfId="11" applyFont="1"/>
    <xf numFmtId="0" fontId="0" fillId="0" borderId="5" xfId="0" applyBorder="1"/>
    <xf numFmtId="44" fontId="1" fillId="0" borderId="4" xfId="2" applyFont="1" applyFill="1" applyBorder="1"/>
    <xf numFmtId="0" fontId="29" fillId="0" borderId="0" xfId="11" applyFont="1"/>
    <xf numFmtId="44" fontId="0" fillId="0" borderId="9" xfId="2" applyFont="1" applyBorder="1"/>
    <xf numFmtId="44" fontId="38" fillId="0" borderId="24" xfId="2" applyFont="1" applyBorder="1"/>
    <xf numFmtId="0" fontId="29" fillId="0" borderId="10" xfId="11" applyFont="1" applyBorder="1"/>
    <xf numFmtId="0" fontId="38" fillId="0" borderId="12" xfId="0" applyFont="1" applyBorder="1"/>
    <xf numFmtId="44" fontId="38" fillId="0" borderId="4" xfId="2" applyFont="1" applyBorder="1"/>
    <xf numFmtId="0" fontId="38" fillId="0" borderId="0" xfId="0" applyFont="1"/>
    <xf numFmtId="0" fontId="38" fillId="0" borderId="5" xfId="0" applyFont="1" applyBorder="1"/>
    <xf numFmtId="44" fontId="1" fillId="0" borderId="4" xfId="2" applyFont="1" applyBorder="1"/>
    <xf numFmtId="0" fontId="29" fillId="0" borderId="5" xfId="0" applyFont="1" applyBorder="1"/>
    <xf numFmtId="0" fontId="0" fillId="12" borderId="25" xfId="0" applyFill="1" applyBorder="1"/>
    <xf numFmtId="0" fontId="0" fillId="12" borderId="26" xfId="0" applyFill="1" applyBorder="1"/>
    <xf numFmtId="0" fontId="0" fillId="12" borderId="27" xfId="0" applyFill="1" applyBorder="1"/>
    <xf numFmtId="0" fontId="0" fillId="0" borderId="28" xfId="0" applyBorder="1" applyAlignment="1">
      <alignment horizontal="center"/>
    </xf>
    <xf numFmtId="0" fontId="0" fillId="0" borderId="18" xfId="0" applyBorder="1" applyAlignment="1">
      <alignment horizontal="center"/>
    </xf>
    <xf numFmtId="10" fontId="0" fillId="0" borderId="17" xfId="0" applyNumberFormat="1" applyBorder="1"/>
    <xf numFmtId="0" fontId="0" fillId="13" borderId="28" xfId="0" applyFill="1" applyBorder="1" applyAlignment="1">
      <alignment horizontal="center"/>
    </xf>
    <xf numFmtId="0" fontId="0" fillId="13" borderId="18" xfId="0" applyFill="1" applyBorder="1" applyAlignment="1">
      <alignment horizontal="center"/>
    </xf>
    <xf numFmtId="0" fontId="0" fillId="13" borderId="17" xfId="0" applyFill="1" applyBorder="1"/>
    <xf numFmtId="0" fontId="0" fillId="14" borderId="28" xfId="0" applyFill="1" applyBorder="1" applyAlignment="1">
      <alignment horizontal="center"/>
    </xf>
    <xf numFmtId="0" fontId="0" fillId="14" borderId="18" xfId="0" applyFill="1" applyBorder="1" applyAlignment="1">
      <alignment horizontal="center"/>
    </xf>
    <xf numFmtId="0" fontId="0" fillId="14" borderId="17" xfId="0" applyFill="1" applyBorder="1"/>
    <xf numFmtId="44" fontId="0" fillId="0" borderId="17" xfId="0" applyNumberFormat="1" applyBorder="1"/>
    <xf numFmtId="0" fontId="3" fillId="0" borderId="28" xfId="0" applyFont="1" applyBorder="1" applyAlignment="1">
      <alignment horizontal="center"/>
    </xf>
    <xf numFmtId="0" fontId="3" fillId="0" borderId="18" xfId="0" applyFont="1" applyBorder="1" applyAlignment="1">
      <alignment horizontal="center"/>
    </xf>
    <xf numFmtId="0" fontId="3" fillId="0" borderId="29" xfId="0" applyFont="1" applyBorder="1" applyAlignment="1">
      <alignment horizontal="center" vertical="center"/>
    </xf>
    <xf numFmtId="0" fontId="3" fillId="0" borderId="17" xfId="0" applyFont="1" applyBorder="1" applyAlignment="1">
      <alignment horizontal="center" vertical="center"/>
    </xf>
    <xf numFmtId="2" fontId="0" fillId="0" borderId="17" xfId="0" applyNumberFormat="1" applyBorder="1" applyAlignment="1">
      <alignment horizontal="center"/>
    </xf>
    <xf numFmtId="44" fontId="0" fillId="0" borderId="17" xfId="2" applyFont="1" applyBorder="1" applyAlignment="1">
      <alignment horizontal="center" vertical="center"/>
    </xf>
    <xf numFmtId="0" fontId="29" fillId="0" borderId="16" xfId="0" applyFont="1" applyBorder="1"/>
    <xf numFmtId="2" fontId="29" fillId="0" borderId="17" xfId="0" applyNumberFormat="1" applyFont="1" applyBorder="1" applyAlignment="1">
      <alignment horizontal="center"/>
    </xf>
    <xf numFmtId="167" fontId="29" fillId="0" borderId="17" xfId="0" applyNumberFormat="1" applyFont="1" applyBorder="1"/>
    <xf numFmtId="0" fontId="0" fillId="0" borderId="17" xfId="0" applyBorder="1" applyAlignment="1">
      <alignment horizontal="left" vertical="center"/>
    </xf>
    <xf numFmtId="0" fontId="29" fillId="0" borderId="17" xfId="0" applyFont="1" applyBorder="1"/>
    <xf numFmtId="0" fontId="3" fillId="0" borderId="17" xfId="0" applyFont="1" applyBorder="1" applyAlignment="1">
      <alignment horizontal="center" vertical="center" wrapText="1"/>
    </xf>
    <xf numFmtId="168" fontId="39" fillId="0" borderId="17" xfId="12" applyNumberFormat="1" applyFont="1" applyBorder="1" applyAlignment="1">
      <alignment horizontal="center" vertical="center"/>
    </xf>
    <xf numFmtId="0" fontId="40" fillId="0" borderId="30" xfId="0" applyFont="1" applyBorder="1" applyAlignment="1">
      <alignment horizontal="center"/>
    </xf>
    <xf numFmtId="0" fontId="40" fillId="0" borderId="5" xfId="0" applyFont="1" applyBorder="1" applyAlignment="1">
      <alignment horizontal="center"/>
    </xf>
    <xf numFmtId="0" fontId="40" fillId="0" borderId="4" xfId="0" applyFont="1" applyBorder="1" applyAlignment="1">
      <alignment horizontal="center"/>
    </xf>
    <xf numFmtId="0" fontId="40" fillId="0" borderId="16" xfId="0" applyFont="1" applyBorder="1" applyAlignment="1">
      <alignment horizontal="center"/>
    </xf>
    <xf numFmtId="0" fontId="0" fillId="0" borderId="26" xfId="0" applyBorder="1" applyAlignment="1">
      <alignment horizontal="center"/>
    </xf>
    <xf numFmtId="0" fontId="15" fillId="12" borderId="27" xfId="0" applyFont="1" applyFill="1" applyBorder="1" applyAlignment="1">
      <alignment horizontal="center"/>
    </xf>
    <xf numFmtId="2" fontId="0" fillId="14" borderId="17" xfId="0" applyNumberFormat="1" applyFill="1" applyBorder="1" applyAlignment="1">
      <alignment horizontal="center"/>
    </xf>
    <xf numFmtId="44" fontId="0" fillId="14" borderId="17" xfId="2" applyFont="1" applyFill="1" applyBorder="1" applyAlignment="1">
      <alignment horizontal="center" vertical="center"/>
    </xf>
    <xf numFmtId="167" fontId="29" fillId="14" borderId="17" xfId="0" applyNumberFormat="1" applyFont="1" applyFill="1" applyBorder="1"/>
    <xf numFmtId="168" fontId="29" fillId="0" borderId="17" xfId="0" applyNumberFormat="1" applyFont="1"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applyAlignment="1">
      <alignment horizontal="center"/>
    </xf>
    <xf numFmtId="0" fontId="0" fillId="0" borderId="17" xfId="0" applyBorder="1" applyAlignment="1">
      <alignment horizontal="center"/>
    </xf>
    <xf numFmtId="0" fontId="0" fillId="0" borderId="36" xfId="0" applyBorder="1"/>
    <xf numFmtId="0" fontId="0" fillId="0" borderId="37" xfId="0" applyBorder="1" applyAlignment="1">
      <alignment horizontal="center"/>
    </xf>
    <xf numFmtId="0" fontId="0" fillId="13" borderId="37" xfId="0" applyFill="1" applyBorder="1"/>
    <xf numFmtId="0" fontId="0" fillId="13" borderId="18" xfId="0" applyFill="1" applyBorder="1"/>
    <xf numFmtId="0" fontId="0" fillId="13" borderId="36" xfId="0" applyFill="1" applyBorder="1"/>
    <xf numFmtId="0" fontId="29" fillId="0" borderId="36" xfId="0" applyFont="1" applyBorder="1"/>
    <xf numFmtId="0" fontId="3" fillId="0" borderId="9"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0" fillId="0" borderId="17" xfId="0" applyBorder="1" applyAlignment="1">
      <alignment horizontal="center"/>
    </xf>
    <xf numFmtId="0" fontId="29" fillId="0" borderId="30" xfId="0" applyFont="1" applyBorder="1"/>
    <xf numFmtId="0" fontId="0" fillId="0" borderId="17" xfId="0" applyBorder="1" applyAlignment="1">
      <alignment horizontal="center" vertical="center"/>
    </xf>
    <xf numFmtId="168" fontId="39" fillId="0" borderId="29" xfId="12" applyNumberFormat="1" applyFont="1" applyBorder="1" applyAlignment="1">
      <alignment horizontal="center" vertical="center"/>
    </xf>
    <xf numFmtId="0" fontId="40" fillId="0" borderId="0" xfId="0" applyFont="1" applyAlignment="1">
      <alignment horizontal="center"/>
    </xf>
    <xf numFmtId="0" fontId="0" fillId="0" borderId="25" xfId="0" applyBorder="1"/>
    <xf numFmtId="0" fontId="0" fillId="14" borderId="18" xfId="0" applyFill="1" applyBorder="1"/>
    <xf numFmtId="0" fontId="0" fillId="14" borderId="30" xfId="0" applyFill="1" applyBorder="1"/>
    <xf numFmtId="0" fontId="0" fillId="0" borderId="0" xfId="0" applyAlignment="1">
      <alignment horizontal="center"/>
    </xf>
    <xf numFmtId="1" fontId="29" fillId="0" borderId="0" xfId="6" applyNumberFormat="1" applyFont="1" applyAlignment="1">
      <alignment horizontal="center"/>
    </xf>
    <xf numFmtId="2" fontId="29" fillId="0" borderId="0" xfId="6" applyNumberFormat="1" applyFont="1" applyAlignment="1">
      <alignment horizontal="center"/>
    </xf>
    <xf numFmtId="2" fontId="0" fillId="0" borderId="41" xfId="0" applyNumberFormat="1" applyBorder="1" applyAlignment="1">
      <alignment horizontal="center"/>
    </xf>
    <xf numFmtId="0" fontId="29" fillId="0" borderId="0" xfId="6" applyFont="1" applyAlignment="1">
      <alignment horizontal="center"/>
    </xf>
    <xf numFmtId="0" fontId="0" fillId="0" borderId="41" xfId="0" applyBorder="1" applyAlignment="1">
      <alignment horizontal="center"/>
    </xf>
    <xf numFmtId="1" fontId="29" fillId="0" borderId="17" xfId="6" applyNumberFormat="1" applyFont="1" applyBorder="1" applyAlignment="1">
      <alignment horizontal="center"/>
    </xf>
    <xf numFmtId="167" fontId="29" fillId="0" borderId="17" xfId="6" applyNumberFormat="1" applyFont="1" applyBorder="1" applyAlignment="1">
      <alignment horizontal="center"/>
    </xf>
    <xf numFmtId="2" fontId="29" fillId="0" borderId="17" xfId="6" applyNumberFormat="1" applyFont="1" applyBorder="1" applyAlignment="1">
      <alignment horizontal="center"/>
    </xf>
    <xf numFmtId="0" fontId="3" fillId="0" borderId="0" xfId="0" applyFont="1" applyAlignment="1">
      <alignment horizontal="center" vertical="center" wrapText="1"/>
    </xf>
    <xf numFmtId="0" fontId="3" fillId="15" borderId="18" xfId="0" applyFont="1" applyFill="1" applyBorder="1" applyAlignment="1">
      <alignment horizontal="center" vertical="center" wrapText="1"/>
    </xf>
    <xf numFmtId="0" fontId="3" fillId="16" borderId="29" xfId="0" applyFont="1" applyFill="1" applyBorder="1" applyAlignment="1">
      <alignment horizontal="center" vertical="center" wrapText="1"/>
    </xf>
    <xf numFmtId="0" fontId="3" fillId="17" borderId="29" xfId="0" applyFont="1" applyFill="1" applyBorder="1" applyAlignment="1">
      <alignment horizontal="center" vertical="center" wrapText="1"/>
    </xf>
    <xf numFmtId="0" fontId="3" fillId="18" borderId="29" xfId="0" applyFont="1" applyFill="1" applyBorder="1" applyAlignment="1">
      <alignment horizontal="center" vertical="center" wrapText="1"/>
    </xf>
    <xf numFmtId="0" fontId="3" fillId="19" borderId="17" xfId="0" applyFont="1" applyFill="1" applyBorder="1" applyAlignment="1">
      <alignment horizontal="center" vertical="center" wrapText="1"/>
    </xf>
    <xf numFmtId="0" fontId="42" fillId="20" borderId="17" xfId="13" applyFont="1" applyFill="1" applyBorder="1" applyAlignment="1">
      <alignment horizontal="center" vertical="center" wrapText="1"/>
    </xf>
    <xf numFmtId="0" fontId="3" fillId="21" borderId="17" xfId="0" applyFont="1" applyFill="1" applyBorder="1" applyAlignment="1">
      <alignment horizontal="center" vertical="center" wrapText="1"/>
    </xf>
    <xf numFmtId="0" fontId="40" fillId="0" borderId="31" xfId="0" applyFont="1" applyBorder="1" applyAlignment="1">
      <alignment horizontal="center" vertical="center"/>
    </xf>
    <xf numFmtId="0" fontId="40" fillId="0" borderId="30" xfId="0" applyFont="1" applyBorder="1" applyAlignment="1">
      <alignment horizontal="center" vertical="center"/>
    </xf>
    <xf numFmtId="0" fontId="40" fillId="0" borderId="30" xfId="0" applyFont="1" applyBorder="1" applyAlignment="1">
      <alignment horizontal="center"/>
    </xf>
    <xf numFmtId="0" fontId="6" fillId="0" borderId="0" xfId="0" applyFont="1" applyAlignment="1">
      <alignment horizontal="center" vertical="center"/>
    </xf>
    <xf numFmtId="0" fontId="0" fillId="21" borderId="25" xfId="0" applyFill="1" applyBorder="1" applyAlignment="1">
      <alignment horizontal="center" vertical="center"/>
    </xf>
    <xf numFmtId="0" fontId="0" fillId="21" borderId="26" xfId="0" applyFill="1" applyBorder="1" applyAlignment="1">
      <alignment horizontal="center" vertical="center"/>
    </xf>
    <xf numFmtId="0" fontId="6" fillId="21" borderId="27" xfId="0" applyFont="1" applyFill="1" applyBorder="1" applyAlignment="1">
      <alignment horizontal="center" vertical="center"/>
    </xf>
    <xf numFmtId="0" fontId="37" fillId="14" borderId="17" xfId="11" applyFont="1" applyFill="1" applyBorder="1" applyAlignment="1">
      <alignment horizontal="center"/>
    </xf>
    <xf numFmtId="0" fontId="3" fillId="0" borderId="17" xfId="0" applyFont="1" applyBorder="1" applyAlignment="1">
      <alignment horizontal="center"/>
    </xf>
    <xf numFmtId="2" fontId="29" fillId="0" borderId="17" xfId="11" applyNumberFormat="1" applyFont="1" applyBorder="1" applyAlignment="1">
      <alignment horizontal="center" vertical="center"/>
    </xf>
    <xf numFmtId="0" fontId="40" fillId="0" borderId="17" xfId="0" applyFont="1" applyBorder="1" applyAlignment="1">
      <alignment horizontal="center" vertical="center"/>
    </xf>
    <xf numFmtId="0" fontId="40" fillId="0" borderId="30" xfId="0" applyFont="1" applyBorder="1" applyAlignment="1">
      <alignment horizontal="center" vertical="center"/>
    </xf>
    <xf numFmtId="0" fontId="40" fillId="0" borderId="30" xfId="0" applyFont="1" applyBorder="1" applyAlignment="1">
      <alignment horizontal="center" vertical="center" wrapText="1"/>
    </xf>
    <xf numFmtId="0" fontId="6" fillId="0" borderId="0" xfId="0" applyFont="1"/>
    <xf numFmtId="0" fontId="6" fillId="18" borderId="9" xfId="0" applyFont="1" applyFill="1" applyBorder="1" applyAlignment="1">
      <alignment horizontal="center"/>
    </xf>
    <xf numFmtId="0" fontId="6" fillId="18" borderId="26" xfId="0" applyFont="1" applyFill="1" applyBorder="1" applyAlignment="1">
      <alignment horizontal="center"/>
    </xf>
    <xf numFmtId="0" fontId="6" fillId="18" borderId="27" xfId="0" applyFont="1" applyFill="1" applyBorder="1" applyAlignment="1">
      <alignment horizontal="center"/>
    </xf>
    <xf numFmtId="1" fontId="42" fillId="0" borderId="0" xfId="6" applyNumberFormat="1" applyFont="1" applyAlignment="1">
      <alignment horizontal="center"/>
    </xf>
    <xf numFmtId="0" fontId="37" fillId="0" borderId="0" xfId="6" applyFont="1" applyAlignment="1">
      <alignment horizontal="left"/>
    </xf>
    <xf numFmtId="167" fontId="42" fillId="0" borderId="0" xfId="6" applyNumberFormat="1" applyFont="1" applyAlignment="1">
      <alignment horizontal="center"/>
    </xf>
    <xf numFmtId="0" fontId="0" fillId="0" borderId="29" xfId="0" applyBorder="1"/>
    <xf numFmtId="0" fontId="42" fillId="0" borderId="0" xfId="6" applyFont="1" applyAlignment="1">
      <alignment horizontal="center"/>
    </xf>
    <xf numFmtId="2" fontId="42" fillId="0" borderId="0" xfId="6" applyNumberFormat="1" applyFont="1" applyAlignment="1">
      <alignment horizontal="center"/>
    </xf>
    <xf numFmtId="0" fontId="3" fillId="0" borderId="19" xfId="0" applyFont="1" applyBorder="1" applyAlignment="1">
      <alignment horizontal="center"/>
    </xf>
    <xf numFmtId="0" fontId="3" fillId="0" borderId="21" xfId="0" applyFont="1" applyBorder="1" applyAlignment="1">
      <alignment horizontal="center"/>
    </xf>
    <xf numFmtId="0" fontId="0" fillId="3" borderId="17" xfId="0" applyFill="1" applyBorder="1" applyAlignment="1">
      <alignment horizontal="center"/>
    </xf>
    <xf numFmtId="1" fontId="29" fillId="3" borderId="17" xfId="6" applyNumberFormat="1" applyFont="1" applyFill="1" applyBorder="1" applyAlignment="1">
      <alignment horizontal="center"/>
    </xf>
    <xf numFmtId="2" fontId="29" fillId="3" borderId="17" xfId="6" applyNumberFormat="1" applyFont="1" applyFill="1" applyBorder="1" applyAlignment="1">
      <alignment horizontal="center"/>
    </xf>
    <xf numFmtId="1" fontId="29" fillId="3" borderId="17" xfId="0" applyNumberFormat="1" applyFont="1" applyFill="1" applyBorder="1" applyAlignment="1">
      <alignment horizontal="center"/>
    </xf>
    <xf numFmtId="2" fontId="29" fillId="3" borderId="17" xfId="0" applyNumberFormat="1" applyFont="1" applyFill="1" applyBorder="1" applyAlignment="1">
      <alignment horizontal="center"/>
    </xf>
    <xf numFmtId="167" fontId="29" fillId="3" borderId="17" xfId="6" applyNumberFormat="1" applyFont="1" applyFill="1" applyBorder="1" applyAlignment="1">
      <alignment horizontal="center"/>
    </xf>
    <xf numFmtId="167" fontId="0" fillId="3" borderId="17" xfId="0" applyNumberFormat="1" applyFill="1" applyBorder="1" applyAlignment="1">
      <alignment horizontal="center"/>
    </xf>
    <xf numFmtId="44" fontId="0" fillId="3" borderId="17" xfId="2" applyFont="1" applyFill="1" applyBorder="1" applyAlignment="1">
      <alignment horizontal="center" vertical="center"/>
    </xf>
    <xf numFmtId="0" fontId="0" fillId="3" borderId="17" xfId="0" applyFill="1" applyBorder="1"/>
    <xf numFmtId="0" fontId="29" fillId="0" borderId="17" xfId="6" applyFont="1" applyBorder="1" applyAlignment="1">
      <alignment horizontal="center"/>
    </xf>
    <xf numFmtId="0" fontId="29" fillId="0" borderId="17" xfId="0" applyFont="1" applyBorder="1" applyAlignment="1">
      <alignment horizontal="center"/>
    </xf>
    <xf numFmtId="44" fontId="0" fillId="0" borderId="17" xfId="2" applyFont="1" applyFill="1" applyBorder="1" applyAlignment="1">
      <alignment horizontal="center" vertical="center"/>
    </xf>
    <xf numFmtId="1" fontId="29" fillId="0" borderId="17" xfId="0" applyNumberFormat="1" applyFont="1" applyBorder="1" applyAlignment="1">
      <alignment horizontal="center"/>
    </xf>
    <xf numFmtId="0" fontId="3" fillId="22" borderId="17" xfId="0" applyFont="1" applyFill="1" applyBorder="1" applyAlignment="1">
      <alignment horizontal="center" vertical="center" wrapText="1"/>
    </xf>
    <xf numFmtId="0" fontId="3" fillId="17" borderId="17" xfId="0" applyFont="1" applyFill="1" applyBorder="1" applyAlignment="1">
      <alignment horizontal="center" vertical="center" wrapText="1"/>
    </xf>
    <xf numFmtId="0" fontId="3" fillId="18" borderId="17" xfId="0" applyFont="1" applyFill="1" applyBorder="1" applyAlignment="1">
      <alignment horizontal="center" vertical="center" wrapText="1"/>
    </xf>
    <xf numFmtId="0" fontId="3" fillId="20" borderId="17" xfId="0" applyFont="1" applyFill="1" applyBorder="1" applyAlignment="1">
      <alignment horizontal="center" vertical="center" wrapText="1"/>
    </xf>
    <xf numFmtId="0" fontId="6" fillId="18" borderId="25" xfId="0" applyFont="1" applyFill="1" applyBorder="1" applyAlignment="1">
      <alignment horizontal="center" vertical="center"/>
    </xf>
    <xf numFmtId="0" fontId="6" fillId="18" borderId="26" xfId="0" applyFont="1" applyFill="1" applyBorder="1" applyAlignment="1">
      <alignment horizontal="center" vertical="center"/>
    </xf>
    <xf numFmtId="0" fontId="6" fillId="18" borderId="27" xfId="0" applyFont="1" applyFill="1" applyBorder="1" applyAlignment="1">
      <alignment horizontal="center" vertical="center"/>
    </xf>
    <xf numFmtId="0" fontId="29" fillId="0" borderId="17" xfId="0" applyFont="1" applyBorder="1" applyAlignment="1">
      <alignment horizontal="center" wrapText="1"/>
    </xf>
    <xf numFmtId="0" fontId="29" fillId="0" borderId="17" xfId="11" applyFont="1" applyBorder="1"/>
    <xf numFmtId="0" fontId="0" fillId="9" borderId="17" xfId="0" applyFill="1" applyBorder="1" applyAlignment="1">
      <alignment horizontal="center"/>
    </xf>
    <xf numFmtId="0" fontId="37" fillId="0" borderId="17" xfId="11" applyFont="1" applyBorder="1" applyAlignment="1">
      <alignment horizontal="left"/>
    </xf>
    <xf numFmtId="44" fontId="0" fillId="14" borderId="17" xfId="2" applyFont="1" applyFill="1" applyBorder="1"/>
    <xf numFmtId="0" fontId="29" fillId="0" borderId="17" xfId="11" applyFont="1" applyBorder="1" applyAlignment="1">
      <alignment horizontal="center" vertical="center"/>
    </xf>
    <xf numFmtId="0" fontId="6" fillId="18" borderId="25" xfId="0" applyFont="1" applyFill="1" applyBorder="1" applyAlignment="1">
      <alignment horizontal="center"/>
    </xf>
    <xf numFmtId="0" fontId="0" fillId="20" borderId="17" xfId="0" applyFill="1" applyBorder="1"/>
    <xf numFmtId="0" fontId="37" fillId="0" borderId="17" xfId="11" applyFont="1" applyBorder="1"/>
    <xf numFmtId="0" fontId="0" fillId="14" borderId="28" xfId="0" applyFill="1" applyBorder="1" applyAlignment="1">
      <alignment horizontal="center"/>
    </xf>
    <xf numFmtId="0" fontId="0" fillId="14" borderId="18" xfId="0" applyFill="1" applyBorder="1" applyAlignment="1">
      <alignment horizontal="center"/>
    </xf>
    <xf numFmtId="0" fontId="0" fillId="14" borderId="28" xfId="0" applyFill="1" applyBorder="1"/>
    <xf numFmtId="0" fontId="42" fillId="0" borderId="0" xfId="11" applyFont="1" applyAlignment="1">
      <alignment horizontal="center"/>
    </xf>
    <xf numFmtId="0" fontId="42" fillId="0" borderId="0" xfId="11" applyFont="1" applyAlignment="1">
      <alignment horizontal="center" vertical="center" wrapText="1"/>
    </xf>
    <xf numFmtId="0" fontId="42" fillId="0" borderId="41" xfId="11" applyFont="1" applyBorder="1" applyAlignment="1">
      <alignment horizontal="center" vertical="center" wrapText="1"/>
    </xf>
    <xf numFmtId="0" fontId="40" fillId="0" borderId="30" xfId="0" applyFont="1" applyBorder="1" applyAlignment="1">
      <alignment horizontal="center" vertical="center" wrapText="1"/>
    </xf>
    <xf numFmtId="0" fontId="0" fillId="0" borderId="28" xfId="0" applyBorder="1" applyAlignment="1">
      <alignment horizontal="center" vertical="center"/>
    </xf>
    <xf numFmtId="0" fontId="0" fillId="0" borderId="18" xfId="0" applyBorder="1" applyAlignment="1">
      <alignment horizontal="center" vertical="center"/>
    </xf>
    <xf numFmtId="0" fontId="0" fillId="13" borderId="17" xfId="0" applyFill="1" applyBorder="1" applyAlignment="1">
      <alignment horizontal="center"/>
    </xf>
    <xf numFmtId="0" fontId="40" fillId="0" borderId="17" xfId="0" applyFont="1" applyBorder="1" applyAlignment="1">
      <alignment vertical="center"/>
    </xf>
    <xf numFmtId="0" fontId="40" fillId="0" borderId="17" xfId="0" applyFont="1" applyBorder="1" applyAlignment="1">
      <alignment horizontal="center"/>
    </xf>
    <xf numFmtId="0" fontId="40" fillId="0" borderId="17" xfId="0" applyFont="1" applyBorder="1" applyAlignment="1">
      <alignment horizontal="center"/>
    </xf>
    <xf numFmtId="0" fontId="6" fillId="20" borderId="9" xfId="0" applyFont="1" applyFill="1" applyBorder="1" applyAlignment="1">
      <alignment horizontal="center"/>
    </xf>
    <xf numFmtId="0" fontId="6" fillId="20" borderId="10" xfId="0" applyFont="1" applyFill="1" applyBorder="1" applyAlignment="1">
      <alignment horizontal="center"/>
    </xf>
    <xf numFmtId="0" fontId="6" fillId="20" borderId="12" xfId="0" applyFont="1" applyFill="1" applyBorder="1" applyAlignment="1">
      <alignment horizontal="center"/>
    </xf>
    <xf numFmtId="0" fontId="6" fillId="18" borderId="10" xfId="0" applyFont="1" applyFill="1" applyBorder="1" applyAlignment="1">
      <alignment horizontal="center"/>
    </xf>
    <xf numFmtId="0" fontId="6" fillId="18" borderId="12" xfId="0" applyFont="1" applyFill="1" applyBorder="1" applyAlignment="1">
      <alignment horizontal="center"/>
    </xf>
    <xf numFmtId="0" fontId="29" fillId="0" borderId="17" xfId="14" applyFont="1" applyBorder="1"/>
    <xf numFmtId="0" fontId="3" fillId="0" borderId="29" xfId="0" applyFont="1" applyBorder="1" applyAlignment="1">
      <alignment horizontal="center" vertical="center" wrapText="1"/>
    </xf>
    <xf numFmtId="0" fontId="42" fillId="0" borderId="0" xfId="0" applyFont="1" applyAlignment="1">
      <alignment vertical="center"/>
    </xf>
    <xf numFmtId="0" fontId="42" fillId="0" borderId="17" xfId="0" applyFont="1" applyBorder="1" applyAlignment="1">
      <alignment vertical="center"/>
    </xf>
    <xf numFmtId="0" fontId="40" fillId="0" borderId="42" xfId="0" applyFont="1" applyBorder="1" applyAlignment="1">
      <alignment horizontal="center" vertical="center"/>
    </xf>
    <xf numFmtId="0" fontId="40" fillId="0" borderId="11" xfId="0" applyFont="1" applyBorder="1" applyAlignment="1">
      <alignment horizontal="center" vertical="center"/>
    </xf>
    <xf numFmtId="0" fontId="40" fillId="0" borderId="43" xfId="0" applyFont="1" applyBorder="1" applyAlignment="1">
      <alignment horizontal="center" vertical="center"/>
    </xf>
    <xf numFmtId="0" fontId="40" fillId="0" borderId="5" xfId="0" applyFont="1" applyBorder="1" applyAlignment="1">
      <alignment horizontal="center"/>
    </xf>
    <xf numFmtId="0" fontId="40" fillId="0" borderId="42" xfId="0" applyFont="1" applyBorder="1" applyAlignment="1">
      <alignment horizontal="center"/>
    </xf>
    <xf numFmtId="0" fontId="40" fillId="0" borderId="43" xfId="0" applyFont="1" applyBorder="1" applyAlignment="1">
      <alignment horizontal="center"/>
    </xf>
    <xf numFmtId="44" fontId="0" fillId="0" borderId="0" xfId="2" applyFont="1" applyBorder="1"/>
    <xf numFmtId="10" fontId="0" fillId="0" borderId="0" xfId="0" applyNumberFormat="1"/>
    <xf numFmtId="0" fontId="0" fillId="23" borderId="28" xfId="0" applyFill="1" applyBorder="1" applyAlignment="1">
      <alignment horizontal="center" vertical="center"/>
    </xf>
    <xf numFmtId="0" fontId="0" fillId="23" borderId="18" xfId="0" applyFill="1" applyBorder="1" applyAlignment="1">
      <alignment horizontal="center" vertical="center"/>
    </xf>
    <xf numFmtId="0" fontId="0" fillId="23" borderId="17" xfId="0" applyFill="1" applyBorder="1"/>
    <xf numFmtId="0" fontId="0" fillId="14" borderId="17" xfId="0" applyFill="1" applyBorder="1" applyAlignment="1">
      <alignment horizontal="center" vertical="center"/>
    </xf>
    <xf numFmtId="44" fontId="0" fillId="14" borderId="17" xfId="0" applyNumberFormat="1" applyFill="1" applyBorder="1"/>
    <xf numFmtId="0" fontId="0" fillId="0" borderId="17" xfId="0" applyBorder="1" applyAlignment="1">
      <alignment horizontal="center" vertical="center"/>
    </xf>
    <xf numFmtId="0" fontId="0" fillId="14" borderId="17" xfId="0" applyFill="1" applyBorder="1" applyAlignment="1">
      <alignment horizontal="center" vertical="center"/>
    </xf>
    <xf numFmtId="0" fontId="29" fillId="14" borderId="29" xfId="0" applyFont="1" applyFill="1" applyBorder="1" applyAlignment="1">
      <alignment horizontal="center" vertical="center"/>
    </xf>
    <xf numFmtId="0" fontId="29" fillId="14" borderId="17" xfId="0" applyFont="1" applyFill="1" applyBorder="1" applyAlignment="1">
      <alignment horizontal="center" vertical="center"/>
    </xf>
    <xf numFmtId="0" fontId="29" fillId="0" borderId="29" xfId="0" applyFont="1" applyBorder="1" applyAlignment="1">
      <alignment horizontal="center" vertical="center"/>
    </xf>
    <xf numFmtId="0" fontId="29" fillId="0" borderId="17" xfId="0" applyFont="1" applyBorder="1" applyAlignment="1">
      <alignment horizontal="center" vertical="center"/>
    </xf>
    <xf numFmtId="2" fontId="29" fillId="0" borderId="17" xfId="0" applyNumberFormat="1" applyFont="1" applyBorder="1" applyAlignment="1">
      <alignment horizontal="center" vertical="center"/>
    </xf>
    <xf numFmtId="0" fontId="29" fillId="0" borderId="17"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28" xfId="0" applyFont="1" applyBorder="1" applyAlignment="1">
      <alignment horizontal="center" vertical="center" wrapText="1"/>
    </xf>
    <xf numFmtId="168" fontId="39" fillId="0" borderId="17" xfId="12" applyNumberFormat="1" applyFont="1" applyBorder="1" applyAlignment="1">
      <alignment horizontal="center" vertical="center"/>
    </xf>
    <xf numFmtId="0" fontId="3" fillId="0" borderId="17" xfId="0" applyFont="1" applyBorder="1" applyAlignment="1">
      <alignment horizontal="center" vertical="center"/>
    </xf>
    <xf numFmtId="0" fontId="43" fillId="0" borderId="30" xfId="0" applyFont="1" applyBorder="1" applyAlignment="1">
      <alignment horizontal="center" wrapText="1"/>
    </xf>
    <xf numFmtId="168" fontId="39" fillId="0" borderId="30" xfId="12" applyNumberFormat="1" applyFont="1" applyBorder="1" applyAlignment="1">
      <alignment horizontal="center" vertical="center"/>
    </xf>
    <xf numFmtId="0" fontId="3" fillId="0" borderId="30" xfId="0" applyFont="1" applyBorder="1" applyAlignment="1">
      <alignment horizontal="center" vertical="center"/>
    </xf>
    <xf numFmtId="0" fontId="6" fillId="18" borderId="25" xfId="0" applyFont="1" applyFill="1" applyBorder="1" applyAlignment="1">
      <alignment horizontal="left"/>
    </xf>
    <xf numFmtId="0" fontId="6" fillId="18" borderId="26" xfId="0" applyFont="1" applyFill="1" applyBorder="1" applyAlignment="1">
      <alignment horizontal="left"/>
    </xf>
    <xf numFmtId="0" fontId="6" fillId="18" borderId="27" xfId="0" applyFont="1" applyFill="1" applyBorder="1" applyAlignment="1">
      <alignment horizontal="left"/>
    </xf>
    <xf numFmtId="0" fontId="0" fillId="14" borderId="17" xfId="0" applyFill="1" applyBorder="1" applyAlignment="1">
      <alignment horizontal="center"/>
    </xf>
    <xf numFmtId="0" fontId="3" fillId="0" borderId="29" xfId="0" applyFont="1" applyBorder="1" applyAlignment="1">
      <alignment horizontal="center"/>
    </xf>
    <xf numFmtId="4" fontId="29" fillId="14" borderId="17" xfId="12" applyNumberFormat="1" applyFont="1" applyFill="1" applyBorder="1" applyAlignment="1">
      <alignment horizontal="center"/>
    </xf>
    <xf numFmtId="4" fontId="29" fillId="0" borderId="17" xfId="12" applyNumberFormat="1" applyFont="1" applyBorder="1" applyAlignment="1">
      <alignment horizontal="center"/>
    </xf>
    <xf numFmtId="0" fontId="3" fillId="0" borderId="17" xfId="0" applyFont="1" applyBorder="1"/>
    <xf numFmtId="0" fontId="40" fillId="0" borderId="24" xfId="0" applyFont="1" applyBorder="1" applyAlignment="1">
      <alignment horizontal="center"/>
    </xf>
    <xf numFmtId="0" fontId="40" fillId="0" borderId="12" xfId="0" applyFont="1" applyBorder="1" applyAlignment="1">
      <alignment horizontal="center"/>
    </xf>
    <xf numFmtId="0" fontId="40" fillId="0" borderId="9" xfId="0" applyFont="1" applyBorder="1" applyAlignment="1">
      <alignment horizontal="center"/>
    </xf>
    <xf numFmtId="0" fontId="40" fillId="0" borderId="12" xfId="0" applyFont="1" applyBorder="1" applyAlignment="1">
      <alignment horizontal="center"/>
    </xf>
    <xf numFmtId="0" fontId="29" fillId="0" borderId="0" xfId="0" applyFont="1"/>
    <xf numFmtId="165" fontId="29" fillId="0" borderId="0" xfId="0" applyNumberFormat="1" applyFont="1"/>
    <xf numFmtId="165" fontId="39" fillId="0" borderId="0" xfId="0" applyNumberFormat="1" applyFont="1"/>
    <xf numFmtId="165" fontId="39" fillId="0" borderId="0" xfId="0" applyNumberFormat="1" applyFont="1" applyAlignment="1">
      <alignment horizontal="center"/>
    </xf>
    <xf numFmtId="165" fontId="39" fillId="0" borderId="0" xfId="0" applyNumberFormat="1" applyFont="1" applyAlignment="1">
      <alignment horizontal="center" wrapText="1"/>
    </xf>
    <xf numFmtId="0" fontId="39" fillId="0" borderId="0" xfId="0" applyFont="1" applyAlignment="1">
      <alignment horizontal="center" wrapText="1"/>
    </xf>
    <xf numFmtId="10" fontId="29" fillId="0" borderId="0" xfId="3" applyNumberFormat="1" applyFont="1" applyFill="1"/>
    <xf numFmtId="171" fontId="39" fillId="0" borderId="0" xfId="0" applyNumberFormat="1" applyFont="1"/>
    <xf numFmtId="164" fontId="39" fillId="0" borderId="0" xfId="0" applyNumberFormat="1" applyFont="1"/>
    <xf numFmtId="44" fontId="29" fillId="0" borderId="0" xfId="2" applyFont="1"/>
    <xf numFmtId="173" fontId="29" fillId="0" borderId="0" xfId="0" applyNumberFormat="1" applyFont="1"/>
    <xf numFmtId="171" fontId="29" fillId="0" borderId="0" xfId="0" applyNumberFormat="1" applyFont="1"/>
    <xf numFmtId="167" fontId="29" fillId="0" borderId="0" xfId="0" applyNumberFormat="1" applyFont="1" applyAlignment="1">
      <alignment horizontal="center"/>
    </xf>
    <xf numFmtId="1" fontId="29" fillId="0" borderId="0" xfId="0" applyNumberFormat="1" applyFont="1" applyAlignment="1">
      <alignment horizontal="center"/>
    </xf>
    <xf numFmtId="44" fontId="29" fillId="0" borderId="0" xfId="0" applyNumberFormat="1" applyFont="1"/>
    <xf numFmtId="0" fontId="29" fillId="0" borderId="0" xfId="0" applyFont="1" applyAlignment="1">
      <alignment horizontal="center" vertical="center" wrapText="1"/>
    </xf>
    <xf numFmtId="0" fontId="29" fillId="0" borderId="0" xfId="0" applyFont="1" applyAlignment="1">
      <alignment horizontal="center" vertical="center"/>
    </xf>
    <xf numFmtId="10" fontId="29" fillId="0" borderId="0" xfId="3" applyNumberFormat="1" applyFont="1" applyFill="1" applyBorder="1"/>
    <xf numFmtId="44" fontId="29" fillId="0" borderId="44" xfId="0" applyNumberFormat="1" applyFont="1" applyBorder="1"/>
    <xf numFmtId="44" fontId="29" fillId="0" borderId="45" xfId="0" applyNumberFormat="1" applyFont="1" applyBorder="1"/>
    <xf numFmtId="44" fontId="29" fillId="0" borderId="46" xfId="0" applyNumberFormat="1" applyFont="1" applyBorder="1"/>
    <xf numFmtId="165" fontId="29" fillId="0" borderId="1" xfId="0" applyNumberFormat="1" applyFont="1" applyBorder="1"/>
    <xf numFmtId="0" fontId="29" fillId="0" borderId="2" xfId="0" applyFont="1" applyBorder="1"/>
    <xf numFmtId="0" fontId="29" fillId="0" borderId="3" xfId="0" applyFont="1" applyBorder="1"/>
    <xf numFmtId="165" fontId="44" fillId="0" borderId="6" xfId="0" applyNumberFormat="1" applyFont="1" applyBorder="1"/>
    <xf numFmtId="0" fontId="44" fillId="0" borderId="7" xfId="0" applyFont="1" applyBorder="1"/>
    <xf numFmtId="0" fontId="44" fillId="0" borderId="8" xfId="0" applyFont="1" applyBorder="1"/>
    <xf numFmtId="165" fontId="29" fillId="0" borderId="6" xfId="0" applyNumberFormat="1" applyFont="1" applyBorder="1"/>
    <xf numFmtId="0" fontId="29" fillId="0" borderId="7" xfId="0" applyFont="1" applyBorder="1"/>
    <xf numFmtId="10" fontId="29" fillId="0" borderId="7" xfId="3" applyNumberFormat="1" applyFont="1" applyBorder="1"/>
    <xf numFmtId="0" fontId="0" fillId="0" borderId="8" xfId="0" applyBorder="1"/>
    <xf numFmtId="165" fontId="29" fillId="0" borderId="47" xfId="0" applyNumberFormat="1" applyFont="1" applyBorder="1"/>
    <xf numFmtId="0" fontId="29" fillId="0" borderId="20" xfId="0" applyFont="1" applyBorder="1"/>
    <xf numFmtId="10" fontId="29" fillId="0" borderId="20" xfId="3" applyNumberFormat="1" applyFont="1" applyBorder="1"/>
    <xf numFmtId="0" fontId="0" fillId="0" borderId="48" xfId="0" applyBorder="1"/>
    <xf numFmtId="165" fontId="44" fillId="0" borderId="47" xfId="0" applyNumberFormat="1" applyFont="1" applyBorder="1"/>
    <xf numFmtId="0" fontId="45" fillId="0" borderId="48" xfId="0" applyFont="1" applyBorder="1"/>
    <xf numFmtId="165" fontId="29" fillId="0" borderId="4" xfId="0" applyNumberFormat="1" applyFont="1" applyBorder="1"/>
    <xf numFmtId="165" fontId="39" fillId="0" borderId="37" xfId="0" applyNumberFormat="1" applyFont="1" applyBorder="1"/>
    <xf numFmtId="0" fontId="29" fillId="0" borderId="41" xfId="0" applyFont="1" applyBorder="1"/>
    <xf numFmtId="0" fontId="3" fillId="0" borderId="49" xfId="0" applyFont="1" applyBorder="1"/>
    <xf numFmtId="44" fontId="29" fillId="0" borderId="7" xfId="2" applyFont="1" applyBorder="1"/>
    <xf numFmtId="0" fontId="29" fillId="0" borderId="8" xfId="0" applyFont="1" applyBorder="1"/>
    <xf numFmtId="44" fontId="29" fillId="0" borderId="0" xfId="2" applyFont="1" applyBorder="1"/>
    <xf numFmtId="165" fontId="29" fillId="14" borderId="4" xfId="0" applyNumberFormat="1" applyFont="1" applyFill="1" applyBorder="1"/>
    <xf numFmtId="0" fontId="29" fillId="14" borderId="0" xfId="0" applyFont="1" applyFill="1"/>
    <xf numFmtId="44" fontId="29" fillId="14" borderId="0" xfId="2" applyFont="1" applyFill="1" applyBorder="1"/>
    <xf numFmtId="0" fontId="29" fillId="14" borderId="5" xfId="0" applyFont="1" applyFill="1" applyBorder="1"/>
    <xf numFmtId="0" fontId="39" fillId="0" borderId="5" xfId="0" applyFont="1" applyBorder="1"/>
    <xf numFmtId="165" fontId="39" fillId="0" borderId="4" xfId="0" applyNumberFormat="1" applyFont="1" applyBorder="1"/>
    <xf numFmtId="0" fontId="3" fillId="0" borderId="5" xfId="0" applyFont="1" applyBorder="1"/>
    <xf numFmtId="0" fontId="39" fillId="0" borderId="0" xfId="0" applyFont="1"/>
    <xf numFmtId="43" fontId="29" fillId="0" borderId="0" xfId="1" applyFont="1"/>
    <xf numFmtId="43" fontId="29" fillId="0" borderId="4" xfId="1" applyFont="1" applyBorder="1"/>
    <xf numFmtId="43" fontId="29" fillId="0" borderId="0" xfId="1" applyFont="1" applyBorder="1"/>
    <xf numFmtId="43" fontId="29" fillId="0" borderId="5" xfId="1" applyFont="1" applyBorder="1"/>
    <xf numFmtId="43" fontId="29" fillId="0" borderId="0" xfId="1" applyFont="1" applyFill="1"/>
    <xf numFmtId="165" fontId="39" fillId="0" borderId="4" xfId="0" applyNumberFormat="1" applyFont="1" applyBorder="1" applyAlignment="1">
      <alignment horizontal="center"/>
    </xf>
    <xf numFmtId="1" fontId="39" fillId="0" borderId="0" xfId="0" applyNumberFormat="1" applyFont="1" applyAlignment="1">
      <alignment horizontal="center"/>
    </xf>
    <xf numFmtId="168" fontId="39" fillId="0" borderId="0" xfId="0" applyNumberFormat="1" applyFont="1" applyAlignment="1">
      <alignment horizontal="center"/>
    </xf>
    <xf numFmtId="0" fontId="39" fillId="24" borderId="9" xfId="0" applyFont="1" applyFill="1" applyBorder="1" applyAlignment="1">
      <alignment horizontal="center" wrapText="1"/>
    </xf>
    <xf numFmtId="0" fontId="39" fillId="24" borderId="10" xfId="0" applyFont="1" applyFill="1" applyBorder="1" applyAlignment="1">
      <alignment horizontal="center" wrapText="1"/>
    </xf>
    <xf numFmtId="0" fontId="39" fillId="24" borderId="12" xfId="0" applyFont="1" applyFill="1" applyBorder="1" applyAlignment="1">
      <alignment horizontal="center" wrapText="1"/>
    </xf>
    <xf numFmtId="171" fontId="39" fillId="3" borderId="1" xfId="0" applyNumberFormat="1" applyFont="1" applyFill="1" applyBorder="1"/>
    <xf numFmtId="0" fontId="29" fillId="0" borderId="2" xfId="0" applyFont="1" applyBorder="1" applyAlignment="1">
      <alignment horizontal="right"/>
    </xf>
    <xf numFmtId="0" fontId="39" fillId="0" borderId="3" xfId="0" applyFont="1" applyBorder="1"/>
    <xf numFmtId="171" fontId="44" fillId="0" borderId="6" xfId="0" applyNumberFormat="1" applyFont="1" applyBorder="1"/>
    <xf numFmtId="171" fontId="29" fillId="0" borderId="4" xfId="0" applyNumberFormat="1" applyFont="1" applyBorder="1"/>
    <xf numFmtId="10" fontId="29" fillId="0" borderId="0" xfId="3" applyNumberFormat="1" applyFont="1" applyFill="1" applyBorder="1" applyAlignment="1">
      <alignment horizontal="center"/>
    </xf>
    <xf numFmtId="10" fontId="29" fillId="0" borderId="7" xfId="3" applyNumberFormat="1" applyFont="1" applyFill="1" applyBorder="1" applyAlignment="1">
      <alignment horizontal="right"/>
    </xf>
    <xf numFmtId="0" fontId="46" fillId="0" borderId="0" xfId="0" applyFont="1"/>
    <xf numFmtId="171" fontId="39" fillId="0" borderId="4" xfId="0" applyNumberFormat="1" applyFont="1" applyBorder="1"/>
    <xf numFmtId="0" fontId="39" fillId="0" borderId="0" xfId="0" applyFont="1" applyAlignment="1">
      <alignment horizontal="center"/>
    </xf>
    <xf numFmtId="0" fontId="39" fillId="0" borderId="0" xfId="0" applyFont="1" applyAlignment="1">
      <alignment horizontal="right"/>
    </xf>
    <xf numFmtId="171" fontId="29" fillId="0" borderId="6" xfId="0" applyNumberFormat="1" applyFont="1" applyBorder="1"/>
    <xf numFmtId="10" fontId="29" fillId="0" borderId="7" xfId="3" applyNumberFormat="1" applyFont="1" applyFill="1" applyBorder="1" applyAlignment="1">
      <alignment horizontal="center"/>
    </xf>
    <xf numFmtId="0" fontId="46" fillId="0" borderId="7" xfId="0" applyFont="1" applyBorder="1"/>
    <xf numFmtId="40" fontId="29" fillId="17" borderId="0" xfId="3" applyNumberFormat="1" applyFont="1" applyFill="1" applyBorder="1" applyAlignment="1">
      <alignment horizontal="center"/>
    </xf>
    <xf numFmtId="171" fontId="29" fillId="0" borderId="0" xfId="3" applyNumberFormat="1" applyFont="1" applyFill="1" applyBorder="1" applyAlignment="1">
      <alignment horizontal="center"/>
    </xf>
    <xf numFmtId="0" fontId="29" fillId="0" borderId="0" xfId="15" applyFont="1"/>
    <xf numFmtId="0" fontId="29" fillId="0" borderId="5" xfId="15" applyFont="1" applyBorder="1"/>
    <xf numFmtId="0" fontId="39" fillId="20" borderId="25" xfId="0" applyFont="1" applyFill="1" applyBorder="1" applyAlignment="1">
      <alignment horizontal="center"/>
    </xf>
    <xf numFmtId="0" fontId="39" fillId="20" borderId="26" xfId="0" applyFont="1" applyFill="1" applyBorder="1" applyAlignment="1">
      <alignment horizontal="center"/>
    </xf>
    <xf numFmtId="0" fontId="39" fillId="20" borderId="26" xfId="0" applyFont="1" applyFill="1" applyBorder="1" applyAlignment="1">
      <alignment horizontal="center"/>
    </xf>
    <xf numFmtId="0" fontId="39" fillId="20" borderId="27" xfId="0" applyFont="1" applyFill="1" applyBorder="1" applyAlignment="1">
      <alignment horizontal="center"/>
    </xf>
    <xf numFmtId="3" fontId="29" fillId="0" borderId="0" xfId="15" applyNumberFormat="1" applyFont="1"/>
    <xf numFmtId="0" fontId="37" fillId="0" borderId="0" xfId="15" applyFont="1"/>
    <xf numFmtId="3" fontId="29" fillId="0" borderId="0" xfId="15" applyNumberFormat="1" applyFont="1" applyAlignment="1">
      <alignment horizontal="center"/>
    </xf>
    <xf numFmtId="4" fontId="29" fillId="0" borderId="0" xfId="15" applyNumberFormat="1" applyFont="1" applyAlignment="1">
      <alignment horizontal="center"/>
    </xf>
    <xf numFmtId="3" fontId="29" fillId="0" borderId="0" xfId="16" applyNumberFormat="1" applyFont="1" applyFill="1" applyBorder="1" applyAlignment="1">
      <alignment horizontal="center"/>
    </xf>
    <xf numFmtId="3" fontId="37" fillId="0" borderId="0" xfId="15" applyNumberFormat="1" applyFont="1"/>
    <xf numFmtId="10" fontId="37" fillId="0" borderId="0" xfId="3" applyNumberFormat="1" applyFont="1" applyFill="1" applyBorder="1"/>
    <xf numFmtId="44" fontId="37" fillId="0" borderId="0" xfId="15" applyNumberFormat="1" applyFont="1"/>
    <xf numFmtId="0" fontId="48" fillId="0" borderId="0" xfId="15" applyFont="1"/>
    <xf numFmtId="43" fontId="37" fillId="0" borderId="0" xfId="15" applyNumberFormat="1" applyFont="1"/>
    <xf numFmtId="0" fontId="37" fillId="0" borderId="0" xfId="0" applyFont="1"/>
    <xf numFmtId="174" fontId="37" fillId="0" borderId="0" xfId="1" applyNumberFormat="1" applyFont="1"/>
    <xf numFmtId="44" fontId="42" fillId="0" borderId="0" xfId="17" applyFont="1" applyFill="1" applyBorder="1"/>
    <xf numFmtId="0" fontId="37" fillId="0" borderId="0" xfId="18" applyFont="1"/>
    <xf numFmtId="10" fontId="37" fillId="0" borderId="0" xfId="3" applyNumberFormat="1" applyFont="1"/>
    <xf numFmtId="37" fontId="37" fillId="0" borderId="0" xfId="17" applyNumberFormat="1" applyFont="1" applyFill="1" applyBorder="1" applyAlignment="1">
      <alignment horizontal="center"/>
    </xf>
    <xf numFmtId="44" fontId="37" fillId="0" borderId="0" xfId="2" applyFont="1" applyFill="1" applyBorder="1"/>
    <xf numFmtId="0" fontId="37" fillId="0" borderId="0" xfId="15" applyFont="1" applyAlignment="1">
      <alignment horizontal="right"/>
    </xf>
    <xf numFmtId="44" fontId="42" fillId="3" borderId="50" xfId="17" applyFont="1" applyFill="1" applyBorder="1"/>
    <xf numFmtId="37" fontId="37" fillId="0" borderId="26" xfId="17" applyNumberFormat="1" applyFont="1" applyFill="1" applyBorder="1" applyAlignment="1">
      <alignment horizontal="center"/>
    </xf>
    <xf numFmtId="0" fontId="37" fillId="0" borderId="26" xfId="18" applyFont="1" applyBorder="1"/>
    <xf numFmtId="0" fontId="42" fillId="0" borderId="27" xfId="18" applyFont="1" applyBorder="1"/>
    <xf numFmtId="44" fontId="37" fillId="0" borderId="1" xfId="17" applyFont="1" applyFill="1" applyBorder="1"/>
    <xf numFmtId="44" fontId="37" fillId="0" borderId="2" xfId="17" applyFont="1" applyFill="1" applyBorder="1"/>
    <xf numFmtId="0" fontId="37" fillId="0" borderId="2" xfId="18" applyFont="1" applyBorder="1"/>
    <xf numFmtId="0" fontId="42" fillId="0" borderId="3" xfId="18" applyFont="1" applyBorder="1"/>
    <xf numFmtId="42" fontId="42" fillId="0" borderId="51" xfId="18" applyNumberFormat="1" applyFont="1" applyBorder="1"/>
    <xf numFmtId="6" fontId="39" fillId="10" borderId="52" xfId="19" applyNumberFormat="1" applyFont="1" applyFill="1" applyBorder="1" applyAlignment="1">
      <alignment horizontal="right" wrapText="1"/>
    </xf>
    <xf numFmtId="0" fontId="2" fillId="10" borderId="52" xfId="19" applyFont="1" applyFill="1" applyBorder="1" applyAlignment="1">
      <alignment horizontal="right" wrapText="1"/>
    </xf>
    <xf numFmtId="0" fontId="39" fillId="10" borderId="53" xfId="19" applyFont="1" applyFill="1" applyBorder="1" applyAlignment="1">
      <alignment wrapText="1"/>
    </xf>
    <xf numFmtId="6" fontId="39" fillId="0" borderId="52" xfId="19" applyNumberFormat="1" applyFont="1" applyBorder="1" applyAlignment="1">
      <alignment horizontal="right" wrapText="1"/>
    </xf>
    <xf numFmtId="0" fontId="2" fillId="0" borderId="52" xfId="19" applyFont="1" applyBorder="1" applyAlignment="1">
      <alignment horizontal="right" wrapText="1"/>
    </xf>
    <xf numFmtId="0" fontId="39" fillId="0" borderId="53" xfId="19" applyFont="1" applyBorder="1" applyAlignment="1">
      <alignment wrapText="1"/>
    </xf>
    <xf numFmtId="42" fontId="37" fillId="0" borderId="54" xfId="18" applyNumberFormat="1" applyFont="1" applyBorder="1"/>
    <xf numFmtId="6" fontId="29" fillId="0" borderId="55" xfId="20" applyNumberFormat="1" applyFont="1" applyFill="1" applyBorder="1" applyAlignment="1">
      <alignment horizontal="right" wrapText="1"/>
    </xf>
    <xf numFmtId="10" fontId="29" fillId="0" borderId="55" xfId="19" applyNumberFormat="1" applyFont="1" applyBorder="1" applyAlignment="1">
      <alignment horizontal="right" wrapText="1"/>
    </xf>
    <xf numFmtId="0" fontId="37" fillId="0" borderId="5" xfId="0" applyFont="1" applyBorder="1"/>
    <xf numFmtId="42" fontId="37" fillId="0" borderId="4" xfId="18" applyNumberFormat="1" applyFont="1" applyBorder="1"/>
    <xf numFmtId="6" fontId="29" fillId="0" borderId="0" xfId="20" applyNumberFormat="1" applyFont="1" applyFill="1" applyBorder="1" applyAlignment="1">
      <alignment horizontal="right" wrapText="1"/>
    </xf>
    <xf numFmtId="10" fontId="29" fillId="0" borderId="0" xfId="19" applyNumberFormat="1" applyFont="1" applyAlignment="1">
      <alignment horizontal="right" wrapText="1"/>
    </xf>
    <xf numFmtId="42" fontId="42" fillId="0" borderId="37" xfId="18" applyNumberFormat="1" applyFont="1" applyBorder="1"/>
    <xf numFmtId="6" fontId="39" fillId="0" borderId="41" xfId="20" applyNumberFormat="1" applyFont="1" applyFill="1" applyBorder="1" applyAlignment="1">
      <alignment horizontal="right" wrapText="1"/>
    </xf>
    <xf numFmtId="10" fontId="2" fillId="0" borderId="41" xfId="19" applyNumberFormat="1" applyFont="1" applyBorder="1" applyAlignment="1">
      <alignment horizontal="right" wrapText="1"/>
    </xf>
    <xf numFmtId="0" fontId="39" fillId="0" borderId="49" xfId="19" applyFont="1" applyBorder="1" applyAlignment="1">
      <alignment wrapText="1"/>
    </xf>
    <xf numFmtId="42" fontId="37" fillId="0" borderId="6" xfId="18" applyNumberFormat="1" applyFont="1" applyBorder="1"/>
    <xf numFmtId="44" fontId="37" fillId="0" borderId="7" xfId="18" applyNumberFormat="1" applyFont="1" applyBorder="1"/>
    <xf numFmtId="171" fontId="37" fillId="0" borderId="7" xfId="18" applyNumberFormat="1" applyFont="1" applyBorder="1"/>
    <xf numFmtId="0" fontId="37" fillId="0" borderId="8" xfId="18" applyFont="1" applyBorder="1"/>
    <xf numFmtId="168" fontId="49" fillId="0" borderId="5" xfId="0" applyNumberFormat="1" applyFont="1" applyBorder="1" applyAlignment="1">
      <alignment horizontal="left"/>
    </xf>
    <xf numFmtId="44" fontId="37" fillId="0" borderId="0" xfId="18" applyNumberFormat="1" applyFont="1"/>
    <xf numFmtId="6" fontId="49" fillId="0" borderId="0" xfId="0" applyNumberFormat="1" applyFont="1"/>
    <xf numFmtId="42" fontId="42" fillId="0" borderId="4" xfId="18" applyNumberFormat="1" applyFont="1" applyBorder="1"/>
    <xf numFmtId="44" fontId="42" fillId="0" borderId="0" xfId="18" applyNumberFormat="1" applyFont="1"/>
    <xf numFmtId="6" fontId="36" fillId="0" borderId="0" xfId="0" applyNumberFormat="1" applyFont="1"/>
    <xf numFmtId="168" fontId="36" fillId="0" borderId="5" xfId="0" applyNumberFormat="1" applyFont="1" applyBorder="1" applyAlignment="1">
      <alignment horizontal="left"/>
    </xf>
    <xf numFmtId="42" fontId="37" fillId="14" borderId="4" xfId="18" applyNumberFormat="1" applyFont="1" applyFill="1" applyBorder="1"/>
    <xf numFmtId="44" fontId="37" fillId="14" borderId="0" xfId="18" applyNumberFormat="1" applyFont="1" applyFill="1"/>
    <xf numFmtId="6" fontId="49" fillId="14" borderId="0" xfId="0" applyNumberFormat="1" applyFont="1" applyFill="1"/>
    <xf numFmtId="168" fontId="49" fillId="14" borderId="5" xfId="0" applyNumberFormat="1" applyFont="1" applyFill="1" applyBorder="1" applyAlignment="1">
      <alignment horizontal="left"/>
    </xf>
    <xf numFmtId="3" fontId="42" fillId="0" borderId="56" xfId="15" applyNumberFormat="1" applyFont="1" applyBorder="1" applyAlignment="1">
      <alignment horizontal="center"/>
    </xf>
    <xf numFmtId="0" fontId="37" fillId="0" borderId="57" xfId="15" applyFont="1" applyBorder="1" applyAlignment="1">
      <alignment horizontal="center"/>
    </xf>
    <xf numFmtId="0" fontId="37" fillId="0" borderId="26" xfId="15" applyFont="1" applyBorder="1" applyAlignment="1">
      <alignment horizontal="center"/>
    </xf>
    <xf numFmtId="0" fontId="37" fillId="0" borderId="26" xfId="15" applyFont="1" applyBorder="1"/>
    <xf numFmtId="0" fontId="42" fillId="0" borderId="26" xfId="15" applyFont="1" applyBorder="1"/>
    <xf numFmtId="0" fontId="42" fillId="0" borderId="27" xfId="15" applyFont="1" applyBorder="1"/>
    <xf numFmtId="4" fontId="37" fillId="0" borderId="32" xfId="15" applyNumberFormat="1" applyFont="1" applyBorder="1" applyAlignment="1">
      <alignment horizontal="center"/>
    </xf>
    <xf numFmtId="0" fontId="37" fillId="0" borderId="58" xfId="15" applyFont="1" applyBorder="1" applyAlignment="1">
      <alignment horizontal="center"/>
    </xf>
    <xf numFmtId="0" fontId="37" fillId="0" borderId="58" xfId="15" applyFont="1" applyBorder="1"/>
    <xf numFmtId="0" fontId="37" fillId="0" borderId="59" xfId="15" applyFont="1" applyBorder="1"/>
    <xf numFmtId="3" fontId="42" fillId="0" borderId="60" xfId="16" applyNumberFormat="1" applyFont="1" applyFill="1" applyBorder="1" applyAlignment="1">
      <alignment horizontal="center"/>
    </xf>
    <xf numFmtId="1" fontId="37" fillId="0" borderId="0" xfId="15" applyNumberFormat="1" applyFont="1" applyAlignment="1">
      <alignment horizontal="center"/>
    </xf>
    <xf numFmtId="0" fontId="37" fillId="0" borderId="0" xfId="15" applyFont="1" applyAlignment="1">
      <alignment horizontal="center"/>
    </xf>
    <xf numFmtId="0" fontId="37" fillId="0" borderId="0" xfId="15" applyFont="1" applyAlignment="1">
      <alignment horizontal="left"/>
    </xf>
    <xf numFmtId="0" fontId="42" fillId="0" borderId="0" xfId="15" applyFont="1"/>
    <xf numFmtId="0" fontId="42" fillId="0" borderId="48" xfId="15" applyFont="1" applyBorder="1"/>
    <xf numFmtId="1" fontId="37" fillId="0" borderId="7" xfId="15" applyNumberFormat="1" applyFont="1" applyBorder="1" applyAlignment="1">
      <alignment horizontal="center"/>
    </xf>
    <xf numFmtId="0" fontId="37" fillId="0" borderId="7" xfId="15" applyFont="1" applyBorder="1" applyAlignment="1">
      <alignment horizontal="center"/>
    </xf>
    <xf numFmtId="0" fontId="42" fillId="0" borderId="7" xfId="15" applyFont="1" applyBorder="1" applyAlignment="1">
      <alignment horizontal="center"/>
    </xf>
    <xf numFmtId="0" fontId="42" fillId="0" borderId="8" xfId="15" applyFont="1" applyBorder="1" applyAlignment="1">
      <alignment horizontal="center"/>
    </xf>
    <xf numFmtId="0" fontId="42" fillId="0" borderId="0" xfId="18" applyFont="1"/>
    <xf numFmtId="0" fontId="42" fillId="0" borderId="5" xfId="18" applyFont="1" applyBorder="1"/>
    <xf numFmtId="3" fontId="37" fillId="0" borderId="60" xfId="16" applyNumberFormat="1" applyFont="1" applyFill="1" applyBorder="1" applyAlignment="1">
      <alignment horizontal="center"/>
    </xf>
    <xf numFmtId="0" fontId="37" fillId="0" borderId="30" xfId="15" applyFont="1" applyBorder="1" applyAlignment="1">
      <alignment horizontal="center"/>
    </xf>
    <xf numFmtId="0" fontId="37" fillId="0" borderId="7" xfId="15" applyFont="1" applyBorder="1" applyAlignment="1">
      <alignment horizontal="left"/>
    </xf>
    <xf numFmtId="0" fontId="37" fillId="0" borderId="8" xfId="15" applyFont="1" applyBorder="1" applyAlignment="1">
      <alignment horizontal="left"/>
    </xf>
    <xf numFmtId="42" fontId="42" fillId="0" borderId="54" xfId="18" applyNumberFormat="1" applyFont="1" applyBorder="1"/>
    <xf numFmtId="39" fontId="42" fillId="0" borderId="55" xfId="18" applyNumberFormat="1" applyFont="1" applyBorder="1"/>
    <xf numFmtId="0" fontId="42" fillId="0" borderId="55" xfId="18" applyFont="1" applyBorder="1"/>
    <xf numFmtId="0" fontId="42" fillId="0" borderId="61" xfId="18" applyFont="1" applyBorder="1"/>
    <xf numFmtId="3" fontId="37" fillId="0" borderId="45" xfId="16" applyNumberFormat="1" applyFont="1" applyFill="1" applyBorder="1" applyAlignment="1">
      <alignment horizontal="center"/>
    </xf>
    <xf numFmtId="0" fontId="37" fillId="0" borderId="31" xfId="15" applyFont="1" applyBorder="1" applyAlignment="1">
      <alignment horizontal="center"/>
    </xf>
    <xf numFmtId="0" fontId="37" fillId="0" borderId="5" xfId="15" applyFont="1" applyBorder="1" applyAlignment="1">
      <alignment horizontal="left"/>
    </xf>
    <xf numFmtId="0" fontId="37" fillId="0" borderId="55" xfId="18" applyFont="1" applyBorder="1"/>
    <xf numFmtId="10" fontId="37" fillId="0" borderId="55" xfId="21" applyNumberFormat="1" applyFont="1" applyBorder="1" applyAlignment="1">
      <alignment horizontal="right" wrapText="1"/>
    </xf>
    <xf numFmtId="0" fontId="37" fillId="0" borderId="61" xfId="19" applyFont="1" applyBorder="1" applyAlignment="1">
      <alignment wrapText="1"/>
    </xf>
    <xf numFmtId="1" fontId="37" fillId="0" borderId="15" xfId="15" applyNumberFormat="1" applyFont="1" applyBorder="1" applyAlignment="1">
      <alignment horizontal="center"/>
    </xf>
    <xf numFmtId="4" fontId="42" fillId="0" borderId="0" xfId="18" applyNumberFormat="1" applyFont="1" applyAlignment="1">
      <alignment horizontal="center"/>
    </xf>
    <xf numFmtId="10" fontId="49" fillId="0" borderId="0" xfId="0" applyNumberFormat="1" applyFont="1"/>
    <xf numFmtId="0" fontId="49" fillId="0" borderId="5" xfId="0" applyFont="1" applyBorder="1"/>
    <xf numFmtId="6" fontId="42" fillId="0" borderId="0" xfId="18" applyNumberFormat="1" applyFont="1"/>
    <xf numFmtId="0" fontId="42" fillId="0" borderId="5" xfId="14" applyFont="1" applyBorder="1"/>
    <xf numFmtId="4" fontId="37" fillId="0" borderId="0" xfId="18" applyNumberFormat="1" applyFont="1" applyAlignment="1">
      <alignment horizontal="center"/>
    </xf>
    <xf numFmtId="3" fontId="37" fillId="0" borderId="62" xfId="16" applyNumberFormat="1" applyFont="1" applyFill="1" applyBorder="1" applyAlignment="1">
      <alignment horizontal="center"/>
    </xf>
    <xf numFmtId="1" fontId="37" fillId="0" borderId="19" xfId="15" applyNumberFormat="1" applyFont="1" applyBorder="1" applyAlignment="1">
      <alignment horizontal="center"/>
    </xf>
    <xf numFmtId="0" fontId="37" fillId="0" borderId="29" xfId="15" applyFont="1" applyBorder="1" applyAlignment="1">
      <alignment horizontal="center"/>
    </xf>
    <xf numFmtId="0" fontId="42" fillId="0" borderId="31" xfId="15" applyFont="1" applyBorder="1" applyAlignment="1">
      <alignment horizontal="center"/>
    </xf>
    <xf numFmtId="0" fontId="42" fillId="0" borderId="0" xfId="15" applyFont="1" applyAlignment="1">
      <alignment horizontal="center"/>
    </xf>
    <xf numFmtId="0" fontId="42" fillId="0" borderId="5" xfId="15" applyFont="1" applyBorder="1" applyAlignment="1">
      <alignment horizontal="center"/>
    </xf>
    <xf numFmtId="3" fontId="37" fillId="0" borderId="35" xfId="16" applyNumberFormat="1" applyFont="1" applyFill="1" applyBorder="1" applyAlignment="1">
      <alignment horizontal="center"/>
    </xf>
    <xf numFmtId="1" fontId="37" fillId="0" borderId="41" xfId="15" applyNumberFormat="1" applyFont="1" applyBorder="1" applyAlignment="1">
      <alignment horizontal="center"/>
    </xf>
    <xf numFmtId="0" fontId="37" fillId="0" borderId="28" xfId="15" applyFont="1" applyBorder="1" applyAlignment="1">
      <alignment horizontal="center"/>
    </xf>
    <xf numFmtId="0" fontId="42" fillId="0" borderId="17" xfId="15" applyFont="1" applyBorder="1" applyAlignment="1">
      <alignment horizontal="center"/>
    </xf>
    <xf numFmtId="0" fontId="42" fillId="0" borderId="41" xfId="15" applyFont="1" applyBorder="1" applyAlignment="1">
      <alignment horizontal="center"/>
    </xf>
    <xf numFmtId="0" fontId="42" fillId="0" borderId="49" xfId="15" applyFont="1" applyBorder="1" applyAlignment="1">
      <alignment horizontal="center"/>
    </xf>
    <xf numFmtId="0" fontId="42" fillId="0" borderId="6" xfId="18" applyFont="1" applyBorder="1" applyAlignment="1">
      <alignment horizontal="right"/>
    </xf>
    <xf numFmtId="0" fontId="42" fillId="0" borderId="7" xfId="18" applyFont="1" applyBorder="1" applyAlignment="1">
      <alignment horizontal="center"/>
    </xf>
    <xf numFmtId="0" fontId="42" fillId="0" borderId="8" xfId="18" applyFont="1" applyBorder="1"/>
    <xf numFmtId="3" fontId="42" fillId="12" borderId="63" xfId="15" applyNumberFormat="1" applyFont="1" applyFill="1" applyBorder="1" applyAlignment="1">
      <alignment horizontal="center"/>
    </xf>
    <xf numFmtId="0" fontId="42" fillId="12" borderId="64" xfId="15" applyFont="1" applyFill="1" applyBorder="1" applyAlignment="1">
      <alignment horizontal="center"/>
    </xf>
    <xf numFmtId="0" fontId="42" fillId="12" borderId="10" xfId="15" applyFont="1" applyFill="1" applyBorder="1" applyAlignment="1">
      <alignment horizontal="center"/>
    </xf>
    <xf numFmtId="0" fontId="42" fillId="12" borderId="10" xfId="15" applyFont="1" applyFill="1" applyBorder="1"/>
    <xf numFmtId="0" fontId="42" fillId="12" borderId="12" xfId="15" applyFont="1" applyFill="1" applyBorder="1"/>
    <xf numFmtId="3" fontId="42" fillId="0" borderId="65" xfId="18" applyNumberFormat="1" applyFont="1" applyBorder="1" applyAlignment="1">
      <alignment horizontal="center"/>
    </xf>
    <xf numFmtId="0" fontId="42" fillId="0" borderId="11" xfId="18" applyFont="1" applyBorder="1" applyAlignment="1">
      <alignment horizontal="right"/>
    </xf>
    <xf numFmtId="0" fontId="42" fillId="0" borderId="66" xfId="18" applyFont="1" applyBorder="1"/>
    <xf numFmtId="0" fontId="42" fillId="25" borderId="25" xfId="18" applyFont="1" applyFill="1" applyBorder="1" applyAlignment="1">
      <alignment horizontal="center"/>
    </xf>
    <xf numFmtId="0" fontId="42" fillId="25" borderId="26" xfId="18" applyFont="1" applyFill="1" applyBorder="1" applyAlignment="1">
      <alignment horizontal="center"/>
    </xf>
    <xf numFmtId="0" fontId="42" fillId="25" borderId="27" xfId="18" applyFont="1" applyFill="1" applyBorder="1" applyAlignment="1">
      <alignment horizontal="center"/>
    </xf>
    <xf numFmtId="0" fontId="50" fillId="0" borderId="0" xfId="15" applyFont="1" applyAlignment="1">
      <alignment horizontal="center" vertical="center" wrapText="1"/>
    </xf>
    <xf numFmtId="0" fontId="50" fillId="0" borderId="1" xfId="15" applyFont="1" applyBorder="1" applyAlignment="1">
      <alignment horizontal="center" vertical="center" wrapText="1"/>
    </xf>
    <xf numFmtId="0" fontId="50" fillId="0" borderId="2" xfId="15" applyFont="1" applyBorder="1" applyAlignment="1">
      <alignment horizontal="center" vertical="center" wrapText="1"/>
    </xf>
    <xf numFmtId="0" fontId="50" fillId="0" borderId="3" xfId="15" applyFont="1" applyBorder="1" applyAlignment="1">
      <alignment horizontal="center" vertical="center" wrapText="1"/>
    </xf>
    <xf numFmtId="0" fontId="50" fillId="0" borderId="9" xfId="15" applyFont="1" applyBorder="1" applyAlignment="1">
      <alignment horizontal="center" vertical="center" wrapText="1"/>
    </xf>
    <xf numFmtId="0" fontId="50" fillId="0" borderId="10" xfId="15" applyFont="1" applyBorder="1" applyAlignment="1">
      <alignment horizontal="center" vertical="center" wrapText="1"/>
    </xf>
    <xf numFmtId="0" fontId="50" fillId="0" borderId="12" xfId="15" applyFont="1" applyBorder="1" applyAlignment="1">
      <alignment horizontal="center" vertical="center" wrapText="1"/>
    </xf>
    <xf numFmtId="0" fontId="29" fillId="0" borderId="0" xfId="15" applyFont="1" applyAlignment="1">
      <alignment horizontal="center" vertical="center"/>
    </xf>
    <xf numFmtId="0" fontId="37" fillId="0" borderId="0" xfId="0" applyFont="1" applyAlignment="1">
      <alignment horizontal="center"/>
    </xf>
    <xf numFmtId="4" fontId="37" fillId="0" borderId="0" xfId="0" applyNumberFormat="1" applyFont="1"/>
    <xf numFmtId="2" fontId="37" fillId="0" borderId="0" xfId="0" applyNumberFormat="1" applyFont="1"/>
    <xf numFmtId="10" fontId="37" fillId="0" borderId="0" xfId="3" applyNumberFormat="1" applyFont="1" applyFill="1"/>
    <xf numFmtId="0" fontId="37" fillId="0" borderId="0" xfId="0" applyFont="1" applyAlignment="1">
      <alignment horizontal="left"/>
    </xf>
    <xf numFmtId="3" fontId="42" fillId="0" borderId="0" xfId="0" applyNumberFormat="1" applyFont="1" applyAlignment="1">
      <alignment horizontal="center"/>
    </xf>
    <xf numFmtId="10" fontId="42" fillId="0" borderId="0" xfId="3" applyNumberFormat="1" applyFont="1" applyBorder="1" applyAlignment="1">
      <alignment horizontal="right" wrapText="1"/>
    </xf>
    <xf numFmtId="0" fontId="37" fillId="0" borderId="0" xfId="0" applyFont="1" applyAlignment="1">
      <alignment horizontal="left" wrapText="1"/>
    </xf>
    <xf numFmtId="4" fontId="37" fillId="0" borderId="0" xfId="0" applyNumberFormat="1" applyFont="1" applyAlignment="1">
      <alignment horizontal="center"/>
    </xf>
    <xf numFmtId="0" fontId="49" fillId="0" borderId="0" xfId="0" applyFont="1"/>
    <xf numFmtId="3" fontId="37" fillId="0" borderId="0" xfId="0" applyNumberFormat="1" applyFont="1" applyAlignment="1">
      <alignment horizontal="center"/>
    </xf>
    <xf numFmtId="10" fontId="37" fillId="0" borderId="0" xfId="3" applyNumberFormat="1" applyFont="1" applyBorder="1"/>
    <xf numFmtId="49" fontId="37" fillId="0" borderId="0" xfId="0" applyNumberFormat="1" applyFont="1"/>
    <xf numFmtId="0" fontId="42" fillId="0" borderId="0" xfId="0" applyFont="1" applyAlignment="1">
      <alignment horizontal="center" vertical="center"/>
    </xf>
    <xf numFmtId="0" fontId="42" fillId="0" borderId="0" xfId="0" applyFont="1" applyAlignment="1">
      <alignment horizontal="center"/>
    </xf>
    <xf numFmtId="0" fontId="42" fillId="0" borderId="0" xfId="0" applyFont="1" applyAlignment="1">
      <alignment horizontal="center" wrapText="1"/>
    </xf>
    <xf numFmtId="0" fontId="51" fillId="0" borderId="0" xfId="0" applyFont="1" applyAlignment="1">
      <alignment horizontal="center" vertical="top"/>
    </xf>
    <xf numFmtId="3" fontId="51" fillId="0" borderId="0" xfId="0" applyNumberFormat="1" applyFont="1"/>
    <xf numFmtId="0" fontId="51" fillId="0" borderId="0" xfId="0" applyFont="1" applyAlignment="1">
      <alignment horizontal="right"/>
    </xf>
    <xf numFmtId="174" fontId="37" fillId="0" borderId="0" xfId="1" applyNumberFormat="1" applyFont="1" applyBorder="1" applyAlignment="1">
      <alignment horizontal="right" wrapText="1"/>
    </xf>
    <xf numFmtId="7" fontId="42" fillId="0" borderId="0" xfId="0" applyNumberFormat="1" applyFont="1"/>
    <xf numFmtId="39" fontId="42" fillId="0" borderId="0" xfId="0" applyNumberFormat="1" applyFont="1"/>
    <xf numFmtId="0" fontId="42" fillId="0" borderId="0" xfId="0" applyFont="1"/>
    <xf numFmtId="7" fontId="37" fillId="0" borderId="0" xfId="0" applyNumberFormat="1" applyFont="1"/>
    <xf numFmtId="0" fontId="42" fillId="0" borderId="10" xfId="0" applyFont="1" applyBorder="1" applyAlignment="1">
      <alignment horizontal="center"/>
    </xf>
    <xf numFmtId="0" fontId="42" fillId="0" borderId="0" xfId="0" applyFont="1" applyAlignment="1">
      <alignment horizontal="center"/>
    </xf>
    <xf numFmtId="7" fontId="42" fillId="3" borderId="67" xfId="0" applyNumberFormat="1" applyFont="1" applyFill="1" applyBorder="1"/>
    <xf numFmtId="39" fontId="42" fillId="0" borderId="58" xfId="0" applyNumberFormat="1" applyFont="1" applyBorder="1"/>
    <xf numFmtId="0" fontId="42" fillId="0" borderId="58" xfId="0" applyFont="1" applyBorder="1"/>
    <xf numFmtId="0" fontId="42" fillId="0" borderId="59" xfId="0" applyFont="1" applyBorder="1"/>
    <xf numFmtId="7" fontId="42" fillId="18" borderId="4" xfId="0" applyNumberFormat="1" applyFont="1" applyFill="1" applyBorder="1"/>
    <xf numFmtId="0" fontId="42" fillId="0" borderId="5" xfId="0" applyFont="1" applyBorder="1"/>
    <xf numFmtId="6" fontId="42" fillId="0" borderId="47" xfId="0" applyNumberFormat="1" applyFont="1" applyBorder="1"/>
    <xf numFmtId="6" fontId="39" fillId="0" borderId="20" xfId="19" applyNumberFormat="1" applyFont="1" applyBorder="1" applyAlignment="1">
      <alignment horizontal="right" wrapText="1"/>
    </xf>
    <xf numFmtId="0" fontId="2" fillId="0" borderId="20" xfId="19" applyFont="1" applyBorder="1" applyAlignment="1">
      <alignment horizontal="right" wrapText="1"/>
    </xf>
    <xf numFmtId="0" fontId="39" fillId="0" borderId="48" xfId="19" applyFont="1" applyBorder="1" applyAlignment="1">
      <alignment wrapText="1"/>
    </xf>
    <xf numFmtId="6" fontId="37" fillId="0" borderId="6" xfId="0" applyNumberFormat="1" applyFont="1" applyBorder="1"/>
    <xf numFmtId="6" fontId="29" fillId="0" borderId="7" xfId="20" applyNumberFormat="1" applyFont="1" applyFill="1" applyBorder="1" applyAlignment="1">
      <alignment horizontal="right" wrapText="1"/>
    </xf>
    <xf numFmtId="10" fontId="49" fillId="0" borderId="7" xfId="0" applyNumberFormat="1" applyFont="1" applyBorder="1"/>
    <xf numFmtId="171" fontId="37" fillId="0" borderId="0" xfId="2" applyNumberFormat="1" applyFont="1" applyFill="1"/>
    <xf numFmtId="6" fontId="37" fillId="0" borderId="47" xfId="0" applyNumberFormat="1" applyFont="1" applyBorder="1"/>
    <xf numFmtId="6" fontId="29" fillId="0" borderId="20" xfId="20" applyNumberFormat="1" applyFont="1" applyFill="1" applyBorder="1" applyAlignment="1">
      <alignment horizontal="right" wrapText="1"/>
    </xf>
    <xf numFmtId="10" fontId="49" fillId="0" borderId="20" xfId="0" applyNumberFormat="1" applyFont="1" applyBorder="1"/>
    <xf numFmtId="6" fontId="42" fillId="0" borderId="37" xfId="0" applyNumberFormat="1" applyFont="1" applyBorder="1"/>
    <xf numFmtId="0" fontId="44" fillId="0" borderId="49" xfId="19" applyFont="1" applyBorder="1" applyAlignment="1">
      <alignment wrapText="1"/>
    </xf>
    <xf numFmtId="6" fontId="49" fillId="0" borderId="4" xfId="0" applyNumberFormat="1" applyFont="1" applyBorder="1"/>
    <xf numFmtId="37" fontId="37" fillId="0" borderId="0" xfId="0" applyNumberFormat="1" applyFont="1"/>
    <xf numFmtId="0" fontId="42" fillId="0" borderId="0" xfId="0" applyFont="1" applyAlignment="1">
      <alignment wrapText="1"/>
    </xf>
    <xf numFmtId="6" fontId="36" fillId="0" borderId="6" xfId="0" applyNumberFormat="1" applyFont="1" applyBorder="1"/>
    <xf numFmtId="37" fontId="37" fillId="0" borderId="7" xfId="0" applyNumberFormat="1" applyFont="1" applyBorder="1"/>
    <xf numFmtId="10" fontId="37" fillId="0" borderId="7" xfId="3" applyNumberFormat="1" applyFont="1" applyBorder="1"/>
    <xf numFmtId="168" fontId="36" fillId="0" borderId="8" xfId="0" applyNumberFormat="1" applyFont="1" applyBorder="1" applyAlignment="1">
      <alignment horizontal="left"/>
    </xf>
    <xf numFmtId="10" fontId="37" fillId="0" borderId="7" xfId="3" applyNumberFormat="1" applyFont="1" applyFill="1" applyBorder="1"/>
    <xf numFmtId="3" fontId="42" fillId="0" borderId="56" xfId="0" applyNumberFormat="1" applyFont="1" applyBorder="1" applyAlignment="1">
      <alignment horizontal="center"/>
    </xf>
    <xf numFmtId="3" fontId="42" fillId="0" borderId="50" xfId="0" applyNumberFormat="1" applyFont="1" applyBorder="1" applyAlignment="1">
      <alignment horizontal="center"/>
    </xf>
    <xf numFmtId="0" fontId="42" fillId="0" borderId="27" xfId="0" applyFont="1" applyBorder="1" applyAlignment="1">
      <alignment wrapText="1"/>
    </xf>
    <xf numFmtId="6" fontId="49" fillId="0" borderId="47" xfId="0" applyNumberFormat="1" applyFont="1" applyBorder="1"/>
    <xf numFmtId="37" fontId="37" fillId="0" borderId="20" xfId="0" applyNumberFormat="1" applyFont="1" applyBorder="1"/>
    <xf numFmtId="168" fontId="49" fillId="0" borderId="48" xfId="0" applyNumberFormat="1" applyFont="1" applyBorder="1" applyAlignment="1">
      <alignment horizontal="left"/>
    </xf>
    <xf numFmtId="4" fontId="37" fillId="0" borderId="4" xfId="0" applyNumberFormat="1" applyFont="1" applyBorder="1" applyAlignment="1">
      <alignment horizontal="center"/>
    </xf>
    <xf numFmtId="4" fontId="37" fillId="0" borderId="5" xfId="0" applyNumberFormat="1" applyFont="1" applyBorder="1" applyAlignment="1">
      <alignment horizontal="center"/>
    </xf>
    <xf numFmtId="0" fontId="37" fillId="0" borderId="5" xfId="0" applyFont="1" applyBorder="1" applyAlignment="1">
      <alignment wrapText="1"/>
    </xf>
    <xf numFmtId="6" fontId="42" fillId="0" borderId="4" xfId="0" applyNumberFormat="1" applyFont="1" applyBorder="1"/>
    <xf numFmtId="37" fontId="42" fillId="0" borderId="0" xfId="0" applyNumberFormat="1" applyFont="1"/>
    <xf numFmtId="3" fontId="42" fillId="0" borderId="60" xfId="0" applyNumberFormat="1" applyFont="1" applyBorder="1" applyAlignment="1">
      <alignment horizontal="center"/>
    </xf>
    <xf numFmtId="3" fontId="42" fillId="0" borderId="68" xfId="0" applyNumberFormat="1" applyFont="1" applyBorder="1" applyAlignment="1">
      <alignment horizontal="center"/>
    </xf>
    <xf numFmtId="0" fontId="42" fillId="0" borderId="8" xfId="0" applyFont="1" applyBorder="1" applyAlignment="1">
      <alignment wrapText="1"/>
    </xf>
    <xf numFmtId="3" fontId="42" fillId="0" borderId="45" xfId="0" applyNumberFormat="1" applyFont="1" applyBorder="1" applyAlignment="1">
      <alignment horizontal="center"/>
    </xf>
    <xf numFmtId="3" fontId="42" fillId="0" borderId="23" xfId="0" applyNumberFormat="1" applyFont="1" applyBorder="1" applyAlignment="1">
      <alignment horizontal="center"/>
    </xf>
    <xf numFmtId="0" fontId="42" fillId="0" borderId="5" xfId="0" applyFont="1" applyBorder="1" applyAlignment="1">
      <alignment wrapText="1"/>
    </xf>
    <xf numFmtId="39" fontId="42" fillId="0" borderId="41" xfId="0" applyNumberFormat="1" applyFont="1" applyBorder="1"/>
    <xf numFmtId="37" fontId="42" fillId="0" borderId="41" xfId="0" applyNumberFormat="1" applyFont="1" applyBorder="1"/>
    <xf numFmtId="0" fontId="42" fillId="0" borderId="49" xfId="0" applyFont="1" applyBorder="1"/>
    <xf numFmtId="3" fontId="42" fillId="0" borderId="44" xfId="0" applyNumberFormat="1" applyFont="1" applyBorder="1" applyAlignment="1">
      <alignment horizontal="center"/>
    </xf>
    <xf numFmtId="3" fontId="42" fillId="0" borderId="22" xfId="0" applyNumberFormat="1" applyFont="1" applyBorder="1" applyAlignment="1">
      <alignment horizontal="center"/>
    </xf>
    <xf numFmtId="6" fontId="37" fillId="0" borderId="37" xfId="0" applyNumberFormat="1" applyFont="1" applyBorder="1"/>
    <xf numFmtId="37" fontId="37" fillId="0" borderId="41" xfId="0" applyNumberFormat="1" applyFont="1" applyBorder="1"/>
    <xf numFmtId="10" fontId="49" fillId="0" borderId="41" xfId="0" applyNumberFormat="1" applyFont="1" applyBorder="1"/>
    <xf numFmtId="0" fontId="0" fillId="0" borderId="49" xfId="0" applyBorder="1"/>
    <xf numFmtId="3" fontId="37" fillId="0" borderId="30" xfId="0" applyNumberFormat="1" applyFont="1" applyBorder="1" applyAlignment="1">
      <alignment horizontal="center"/>
    </xf>
    <xf numFmtId="0" fontId="37" fillId="0" borderId="18" xfId="22" applyFont="1" applyBorder="1"/>
    <xf numFmtId="4" fontId="42" fillId="0" borderId="41" xfId="18" applyNumberFormat="1" applyFont="1" applyBorder="1" applyAlignment="1">
      <alignment horizontal="center"/>
    </xf>
    <xf numFmtId="6" fontId="36" fillId="0" borderId="41" xfId="0" applyNumberFormat="1" applyFont="1" applyBorder="1"/>
    <xf numFmtId="168" fontId="36" fillId="0" borderId="49" xfId="0" applyNumberFormat="1" applyFont="1" applyBorder="1" applyAlignment="1">
      <alignment horizontal="left"/>
    </xf>
    <xf numFmtId="10" fontId="42" fillId="0" borderId="0" xfId="3" applyNumberFormat="1" applyFont="1" applyFill="1" applyBorder="1"/>
    <xf numFmtId="3" fontId="37" fillId="0" borderId="31" xfId="0" applyNumberFormat="1" applyFont="1" applyBorder="1" applyAlignment="1">
      <alignment horizontal="center"/>
    </xf>
    <xf numFmtId="6" fontId="37" fillId="0" borderId="4" xfId="0" applyNumberFormat="1" applyFont="1" applyBorder="1"/>
    <xf numFmtId="0" fontId="37" fillId="0" borderId="18" xfId="0" applyFont="1" applyBorder="1" applyAlignment="1">
      <alignment wrapText="1"/>
    </xf>
    <xf numFmtId="4" fontId="37" fillId="0" borderId="20" xfId="18" applyNumberFormat="1" applyFont="1" applyBorder="1" applyAlignment="1">
      <alignment horizontal="center"/>
    </xf>
    <xf numFmtId="6" fontId="49" fillId="0" borderId="20" xfId="0" applyNumberFormat="1" applyFont="1" applyBorder="1"/>
    <xf numFmtId="0" fontId="37" fillId="0" borderId="18" xfId="0" applyFont="1" applyBorder="1" applyAlignment="1">
      <alignment vertical="center" wrapText="1"/>
    </xf>
    <xf numFmtId="0" fontId="42" fillId="0" borderId="47" xfId="0" applyFont="1" applyBorder="1" applyAlignment="1">
      <alignment horizontal="center" vertical="center"/>
    </xf>
    <xf numFmtId="0" fontId="42" fillId="0" borderId="20" xfId="0" applyFont="1" applyBorder="1" applyAlignment="1">
      <alignment horizontal="center" vertical="center"/>
    </xf>
    <xf numFmtId="0" fontId="42" fillId="0" borderId="20" xfId="0" applyFont="1" applyBorder="1" applyAlignment="1">
      <alignment horizontal="right" vertical="center"/>
    </xf>
    <xf numFmtId="0" fontId="42" fillId="0" borderId="48" xfId="0" applyFont="1" applyBorder="1" applyAlignment="1">
      <alignment horizontal="center" vertical="center"/>
    </xf>
    <xf numFmtId="37" fontId="42" fillId="0" borderId="9" xfId="0" applyNumberFormat="1" applyFont="1" applyBorder="1"/>
    <xf numFmtId="0" fontId="37" fillId="0" borderId="10" xfId="0" applyFont="1" applyBorder="1"/>
    <xf numFmtId="0" fontId="42" fillId="0" borderId="12" xfId="0" applyFont="1" applyBorder="1" applyAlignment="1">
      <alignment horizontal="right"/>
    </xf>
    <xf numFmtId="3" fontId="42" fillId="0" borderId="17" xfId="0" applyNumberFormat="1" applyFont="1" applyBorder="1" applyAlignment="1">
      <alignment horizontal="center"/>
    </xf>
    <xf numFmtId="3" fontId="42" fillId="0" borderId="12" xfId="0" applyNumberFormat="1" applyFont="1" applyBorder="1" applyAlignment="1">
      <alignment wrapText="1"/>
    </xf>
    <xf numFmtId="0" fontId="42" fillId="26" borderId="25" xfId="0" applyFont="1" applyFill="1" applyBorder="1" applyAlignment="1">
      <alignment horizontal="center" vertical="center"/>
    </xf>
    <xf numFmtId="0" fontId="42" fillId="26" borderId="26" xfId="0" applyFont="1" applyFill="1" applyBorder="1" applyAlignment="1">
      <alignment horizontal="center" vertical="center"/>
    </xf>
    <xf numFmtId="0" fontId="42" fillId="26" borderId="27" xfId="0" applyFont="1" applyFill="1" applyBorder="1" applyAlignment="1">
      <alignment horizontal="center" vertical="center"/>
    </xf>
    <xf numFmtId="0" fontId="42" fillId="19" borderId="25" xfId="0" applyFont="1" applyFill="1" applyBorder="1" applyAlignment="1">
      <alignment horizontal="center" vertical="center"/>
    </xf>
    <xf numFmtId="0" fontId="42" fillId="19" borderId="26" xfId="0" applyFont="1" applyFill="1" applyBorder="1" applyAlignment="1">
      <alignment horizontal="center" vertical="center"/>
    </xf>
    <xf numFmtId="0" fontId="42" fillId="19" borderId="27" xfId="0" applyFont="1" applyFill="1" applyBorder="1" applyAlignment="1">
      <alignment horizontal="center" vertical="center"/>
    </xf>
    <xf numFmtId="0" fontId="42" fillId="12" borderId="25" xfId="0" applyFont="1" applyFill="1" applyBorder="1" applyAlignment="1">
      <alignment horizontal="center" vertical="center"/>
    </xf>
    <xf numFmtId="0" fontId="42" fillId="12" borderId="26" xfId="0" applyFont="1" applyFill="1" applyBorder="1" applyAlignment="1">
      <alignment horizontal="center" vertical="center"/>
    </xf>
    <xf numFmtId="0" fontId="42" fillId="12" borderId="27" xfId="0" applyFont="1" applyFill="1" applyBorder="1" applyAlignment="1">
      <alignment horizontal="center" vertical="center"/>
    </xf>
    <xf numFmtId="2" fontId="42" fillId="0" borderId="24" xfId="0" applyNumberFormat="1" applyFont="1" applyBorder="1" applyAlignment="1">
      <alignment horizontal="center" vertical="center"/>
    </xf>
    <xf numFmtId="2" fontId="42" fillId="0" borderId="12" xfId="0" applyNumberFormat="1" applyFont="1" applyBorder="1" applyAlignment="1">
      <alignment horizontal="center" vertical="center"/>
    </xf>
    <xf numFmtId="0" fontId="42" fillId="12" borderId="69" xfId="0" applyFont="1" applyFill="1" applyBorder="1" applyAlignment="1">
      <alignment horizontal="center" vertical="center"/>
    </xf>
    <xf numFmtId="2" fontId="50" fillId="0" borderId="25" xfId="0" applyNumberFormat="1" applyFont="1" applyBorder="1" applyAlignment="1">
      <alignment horizontal="center"/>
    </xf>
    <xf numFmtId="2" fontId="50" fillId="0" borderId="26" xfId="0" applyNumberFormat="1" applyFont="1" applyBorder="1" applyAlignment="1">
      <alignment horizontal="center"/>
    </xf>
    <xf numFmtId="2" fontId="50" fillId="0" borderId="27" xfId="0" applyNumberFormat="1" applyFont="1" applyBorder="1" applyAlignment="1">
      <alignment horizontal="center"/>
    </xf>
    <xf numFmtId="2" fontId="50" fillId="0" borderId="0" xfId="0" applyNumberFormat="1" applyFont="1"/>
    <xf numFmtId="0" fontId="29" fillId="0" borderId="0" xfId="11" applyFont="1" applyAlignment="1">
      <alignment wrapText="1"/>
    </xf>
    <xf numFmtId="0" fontId="29" fillId="0" borderId="0" xfId="11" applyFont="1" applyAlignment="1">
      <alignment horizontal="center"/>
    </xf>
    <xf numFmtId="0" fontId="29" fillId="0" borderId="0" xfId="11" applyFont="1" applyAlignment="1">
      <alignment vertical="center" wrapText="1"/>
    </xf>
    <xf numFmtId="44" fontId="29" fillId="0" borderId="0" xfId="2" applyFont="1" applyFill="1"/>
    <xf numFmtId="4" fontId="29" fillId="0" borderId="0" xfId="11" applyNumberFormat="1" applyFont="1"/>
    <xf numFmtId="10" fontId="52" fillId="0" borderId="1" xfId="3" applyNumberFormat="1" applyFont="1" applyFill="1" applyBorder="1"/>
    <xf numFmtId="7" fontId="37" fillId="0" borderId="2" xfId="6" applyNumberFormat="1" applyFont="1" applyBorder="1" applyAlignment="1">
      <alignment horizontal="center"/>
    </xf>
    <xf numFmtId="44" fontId="37" fillId="0" borderId="2" xfId="2" applyFont="1" applyFill="1" applyBorder="1" applyAlignment="1">
      <alignment horizontal="center"/>
    </xf>
    <xf numFmtId="0" fontId="29" fillId="0" borderId="3" xfId="11" applyFont="1" applyBorder="1" applyAlignment="1">
      <alignment horizontal="left"/>
    </xf>
    <xf numFmtId="10" fontId="52" fillId="0" borderId="4" xfId="3" applyNumberFormat="1" applyFont="1" applyFill="1" applyBorder="1"/>
    <xf numFmtId="7" fontId="37" fillId="0" borderId="0" xfId="6" applyNumberFormat="1" applyFont="1" applyAlignment="1">
      <alignment horizontal="center"/>
    </xf>
    <xf numFmtId="44" fontId="37" fillId="0" borderId="0" xfId="2" applyFont="1" applyFill="1" applyBorder="1" applyAlignment="1">
      <alignment horizontal="center"/>
    </xf>
    <xf numFmtId="0" fontId="29" fillId="0" borderId="49" xfId="11" applyFont="1" applyBorder="1" applyAlignment="1">
      <alignment horizontal="left"/>
    </xf>
    <xf numFmtId="10" fontId="29" fillId="0" borderId="0" xfId="3" applyNumberFormat="1" applyFont="1" applyAlignment="1">
      <alignment horizontal="left"/>
    </xf>
    <xf numFmtId="171" fontId="29" fillId="0" borderId="0" xfId="2" applyNumberFormat="1" applyFont="1" applyAlignment="1">
      <alignment horizontal="center"/>
    </xf>
    <xf numFmtId="0" fontId="29" fillId="0" borderId="49" xfId="0" applyFont="1" applyBorder="1" applyAlignment="1">
      <alignment horizontal="left"/>
    </xf>
    <xf numFmtId="0" fontId="37" fillId="0" borderId="25" xfId="6" applyFont="1" applyBorder="1" applyAlignment="1">
      <alignment horizontal="center" wrapText="1"/>
    </xf>
    <xf numFmtId="0" fontId="37" fillId="0" borderId="26" xfId="6" applyFont="1" applyBorder="1" applyAlignment="1">
      <alignment horizontal="center" wrapText="1"/>
    </xf>
    <xf numFmtId="0" fontId="37" fillId="0" borderId="27" xfId="6" applyFont="1" applyBorder="1"/>
    <xf numFmtId="10" fontId="29" fillId="0" borderId="0" xfId="11" applyNumberFormat="1" applyFont="1"/>
    <xf numFmtId="9" fontId="29" fillId="0" borderId="0" xfId="11" applyNumberFormat="1" applyFont="1"/>
    <xf numFmtId="164" fontId="39" fillId="3" borderId="67" xfId="11" applyNumberFormat="1" applyFont="1" applyFill="1" applyBorder="1"/>
    <xf numFmtId="0" fontId="29" fillId="0" borderId="58" xfId="11" applyFont="1" applyBorder="1"/>
    <xf numFmtId="0" fontId="29" fillId="0" borderId="59" xfId="11" applyFont="1" applyBorder="1" applyAlignment="1">
      <alignment horizontal="left"/>
    </xf>
    <xf numFmtId="164" fontId="39" fillId="3" borderId="37" xfId="11" applyNumberFormat="1" applyFont="1" applyFill="1" applyBorder="1"/>
    <xf numFmtId="0" fontId="29" fillId="0" borderId="41" xfId="11" applyFont="1" applyBorder="1"/>
    <xf numFmtId="0" fontId="29" fillId="0" borderId="0" xfId="0" applyFont="1" applyAlignment="1">
      <alignment horizontal="left" wrapText="1"/>
    </xf>
    <xf numFmtId="164" fontId="39" fillId="3" borderId="37" xfId="0" applyNumberFormat="1" applyFont="1" applyFill="1" applyBorder="1"/>
    <xf numFmtId="10" fontId="29" fillId="0" borderId="41" xfId="0" applyNumberFormat="1" applyFont="1" applyBorder="1" applyAlignment="1">
      <alignment horizontal="center"/>
    </xf>
    <xf numFmtId="0" fontId="1" fillId="0" borderId="0" xfId="0" applyFont="1"/>
    <xf numFmtId="168" fontId="39" fillId="0" borderId="6" xfId="0" applyNumberFormat="1" applyFont="1" applyBorder="1"/>
    <xf numFmtId="166" fontId="39" fillId="0" borderId="7" xfId="0" applyNumberFormat="1" applyFont="1" applyBorder="1" applyAlignment="1">
      <alignment horizontal="center"/>
    </xf>
    <xf numFmtId="0" fontId="39" fillId="0" borderId="7" xfId="0" applyFont="1" applyBorder="1"/>
    <xf numFmtId="0" fontId="39" fillId="0" borderId="8" xfId="0" applyFont="1" applyBorder="1"/>
    <xf numFmtId="3" fontId="39" fillId="0" borderId="44" xfId="0" applyNumberFormat="1" applyFont="1" applyBorder="1" applyAlignment="1">
      <alignment horizontal="center"/>
    </xf>
    <xf numFmtId="0" fontId="39" fillId="0" borderId="70" xfId="0" applyFont="1" applyBorder="1" applyAlignment="1">
      <alignment wrapText="1"/>
    </xf>
    <xf numFmtId="168" fontId="29" fillId="0" borderId="6" xfId="0" applyNumberFormat="1" applyFont="1" applyBorder="1"/>
    <xf numFmtId="37" fontId="29" fillId="0" borderId="7" xfId="0" applyNumberFormat="1" applyFont="1" applyBorder="1"/>
    <xf numFmtId="3" fontId="39" fillId="0" borderId="56" xfId="0" applyNumberFormat="1" applyFont="1" applyBorder="1" applyAlignment="1">
      <alignment horizontal="center"/>
    </xf>
    <xf numFmtId="0" fontId="39" fillId="0" borderId="69" xfId="0" applyFont="1" applyBorder="1" applyAlignment="1">
      <alignment wrapText="1"/>
    </xf>
    <xf numFmtId="168" fontId="29" fillId="0" borderId="47" xfId="0" applyNumberFormat="1" applyFont="1" applyBorder="1"/>
    <xf numFmtId="166" fontId="29" fillId="0" borderId="20" xfId="0" applyNumberFormat="1" applyFont="1" applyBorder="1" applyAlignment="1">
      <alignment horizontal="center"/>
    </xf>
    <xf numFmtId="3" fontId="29" fillId="10" borderId="60" xfId="0" applyNumberFormat="1" applyFont="1" applyFill="1" applyBorder="1" applyAlignment="1">
      <alignment horizontal="center"/>
    </xf>
    <xf numFmtId="0" fontId="29" fillId="0" borderId="36" xfId="0" applyFont="1" applyBorder="1" applyAlignment="1">
      <alignment wrapText="1"/>
    </xf>
    <xf numFmtId="168" fontId="39" fillId="0" borderId="37" xfId="0" applyNumberFormat="1" applyFont="1" applyBorder="1"/>
    <xf numFmtId="166" fontId="29" fillId="0" borderId="41" xfId="0" applyNumberFormat="1" applyFont="1" applyBorder="1" applyAlignment="1">
      <alignment horizontal="center"/>
    </xf>
    <xf numFmtId="0" fontId="29" fillId="0" borderId="36" xfId="0" applyFont="1" applyBorder="1" applyAlignment="1">
      <alignment vertical="center" wrapText="1"/>
    </xf>
    <xf numFmtId="6" fontId="39" fillId="0" borderId="37" xfId="11" applyNumberFormat="1" applyFont="1" applyBorder="1"/>
    <xf numFmtId="10" fontId="29" fillId="0" borderId="41" xfId="3" applyNumberFormat="1" applyFont="1" applyBorder="1"/>
    <xf numFmtId="0" fontId="29" fillId="0" borderId="71" xfId="0" applyFont="1" applyBorder="1" applyAlignment="1">
      <alignment wrapText="1"/>
    </xf>
    <xf numFmtId="8" fontId="29" fillId="0" borderId="6" xfId="11" applyNumberFormat="1" applyFont="1" applyBorder="1"/>
    <xf numFmtId="6" fontId="49" fillId="0" borderId="7" xfId="0" applyNumberFormat="1" applyFont="1" applyBorder="1"/>
    <xf numFmtId="0" fontId="29" fillId="0" borderId="7" xfId="11" applyFont="1" applyBorder="1"/>
    <xf numFmtId="168" fontId="49" fillId="0" borderId="8" xfId="0" applyNumberFormat="1" applyFont="1" applyBorder="1" applyAlignment="1">
      <alignment horizontal="left"/>
    </xf>
    <xf numFmtId="3" fontId="39" fillId="0" borderId="69" xfId="0" applyNumberFormat="1" applyFont="1" applyBorder="1" applyAlignment="1">
      <alignment wrapText="1"/>
    </xf>
    <xf numFmtId="8" fontId="29" fillId="0" borderId="4" xfId="11" applyNumberFormat="1" applyFont="1" applyBorder="1"/>
    <xf numFmtId="0" fontId="39" fillId="12" borderId="56" xfId="0" applyFont="1" applyFill="1" applyBorder="1" applyAlignment="1">
      <alignment horizontal="center"/>
    </xf>
    <xf numFmtId="0" fontId="39" fillId="12" borderId="27" xfId="0" applyFont="1" applyFill="1" applyBorder="1"/>
    <xf numFmtId="2" fontId="29" fillId="0" borderId="20" xfId="0" applyNumberFormat="1" applyFont="1" applyBorder="1" applyAlignment="1">
      <alignment horizontal="center"/>
    </xf>
    <xf numFmtId="168" fontId="29" fillId="0" borderId="20" xfId="0" applyNumberFormat="1" applyFont="1" applyBorder="1"/>
    <xf numFmtId="0" fontId="42" fillId="0" borderId="48" xfId="0" applyFont="1" applyBorder="1"/>
    <xf numFmtId="168" fontId="29" fillId="0" borderId="4" xfId="0" applyNumberFormat="1" applyFont="1" applyBorder="1"/>
    <xf numFmtId="2" fontId="29" fillId="0" borderId="0" xfId="0" applyNumberFormat="1" applyFont="1" applyAlignment="1">
      <alignment horizontal="center"/>
    </xf>
    <xf numFmtId="168" fontId="29" fillId="0" borderId="0" xfId="0" applyNumberFormat="1" applyFont="1"/>
    <xf numFmtId="10" fontId="39" fillId="0" borderId="41" xfId="3" applyNumberFormat="1" applyFont="1" applyBorder="1"/>
    <xf numFmtId="0" fontId="39" fillId="0" borderId="49" xfId="0" applyFont="1" applyBorder="1" applyAlignment="1">
      <alignment horizontal="left"/>
    </xf>
    <xf numFmtId="6" fontId="29" fillId="0" borderId="20" xfId="0" applyNumberFormat="1" applyFont="1" applyBorder="1"/>
    <xf numFmtId="43" fontId="39" fillId="0" borderId="41" xfId="1" applyFont="1" applyBorder="1" applyAlignment="1">
      <alignment vertical="top"/>
    </xf>
    <xf numFmtId="168" fontId="39" fillId="0" borderId="41" xfId="0" applyNumberFormat="1" applyFont="1" applyBorder="1"/>
    <xf numFmtId="168" fontId="39" fillId="0" borderId="4" xfId="0" applyNumberFormat="1" applyFont="1" applyBorder="1" applyAlignment="1">
      <alignment horizontal="right"/>
    </xf>
    <xf numFmtId="3" fontId="29" fillId="0" borderId="9" xfId="0" applyNumberFormat="1" applyFont="1" applyBorder="1" applyAlignment="1">
      <alignment horizontal="center"/>
    </xf>
    <xf numFmtId="0" fontId="29" fillId="0" borderId="10" xfId="0" applyFont="1" applyBorder="1" applyAlignment="1">
      <alignment horizontal="center"/>
    </xf>
    <xf numFmtId="0" fontId="29" fillId="0" borderId="12" xfId="0" applyFont="1" applyBorder="1" applyAlignment="1">
      <alignment horizontal="center"/>
    </xf>
    <xf numFmtId="0" fontId="39" fillId="0" borderId="0" xfId="0" applyFont="1" applyAlignment="1">
      <alignment horizontal="center" vertical="center" wrapText="1"/>
    </xf>
    <xf numFmtId="0" fontId="39" fillId="12" borderId="9" xfId="0" applyFont="1" applyFill="1" applyBorder="1" applyAlignment="1">
      <alignment horizontal="center" vertical="center"/>
    </xf>
    <xf numFmtId="0" fontId="39" fillId="12" borderId="10" xfId="0" applyFont="1" applyFill="1" applyBorder="1" applyAlignment="1">
      <alignment horizontal="center" vertical="center"/>
    </xf>
    <xf numFmtId="0" fontId="39" fillId="12" borderId="12" xfId="0" applyFont="1" applyFill="1" applyBorder="1" applyAlignment="1">
      <alignment horizontal="center" vertical="center"/>
    </xf>
    <xf numFmtId="0" fontId="39" fillId="0" borderId="0" xfId="0" applyFont="1" applyAlignment="1">
      <alignment horizontal="center" vertical="center"/>
    </xf>
    <xf numFmtId="0" fontId="1" fillId="0" borderId="0" xfId="0" applyFont="1" applyAlignment="1">
      <alignment wrapText="1"/>
    </xf>
    <xf numFmtId="0" fontId="42" fillId="0" borderId="0" xfId="11" applyFont="1"/>
    <xf numFmtId="0" fontId="49" fillId="27" borderId="13" xfId="0" applyFont="1" applyFill="1" applyBorder="1"/>
    <xf numFmtId="10" fontId="42" fillId="27" borderId="7" xfId="0" applyNumberFormat="1" applyFont="1" applyFill="1" applyBorder="1" applyAlignment="1">
      <alignment horizontal="left"/>
    </xf>
    <xf numFmtId="44" fontId="49" fillId="27" borderId="7" xfId="2" applyFont="1" applyFill="1" applyBorder="1"/>
    <xf numFmtId="0" fontId="37" fillId="27" borderId="7" xfId="11" applyFont="1" applyFill="1" applyBorder="1"/>
    <xf numFmtId="0" fontId="49" fillId="27" borderId="7" xfId="0" applyFont="1" applyFill="1" applyBorder="1"/>
    <xf numFmtId="0" fontId="49" fillId="27" borderId="14" xfId="0" applyFont="1" applyFill="1" applyBorder="1"/>
    <xf numFmtId="0" fontId="49" fillId="27" borderId="15" xfId="0" applyFont="1" applyFill="1" applyBorder="1"/>
    <xf numFmtId="10" fontId="42" fillId="27" borderId="0" xfId="0" applyNumberFormat="1" applyFont="1" applyFill="1" applyAlignment="1">
      <alignment horizontal="left"/>
    </xf>
    <xf numFmtId="44" fontId="37" fillId="27" borderId="0" xfId="2" applyFont="1" applyFill="1" applyBorder="1"/>
    <xf numFmtId="0" fontId="37" fillId="27" borderId="0" xfId="11" applyFont="1" applyFill="1"/>
    <xf numFmtId="0" fontId="37" fillId="27" borderId="16" xfId="11" applyFont="1" applyFill="1" applyBorder="1"/>
    <xf numFmtId="168" fontId="42" fillId="27" borderId="0" xfId="0" applyNumberFormat="1" applyFont="1" applyFill="1"/>
    <xf numFmtId="0" fontId="37" fillId="27" borderId="19" xfId="11" applyFont="1" applyFill="1" applyBorder="1"/>
    <xf numFmtId="0" fontId="37" fillId="27" borderId="20" xfId="11" applyFont="1" applyFill="1" applyBorder="1"/>
    <xf numFmtId="168" fontId="42" fillId="27" borderId="20" xfId="0" applyNumberFormat="1" applyFont="1" applyFill="1" applyBorder="1"/>
    <xf numFmtId="0" fontId="42" fillId="27" borderId="20" xfId="0" applyFont="1" applyFill="1" applyBorder="1"/>
    <xf numFmtId="43" fontId="37" fillId="27" borderId="20" xfId="1" applyFont="1" applyFill="1" applyBorder="1"/>
    <xf numFmtId="0" fontId="37" fillId="27" borderId="21" xfId="11" applyFont="1" applyFill="1" applyBorder="1"/>
    <xf numFmtId="0" fontId="37" fillId="0" borderId="0" xfId="11" applyFont="1" applyAlignment="1">
      <alignment horizontal="right"/>
    </xf>
    <xf numFmtId="0" fontId="37" fillId="0" borderId="10" xfId="11" applyFont="1" applyBorder="1" applyAlignment="1">
      <alignment horizontal="center"/>
    </xf>
    <xf numFmtId="164" fontId="42" fillId="3" borderId="50" xfId="0" applyNumberFormat="1" applyFont="1" applyFill="1" applyBorder="1"/>
    <xf numFmtId="0" fontId="49" fillId="0" borderId="26" xfId="0" applyFont="1" applyBorder="1"/>
    <xf numFmtId="168" fontId="37" fillId="0" borderId="4" xfId="0" applyNumberFormat="1" applyFont="1" applyBorder="1"/>
    <xf numFmtId="44" fontId="37" fillId="0" borderId="0" xfId="2" applyFont="1" applyFill="1"/>
    <xf numFmtId="168" fontId="53" fillId="0" borderId="37" xfId="11" applyNumberFormat="1" applyFont="1" applyBorder="1"/>
    <xf numFmtId="0" fontId="49" fillId="0" borderId="41" xfId="0" applyFont="1" applyBorder="1"/>
    <xf numFmtId="0" fontId="39" fillId="0" borderId="49" xfId="0" applyFont="1" applyBorder="1" applyAlignment="1">
      <alignment wrapText="1"/>
    </xf>
    <xf numFmtId="6" fontId="49" fillId="0" borderId="6" xfId="0" applyNumberFormat="1" applyFont="1" applyBorder="1"/>
    <xf numFmtId="0" fontId="49" fillId="0" borderId="7" xfId="0" applyFont="1" applyBorder="1"/>
    <xf numFmtId="0" fontId="0" fillId="0" borderId="8" xfId="0" applyBorder="1" applyAlignment="1">
      <alignment wrapText="1"/>
    </xf>
    <xf numFmtId="0" fontId="49" fillId="0" borderId="20" xfId="0" applyFont="1" applyBorder="1"/>
    <xf numFmtId="0" fontId="0" fillId="0" borderId="48" xfId="0" applyBorder="1" applyAlignment="1">
      <alignment wrapText="1"/>
    </xf>
    <xf numFmtId="0" fontId="49" fillId="0" borderId="4" xfId="0" applyFont="1" applyBorder="1"/>
    <xf numFmtId="0" fontId="54" fillId="0" borderId="48" xfId="11" applyFont="1" applyBorder="1" applyAlignment="1">
      <alignment wrapText="1"/>
    </xf>
    <xf numFmtId="0" fontId="53" fillId="0" borderId="41" xfId="11" applyFont="1" applyBorder="1"/>
    <xf numFmtId="0" fontId="39" fillId="0" borderId="49" xfId="11" applyFont="1" applyBorder="1" applyAlignment="1">
      <alignment wrapText="1"/>
    </xf>
    <xf numFmtId="0" fontId="49" fillId="14" borderId="4" xfId="0" applyFont="1" applyFill="1" applyBorder="1"/>
    <xf numFmtId="168" fontId="49" fillId="14" borderId="5" xfId="0" applyNumberFormat="1" applyFont="1" applyFill="1" applyBorder="1" applyAlignment="1">
      <alignment horizontal="left" wrapText="1"/>
    </xf>
    <xf numFmtId="168" fontId="49" fillId="0" borderId="5" xfId="0" applyNumberFormat="1" applyFont="1" applyBorder="1" applyAlignment="1">
      <alignment horizontal="left" wrapText="1"/>
    </xf>
    <xf numFmtId="0" fontId="39" fillId="0" borderId="5" xfId="11" applyFont="1" applyBorder="1" applyAlignment="1">
      <alignment wrapText="1"/>
    </xf>
    <xf numFmtId="0" fontId="49" fillId="0" borderId="37" xfId="0" applyFont="1" applyBorder="1"/>
    <xf numFmtId="0" fontId="54" fillId="0" borderId="49" xfId="11" applyFont="1" applyBorder="1" applyAlignment="1">
      <alignment wrapText="1"/>
    </xf>
    <xf numFmtId="174" fontId="37" fillId="0" borderId="0" xfId="23" applyNumberFormat="1" applyFont="1" applyFill="1" applyBorder="1"/>
    <xf numFmtId="168" fontId="49" fillId="0" borderId="37" xfId="0" applyNumberFormat="1" applyFont="1" applyBorder="1"/>
    <xf numFmtId="0" fontId="0" fillId="0" borderId="49" xfId="0" applyBorder="1" applyAlignment="1">
      <alignment wrapText="1"/>
    </xf>
    <xf numFmtId="49" fontId="37" fillId="0" borderId="0" xfId="0" applyNumberFormat="1" applyFont="1" applyAlignment="1">
      <alignment wrapText="1"/>
    </xf>
    <xf numFmtId="168" fontId="53" fillId="0" borderId="47" xfId="11" applyNumberFormat="1" applyFont="1" applyBorder="1"/>
    <xf numFmtId="43" fontId="39" fillId="0" borderId="20" xfId="1" applyFont="1" applyBorder="1"/>
    <xf numFmtId="0" fontId="53" fillId="0" borderId="20" xfId="11" applyFont="1" applyBorder="1"/>
    <xf numFmtId="168" fontId="36" fillId="0" borderId="48" xfId="0" applyNumberFormat="1" applyFont="1" applyBorder="1" applyAlignment="1">
      <alignment horizontal="left" wrapText="1"/>
    </xf>
    <xf numFmtId="168" fontId="37" fillId="14" borderId="4" xfId="0" applyNumberFormat="1" applyFont="1" applyFill="1" applyBorder="1"/>
    <xf numFmtId="4" fontId="37" fillId="14" borderId="0" xfId="18" applyNumberFormat="1" applyFont="1" applyFill="1" applyAlignment="1">
      <alignment horizontal="center"/>
    </xf>
    <xf numFmtId="0" fontId="49" fillId="0" borderId="0" xfId="0" applyFont="1" applyAlignment="1">
      <alignment horizontal="center" wrapText="1"/>
    </xf>
    <xf numFmtId="168" fontId="37" fillId="0" borderId="9" xfId="0" applyNumberFormat="1" applyFont="1" applyBorder="1"/>
    <xf numFmtId="4" fontId="37" fillId="0" borderId="10" xfId="18" applyNumberFormat="1" applyFont="1" applyBorder="1" applyAlignment="1">
      <alignment horizontal="center"/>
    </xf>
    <xf numFmtId="6" fontId="49" fillId="0" borderId="10" xfId="0" applyNumberFormat="1" applyFont="1" applyBorder="1"/>
    <xf numFmtId="168" fontId="49" fillId="0" borderId="12" xfId="0" applyNumberFormat="1" applyFont="1" applyBorder="1" applyAlignment="1">
      <alignment horizontal="left" wrapText="1"/>
    </xf>
    <xf numFmtId="0" fontId="42" fillId="0" borderId="0" xfId="0" applyFont="1" applyAlignment="1">
      <alignment horizontal="center" vertical="center" wrapText="1"/>
    </xf>
    <xf numFmtId="4" fontId="37" fillId="0" borderId="0" xfId="11" applyNumberFormat="1" applyFont="1"/>
    <xf numFmtId="44" fontId="37" fillId="0" borderId="0" xfId="2" applyFont="1" applyBorder="1"/>
    <xf numFmtId="8" fontId="42" fillId="0" borderId="1" xfId="11" applyNumberFormat="1" applyFont="1" applyBorder="1"/>
    <xf numFmtId="0" fontId="37" fillId="0" borderId="3" xfId="11" applyFont="1" applyBorder="1"/>
    <xf numFmtId="6" fontId="42" fillId="0" borderId="4" xfId="11" applyNumberFormat="1" applyFont="1" applyBorder="1"/>
    <xf numFmtId="8" fontId="37" fillId="0" borderId="6" xfId="11" applyNumberFormat="1" applyFont="1" applyBorder="1"/>
    <xf numFmtId="0" fontId="37" fillId="0" borderId="7" xfId="11" applyFont="1" applyBorder="1"/>
    <xf numFmtId="8" fontId="37" fillId="0" borderId="47" xfId="11" applyNumberFormat="1" applyFont="1" applyBorder="1"/>
    <xf numFmtId="0" fontId="37" fillId="0" borderId="20" xfId="11" applyFont="1" applyBorder="1"/>
    <xf numFmtId="6" fontId="42" fillId="0" borderId="37" xfId="11" applyNumberFormat="1" applyFont="1" applyBorder="1"/>
    <xf numFmtId="0" fontId="37" fillId="0" borderId="41" xfId="11" applyFont="1" applyBorder="1"/>
    <xf numFmtId="0" fontId="37" fillId="0" borderId="4" xfId="11" applyFont="1" applyBorder="1"/>
    <xf numFmtId="0" fontId="53" fillId="0" borderId="5" xfId="11" applyFont="1" applyBorder="1" applyAlignment="1">
      <alignment wrapText="1"/>
    </xf>
    <xf numFmtId="0" fontId="37" fillId="14" borderId="4" xfId="11" applyFont="1" applyFill="1" applyBorder="1"/>
    <xf numFmtId="0" fontId="37" fillId="14" borderId="0" xfId="11" applyFont="1" applyFill="1"/>
    <xf numFmtId="8" fontId="37" fillId="0" borderId="4" xfId="11" applyNumberFormat="1" applyFont="1" applyBorder="1"/>
    <xf numFmtId="6" fontId="37" fillId="0" borderId="4" xfId="11" applyNumberFormat="1" applyFont="1" applyBorder="1"/>
    <xf numFmtId="0" fontId="37" fillId="0" borderId="47" xfId="11" applyFont="1" applyBorder="1"/>
    <xf numFmtId="0" fontId="39" fillId="0" borderId="48" xfId="11" applyFont="1" applyBorder="1" applyAlignment="1">
      <alignment wrapText="1"/>
    </xf>
    <xf numFmtId="0" fontId="37" fillId="0" borderId="37" xfId="11" applyFont="1" applyBorder="1"/>
    <xf numFmtId="0" fontId="37" fillId="0" borderId="49" xfId="0" applyFont="1" applyBorder="1"/>
    <xf numFmtId="8" fontId="42" fillId="0" borderId="37" xfId="11" applyNumberFormat="1" applyFont="1" applyBorder="1"/>
    <xf numFmtId="8" fontId="37" fillId="0" borderId="37" xfId="11" applyNumberFormat="1" applyFont="1" applyBorder="1"/>
    <xf numFmtId="2" fontId="37" fillId="0" borderId="41" xfId="11" applyNumberFormat="1" applyFont="1" applyBorder="1"/>
    <xf numFmtId="168" fontId="36" fillId="0" borderId="49" xfId="0" applyNumberFormat="1" applyFont="1" applyBorder="1" applyAlignment="1">
      <alignment horizontal="left" wrapText="1"/>
    </xf>
    <xf numFmtId="8" fontId="37" fillId="14" borderId="4" xfId="11" applyNumberFormat="1" applyFont="1" applyFill="1" applyBorder="1"/>
    <xf numFmtId="2" fontId="37" fillId="14" borderId="0" xfId="11" applyNumberFormat="1" applyFont="1" applyFill="1" applyAlignment="1">
      <alignment horizontal="right"/>
    </xf>
    <xf numFmtId="2" fontId="37" fillId="0" borderId="0" xfId="11" applyNumberFormat="1" applyFont="1" applyAlignment="1">
      <alignment horizontal="right"/>
    </xf>
    <xf numFmtId="168" fontId="42" fillId="0" borderId="4" xfId="11" applyNumberFormat="1" applyFont="1" applyBorder="1" applyAlignment="1">
      <alignment horizontal="center"/>
    </xf>
    <xf numFmtId="1" fontId="42" fillId="0" borderId="0" xfId="11" applyNumberFormat="1" applyFont="1" applyAlignment="1">
      <alignment horizontal="center"/>
    </xf>
    <xf numFmtId="1" fontId="37" fillId="0" borderId="0" xfId="11" applyNumberFormat="1" applyFont="1" applyAlignment="1">
      <alignment horizontal="right"/>
    </xf>
    <xf numFmtId="0" fontId="42" fillId="0" borderId="5" xfId="11" applyFont="1" applyBorder="1"/>
    <xf numFmtId="168" fontId="42" fillId="0" borderId="9" xfId="11" applyNumberFormat="1" applyFont="1" applyBorder="1" applyAlignment="1">
      <alignment horizontal="center" vertical="center"/>
    </xf>
    <xf numFmtId="1" fontId="42" fillId="0" borderId="10" xfId="11" applyNumberFormat="1" applyFont="1" applyBorder="1" applyAlignment="1">
      <alignment horizontal="center" vertical="center"/>
    </xf>
    <xf numFmtId="0" fontId="42" fillId="0" borderId="10" xfId="11" applyFont="1" applyBorder="1" applyAlignment="1">
      <alignment horizontal="center" vertical="center"/>
    </xf>
    <xf numFmtId="168" fontId="42" fillId="0" borderId="10" xfId="11" applyNumberFormat="1" applyFont="1" applyBorder="1" applyAlignment="1">
      <alignment vertical="center" wrapText="1"/>
    </xf>
    <xf numFmtId="168" fontId="42" fillId="0" borderId="10" xfId="11" applyNumberFormat="1" applyFont="1" applyBorder="1" applyAlignment="1">
      <alignment horizontal="center" vertical="center" wrapText="1"/>
    </xf>
    <xf numFmtId="0" fontId="42" fillId="0" borderId="12" xfId="11" applyFont="1" applyBorder="1"/>
    <xf numFmtId="0" fontId="42" fillId="12" borderId="25" xfId="11" applyFont="1" applyFill="1" applyBorder="1" applyAlignment="1">
      <alignment horizontal="center" wrapText="1"/>
    </xf>
    <xf numFmtId="0" fontId="42" fillId="12" borderId="26" xfId="11" applyFont="1" applyFill="1" applyBorder="1" applyAlignment="1">
      <alignment horizontal="center" wrapText="1"/>
    </xf>
    <xf numFmtId="0" fontId="42" fillId="12" borderId="27" xfId="11" applyFont="1" applyFill="1" applyBorder="1" applyAlignment="1">
      <alignment horizontal="center" wrapText="1"/>
    </xf>
    <xf numFmtId="164" fontId="42" fillId="3" borderId="67" xfId="11" applyNumberFormat="1" applyFont="1" applyFill="1" applyBorder="1" applyAlignment="1">
      <alignment horizontal="right"/>
    </xf>
    <xf numFmtId="0" fontId="37" fillId="0" borderId="58" xfId="11" applyFont="1" applyBorder="1"/>
    <xf numFmtId="0" fontId="37" fillId="0" borderId="59" xfId="11" applyFont="1" applyBorder="1"/>
    <xf numFmtId="0" fontId="37" fillId="0" borderId="37" xfId="11" applyFont="1" applyBorder="1" applyAlignment="1">
      <alignment horizontal="right"/>
    </xf>
    <xf numFmtId="0" fontId="37" fillId="0" borderId="49" xfId="11" applyFont="1" applyBorder="1"/>
    <xf numFmtId="164" fontId="42" fillId="0" borderId="37" xfId="11" applyNumberFormat="1" applyFont="1" applyBorder="1"/>
    <xf numFmtId="0" fontId="39" fillId="0" borderId="49" xfId="0" applyFont="1" applyBorder="1"/>
    <xf numFmtId="164" fontId="37" fillId="0" borderId="6" xfId="11" applyNumberFormat="1" applyFont="1" applyBorder="1"/>
    <xf numFmtId="164" fontId="37" fillId="0" borderId="47" xfId="11" applyNumberFormat="1" applyFont="1" applyBorder="1"/>
    <xf numFmtId="164" fontId="42" fillId="0" borderId="4" xfId="11" applyNumberFormat="1" applyFont="1" applyBorder="1"/>
    <xf numFmtId="0" fontId="39" fillId="0" borderId="5" xfId="19" applyFont="1" applyBorder="1"/>
    <xf numFmtId="0" fontId="37" fillId="14" borderId="5" xfId="11" applyFont="1" applyFill="1" applyBorder="1"/>
    <xf numFmtId="164" fontId="37" fillId="0" borderId="4" xfId="11" applyNumberFormat="1" applyFont="1" applyBorder="1"/>
    <xf numFmtId="165" fontId="37" fillId="0" borderId="0" xfId="11" applyNumberFormat="1" applyFont="1" applyAlignment="1">
      <alignment horizontal="center"/>
    </xf>
    <xf numFmtId="0" fontId="37" fillId="0" borderId="5" xfId="11" applyFont="1" applyBorder="1"/>
    <xf numFmtId="164" fontId="37" fillId="0" borderId="37" xfId="11" applyNumberFormat="1" applyFont="1" applyBorder="1"/>
    <xf numFmtId="164" fontId="37" fillId="14" borderId="4" xfId="11" applyNumberFormat="1" applyFont="1" applyFill="1" applyBorder="1"/>
    <xf numFmtId="2" fontId="37" fillId="14" borderId="0" xfId="11" applyNumberFormat="1" applyFont="1" applyFill="1" applyAlignment="1">
      <alignment horizontal="center"/>
    </xf>
    <xf numFmtId="165" fontId="37" fillId="14" borderId="0" xfId="11" applyNumberFormat="1" applyFont="1" applyFill="1" applyAlignment="1">
      <alignment horizontal="center"/>
    </xf>
    <xf numFmtId="0" fontId="37" fillId="14" borderId="0" xfId="11" applyFont="1" applyFill="1" applyAlignment="1">
      <alignment horizontal="center"/>
    </xf>
    <xf numFmtId="2" fontId="37" fillId="0" borderId="0" xfId="11" applyNumberFormat="1" applyFont="1" applyAlignment="1">
      <alignment horizontal="center"/>
    </xf>
    <xf numFmtId="0" fontId="37" fillId="0" borderId="0" xfId="11" applyFont="1" applyAlignment="1">
      <alignment horizontal="center"/>
    </xf>
    <xf numFmtId="165" fontId="37" fillId="0" borderId="20" xfId="11" applyNumberFormat="1" applyFont="1" applyBorder="1" applyAlignment="1">
      <alignment horizontal="center"/>
    </xf>
    <xf numFmtId="0" fontId="42" fillId="0" borderId="65" xfId="11" applyFont="1" applyBorder="1" applyAlignment="1">
      <alignment horizontal="center"/>
    </xf>
    <xf numFmtId="0" fontId="42" fillId="0" borderId="11" xfId="11" applyFont="1" applyBorder="1" applyAlignment="1">
      <alignment horizontal="center"/>
    </xf>
    <xf numFmtId="0" fontId="42" fillId="0" borderId="11" xfId="11" applyFont="1" applyBorder="1" applyAlignment="1">
      <alignment horizontal="center" vertical="center" wrapText="1"/>
    </xf>
    <xf numFmtId="0" fontId="42" fillId="0" borderId="66" xfId="11" applyFont="1" applyBorder="1" applyAlignment="1">
      <alignment wrapText="1"/>
    </xf>
    <xf numFmtId="0" fontId="42" fillId="12" borderId="9" xfId="11" applyFont="1" applyFill="1" applyBorder="1" applyAlignment="1">
      <alignment horizontal="center"/>
    </xf>
    <xf numFmtId="0" fontId="42" fillId="12" borderId="10" xfId="11" applyFont="1" applyFill="1" applyBorder="1" applyAlignment="1">
      <alignment horizontal="center"/>
    </xf>
    <xf numFmtId="0" fontId="42" fillId="12" borderId="12" xfId="11" applyFont="1" applyFill="1" applyBorder="1" applyAlignment="1">
      <alignment horizontal="center"/>
    </xf>
    <xf numFmtId="2" fontId="29" fillId="0" borderId="0" xfId="11" applyNumberFormat="1" applyFont="1"/>
    <xf numFmtId="164" fontId="39" fillId="3" borderId="1" xfId="11" applyNumberFormat="1" applyFont="1" applyFill="1" applyBorder="1"/>
    <xf numFmtId="0" fontId="39" fillId="0" borderId="2" xfId="11" applyFont="1" applyBorder="1"/>
    <xf numFmtId="0" fontId="39" fillId="0" borderId="41" xfId="11" applyFont="1" applyBorder="1"/>
    <xf numFmtId="10" fontId="39" fillId="0" borderId="41" xfId="0" applyNumberFormat="1" applyFont="1" applyBorder="1" applyAlignment="1">
      <alignment horizontal="center"/>
    </xf>
    <xf numFmtId="0" fontId="39" fillId="0" borderId="41" xfId="0" applyFont="1" applyBorder="1"/>
    <xf numFmtId="166" fontId="39" fillId="0" borderId="41" xfId="0" applyNumberFormat="1" applyFont="1" applyBorder="1" applyAlignment="1">
      <alignment horizontal="center"/>
    </xf>
    <xf numFmtId="168" fontId="39" fillId="0" borderId="4" xfId="0" applyNumberFormat="1" applyFont="1" applyBorder="1"/>
    <xf numFmtId="166" fontId="29" fillId="0" borderId="0" xfId="0" applyNumberFormat="1" applyFont="1" applyAlignment="1">
      <alignment horizontal="center"/>
    </xf>
    <xf numFmtId="0" fontId="39" fillId="0" borderId="5" xfId="19" applyFont="1" applyBorder="1" applyAlignment="1">
      <alignment wrapText="1"/>
    </xf>
    <xf numFmtId="0" fontId="29" fillId="14" borderId="4" xfId="11" applyFont="1" applyFill="1" applyBorder="1"/>
    <xf numFmtId="0" fontId="29" fillId="14" borderId="0" xfId="11" applyFont="1" applyFill="1"/>
    <xf numFmtId="0" fontId="29" fillId="14" borderId="5" xfId="11" applyFont="1" applyFill="1" applyBorder="1"/>
    <xf numFmtId="10" fontId="29" fillId="0" borderId="0" xfId="3" applyNumberFormat="1" applyFont="1" applyBorder="1"/>
    <xf numFmtId="0" fontId="29" fillId="0" borderId="47" xfId="11" applyFont="1" applyBorder="1"/>
    <xf numFmtId="0" fontId="29" fillId="0" borderId="20" xfId="11" applyFont="1" applyBorder="1"/>
    <xf numFmtId="0" fontId="39" fillId="0" borderId="48" xfId="11" applyFont="1" applyBorder="1"/>
    <xf numFmtId="0" fontId="29" fillId="0" borderId="0" xfId="0" applyFont="1" applyAlignment="1">
      <alignment horizontal="left"/>
    </xf>
    <xf numFmtId="168" fontId="39" fillId="0" borderId="47" xfId="0" applyNumberFormat="1" applyFont="1" applyBorder="1"/>
    <xf numFmtId="10" fontId="39" fillId="0" borderId="20" xfId="3" applyNumberFormat="1" applyFont="1" applyBorder="1"/>
    <xf numFmtId="0" fontId="39" fillId="0" borderId="48" xfId="0" applyFont="1" applyBorder="1" applyAlignment="1">
      <alignment horizontal="left"/>
    </xf>
    <xf numFmtId="6" fontId="29" fillId="0" borderId="7" xfId="0" applyNumberFormat="1" applyFont="1" applyBorder="1"/>
    <xf numFmtId="10" fontId="29" fillId="0" borderId="7" xfId="0" applyNumberFormat="1" applyFont="1" applyBorder="1"/>
    <xf numFmtId="0" fontId="29" fillId="0" borderId="8" xfId="19" applyFont="1" applyBorder="1" applyAlignment="1">
      <alignment wrapText="1"/>
    </xf>
    <xf numFmtId="3" fontId="39" fillId="0" borderId="17" xfId="0" applyNumberFormat="1" applyFont="1" applyBorder="1" applyAlignment="1">
      <alignment horizontal="center"/>
    </xf>
    <xf numFmtId="0" fontId="39" fillId="0" borderId="17" xfId="0" applyFont="1" applyBorder="1" applyAlignment="1">
      <alignment wrapText="1"/>
    </xf>
    <xf numFmtId="168" fontId="39" fillId="0" borderId="47" xfId="11" applyNumberFormat="1" applyFont="1" applyBorder="1"/>
    <xf numFmtId="43" fontId="39" fillId="0" borderId="20" xfId="1" applyFont="1" applyBorder="1" applyAlignment="1">
      <alignment horizontal="center"/>
    </xf>
    <xf numFmtId="0" fontId="39" fillId="0" borderId="20" xfId="11" applyFont="1" applyBorder="1"/>
    <xf numFmtId="3" fontId="29" fillId="10" borderId="17" xfId="0" applyNumberFormat="1" applyFont="1" applyFill="1" applyBorder="1" applyAlignment="1">
      <alignment horizontal="center"/>
    </xf>
    <xf numFmtId="0" fontId="29" fillId="0" borderId="17" xfId="0" applyFont="1" applyBorder="1" applyAlignment="1">
      <alignment wrapText="1"/>
    </xf>
    <xf numFmtId="0" fontId="29" fillId="0" borderId="17" xfId="0" applyFont="1" applyBorder="1" applyAlignment="1">
      <alignment vertical="center" wrapText="1"/>
    </xf>
    <xf numFmtId="3" fontId="39" fillId="0" borderId="17" xfId="0" applyNumberFormat="1" applyFont="1" applyBorder="1" applyAlignment="1">
      <alignment wrapText="1"/>
    </xf>
    <xf numFmtId="3" fontId="39" fillId="0" borderId="65" xfId="0" applyNumberFormat="1" applyFont="1" applyBorder="1" applyAlignment="1">
      <alignment horizontal="center"/>
    </xf>
    <xf numFmtId="0" fontId="39" fillId="0" borderId="11" xfId="0" applyFont="1" applyBorder="1" applyAlignment="1">
      <alignment horizontal="center"/>
    </xf>
    <xf numFmtId="3" fontId="29" fillId="0" borderId="11" xfId="0" applyNumberFormat="1" applyFont="1" applyBorder="1" applyAlignment="1">
      <alignment horizontal="center"/>
    </xf>
    <xf numFmtId="0" fontId="29" fillId="0" borderId="66" xfId="0" applyFont="1" applyBorder="1" applyAlignment="1">
      <alignment horizontal="center"/>
    </xf>
    <xf numFmtId="0" fontId="39" fillId="12" borderId="17" xfId="0" applyFont="1" applyFill="1" applyBorder="1" applyAlignment="1">
      <alignment horizontal="center"/>
    </xf>
    <xf numFmtId="2" fontId="29" fillId="0" borderId="0" xfId="23" applyNumberFormat="1" applyFont="1" applyFill="1" applyBorder="1"/>
    <xf numFmtId="2" fontId="29" fillId="0" borderId="0" xfId="11" applyNumberFormat="1" applyFont="1" applyAlignment="1">
      <alignment horizontal="center"/>
    </xf>
    <xf numFmtId="0" fontId="29" fillId="0" borderId="0" xfId="11" applyFont="1" applyAlignment="1">
      <alignment horizontal="left"/>
    </xf>
    <xf numFmtId="2" fontId="39" fillId="0" borderId="0" xfId="11" applyNumberFormat="1" applyFont="1"/>
    <xf numFmtId="0" fontId="39" fillId="0" borderId="0" xfId="11" applyFont="1"/>
    <xf numFmtId="0" fontId="18" fillId="0" borderId="0" xfId="11"/>
    <xf numFmtId="0" fontId="54" fillId="0" borderId="0" xfId="11" applyFont="1"/>
    <xf numFmtId="0" fontId="37" fillId="0" borderId="3" xfId="11" applyFont="1" applyBorder="1" applyAlignment="1">
      <alignment horizontal="left"/>
    </xf>
    <xf numFmtId="0" fontId="37" fillId="0" borderId="5" xfId="11" applyFont="1" applyBorder="1" applyAlignment="1">
      <alignment horizontal="left"/>
    </xf>
    <xf numFmtId="164" fontId="42" fillId="3" borderId="1" xfId="11" applyNumberFormat="1" applyFont="1" applyFill="1" applyBorder="1"/>
    <xf numFmtId="0" fontId="42" fillId="0" borderId="2" xfId="11" applyFont="1" applyBorder="1"/>
    <xf numFmtId="164" fontId="42" fillId="3" borderId="4" xfId="11" applyNumberFormat="1" applyFont="1" applyFill="1" applyBorder="1"/>
    <xf numFmtId="164" fontId="42" fillId="3" borderId="47" xfId="11" applyNumberFormat="1" applyFont="1" applyFill="1" applyBorder="1"/>
    <xf numFmtId="0" fontId="42" fillId="0" borderId="20" xfId="11" applyFont="1" applyBorder="1"/>
    <xf numFmtId="0" fontId="37" fillId="0" borderId="48" xfId="11" applyFont="1" applyBorder="1" applyAlignment="1">
      <alignment horizontal="left"/>
    </xf>
    <xf numFmtId="37" fontId="29" fillId="0" borderId="0" xfId="0" applyNumberFormat="1" applyFont="1"/>
    <xf numFmtId="0" fontId="54" fillId="0" borderId="37" xfId="11" applyFont="1" applyBorder="1"/>
    <xf numFmtId="0" fontId="54" fillId="0" borderId="41" xfId="11" applyFont="1" applyBorder="1"/>
    <xf numFmtId="0" fontId="54" fillId="0" borderId="49" xfId="11" applyFont="1" applyBorder="1"/>
    <xf numFmtId="0" fontId="53" fillId="0" borderId="49" xfId="11" applyFont="1" applyBorder="1"/>
    <xf numFmtId="2" fontId="37" fillId="0" borderId="0" xfId="11" applyNumberFormat="1" applyFont="1"/>
    <xf numFmtId="0" fontId="54" fillId="14" borderId="6" xfId="11" applyFont="1" applyFill="1" applyBorder="1"/>
    <xf numFmtId="0" fontId="54" fillId="14" borderId="7" xfId="11" applyFont="1" applyFill="1" applyBorder="1"/>
    <xf numFmtId="168" fontId="49" fillId="14" borderId="8" xfId="0" applyNumberFormat="1" applyFont="1" applyFill="1" applyBorder="1" applyAlignment="1">
      <alignment horizontal="left"/>
    </xf>
    <xf numFmtId="0" fontId="54" fillId="14" borderId="4" xfId="11" applyFont="1" applyFill="1" applyBorder="1"/>
    <xf numFmtId="0" fontId="54" fillId="14" borderId="0" xfId="11" applyFont="1" applyFill="1"/>
    <xf numFmtId="10" fontId="37" fillId="0" borderId="0" xfId="11" applyNumberFormat="1" applyFont="1"/>
    <xf numFmtId="0" fontId="42" fillId="0" borderId="70" xfId="0" applyFont="1" applyBorder="1" applyAlignment="1">
      <alignment wrapText="1"/>
    </xf>
    <xf numFmtId="0" fontId="42" fillId="0" borderId="69" xfId="0" applyFont="1" applyBorder="1" applyAlignment="1">
      <alignment wrapText="1"/>
    </xf>
    <xf numFmtId="43" fontId="37" fillId="0" borderId="0" xfId="1" applyFont="1"/>
    <xf numFmtId="0" fontId="37" fillId="0" borderId="36" xfId="0" applyFont="1" applyBorder="1" applyAlignment="1">
      <alignment wrapText="1"/>
    </xf>
    <xf numFmtId="0" fontId="54" fillId="0" borderId="47" xfId="11" applyFont="1" applyBorder="1"/>
    <xf numFmtId="0" fontId="54" fillId="0" borderId="20" xfId="11" applyFont="1" applyBorder="1"/>
    <xf numFmtId="0" fontId="37" fillId="0" borderId="36" xfId="0" applyFont="1" applyBorder="1" applyAlignment="1">
      <alignment vertical="center" wrapText="1"/>
    </xf>
    <xf numFmtId="9" fontId="37" fillId="0" borderId="0" xfId="11" applyNumberFormat="1" applyFont="1"/>
    <xf numFmtId="0" fontId="37" fillId="0" borderId="71" xfId="0" applyFont="1" applyBorder="1" applyAlignment="1">
      <alignment wrapText="1"/>
    </xf>
    <xf numFmtId="3" fontId="42" fillId="0" borderId="69" xfId="0" applyNumberFormat="1" applyFont="1" applyBorder="1" applyAlignment="1">
      <alignment wrapText="1"/>
    </xf>
    <xf numFmtId="168" fontId="37" fillId="0" borderId="37" xfId="0" applyNumberFormat="1" applyFont="1" applyBorder="1"/>
    <xf numFmtId="168" fontId="29" fillId="0" borderId="41" xfId="0" applyNumberFormat="1" applyFont="1" applyBorder="1"/>
    <xf numFmtId="0" fontId="42" fillId="12" borderId="56" xfId="0" applyFont="1" applyFill="1" applyBorder="1" applyAlignment="1">
      <alignment horizontal="center" wrapText="1"/>
    </xf>
    <xf numFmtId="0" fontId="42" fillId="12" borderId="69" xfId="0" applyFont="1" applyFill="1" applyBorder="1" applyAlignment="1">
      <alignment horizontal="center"/>
    </xf>
    <xf numFmtId="168" fontId="36" fillId="0" borderId="48" xfId="0" applyNumberFormat="1" applyFont="1" applyBorder="1" applyAlignment="1">
      <alignment horizontal="left"/>
    </xf>
    <xf numFmtId="168" fontId="37" fillId="14" borderId="6" xfId="0" applyNumberFormat="1" applyFont="1" applyFill="1" applyBorder="1"/>
    <xf numFmtId="4" fontId="37" fillId="14" borderId="7" xfId="18" applyNumberFormat="1" applyFont="1" applyFill="1" applyBorder="1" applyAlignment="1">
      <alignment horizontal="center"/>
    </xf>
    <xf numFmtId="6" fontId="49" fillId="14" borderId="7" xfId="0" applyNumberFormat="1" applyFont="1" applyFill="1" applyBorder="1"/>
    <xf numFmtId="44" fontId="18" fillId="0" borderId="0" xfId="11" applyNumberFormat="1"/>
    <xf numFmtId="4" fontId="19" fillId="0" borderId="0" xfId="11" applyNumberFormat="1" applyFont="1"/>
    <xf numFmtId="10" fontId="54" fillId="0" borderId="0" xfId="3" applyNumberFormat="1" applyFont="1" applyAlignment="1">
      <alignment horizontal="left"/>
    </xf>
    <xf numFmtId="4" fontId="18" fillId="0" borderId="0" xfId="11" applyNumberFormat="1"/>
    <xf numFmtId="10" fontId="18" fillId="0" borderId="0" xfId="11" applyNumberFormat="1"/>
    <xf numFmtId="168" fontId="42" fillId="0" borderId="47" xfId="0" applyNumberFormat="1" applyFont="1" applyBorder="1" applyAlignment="1">
      <alignment horizontal="right"/>
    </xf>
    <xf numFmtId="1" fontId="42" fillId="0" borderId="20" xfId="0" applyNumberFormat="1" applyFont="1" applyBorder="1" applyAlignment="1">
      <alignment horizontal="center"/>
    </xf>
    <xf numFmtId="0" fontId="42" fillId="0" borderId="20" xfId="0" applyFont="1" applyBorder="1" applyAlignment="1">
      <alignment horizontal="center"/>
    </xf>
    <xf numFmtId="0" fontId="37" fillId="0" borderId="48" xfId="0" applyFont="1" applyBorder="1"/>
    <xf numFmtId="3" fontId="42" fillId="0" borderId="65" xfId="0" applyNumberFormat="1" applyFont="1" applyBorder="1" applyAlignment="1">
      <alignment horizontal="center"/>
    </xf>
    <xf numFmtId="0" fontId="42" fillId="0" borderId="11" xfId="0" applyFont="1" applyBorder="1" applyAlignment="1">
      <alignment horizontal="center"/>
    </xf>
    <xf numFmtId="3" fontId="37" fillId="0" borderId="11" xfId="0" applyNumberFormat="1" applyFont="1" applyBorder="1" applyAlignment="1">
      <alignment horizontal="center"/>
    </xf>
    <xf numFmtId="0" fontId="37" fillId="0" borderId="66" xfId="0" applyFont="1" applyBorder="1" applyAlignment="1">
      <alignment horizontal="center"/>
    </xf>
    <xf numFmtId="0" fontId="42" fillId="12" borderId="9" xfId="0" applyFont="1" applyFill="1" applyBorder="1" applyAlignment="1">
      <alignment horizontal="center" vertical="center"/>
    </xf>
    <xf numFmtId="0" fontId="42" fillId="12" borderId="10" xfId="0" applyFont="1" applyFill="1" applyBorder="1" applyAlignment="1">
      <alignment horizontal="center" vertical="center"/>
    </xf>
    <xf numFmtId="0" fontId="42" fillId="12" borderId="12" xfId="0" applyFont="1" applyFill="1" applyBorder="1" applyAlignment="1">
      <alignment horizontal="center" vertical="center"/>
    </xf>
    <xf numFmtId="0" fontId="37" fillId="0" borderId="0" xfId="11" applyFont="1" applyAlignment="1">
      <alignment horizontal="left"/>
    </xf>
    <xf numFmtId="0" fontId="55" fillId="0" borderId="0" xfId="11" applyFont="1" applyAlignment="1">
      <alignment horizontal="left"/>
    </xf>
    <xf numFmtId="0" fontId="18" fillId="0" borderId="0" xfId="11" applyAlignment="1">
      <alignment horizontal="left"/>
    </xf>
    <xf numFmtId="0" fontId="37" fillId="0" borderId="0" xfId="11" applyFont="1" applyAlignment="1">
      <alignment horizontal="center" vertical="center"/>
    </xf>
    <xf numFmtId="164" fontId="42" fillId="3" borderId="25" xfId="11" applyNumberFormat="1" applyFont="1" applyFill="1" applyBorder="1"/>
    <xf numFmtId="0" fontId="37" fillId="0" borderId="26" xfId="11" applyFont="1" applyBorder="1"/>
    <xf numFmtId="0" fontId="37" fillId="0" borderId="27" xfId="11" applyFont="1" applyBorder="1"/>
    <xf numFmtId="6" fontId="42" fillId="0" borderId="9" xfId="0" applyNumberFormat="1" applyFont="1" applyBorder="1"/>
    <xf numFmtId="0" fontId="39" fillId="0" borderId="12" xfId="0" applyFont="1" applyBorder="1"/>
    <xf numFmtId="0" fontId="37" fillId="0" borderId="0" xfId="0" applyFont="1" applyAlignment="1">
      <alignment horizontal="center" vertical="center"/>
    </xf>
    <xf numFmtId="8" fontId="37" fillId="0" borderId="1" xfId="0" applyNumberFormat="1" applyFont="1" applyBorder="1"/>
    <xf numFmtId="0" fontId="37" fillId="0" borderId="2" xfId="0" applyFont="1" applyBorder="1"/>
    <xf numFmtId="10" fontId="49" fillId="0" borderId="2" xfId="0" applyNumberFormat="1" applyFont="1" applyBorder="1"/>
    <xf numFmtId="0" fontId="0" fillId="0" borderId="3" xfId="0" applyBorder="1" applyAlignment="1">
      <alignment wrapText="1"/>
    </xf>
    <xf numFmtId="8" fontId="37" fillId="0" borderId="47" xfId="0" applyNumberFormat="1" applyFont="1" applyBorder="1"/>
    <xf numFmtId="0" fontId="37" fillId="0" borderId="20" xfId="0" applyFont="1" applyBorder="1"/>
    <xf numFmtId="0" fontId="37" fillId="0" borderId="41" xfId="0" applyFont="1" applyBorder="1"/>
    <xf numFmtId="0" fontId="37" fillId="0" borderId="47" xfId="0" applyFont="1" applyBorder="1"/>
    <xf numFmtId="6" fontId="37" fillId="14" borderId="4" xfId="0" applyNumberFormat="1" applyFont="1" applyFill="1" applyBorder="1"/>
    <xf numFmtId="0" fontId="37" fillId="14" borderId="0" xfId="0" applyFont="1" applyFill="1"/>
    <xf numFmtId="0" fontId="37" fillId="0" borderId="4" xfId="0" applyFont="1" applyBorder="1"/>
    <xf numFmtId="0" fontId="37" fillId="0" borderId="37" xfId="0" applyFont="1" applyBorder="1"/>
    <xf numFmtId="42" fontId="42" fillId="0" borderId="37" xfId="0" applyNumberFormat="1" applyFont="1" applyBorder="1"/>
    <xf numFmtId="171" fontId="37" fillId="0" borderId="37" xfId="0" applyNumberFormat="1" applyFont="1" applyBorder="1"/>
    <xf numFmtId="4" fontId="37" fillId="0" borderId="41" xfId="0" applyNumberFormat="1" applyFont="1" applyBorder="1"/>
    <xf numFmtId="42" fontId="37" fillId="14" borderId="4" xfId="21" applyNumberFormat="1" applyFont="1" applyFill="1" applyBorder="1"/>
    <xf numFmtId="44" fontId="37" fillId="0" borderId="0" xfId="2" applyFont="1"/>
    <xf numFmtId="42" fontId="37" fillId="0" borderId="4" xfId="21" applyNumberFormat="1" applyFont="1" applyBorder="1"/>
    <xf numFmtId="165" fontId="42" fillId="0" borderId="35" xfId="11" applyNumberFormat="1" applyFont="1" applyBorder="1"/>
    <xf numFmtId="0" fontId="42" fillId="0" borderId="17" xfId="11" applyFont="1" applyBorder="1"/>
    <xf numFmtId="0" fontId="37" fillId="0" borderId="36" xfId="11" applyFont="1" applyBorder="1"/>
    <xf numFmtId="174" fontId="42" fillId="0" borderId="35" xfId="1" applyNumberFormat="1" applyFont="1" applyBorder="1"/>
    <xf numFmtId="0" fontId="42" fillId="0" borderId="17" xfId="11" applyFont="1" applyBorder="1" applyAlignment="1">
      <alignment horizontal="center"/>
    </xf>
    <xf numFmtId="174" fontId="42" fillId="0" borderId="63" xfId="1" applyNumberFormat="1" applyFont="1" applyBorder="1"/>
    <xf numFmtId="0" fontId="42" fillId="0" borderId="64" xfId="11" applyFont="1" applyBorder="1"/>
    <xf numFmtId="0" fontId="37" fillId="0" borderId="72" xfId="11" applyFont="1" applyBorder="1"/>
    <xf numFmtId="0" fontId="3" fillId="0" borderId="9" xfId="0" applyFont="1" applyBorder="1" applyAlignment="1">
      <alignment horizontal="center" wrapText="1"/>
    </xf>
    <xf numFmtId="0" fontId="3" fillId="0" borderId="10" xfId="0" applyFont="1" applyBorder="1" applyAlignment="1">
      <alignment horizontal="center" wrapText="1"/>
    </xf>
    <xf numFmtId="0" fontId="42" fillId="28" borderId="12" xfId="11" applyFont="1" applyFill="1" applyBorder="1" applyAlignment="1">
      <alignment horizontal="center" wrapText="1"/>
    </xf>
    <xf numFmtId="0" fontId="56" fillId="0" borderId="25" xfId="11" applyFont="1" applyBorder="1" applyAlignment="1">
      <alignment horizontal="center" vertical="center" wrapText="1"/>
    </xf>
    <xf numFmtId="0" fontId="56" fillId="0" borderId="26" xfId="11" applyFont="1" applyBorder="1" applyAlignment="1">
      <alignment horizontal="center" vertical="center" wrapText="1"/>
    </xf>
    <xf numFmtId="0" fontId="56" fillId="0" borderId="27" xfId="11" applyFont="1" applyBorder="1" applyAlignment="1">
      <alignment horizontal="center" vertical="center" wrapText="1"/>
    </xf>
    <xf numFmtId="0" fontId="43" fillId="0" borderId="0" xfId="0" applyFont="1" applyAlignment="1">
      <alignment vertical="center" wrapText="1"/>
    </xf>
    <xf numFmtId="44" fontId="37" fillId="0" borderId="0" xfId="0" applyNumberFormat="1" applyFont="1"/>
    <xf numFmtId="8" fontId="37" fillId="3" borderId="50" xfId="0" applyNumberFormat="1" applyFont="1" applyFill="1" applyBorder="1"/>
    <xf numFmtId="0" fontId="37" fillId="0" borderId="26" xfId="0" applyFont="1" applyBorder="1"/>
    <xf numFmtId="173" fontId="37" fillId="0" borderId="27" xfId="21" applyNumberFormat="1" applyFont="1" applyBorder="1"/>
    <xf numFmtId="6" fontId="37" fillId="0" borderId="67" xfId="0" applyNumberFormat="1" applyFont="1" applyBorder="1"/>
    <xf numFmtId="0" fontId="37" fillId="0" borderId="58" xfId="0" applyFont="1" applyBorder="1"/>
    <xf numFmtId="0" fontId="39" fillId="0" borderId="59" xfId="0" applyFont="1" applyBorder="1"/>
    <xf numFmtId="8" fontId="37" fillId="0" borderId="6" xfId="0" applyNumberFormat="1" applyFont="1" applyBorder="1"/>
    <xf numFmtId="0" fontId="37" fillId="0" borderId="7" xfId="0" applyFont="1" applyBorder="1"/>
    <xf numFmtId="8" fontId="49" fillId="14" borderId="0" xfId="0" applyNumberFormat="1" applyFont="1" applyFill="1"/>
    <xf numFmtId="8" fontId="49" fillId="0" borderId="0" xfId="0" applyNumberFormat="1" applyFont="1"/>
    <xf numFmtId="0" fontId="37" fillId="0" borderId="6" xfId="21" applyFont="1" applyBorder="1" applyAlignment="1">
      <alignment horizontal="center"/>
    </xf>
    <xf numFmtId="0" fontId="37" fillId="0" borderId="7" xfId="21" applyFont="1" applyBorder="1" applyAlignment="1">
      <alignment horizontal="center"/>
    </xf>
    <xf numFmtId="0" fontId="37" fillId="0" borderId="8" xfId="21" applyFont="1" applyBorder="1"/>
    <xf numFmtId="3" fontId="42" fillId="0" borderId="9" xfId="21" applyNumberFormat="1" applyFont="1" applyBorder="1" applyAlignment="1">
      <alignment horizontal="center"/>
    </xf>
    <xf numFmtId="0" fontId="42" fillId="0" borderId="10" xfId="21" applyFont="1" applyBorder="1"/>
    <xf numFmtId="0" fontId="42" fillId="0" borderId="10" xfId="21" applyFont="1" applyBorder="1" applyAlignment="1">
      <alignment horizontal="center" vertical="center"/>
    </xf>
    <xf numFmtId="0" fontId="42" fillId="0" borderId="12" xfId="21" applyFont="1" applyBorder="1"/>
    <xf numFmtId="0" fontId="42" fillId="12" borderId="25" xfId="21" applyFont="1" applyFill="1" applyBorder="1" applyAlignment="1">
      <alignment horizontal="center"/>
    </xf>
    <xf numFmtId="0" fontId="42" fillId="12" borderId="26" xfId="21" applyFont="1" applyFill="1" applyBorder="1" applyAlignment="1">
      <alignment horizontal="center"/>
    </xf>
    <xf numFmtId="0" fontId="42" fillId="12" borderId="27" xfId="21" applyFont="1" applyFill="1" applyBorder="1" applyAlignment="1">
      <alignment horizontal="center"/>
    </xf>
    <xf numFmtId="164" fontId="42" fillId="0" borderId="0" xfId="0" applyNumberFormat="1" applyFont="1"/>
    <xf numFmtId="168" fontId="37" fillId="0" borderId="0" xfId="0" applyNumberFormat="1" applyFont="1"/>
    <xf numFmtId="168" fontId="42" fillId="0" borderId="0" xfId="0" applyNumberFormat="1" applyFont="1"/>
    <xf numFmtId="10" fontId="42" fillId="0" borderId="0" xfId="0" applyNumberFormat="1" applyFont="1"/>
    <xf numFmtId="9" fontId="42" fillId="0" borderId="0" xfId="0" applyNumberFormat="1" applyFont="1"/>
    <xf numFmtId="9" fontId="42" fillId="0" borderId="0" xfId="3" applyFont="1" applyBorder="1"/>
    <xf numFmtId="166" fontId="37" fillId="0" borderId="0" xfId="0" applyNumberFormat="1" applyFont="1"/>
    <xf numFmtId="10" fontId="37" fillId="0" borderId="0" xfId="0" applyNumberFormat="1" applyFont="1"/>
    <xf numFmtId="166" fontId="37" fillId="0" borderId="0" xfId="3" applyNumberFormat="1" applyFont="1" applyBorder="1"/>
    <xf numFmtId="10" fontId="37" fillId="0" borderId="0" xfId="0" applyNumberFormat="1" applyFont="1" applyAlignment="1">
      <alignment wrapText="1"/>
    </xf>
    <xf numFmtId="1" fontId="37" fillId="0" borderId="0" xfId="0" applyNumberFormat="1" applyFont="1" applyAlignment="1">
      <alignment horizontal="right"/>
    </xf>
    <xf numFmtId="167" fontId="37" fillId="0" borderId="0" xfId="0" applyNumberFormat="1" applyFont="1"/>
    <xf numFmtId="0" fontId="42" fillId="0" borderId="0" xfId="0" applyFont="1" applyAlignment="1">
      <alignment horizontal="left" wrapText="1"/>
    </xf>
    <xf numFmtId="0" fontId="37" fillId="0" borderId="0" xfId="0" applyFont="1" applyAlignment="1">
      <alignment wrapText="1"/>
    </xf>
    <xf numFmtId="173" fontId="42" fillId="3" borderId="0" xfId="0" applyNumberFormat="1" applyFont="1" applyFill="1"/>
    <xf numFmtId="173" fontId="42" fillId="0" borderId="0" xfId="0" applyNumberFormat="1" applyFont="1"/>
    <xf numFmtId="174" fontId="37" fillId="0" borderId="0" xfId="1" applyNumberFormat="1" applyFont="1" applyFill="1" applyBorder="1"/>
    <xf numFmtId="165" fontId="42" fillId="0" borderId="0" xfId="0" applyNumberFormat="1" applyFont="1"/>
    <xf numFmtId="165" fontId="37" fillId="0" borderId="0" xfId="0" applyNumberFormat="1" applyFont="1"/>
    <xf numFmtId="168" fontId="42" fillId="0" borderId="0" xfId="0" applyNumberFormat="1" applyFont="1" applyAlignment="1">
      <alignment horizontal="center"/>
    </xf>
    <xf numFmtId="10" fontId="42" fillId="0" borderId="0" xfId="3" applyNumberFormat="1" applyFont="1" applyBorder="1"/>
    <xf numFmtId="173" fontId="39" fillId="3" borderId="1" xfId="0" applyNumberFormat="1" applyFont="1" applyFill="1" applyBorder="1"/>
    <xf numFmtId="2" fontId="39" fillId="0" borderId="2" xfId="0" applyNumberFormat="1" applyFont="1" applyBorder="1" applyAlignment="1">
      <alignment horizontal="center"/>
    </xf>
    <xf numFmtId="168" fontId="39" fillId="0" borderId="2" xfId="0" applyNumberFormat="1" applyFont="1" applyBorder="1"/>
    <xf numFmtId="173" fontId="39" fillId="0" borderId="0" xfId="0" applyNumberFormat="1" applyFont="1"/>
    <xf numFmtId="2" fontId="39" fillId="10" borderId="0" xfId="0" applyNumberFormat="1" applyFont="1" applyFill="1"/>
    <xf numFmtId="10" fontId="29" fillId="0" borderId="0" xfId="3" applyNumberFormat="1" applyFont="1"/>
    <xf numFmtId="168" fontId="39" fillId="0" borderId="0" xfId="0" applyNumberFormat="1" applyFont="1"/>
    <xf numFmtId="174" fontId="29" fillId="0" borderId="4" xfId="1" applyNumberFormat="1" applyFont="1" applyFill="1" applyBorder="1"/>
    <xf numFmtId="43" fontId="39" fillId="0" borderId="0" xfId="1" applyFont="1" applyFill="1" applyBorder="1" applyAlignment="1">
      <alignment horizontal="center"/>
    </xf>
    <xf numFmtId="164" fontId="29" fillId="0" borderId="5" xfId="0" applyNumberFormat="1" applyFont="1" applyBorder="1"/>
    <xf numFmtId="174" fontId="29" fillId="0" borderId="0" xfId="1" applyNumberFormat="1" applyFont="1" applyFill="1" applyBorder="1"/>
    <xf numFmtId="165" fontId="39" fillId="0" borderId="73" xfId="0" applyNumberFormat="1" applyFont="1" applyBorder="1"/>
    <xf numFmtId="43" fontId="39" fillId="0" borderId="74" xfId="1" applyFont="1" applyFill="1" applyBorder="1" applyAlignment="1">
      <alignment horizontal="center"/>
    </xf>
    <xf numFmtId="164" fontId="39" fillId="0" borderId="74" xfId="0" applyNumberFormat="1" applyFont="1" applyBorder="1"/>
    <xf numFmtId="164" fontId="39" fillId="0" borderId="75" xfId="0" applyNumberFormat="1" applyFont="1" applyBorder="1"/>
    <xf numFmtId="174" fontId="29" fillId="0" borderId="1" xfId="1" applyNumberFormat="1" applyFont="1" applyFill="1" applyBorder="1"/>
    <xf numFmtId="43" fontId="39" fillId="0" borderId="2" xfId="1" applyFont="1" applyFill="1" applyBorder="1" applyAlignment="1">
      <alignment horizontal="center"/>
    </xf>
    <xf numFmtId="164" fontId="39" fillId="0" borderId="2" xfId="0" applyNumberFormat="1" applyFont="1" applyBorder="1"/>
    <xf numFmtId="164" fontId="29" fillId="0" borderId="3" xfId="0" applyNumberFormat="1" applyFont="1" applyBorder="1"/>
    <xf numFmtId="10" fontId="29" fillId="0" borderId="0" xfId="0" applyNumberFormat="1" applyFont="1"/>
    <xf numFmtId="0" fontId="29" fillId="0" borderId="5" xfId="19" applyFont="1" applyBorder="1" applyAlignment="1">
      <alignment wrapText="1"/>
    </xf>
    <xf numFmtId="165" fontId="39" fillId="0" borderId="28" xfId="0" applyNumberFormat="1" applyFont="1" applyBorder="1"/>
    <xf numFmtId="0" fontId="39" fillId="0" borderId="18" xfId="19" applyFont="1" applyBorder="1" applyAlignment="1">
      <alignment wrapText="1"/>
    </xf>
    <xf numFmtId="165" fontId="39" fillId="0" borderId="51" xfId="0" applyNumberFormat="1" applyFont="1" applyBorder="1"/>
    <xf numFmtId="0" fontId="29" fillId="0" borderId="52" xfId="0" applyFont="1" applyBorder="1"/>
    <xf numFmtId="0" fontId="39" fillId="0" borderId="53" xfId="11" applyFont="1" applyBorder="1" applyAlignment="1">
      <alignment wrapText="1"/>
    </xf>
    <xf numFmtId="0" fontId="29" fillId="0" borderId="74" xfId="0" applyFont="1" applyBorder="1"/>
    <xf numFmtId="0" fontId="39" fillId="0" borderId="75" xfId="11" applyFont="1" applyBorder="1" applyAlignment="1">
      <alignment wrapText="1"/>
    </xf>
    <xf numFmtId="6" fontId="49" fillId="0" borderId="74" xfId="0" applyNumberFormat="1" applyFont="1" applyBorder="1"/>
    <xf numFmtId="168" fontId="0" fillId="0" borderId="5" xfId="0" applyNumberFormat="1" applyBorder="1" applyAlignment="1">
      <alignment horizontal="left" wrapText="1"/>
    </xf>
    <xf numFmtId="2" fontId="39" fillId="0" borderId="0" xfId="0" applyNumberFormat="1" applyFont="1" applyAlignment="1">
      <alignment horizontal="center"/>
    </xf>
    <xf numFmtId="171" fontId="29" fillId="0" borderId="0" xfId="2" applyNumberFormat="1" applyFont="1" applyBorder="1"/>
    <xf numFmtId="0" fontId="29" fillId="0" borderId="4" xfId="0" applyFont="1" applyBorder="1"/>
    <xf numFmtId="2" fontId="39" fillId="0" borderId="74" xfId="0" applyNumberFormat="1" applyFont="1" applyBorder="1"/>
    <xf numFmtId="0" fontId="39" fillId="0" borderId="74" xfId="0" applyFont="1" applyBorder="1"/>
    <xf numFmtId="2" fontId="39" fillId="0" borderId="0" xfId="0" applyNumberFormat="1" applyFont="1"/>
    <xf numFmtId="0" fontId="39" fillId="0" borderId="5" xfId="0" applyFont="1" applyBorder="1" applyAlignment="1">
      <alignment horizontal="left"/>
    </xf>
    <xf numFmtId="171" fontId="39" fillId="0" borderId="0" xfId="2" applyNumberFormat="1" applyFont="1" applyBorder="1"/>
    <xf numFmtId="165" fontId="29" fillId="0" borderId="17" xfId="0" applyNumberFormat="1" applyFont="1" applyBorder="1"/>
    <xf numFmtId="10" fontId="29" fillId="0" borderId="17" xfId="0" applyNumberFormat="1" applyFont="1" applyBorder="1"/>
    <xf numFmtId="0" fontId="0" fillId="0" borderId="17" xfId="0" applyBorder="1" applyAlignment="1">
      <alignment wrapText="1"/>
    </xf>
    <xf numFmtId="165" fontId="29" fillId="0" borderId="35" xfId="0" applyNumberFormat="1" applyFont="1" applyBorder="1"/>
    <xf numFmtId="0" fontId="0" fillId="0" borderId="36" xfId="0" applyBorder="1" applyAlignment="1">
      <alignment wrapText="1"/>
    </xf>
    <xf numFmtId="165" fontId="39" fillId="0" borderId="54" xfId="0" applyNumberFormat="1" applyFont="1" applyBorder="1"/>
    <xf numFmtId="2" fontId="39" fillId="0" borderId="55" xfId="0" applyNumberFormat="1" applyFont="1" applyBorder="1"/>
    <xf numFmtId="0" fontId="39" fillId="0" borderId="55" xfId="0" applyFont="1" applyBorder="1"/>
    <xf numFmtId="2" fontId="29" fillId="0" borderId="17" xfId="0" applyNumberFormat="1" applyFont="1" applyBorder="1"/>
    <xf numFmtId="168" fontId="3" fillId="0" borderId="17" xfId="0" applyNumberFormat="1" applyFont="1" applyBorder="1" applyAlignment="1">
      <alignment horizontal="left" wrapText="1"/>
    </xf>
    <xf numFmtId="168" fontId="3" fillId="0" borderId="36" xfId="0" applyNumberFormat="1" applyFont="1" applyBorder="1" applyAlignment="1">
      <alignment horizontal="left" wrapText="1"/>
    </xf>
    <xf numFmtId="165" fontId="29" fillId="0" borderId="60" xfId="0" applyNumberFormat="1" applyFont="1" applyBorder="1"/>
    <xf numFmtId="10" fontId="29" fillId="0" borderId="30" xfId="0" applyNumberFormat="1" applyFont="1" applyBorder="1"/>
    <xf numFmtId="0" fontId="0" fillId="0" borderId="71" xfId="0" applyBorder="1" applyAlignment="1">
      <alignment wrapText="1"/>
    </xf>
    <xf numFmtId="165" fontId="29" fillId="0" borderId="45" xfId="0" applyNumberFormat="1" applyFont="1" applyBorder="1"/>
    <xf numFmtId="10" fontId="29" fillId="0" borderId="31" xfId="0" applyNumberFormat="1" applyFont="1" applyBorder="1"/>
    <xf numFmtId="0" fontId="0" fillId="0" borderId="76" xfId="0" applyBorder="1" applyAlignment="1">
      <alignment wrapText="1"/>
    </xf>
    <xf numFmtId="173" fontId="42" fillId="3" borderId="1" xfId="0" applyNumberFormat="1" applyFont="1" applyFill="1" applyBorder="1" applyAlignment="1">
      <alignment horizontal="center"/>
    </xf>
    <xf numFmtId="0" fontId="37" fillId="0" borderId="3" xfId="0" applyFont="1" applyBorder="1"/>
    <xf numFmtId="168" fontId="29" fillId="14" borderId="4" xfId="0" applyNumberFormat="1" applyFont="1" applyFill="1" applyBorder="1"/>
    <xf numFmtId="2" fontId="29" fillId="14" borderId="0" xfId="0" applyNumberFormat="1" applyFont="1" applyFill="1" applyAlignment="1">
      <alignment horizontal="center"/>
    </xf>
    <xf numFmtId="6" fontId="29" fillId="14" borderId="0" xfId="0" applyNumberFormat="1" applyFont="1" applyFill="1"/>
    <xf numFmtId="167" fontId="29" fillId="14" borderId="5" xfId="0" applyNumberFormat="1" applyFont="1" applyFill="1" applyBorder="1"/>
    <xf numFmtId="2" fontId="29" fillId="0" borderId="17" xfId="3" applyNumberFormat="1" applyFont="1" applyBorder="1"/>
    <xf numFmtId="168" fontId="42" fillId="0" borderId="35" xfId="13" applyNumberFormat="1" applyFont="1" applyBorder="1"/>
    <xf numFmtId="10" fontId="52" fillId="0" borderId="67" xfId="3" applyNumberFormat="1" applyFont="1" applyFill="1" applyBorder="1"/>
    <xf numFmtId="173" fontId="42" fillId="3" borderId="4" xfId="0" applyNumberFormat="1" applyFont="1" applyFill="1" applyBorder="1" applyAlignment="1">
      <alignment horizontal="center"/>
    </xf>
    <xf numFmtId="6" fontId="0" fillId="14" borderId="0" xfId="0" applyNumberFormat="1" applyFill="1"/>
    <xf numFmtId="2" fontId="29" fillId="0" borderId="0" xfId="13" applyNumberFormat="1" applyFont="1"/>
    <xf numFmtId="6" fontId="0" fillId="0" borderId="0" xfId="0" applyNumberFormat="1"/>
    <xf numFmtId="167" fontId="29" fillId="0" borderId="5" xfId="0" applyNumberFormat="1" applyFont="1" applyBorder="1"/>
    <xf numFmtId="7" fontId="42" fillId="3" borderId="4" xfId="6" applyNumberFormat="1" applyFont="1" applyFill="1" applyBorder="1" applyAlignment="1">
      <alignment horizontal="center"/>
    </xf>
    <xf numFmtId="168" fontId="29" fillId="0" borderId="5" xfId="0" applyNumberFormat="1" applyFont="1" applyBorder="1"/>
    <xf numFmtId="164" fontId="37" fillId="0" borderId="0" xfId="0" applyNumberFormat="1" applyFont="1"/>
    <xf numFmtId="168" fontId="39" fillId="0" borderId="4" xfId="0" applyNumberFormat="1" applyFont="1" applyBorder="1" applyAlignment="1">
      <alignment horizontal="center"/>
    </xf>
    <xf numFmtId="0" fontId="42" fillId="0" borderId="9" xfId="6" applyFont="1" applyBorder="1" applyAlignment="1">
      <alignment horizontal="center" wrapText="1"/>
    </xf>
    <xf numFmtId="0" fontId="42" fillId="0" borderId="10" xfId="6" applyFont="1" applyBorder="1" applyAlignment="1">
      <alignment horizontal="center" wrapText="1"/>
    </xf>
    <xf numFmtId="0" fontId="37" fillId="0" borderId="12" xfId="6" applyFont="1" applyBorder="1"/>
    <xf numFmtId="0" fontId="39" fillId="29" borderId="25" xfId="0" applyFont="1" applyFill="1" applyBorder="1" applyAlignment="1">
      <alignment horizontal="center"/>
    </xf>
    <xf numFmtId="0" fontId="39" fillId="29" borderId="26" xfId="0" applyFont="1" applyFill="1" applyBorder="1" applyAlignment="1">
      <alignment horizontal="center"/>
    </xf>
    <xf numFmtId="0" fontId="39" fillId="29" borderId="27" xfId="0" applyFont="1" applyFill="1" applyBorder="1" applyAlignment="1">
      <alignment horizontal="center"/>
    </xf>
    <xf numFmtId="0" fontId="29" fillId="29" borderId="25" xfId="0" applyFont="1" applyFill="1" applyBorder="1" applyAlignment="1">
      <alignment horizontal="center"/>
    </xf>
    <xf numFmtId="0" fontId="29" fillId="29" borderId="26" xfId="0" applyFont="1" applyFill="1" applyBorder="1" applyAlignment="1">
      <alignment horizontal="center"/>
    </xf>
    <xf numFmtId="164" fontId="29" fillId="3" borderId="32" xfId="0" applyNumberFormat="1" applyFont="1" applyFill="1" applyBorder="1"/>
    <xf numFmtId="164" fontId="29" fillId="0" borderId="33" xfId="0" applyNumberFormat="1" applyFont="1" applyBorder="1" applyAlignment="1">
      <alignment horizontal="left"/>
    </xf>
    <xf numFmtId="0" fontId="29" fillId="0" borderId="34" xfId="0" applyFont="1" applyBorder="1"/>
    <xf numFmtId="17" fontId="39" fillId="0" borderId="25" xfId="0" applyNumberFormat="1" applyFont="1" applyBorder="1" applyAlignment="1">
      <alignment horizontal="right"/>
    </xf>
    <xf numFmtId="17" fontId="39" fillId="0" borderId="26" xfId="0" applyNumberFormat="1" applyFont="1" applyBorder="1"/>
    <xf numFmtId="0" fontId="39" fillId="0" borderId="27" xfId="0" applyFont="1" applyBorder="1"/>
    <xf numFmtId="174" fontId="39" fillId="3" borderId="1" xfId="1" applyNumberFormat="1" applyFont="1" applyFill="1" applyBorder="1"/>
    <xf numFmtId="6" fontId="0" fillId="0" borderId="4" xfId="0" applyNumberFormat="1" applyBorder="1"/>
    <xf numFmtId="165" fontId="29" fillId="0" borderId="4" xfId="13" applyNumberFormat="1" applyFont="1" applyBorder="1"/>
    <xf numFmtId="0" fontId="29" fillId="0" borderId="0" xfId="13" applyFont="1"/>
    <xf numFmtId="165" fontId="39" fillId="0" borderId="73" xfId="13" applyNumberFormat="1" applyFont="1" applyBorder="1"/>
    <xf numFmtId="0" fontId="29" fillId="0" borderId="74" xfId="13" applyFont="1" applyBorder="1"/>
    <xf numFmtId="165" fontId="0" fillId="0" borderId="37" xfId="0" applyNumberFormat="1" applyBorder="1"/>
    <xf numFmtId="0" fontId="29" fillId="0" borderId="41" xfId="13" applyFont="1" applyBorder="1"/>
    <xf numFmtId="165" fontId="29" fillId="0" borderId="47" xfId="13" applyNumberFormat="1" applyFont="1" applyBorder="1"/>
    <xf numFmtId="2" fontId="29" fillId="0" borderId="41" xfId="13" applyNumberFormat="1" applyFont="1" applyBorder="1"/>
    <xf numFmtId="0" fontId="29" fillId="0" borderId="20" xfId="13" applyFont="1" applyBorder="1"/>
    <xf numFmtId="168" fontId="3" fillId="0" borderId="48" xfId="0" applyNumberFormat="1" applyFont="1" applyBorder="1" applyAlignment="1">
      <alignment horizontal="left" wrapText="1"/>
    </xf>
    <xf numFmtId="171" fontId="29" fillId="14" borderId="4" xfId="2" applyNumberFormat="1" applyFont="1" applyFill="1" applyBorder="1"/>
    <xf numFmtId="171" fontId="29" fillId="14" borderId="0" xfId="0" applyNumberFormat="1" applyFont="1" applyFill="1"/>
    <xf numFmtId="171" fontId="29" fillId="0" borderId="4" xfId="2" applyNumberFormat="1" applyFont="1" applyBorder="1"/>
    <xf numFmtId="171" fontId="29" fillId="0" borderId="9" xfId="2" applyNumberFormat="1" applyFont="1" applyBorder="1"/>
    <xf numFmtId="0" fontId="39" fillId="0" borderId="25" xfId="0" applyFont="1" applyBorder="1" applyAlignment="1">
      <alignment horizontal="center"/>
    </xf>
    <xf numFmtId="43" fontId="39" fillId="0" borderId="26" xfId="1" applyFont="1" applyFill="1" applyBorder="1" applyAlignment="1">
      <alignment horizontal="center"/>
    </xf>
    <xf numFmtId="0" fontId="39" fillId="0" borderId="26" xfId="0" applyFont="1" applyBorder="1" applyAlignment="1">
      <alignment horizontal="center"/>
    </xf>
    <xf numFmtId="0" fontId="39" fillId="0" borderId="25" xfId="0" applyFont="1" applyBorder="1"/>
    <xf numFmtId="0" fontId="29" fillId="0" borderId="25" xfId="0" applyFont="1" applyBorder="1"/>
    <xf numFmtId="0" fontId="29" fillId="0" borderId="26" xfId="0" applyFont="1" applyBorder="1"/>
    <xf numFmtId="10" fontId="52" fillId="0" borderId="0" xfId="3" applyNumberFormat="1" applyFont="1" applyFill="1" applyBorder="1"/>
    <xf numFmtId="44" fontId="42" fillId="3" borderId="2" xfId="6" applyNumberFormat="1" applyFont="1" applyFill="1" applyBorder="1" applyAlignment="1">
      <alignment horizontal="center"/>
    </xf>
    <xf numFmtId="164" fontId="37" fillId="0" borderId="2" xfId="0" applyNumberFormat="1" applyFont="1" applyBorder="1"/>
    <xf numFmtId="0" fontId="39" fillId="12" borderId="25" xfId="0" applyFont="1" applyFill="1" applyBorder="1" applyAlignment="1">
      <alignment horizontal="center"/>
    </xf>
    <xf numFmtId="0" fontId="39" fillId="12" borderId="26" xfId="0" applyFont="1" applyFill="1" applyBorder="1" applyAlignment="1">
      <alignment horizontal="center"/>
    </xf>
    <xf numFmtId="0" fontId="39" fillId="12" borderId="27" xfId="0" applyFont="1" applyFill="1" applyBorder="1" applyAlignment="1">
      <alignment horizontal="center"/>
    </xf>
    <xf numFmtId="0" fontId="42" fillId="0" borderId="0" xfId="6" applyFont="1" applyAlignment="1">
      <alignment horizontal="center" wrapText="1"/>
    </xf>
    <xf numFmtId="44" fontId="42" fillId="3" borderId="35" xfId="2" applyFont="1" applyFill="1" applyBorder="1"/>
    <xf numFmtId="164" fontId="37" fillId="0" borderId="33" xfId="0" applyNumberFormat="1" applyFont="1" applyBorder="1" applyAlignment="1">
      <alignment horizontal="left"/>
    </xf>
    <xf numFmtId="0" fontId="37" fillId="0" borderId="33" xfId="0" applyFont="1" applyBorder="1" applyAlignment="1">
      <alignment horizontal="left"/>
    </xf>
    <xf numFmtId="0" fontId="37" fillId="0" borderId="34" xfId="0" applyFont="1" applyBorder="1" applyAlignment="1">
      <alignment horizontal="left"/>
    </xf>
    <xf numFmtId="164" fontId="37" fillId="0" borderId="17" xfId="0" applyNumberFormat="1" applyFont="1" applyBorder="1" applyAlignment="1">
      <alignment horizontal="left"/>
    </xf>
    <xf numFmtId="0" fontId="37" fillId="0" borderId="17" xfId="0" applyFont="1" applyBorder="1" applyAlignment="1">
      <alignment horizontal="left"/>
    </xf>
    <xf numFmtId="0" fontId="37" fillId="0" borderId="36" xfId="0" applyFont="1" applyBorder="1" applyAlignment="1">
      <alignment horizontal="left"/>
    </xf>
    <xf numFmtId="17" fontId="42" fillId="0" borderId="63" xfId="0" applyNumberFormat="1" applyFont="1" applyBorder="1" applyAlignment="1">
      <alignment horizontal="right"/>
    </xf>
    <xf numFmtId="17" fontId="42" fillId="0" borderId="64" xfId="0" applyNumberFormat="1" applyFont="1" applyBorder="1"/>
    <xf numFmtId="0" fontId="0" fillId="0" borderId="42" xfId="0" applyBorder="1"/>
    <xf numFmtId="0" fontId="42" fillId="0" borderId="66" xfId="0" applyFont="1" applyBorder="1"/>
    <xf numFmtId="175" fontId="42" fillId="0" borderId="0" xfId="0" applyNumberFormat="1" applyFont="1"/>
    <xf numFmtId="0" fontId="29" fillId="0" borderId="55" xfId="0" applyFont="1" applyBorder="1"/>
    <xf numFmtId="0" fontId="39" fillId="0" borderId="61" xfId="11" applyFont="1" applyBorder="1" applyAlignment="1">
      <alignment wrapText="1"/>
    </xf>
    <xf numFmtId="0" fontId="42" fillId="0" borderId="27" xfId="0" applyFont="1" applyBorder="1" applyAlignment="1">
      <alignment horizontal="left"/>
    </xf>
    <xf numFmtId="0" fontId="42" fillId="12" borderId="25" xfId="0" applyFont="1" applyFill="1" applyBorder="1" applyAlignment="1">
      <alignment horizontal="center"/>
    </xf>
    <xf numFmtId="0" fontId="42" fillId="12" borderId="26" xfId="0" applyFont="1" applyFill="1" applyBorder="1" applyAlignment="1">
      <alignment horizontal="center"/>
    </xf>
    <xf numFmtId="0" fontId="42" fillId="12" borderId="27" xfId="0" applyFont="1" applyFill="1" applyBorder="1" applyAlignment="1">
      <alignment horizontal="center"/>
    </xf>
    <xf numFmtId="0" fontId="37" fillId="0" borderId="59" xfId="0" applyFont="1" applyBorder="1"/>
    <xf numFmtId="44" fontId="39" fillId="3" borderId="1" xfId="2" applyFont="1" applyFill="1" applyBorder="1"/>
    <xf numFmtId="171" fontId="39" fillId="0" borderId="73" xfId="2" applyNumberFormat="1" applyFont="1" applyBorder="1"/>
    <xf numFmtId="171" fontId="39" fillId="0" borderId="37" xfId="2" applyNumberFormat="1" applyFont="1" applyBorder="1"/>
    <xf numFmtId="165" fontId="39" fillId="0" borderId="41" xfId="0" applyNumberFormat="1" applyFont="1" applyBorder="1"/>
    <xf numFmtId="171" fontId="39" fillId="0" borderId="4" xfId="2" applyNumberFormat="1" applyFont="1" applyBorder="1"/>
    <xf numFmtId="0" fontId="39" fillId="0" borderId="4" xfId="11" applyFont="1" applyBorder="1" applyAlignment="1">
      <alignment wrapText="1"/>
    </xf>
    <xf numFmtId="0" fontId="39" fillId="0" borderId="0" xfId="11" applyFont="1" applyAlignment="1">
      <alignment wrapText="1"/>
    </xf>
    <xf numFmtId="171" fontId="37" fillId="0" borderId="0" xfId="0" applyNumberFormat="1" applyFont="1"/>
    <xf numFmtId="2" fontId="29" fillId="14" borderId="0" xfId="0" applyNumberFormat="1" applyFont="1" applyFill="1"/>
    <xf numFmtId="2" fontId="29" fillId="0" borderId="0" xfId="0" applyNumberFormat="1" applyFont="1"/>
    <xf numFmtId="2" fontId="29" fillId="0" borderId="10" xfId="0" applyNumberFormat="1" applyFont="1" applyBorder="1"/>
    <xf numFmtId="0" fontId="39" fillId="0" borderId="26" xfId="0" applyFont="1" applyBorder="1"/>
    <xf numFmtId="0" fontId="29" fillId="0" borderId="27" xfId="0" applyFont="1" applyBorder="1"/>
    <xf numFmtId="0" fontId="39" fillId="12" borderId="9" xfId="0" applyFont="1" applyFill="1" applyBorder="1" applyAlignment="1">
      <alignment horizontal="center"/>
    </xf>
    <xf numFmtId="0" fontId="39" fillId="12" borderId="10" xfId="0" applyFont="1" applyFill="1" applyBorder="1" applyAlignment="1">
      <alignment horizontal="center"/>
    </xf>
    <xf numFmtId="0" fontId="39" fillId="12" borderId="12" xfId="0" applyFont="1" applyFill="1" applyBorder="1" applyAlignment="1">
      <alignment horizontal="center"/>
    </xf>
    <xf numFmtId="8" fontId="0" fillId="0" borderId="17" xfId="2" applyNumberFormat="1" applyFont="1" applyFill="1" applyBorder="1"/>
    <xf numFmtId="166" fontId="42" fillId="0" borderId="0" xfId="0" applyNumberFormat="1" applyFont="1"/>
    <xf numFmtId="8" fontId="42" fillId="0" borderId="0" xfId="0" applyNumberFormat="1" applyFont="1"/>
    <xf numFmtId="9" fontId="37" fillId="0" borderId="0" xfId="0" applyNumberFormat="1" applyFont="1"/>
    <xf numFmtId="2" fontId="42" fillId="0" borderId="0" xfId="0" applyNumberFormat="1" applyFont="1"/>
    <xf numFmtId="44" fontId="42" fillId="0" borderId="1" xfId="2" applyFont="1" applyFill="1" applyBorder="1"/>
    <xf numFmtId="173" fontId="42" fillId="0" borderId="2" xfId="0" applyNumberFormat="1" applyFont="1" applyBorder="1"/>
    <xf numFmtId="173" fontId="42" fillId="0" borderId="3" xfId="0" applyNumberFormat="1" applyFont="1" applyBorder="1"/>
    <xf numFmtId="44" fontId="42" fillId="3" borderId="4" xfId="2" applyFont="1" applyFill="1" applyBorder="1"/>
    <xf numFmtId="171" fontId="42" fillId="0" borderId="73" xfId="2" applyNumberFormat="1" applyFont="1" applyFill="1" applyBorder="1"/>
    <xf numFmtId="2" fontId="37" fillId="0" borderId="74" xfId="0" applyNumberFormat="1" applyFont="1" applyBorder="1"/>
    <xf numFmtId="10" fontId="37" fillId="0" borderId="74" xfId="0" applyNumberFormat="1" applyFont="1" applyBorder="1"/>
    <xf numFmtId="0" fontId="42" fillId="0" borderId="75" xfId="0" applyFont="1" applyBorder="1"/>
    <xf numFmtId="164" fontId="37" fillId="0" borderId="4" xfId="0" applyNumberFormat="1" applyFont="1" applyBorder="1"/>
    <xf numFmtId="0" fontId="37" fillId="0" borderId="5" xfId="19" applyFont="1" applyBorder="1" applyAlignment="1">
      <alignment wrapText="1"/>
    </xf>
    <xf numFmtId="165" fontId="37" fillId="0" borderId="4" xfId="0" applyNumberFormat="1" applyFont="1" applyBorder="1"/>
    <xf numFmtId="168" fontId="59" fillId="0" borderId="73" xfId="0" applyNumberFormat="1" applyFont="1" applyBorder="1" applyAlignment="1">
      <alignment horizontal="center"/>
    </xf>
    <xf numFmtId="165" fontId="42" fillId="0" borderId="74" xfId="0" applyNumberFormat="1" applyFont="1" applyBorder="1"/>
    <xf numFmtId="0" fontId="37" fillId="0" borderId="74" xfId="0" applyFont="1" applyBorder="1"/>
    <xf numFmtId="0" fontId="42" fillId="0" borderId="75" xfId="19" applyFont="1" applyBorder="1" applyAlignment="1">
      <alignment vertical="top" wrapText="1"/>
    </xf>
    <xf numFmtId="171" fontId="37" fillId="0" borderId="4" xfId="2" applyNumberFormat="1" applyFont="1" applyFill="1" applyBorder="1"/>
    <xf numFmtId="171" fontId="37" fillId="0" borderId="0" xfId="2" applyNumberFormat="1" applyFont="1" applyFill="1" applyBorder="1"/>
    <xf numFmtId="9" fontId="37" fillId="0" borderId="0" xfId="1" applyNumberFormat="1" applyFont="1" applyFill="1" applyBorder="1"/>
    <xf numFmtId="7" fontId="42" fillId="0" borderId="1" xfId="0" applyNumberFormat="1" applyFont="1" applyBorder="1"/>
    <xf numFmtId="3" fontId="37" fillId="0" borderId="2" xfId="0" applyNumberFormat="1" applyFont="1" applyBorder="1"/>
    <xf numFmtId="164" fontId="42" fillId="0" borderId="2" xfId="0" applyNumberFormat="1" applyFont="1" applyBorder="1"/>
    <xf numFmtId="3" fontId="42" fillId="0" borderId="3" xfId="0" applyNumberFormat="1" applyFont="1" applyBorder="1"/>
    <xf numFmtId="0" fontId="37" fillId="0" borderId="0" xfId="0" applyFont="1" applyAlignment="1">
      <alignment horizontal="right"/>
    </xf>
    <xf numFmtId="3" fontId="37" fillId="0" borderId="0" xfId="0" applyNumberFormat="1" applyFont="1"/>
    <xf numFmtId="3" fontId="37" fillId="0" borderId="5" xfId="0" applyNumberFormat="1" applyFont="1" applyBorder="1"/>
    <xf numFmtId="168" fontId="37" fillId="0" borderId="0" xfId="0" applyNumberFormat="1" applyFont="1" applyAlignment="1">
      <alignment horizontal="center" wrapText="1"/>
    </xf>
    <xf numFmtId="168" fontId="37" fillId="0" borderId="4" xfId="0" applyNumberFormat="1" applyFont="1" applyBorder="1" applyAlignment="1">
      <alignment horizontal="center"/>
    </xf>
    <xf numFmtId="43" fontId="37" fillId="0" borderId="0" xfId="1" applyFont="1" applyFill="1" applyBorder="1" applyAlignment="1">
      <alignment horizontal="center"/>
    </xf>
    <xf numFmtId="7" fontId="37" fillId="0" borderId="4" xfId="0" applyNumberFormat="1" applyFont="1" applyBorder="1"/>
    <xf numFmtId="177" fontId="37" fillId="0" borderId="0" xfId="0" applyNumberFormat="1" applyFont="1" applyAlignment="1">
      <alignment horizontal="right"/>
    </xf>
    <xf numFmtId="3" fontId="37" fillId="0" borderId="5" xfId="0" applyNumberFormat="1" applyFont="1" applyBorder="1" applyAlignment="1">
      <alignment horizontal="left"/>
    </xf>
    <xf numFmtId="43" fontId="42" fillId="0" borderId="74" xfId="1" applyFont="1" applyBorder="1"/>
    <xf numFmtId="43" fontId="42" fillId="0" borderId="74" xfId="1" applyFont="1" applyFill="1" applyBorder="1" applyAlignment="1">
      <alignment horizontal="center"/>
    </xf>
    <xf numFmtId="0" fontId="42" fillId="0" borderId="75" xfId="0" applyFont="1" applyBorder="1" applyAlignment="1">
      <alignment horizontal="left"/>
    </xf>
    <xf numFmtId="0" fontId="37" fillId="0" borderId="9" xfId="0" applyFont="1" applyBorder="1"/>
    <xf numFmtId="3" fontId="42" fillId="0" borderId="10" xfId="0" applyNumberFormat="1" applyFont="1" applyBorder="1"/>
    <xf numFmtId="3" fontId="37" fillId="0" borderId="10" xfId="0" applyNumberFormat="1" applyFont="1" applyBorder="1"/>
    <xf numFmtId="3" fontId="37" fillId="0" borderId="12" xfId="0" applyNumberFormat="1" applyFont="1" applyBorder="1"/>
    <xf numFmtId="0" fontId="42" fillId="0" borderId="0" xfId="0" applyFont="1" applyAlignment="1">
      <alignment horizontal="right"/>
    </xf>
    <xf numFmtId="168" fontId="42" fillId="0" borderId="0" xfId="0" applyNumberFormat="1" applyFont="1" applyAlignment="1">
      <alignment horizontal="right"/>
    </xf>
    <xf numFmtId="10" fontId="37" fillId="0" borderId="0" xfId="1" applyNumberFormat="1" applyFont="1" applyFill="1" applyBorder="1" applyAlignment="1">
      <alignment horizontal="center"/>
    </xf>
    <xf numFmtId="3" fontId="42" fillId="0" borderId="0" xfId="0" applyNumberFormat="1" applyFont="1"/>
    <xf numFmtId="10" fontId="37" fillId="0" borderId="0" xfId="1" applyNumberFormat="1" applyFont="1" applyFill="1" applyBorder="1" applyAlignment="1">
      <alignment horizontal="center" vertical="center"/>
    </xf>
    <xf numFmtId="168" fontId="42" fillId="0" borderId="0" xfId="0" applyNumberFormat="1" applyFont="1" applyAlignment="1">
      <alignment horizontal="left"/>
    </xf>
    <xf numFmtId="3" fontId="37" fillId="0" borderId="4" xfId="1" applyNumberFormat="1" applyFont="1" applyFill="1" applyBorder="1" applyAlignment="1">
      <alignment horizontal="center"/>
    </xf>
    <xf numFmtId="2" fontId="37" fillId="0" borderId="0" xfId="1" applyNumberFormat="1" applyFont="1" applyFill="1" applyBorder="1"/>
    <xf numFmtId="0" fontId="37" fillId="0" borderId="5" xfId="0" applyFont="1" applyBorder="1" applyAlignment="1">
      <alignment horizontal="left"/>
    </xf>
    <xf numFmtId="168" fontId="37" fillId="0" borderId="5" xfId="0" applyNumberFormat="1" applyFont="1" applyBorder="1" applyAlignment="1">
      <alignment horizontal="left"/>
    </xf>
    <xf numFmtId="178" fontId="42" fillId="25" borderId="56" xfId="1" applyNumberFormat="1" applyFont="1" applyFill="1" applyBorder="1" applyAlignment="1">
      <alignment horizontal="center" wrapText="1"/>
    </xf>
    <xf numFmtId="178" fontId="42" fillId="25" borderId="77" xfId="1" applyNumberFormat="1" applyFont="1" applyFill="1" applyBorder="1" applyAlignment="1">
      <alignment horizontal="center" wrapText="1"/>
    </xf>
    <xf numFmtId="168" fontId="42" fillId="25" borderId="69" xfId="0" applyNumberFormat="1" applyFont="1" applyFill="1" applyBorder="1" applyAlignment="1">
      <alignment horizontal="center"/>
    </xf>
    <xf numFmtId="0" fontId="60" fillId="0" borderId="0" xfId="0" applyFont="1"/>
    <xf numFmtId="178" fontId="42" fillId="25" borderId="50" xfId="1" applyNumberFormat="1" applyFont="1" applyFill="1" applyBorder="1" applyAlignment="1">
      <alignment horizontal="center" wrapText="1"/>
    </xf>
    <xf numFmtId="178" fontId="42" fillId="25" borderId="78" xfId="1" applyNumberFormat="1" applyFont="1" applyFill="1" applyBorder="1" applyAlignment="1">
      <alignment horizontal="center" wrapText="1"/>
    </xf>
    <xf numFmtId="43" fontId="42" fillId="0" borderId="28" xfId="0" applyNumberFormat="1" applyFont="1" applyBorder="1"/>
    <xf numFmtId="7" fontId="42" fillId="0" borderId="17" xfId="0" applyNumberFormat="1" applyFont="1" applyBorder="1"/>
    <xf numFmtId="0" fontId="42" fillId="0" borderId="41" xfId="0" applyFont="1" applyBorder="1" applyAlignment="1">
      <alignment horizontal="right"/>
    </xf>
    <xf numFmtId="3" fontId="42" fillId="0" borderId="41" xfId="0" applyNumberFormat="1" applyFont="1" applyBorder="1" applyAlignment="1">
      <alignment horizontal="right"/>
    </xf>
    <xf numFmtId="0" fontId="42" fillId="0" borderId="41" xfId="0" applyFont="1" applyBorder="1"/>
    <xf numFmtId="0" fontId="42" fillId="0" borderId="18" xfId="0" applyFont="1" applyBorder="1" applyAlignment="1">
      <alignment horizontal="right"/>
    </xf>
    <xf numFmtId="9" fontId="42" fillId="0" borderId="0" xfId="0" applyNumberFormat="1" applyFont="1" applyAlignment="1">
      <alignment vertical="center"/>
    </xf>
    <xf numFmtId="2" fontId="42" fillId="0" borderId="0" xfId="0" applyNumberFormat="1" applyFont="1" applyAlignment="1">
      <alignment horizontal="right"/>
    </xf>
    <xf numFmtId="3" fontId="42" fillId="0" borderId="0" xfId="0" applyNumberFormat="1" applyFont="1" applyAlignment="1">
      <alignment horizontal="right"/>
    </xf>
    <xf numFmtId="0" fontId="42" fillId="0" borderId="0" xfId="0" applyFont="1" applyAlignment="1">
      <alignment horizontal="left"/>
    </xf>
    <xf numFmtId="44" fontId="42" fillId="0" borderId="0" xfId="2" applyFont="1" applyFill="1" applyBorder="1"/>
    <xf numFmtId="0" fontId="0" fillId="0" borderId="0" xfId="0" applyAlignment="1">
      <alignment wrapText="1"/>
    </xf>
    <xf numFmtId="168" fontId="50" fillId="0" borderId="0" xfId="0" applyNumberFormat="1" applyFont="1" applyAlignment="1">
      <alignment horizontal="center" vertical="center" wrapText="1"/>
    </xf>
    <xf numFmtId="2" fontId="42" fillId="0" borderId="0" xfId="0" applyNumberFormat="1" applyFont="1" applyAlignment="1">
      <alignment horizontal="right" vertical="center"/>
    </xf>
    <xf numFmtId="3" fontId="42" fillId="0" borderId="0" xfId="0" applyNumberFormat="1" applyFont="1" applyAlignment="1">
      <alignment vertical="center"/>
    </xf>
    <xf numFmtId="0" fontId="42" fillId="0" borderId="0" xfId="0" applyFont="1" applyAlignment="1">
      <alignment horizontal="left" vertical="center"/>
    </xf>
    <xf numFmtId="171" fontId="42" fillId="0" borderId="0" xfId="2" applyNumberFormat="1" applyFont="1" applyFill="1" applyBorder="1"/>
    <xf numFmtId="1" fontId="37" fillId="0" borderId="0" xfId="0" applyNumberFormat="1" applyFont="1"/>
    <xf numFmtId="16" fontId="42" fillId="0" borderId="0" xfId="0" quotePrefix="1" applyNumberFormat="1" applyFont="1"/>
    <xf numFmtId="173" fontId="42" fillId="3" borderId="79" xfId="0" applyNumberFormat="1" applyFont="1" applyFill="1" applyBorder="1"/>
    <xf numFmtId="173" fontId="42" fillId="30" borderId="80" xfId="0" applyNumberFormat="1" applyFont="1" applyFill="1" applyBorder="1"/>
    <xf numFmtId="173" fontId="42" fillId="30" borderId="81" xfId="0" applyNumberFormat="1" applyFont="1" applyFill="1" applyBorder="1"/>
    <xf numFmtId="0" fontId="37" fillId="30" borderId="0" xfId="0" applyFont="1" applyFill="1"/>
    <xf numFmtId="168" fontId="42" fillId="0" borderId="82" xfId="0" applyNumberFormat="1" applyFont="1" applyBorder="1"/>
    <xf numFmtId="2" fontId="42" fillId="0" borderId="83" xfId="0" applyNumberFormat="1" applyFont="1" applyBorder="1"/>
    <xf numFmtId="166" fontId="42" fillId="0" borderId="83" xfId="0" applyNumberFormat="1" applyFont="1" applyBorder="1"/>
    <xf numFmtId="0" fontId="42" fillId="0" borderId="83" xfId="0" applyFont="1" applyBorder="1"/>
    <xf numFmtId="0" fontId="37" fillId="0" borderId="0" xfId="0" applyFont="1" applyAlignment="1">
      <alignment vertical="center"/>
    </xf>
    <xf numFmtId="3" fontId="37" fillId="0" borderId="0" xfId="0" applyNumberFormat="1" applyFont="1" applyAlignment="1">
      <alignment vertical="center"/>
    </xf>
    <xf numFmtId="2" fontId="42" fillId="0" borderId="84" xfId="0" applyNumberFormat="1" applyFont="1" applyBorder="1"/>
    <xf numFmtId="168" fontId="42" fillId="0" borderId="73" xfId="0" applyNumberFormat="1" applyFont="1" applyBorder="1"/>
    <xf numFmtId="166" fontId="37" fillId="0" borderId="74" xfId="0" applyNumberFormat="1" applyFont="1" applyBorder="1"/>
    <xf numFmtId="171" fontId="37" fillId="0" borderId="0" xfId="2" applyNumberFormat="1" applyFont="1" applyBorder="1"/>
    <xf numFmtId="43" fontId="37" fillId="0" borderId="0" xfId="0" applyNumberFormat="1" applyFont="1" applyAlignment="1">
      <alignment horizontal="right"/>
    </xf>
    <xf numFmtId="3" fontId="37" fillId="0" borderId="0" xfId="0" applyNumberFormat="1" applyFont="1" applyAlignment="1">
      <alignment horizontal="right"/>
    </xf>
    <xf numFmtId="0" fontId="37" fillId="0" borderId="25" xfId="0" applyFont="1" applyBorder="1"/>
    <xf numFmtId="10" fontId="37" fillId="0" borderId="26" xfId="3" applyNumberFormat="1" applyFont="1" applyBorder="1"/>
    <xf numFmtId="0" fontId="37" fillId="0" borderId="27" xfId="0" applyFont="1" applyBorder="1"/>
    <xf numFmtId="43" fontId="37" fillId="0" borderId="0" xfId="0" applyNumberFormat="1" applyFont="1"/>
    <xf numFmtId="0" fontId="49" fillId="0" borderId="4" xfId="0" applyFont="1" applyBorder="1" applyAlignment="1">
      <alignment wrapText="1"/>
    </xf>
    <xf numFmtId="9" fontId="42" fillId="0" borderId="0" xfId="0" applyNumberFormat="1" applyFont="1" applyAlignment="1">
      <alignment horizontal="right" vertical="center"/>
    </xf>
    <xf numFmtId="168" fontId="42" fillId="0" borderId="4" xfId="0" applyNumberFormat="1" applyFont="1" applyBorder="1"/>
    <xf numFmtId="1" fontId="42" fillId="0" borderId="0" xfId="0" applyNumberFormat="1" applyFont="1"/>
    <xf numFmtId="3" fontId="42" fillId="0" borderId="0" xfId="1" applyNumberFormat="1" applyFont="1" applyFill="1" applyBorder="1"/>
    <xf numFmtId="3" fontId="37" fillId="0" borderId="0" xfId="1" applyNumberFormat="1" applyFont="1" applyFill="1" applyBorder="1"/>
    <xf numFmtId="2" fontId="42" fillId="0" borderId="74" xfId="0" applyNumberFormat="1" applyFont="1" applyBorder="1"/>
    <xf numFmtId="168" fontId="42" fillId="0" borderId="74" xfId="0" applyNumberFormat="1" applyFont="1" applyBorder="1"/>
    <xf numFmtId="0" fontId="42" fillId="0" borderId="74" xfId="0" applyFont="1" applyBorder="1"/>
    <xf numFmtId="4" fontId="37" fillId="0" borderId="0" xfId="1" applyNumberFormat="1" applyFont="1" applyFill="1" applyBorder="1"/>
    <xf numFmtId="179" fontId="37" fillId="0" borderId="0" xfId="2" quotePrefix="1" applyNumberFormat="1" applyFont="1" applyBorder="1" applyAlignment="1">
      <alignment horizontal="right"/>
    </xf>
    <xf numFmtId="0" fontId="0" fillId="0" borderId="25" xfId="0" applyBorder="1" applyAlignment="1">
      <alignment horizontal="center" wrapText="1"/>
    </xf>
    <xf numFmtId="0" fontId="0" fillId="0" borderId="26" xfId="0" applyBorder="1" applyAlignment="1">
      <alignment horizontal="center" wrapText="1"/>
    </xf>
    <xf numFmtId="0" fontId="42" fillId="9" borderId="27" xfId="0" applyFont="1" applyFill="1" applyBorder="1" applyAlignment="1">
      <alignment horizontal="center" vertical="center" wrapText="1"/>
    </xf>
    <xf numFmtId="165" fontId="37" fillId="0" borderId="0" xfId="2" applyNumberFormat="1" applyFont="1" applyBorder="1"/>
    <xf numFmtId="168" fontId="37" fillId="0" borderId="0" xfId="0" applyNumberFormat="1" applyFont="1" applyAlignment="1">
      <alignment horizontal="right"/>
    </xf>
    <xf numFmtId="9" fontId="42" fillId="0" borderId="0" xfId="0" applyNumberFormat="1" applyFont="1" applyAlignment="1">
      <alignment horizontal="center" wrapText="1"/>
    </xf>
    <xf numFmtId="3" fontId="42" fillId="0" borderId="0" xfId="0" applyNumberFormat="1" applyFont="1" applyAlignment="1">
      <alignment horizontal="center" wrapText="1"/>
    </xf>
    <xf numFmtId="178" fontId="42" fillId="0" borderId="0" xfId="1" applyNumberFormat="1" applyFont="1" applyFill="1" applyBorder="1" applyAlignment="1">
      <alignment horizontal="center" wrapText="1"/>
    </xf>
    <xf numFmtId="168" fontId="42" fillId="0" borderId="60" xfId="0" applyNumberFormat="1" applyFont="1" applyBorder="1" applyAlignment="1">
      <alignment horizontal="center"/>
    </xf>
    <xf numFmtId="1" fontId="42" fillId="30" borderId="30" xfId="0" applyNumberFormat="1" applyFont="1" applyFill="1" applyBorder="1" applyAlignment="1">
      <alignment horizontal="center"/>
    </xf>
    <xf numFmtId="168" fontId="42" fillId="30" borderId="30" xfId="0" applyNumberFormat="1" applyFont="1" applyFill="1" applyBorder="1" applyAlignment="1">
      <alignment horizontal="center"/>
    </xf>
    <xf numFmtId="0" fontId="42" fillId="30" borderId="30" xfId="0" applyFont="1" applyFill="1" applyBorder="1" applyAlignment="1">
      <alignment horizontal="center" wrapText="1"/>
    </xf>
    <xf numFmtId="168" fontId="42" fillId="30" borderId="71" xfId="0" applyNumberFormat="1" applyFont="1" applyFill="1" applyBorder="1" applyAlignment="1">
      <alignment horizontal="center"/>
    </xf>
    <xf numFmtId="168" fontId="42" fillId="30" borderId="60" xfId="0" applyNumberFormat="1" applyFont="1" applyFill="1" applyBorder="1" applyAlignment="1">
      <alignment horizontal="center"/>
    </xf>
    <xf numFmtId="0" fontId="37" fillId="0" borderId="0" xfId="0" applyFont="1" applyAlignment="1">
      <alignment horizontal="center"/>
    </xf>
    <xf numFmtId="3" fontId="42" fillId="0" borderId="25" xfId="0" applyNumberFormat="1" applyFont="1" applyBorder="1"/>
    <xf numFmtId="1" fontId="42" fillId="0" borderId="26" xfId="0" applyNumberFormat="1" applyFont="1" applyBorder="1"/>
    <xf numFmtId="168" fontId="42" fillId="0" borderId="26" xfId="0" applyNumberFormat="1" applyFont="1" applyBorder="1" applyAlignment="1">
      <alignment horizontal="right"/>
    </xf>
    <xf numFmtId="2" fontId="42" fillId="0" borderId="26" xfId="0" quotePrefix="1" applyNumberFormat="1" applyFont="1" applyBorder="1"/>
    <xf numFmtId="0" fontId="42" fillId="0" borderId="27" xfId="0" applyFont="1" applyBorder="1" applyAlignment="1">
      <alignment horizontal="right"/>
    </xf>
    <xf numFmtId="0" fontId="42" fillId="9" borderId="27" xfId="0" applyFont="1" applyFill="1" applyBorder="1" applyAlignment="1">
      <alignment horizontal="center" wrapText="1"/>
    </xf>
    <xf numFmtId="0" fontId="0" fillId="12" borderId="25" xfId="0" applyFill="1" applyBorder="1" applyAlignment="1">
      <alignment horizontal="center" wrapText="1"/>
    </xf>
    <xf numFmtId="0" fontId="0" fillId="12" borderId="26" xfId="0" applyFill="1" applyBorder="1" applyAlignment="1">
      <alignment horizontal="center" wrapText="1"/>
    </xf>
    <xf numFmtId="168" fontId="42" fillId="12" borderId="27" xfId="0" applyNumberFormat="1" applyFont="1" applyFill="1" applyBorder="1" applyAlignment="1">
      <alignment horizontal="center" wrapText="1"/>
    </xf>
    <xf numFmtId="0" fontId="42" fillId="12" borderId="27" xfId="0" applyFont="1" applyFill="1" applyBorder="1" applyAlignment="1">
      <alignment horizontal="center" wrapText="1"/>
    </xf>
    <xf numFmtId="0" fontId="5" fillId="0" borderId="0" xfId="0" applyFont="1" applyAlignment="1">
      <alignment horizontal="center" vertical="center" wrapText="1"/>
    </xf>
    <xf numFmtId="0" fontId="50" fillId="0" borderId="0" xfId="0" applyFont="1" applyAlignment="1">
      <alignment horizontal="center" vertical="center" wrapText="1"/>
    </xf>
    <xf numFmtId="10" fontId="49" fillId="0" borderId="0" xfId="3" applyNumberFormat="1" applyFont="1"/>
    <xf numFmtId="44" fontId="49" fillId="0" borderId="0" xfId="2" applyFont="1"/>
    <xf numFmtId="44" fontId="29" fillId="0" borderId="4" xfId="0" applyNumberFormat="1" applyFont="1" applyBorder="1"/>
    <xf numFmtId="6" fontId="29" fillId="0" borderId="4" xfId="11" applyNumberFormat="1" applyFont="1" applyBorder="1" applyAlignment="1">
      <alignment wrapText="1"/>
    </xf>
    <xf numFmtId="3" fontId="36" fillId="0" borderId="44" xfId="0" applyNumberFormat="1" applyFont="1" applyBorder="1"/>
    <xf numFmtId="0" fontId="36" fillId="0" borderId="85" xfId="0" applyFont="1" applyBorder="1" applyAlignment="1">
      <alignment horizontal="right" wrapText="1"/>
    </xf>
    <xf numFmtId="0" fontId="36" fillId="0" borderId="2" xfId="0" applyFont="1" applyBorder="1" applyAlignment="1">
      <alignment horizontal="right" wrapText="1"/>
    </xf>
    <xf numFmtId="0" fontId="36" fillId="0" borderId="70" xfId="0" applyFont="1" applyBorder="1" applyAlignment="1">
      <alignment wrapText="1"/>
    </xf>
    <xf numFmtId="3" fontId="36" fillId="0" borderId="56" xfId="0" applyNumberFormat="1" applyFont="1" applyBorder="1"/>
    <xf numFmtId="0" fontId="36" fillId="0" borderId="77" xfId="0" applyFont="1" applyBorder="1" applyAlignment="1">
      <alignment horizontal="right" wrapText="1"/>
    </xf>
    <xf numFmtId="0" fontId="36" fillId="0" borderId="26" xfId="0" applyFont="1" applyBorder="1" applyAlignment="1">
      <alignment horizontal="right" wrapText="1"/>
    </xf>
    <xf numFmtId="0" fontId="36" fillId="0" borderId="69" xfId="0" applyFont="1" applyBorder="1" applyAlignment="1">
      <alignment wrapText="1"/>
    </xf>
    <xf numFmtId="3" fontId="49" fillId="10" borderId="60" xfId="0" applyNumberFormat="1" applyFont="1" applyFill="1" applyBorder="1"/>
    <xf numFmtId="2" fontId="49" fillId="0" borderId="17" xfId="0" applyNumberFormat="1" applyFont="1" applyBorder="1" applyAlignment="1">
      <alignment horizontal="right" wrapText="1"/>
    </xf>
    <xf numFmtId="1" fontId="49" fillId="0" borderId="7" xfId="0" applyNumberFormat="1" applyFont="1" applyBorder="1" applyAlignment="1">
      <alignment horizontal="right" wrapText="1"/>
    </xf>
    <xf numFmtId="0" fontId="49" fillId="0" borderId="36" xfId="0" applyFont="1" applyBorder="1" applyAlignment="1">
      <alignment wrapText="1"/>
    </xf>
    <xf numFmtId="167" fontId="49" fillId="0" borderId="17" xfId="0" applyNumberFormat="1" applyFont="1" applyBorder="1" applyAlignment="1">
      <alignment horizontal="right" vertical="center" wrapText="1"/>
    </xf>
    <xf numFmtId="0" fontId="49" fillId="0" borderId="36" xfId="0" applyFont="1" applyBorder="1" applyAlignment="1">
      <alignment vertical="center" wrapText="1"/>
    </xf>
    <xf numFmtId="167" fontId="49" fillId="0" borderId="64" xfId="0" applyNumberFormat="1" applyFont="1" applyBorder="1" applyAlignment="1">
      <alignment horizontal="right" wrapText="1"/>
    </xf>
    <xf numFmtId="0" fontId="49" fillId="0" borderId="71" xfId="0" applyFont="1" applyBorder="1" applyAlignment="1">
      <alignment wrapText="1"/>
    </xf>
    <xf numFmtId="3" fontId="36" fillId="0" borderId="77" xfId="0" applyNumberFormat="1" applyFont="1" applyBorder="1" applyAlignment="1">
      <alignment horizontal="center" wrapText="1"/>
    </xf>
    <xf numFmtId="3" fontId="36" fillId="0" borderId="26" xfId="0" applyNumberFormat="1" applyFont="1" applyBorder="1" applyAlignment="1">
      <alignment horizontal="center" wrapText="1"/>
    </xf>
    <xf numFmtId="3" fontId="36" fillId="0" borderId="69" xfId="0" applyNumberFormat="1" applyFont="1" applyBorder="1" applyAlignment="1">
      <alignment wrapText="1"/>
    </xf>
    <xf numFmtId="0" fontId="42" fillId="12" borderId="57" xfId="0" applyFont="1" applyFill="1" applyBorder="1" applyAlignment="1">
      <alignment horizontal="center" vertical="center"/>
    </xf>
  </cellXfs>
  <cellStyles count="24">
    <cellStyle name="Comma" xfId="1" builtinId="3"/>
    <cellStyle name="Comma 4 2" xfId="16" xr:uid="{F889D88F-F4F1-41C3-8ABF-AC004D51B46D}"/>
    <cellStyle name="Comma 8" xfId="23" xr:uid="{1E26B625-A587-4F64-AFBB-5FD586799C1C}"/>
    <cellStyle name="Currency" xfId="2" builtinId="4"/>
    <cellStyle name="Currency 4 2 2" xfId="17" xr:uid="{C56D35FF-69D9-42BD-9B7B-059639C77060}"/>
    <cellStyle name="Currency 5 2" xfId="20" xr:uid="{33CF513F-61F5-4726-BC4F-FBAB8132DE9C}"/>
    <cellStyle name="Normal" xfId="0" builtinId="0"/>
    <cellStyle name="Normal 10" xfId="6" xr:uid="{8955912D-4A92-45FC-8E43-D688BFA46B6A}"/>
    <cellStyle name="Normal 12" xfId="11" xr:uid="{9F998E66-A629-49BE-B677-C338DE93C904}"/>
    <cellStyle name="Normal 2" xfId="15" xr:uid="{168485DD-D674-4D24-A3B4-2541797D4C38}"/>
    <cellStyle name="Normal 2 2 2" xfId="12" xr:uid="{4EDE6467-2837-4850-9625-448180A136D1}"/>
    <cellStyle name="Normal 2 2 3 2" xfId="21" xr:uid="{418593CA-DD6F-4A95-ACF1-A5484D5CC970}"/>
    <cellStyle name="Normal 2 2 4" xfId="9" xr:uid="{46489297-EDBD-4AAB-A41D-8DEC0E91AE32}"/>
    <cellStyle name="Normal 2 4 3" xfId="19" xr:uid="{77706DE3-8652-415D-BFB6-3F2F74620756}"/>
    <cellStyle name="Normal 3" xfId="18" xr:uid="{DBD339D4-4F2F-4B5F-84C7-FE87BD001AF1}"/>
    <cellStyle name="Normal 4 2" xfId="22" xr:uid="{C61EB956-01C7-4CBE-A0F2-100202171D37}"/>
    <cellStyle name="Normal 4 5 6" xfId="7" xr:uid="{92727AE1-9055-4550-89A8-D4025ED03BAD}"/>
    <cellStyle name="Normal 5 10" xfId="4" xr:uid="{0EF64290-3B5F-4DD9-A7B1-989F3BADBEEB}"/>
    <cellStyle name="Normal 6" xfId="14" xr:uid="{CE5F4E86-0CE6-493B-8BF8-F9363747FEC1}"/>
    <cellStyle name="Normal 6 2 2" xfId="10" xr:uid="{70B66A4F-26AA-4745-9FA6-45F004933098}"/>
    <cellStyle name="Normal_DYS Rate Options 6.8.10 for DYS Review" xfId="13" xr:uid="{411BD037-737A-4719-9D8B-0A3FF5DAD140}"/>
    <cellStyle name="Percent" xfId="3" builtinId="5"/>
    <cellStyle name="Percent 2 2 3" xfId="5" xr:uid="{C7838BE3-0E80-47AA-909F-4D6249E56A89}"/>
    <cellStyle name="Percent 2 7" xfId="8" xr:uid="{64FC9DFB-2F24-4EE1-AD84-50BE35C0C0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15</xdr:row>
      <xdr:rowOff>114300</xdr:rowOff>
    </xdr:from>
    <xdr:ext cx="9229725" cy="1581150"/>
    <xdr:pic>
      <xdr:nvPicPr>
        <xdr:cNvPr id="2" name="Picture 21">
          <a:extLst>
            <a:ext uri="{FF2B5EF4-FFF2-40B4-BE49-F238E27FC236}">
              <a16:creationId xmlns:a16="http://schemas.microsoft.com/office/drawing/2014/main" id="{63C6319D-00C7-46B7-857C-C5BA9798E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971800"/>
          <a:ext cx="92297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529167</xdr:colOff>
      <xdr:row>8</xdr:row>
      <xdr:rowOff>74083</xdr:rowOff>
    </xdr:from>
    <xdr:ext cx="2518833" cy="1386417"/>
    <xdr:sp macro="" textlink="">
      <xdr:nvSpPr>
        <xdr:cNvPr id="2" name="TextBox 1">
          <a:extLst>
            <a:ext uri="{FF2B5EF4-FFF2-40B4-BE49-F238E27FC236}">
              <a16:creationId xmlns:a16="http://schemas.microsoft.com/office/drawing/2014/main" id="{6AC12161-AA03-4C96-B3F2-F6789C83013B}"/>
            </a:ext>
          </a:extLst>
        </xdr:cNvPr>
        <xdr:cNvSpPr txBox="1"/>
      </xdr:nvSpPr>
      <xdr:spPr>
        <a:xfrm>
          <a:off x="529167" y="1598083"/>
          <a:ext cx="2518833" cy="138641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FY24 Updates</a:t>
          </a:r>
          <a:endParaRPr lang="en-US">
            <a:effectLst/>
          </a:endParaRPr>
        </a:p>
        <a:p>
          <a:r>
            <a:rPr lang="en-US" sz="1100" b="0" baseline="0">
              <a:solidFill>
                <a:schemeClr val="tx1"/>
              </a:solidFill>
              <a:effectLst/>
              <a:latin typeface="+mn-lt"/>
              <a:ea typeface="+mn-ea"/>
              <a:cs typeface="+mn-cs"/>
            </a:rPr>
            <a:t>Updated T&amp;F to FY23 Comptroller +2%</a:t>
          </a:r>
          <a:endParaRPr lang="en-US">
            <a:effectLst/>
          </a:endParaRPr>
        </a:p>
        <a:p>
          <a:r>
            <a:rPr lang="en-US" sz="1100" b="0" baseline="0">
              <a:solidFill>
                <a:schemeClr val="tx1"/>
              </a:solidFill>
              <a:effectLst/>
              <a:latin typeface="+mn-lt"/>
              <a:ea typeface="+mn-ea"/>
              <a:cs typeface="+mn-cs"/>
            </a:rPr>
            <a:t>Updated CAF Spring 2023 Report 2.71%</a:t>
          </a:r>
          <a:endParaRPr lang="en-US">
            <a:effectLst/>
          </a:endParaRPr>
        </a:p>
        <a:p>
          <a:r>
            <a:rPr lang="en-US" sz="1100" b="0">
              <a:solidFill>
                <a:schemeClr val="tx1"/>
              </a:solidFill>
              <a:effectLst/>
              <a:latin typeface="+mn-lt"/>
              <a:ea typeface="+mn-ea"/>
              <a:cs typeface="+mn-cs"/>
            </a:rPr>
            <a:t>BLS</a:t>
          </a:r>
          <a:r>
            <a:rPr lang="en-US" sz="1100" b="0" baseline="0">
              <a:solidFill>
                <a:schemeClr val="tx1"/>
              </a:solidFill>
              <a:effectLst/>
              <a:latin typeface="+mn-lt"/>
              <a:ea typeface="+mn-ea"/>
              <a:cs typeface="+mn-cs"/>
            </a:rPr>
            <a:t> 2022 Salary report @ 53%</a:t>
          </a:r>
          <a:endParaRPr lang="en-US">
            <a:effectLst/>
          </a:endParaRPr>
        </a:p>
        <a:p>
          <a:r>
            <a:rPr lang="en-US" sz="1100" b="0" baseline="0">
              <a:solidFill>
                <a:schemeClr val="tx1"/>
              </a:solidFill>
              <a:effectLst/>
              <a:latin typeface="+mn-lt"/>
              <a:ea typeface="+mn-ea"/>
              <a:cs typeface="+mn-cs"/>
            </a:rPr>
            <a:t>BTL expenses to FY22 UFR data</a:t>
          </a:r>
          <a:endParaRPr lang="en-US">
            <a:effectLst/>
          </a:endParaRPr>
        </a:p>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us_madcfrmu/MA%20DYS/RRO/2016%20Provisional%202014%20Final/2.%20Staff%20Rosters/MA%20DYS%20RO%20Time%20Study%20Staff%20Roster%20Templat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Administrative%20Services-POS%20Policy%20Office\Rate%20Setting\Rate%20Projects\Family%20Stab-CMR%20414\2024%20&amp;%202025%20reviews\Rate%20Review%20Jan%201,%202024\1.%20Strategy%20Materials\FSTAB%20FY22%20UFR.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Solimini\AppData\Local\Microsoft\Windows\Temporary%20Internet%20Files\Content.Outlook\WQ4JJXAQ\Discrete%20Models%20Revised%2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Family%20Stab-CMR%20414\2024%20&amp;%202025%20reviews\Rate%20Review%20Jan%201,%202024\3.%20Signoff\Website\101%20CMR%20414%20%20Models%20FOIA.xlsx" TargetMode="External"/><Relationship Id="rId1" Type="http://schemas.openxmlformats.org/officeDocument/2006/relationships/externalLinkPath" Target="101%20CMR%20414%20%20Models%20FO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cell r="M16">
            <v>1.2139698974996782E-2</v>
          </cell>
          <cell r="N16">
            <v>0</v>
          </cell>
          <cell r="O16">
            <v>0</v>
          </cell>
          <cell r="P16">
            <v>0</v>
          </cell>
          <cell r="Q16">
            <v>0</v>
          </cell>
          <cell r="R16">
            <v>0</v>
          </cell>
          <cell r="S16">
            <v>0</v>
          </cell>
          <cell r="T16">
            <v>0</v>
          </cell>
          <cell r="U16">
            <v>0</v>
          </cell>
          <cell r="V16">
            <v>0</v>
          </cell>
          <cell r="W16">
            <v>0</v>
          </cell>
          <cell r="X16">
            <v>0</v>
          </cell>
          <cell r="Y16">
            <v>0</v>
          </cell>
          <cell r="Z16">
            <v>17680</v>
          </cell>
          <cell r="AA16">
            <v>0</v>
          </cell>
          <cell r="AB16">
            <v>105576.11844574883</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17680</v>
          </cell>
          <cell r="BE16">
            <v>0</v>
          </cell>
          <cell r="BF16">
            <v>0</v>
          </cell>
          <cell r="BG16">
            <v>0</v>
          </cell>
          <cell r="BH16">
            <v>17680</v>
          </cell>
          <cell r="BI16">
            <v>0</v>
          </cell>
          <cell r="BJ16">
            <v>0</v>
          </cell>
          <cell r="BK16">
            <v>0</v>
          </cell>
          <cell r="BL16">
            <v>17680</v>
          </cell>
          <cell r="BM16">
            <v>0</v>
          </cell>
          <cell r="BN16">
            <v>17680</v>
          </cell>
          <cell r="BO16">
            <v>0</v>
          </cell>
          <cell r="BP16">
            <v>0</v>
          </cell>
          <cell r="BQ16">
            <v>0</v>
          </cell>
          <cell r="BR16">
            <v>17680</v>
          </cell>
          <cell r="BS16">
            <v>17680</v>
          </cell>
          <cell r="BT16">
            <v>-39873.996502157926</v>
          </cell>
          <cell r="BU16">
            <v>6.2242076161676985E-2</v>
          </cell>
          <cell r="BV16">
            <v>-11.437455797342871</v>
          </cell>
          <cell r="BW16">
            <v>-39859.701549495061</v>
          </cell>
          <cell r="BX16">
            <v>0</v>
          </cell>
          <cell r="BY16">
            <v>-321.11111111111109</v>
          </cell>
          <cell r="BZ16">
            <v>-41042.440256691923</v>
          </cell>
          <cell r="CA16">
            <v>-251770.26943483832</v>
          </cell>
          <cell r="CB16">
            <v>8.8729109375923237E-2</v>
          </cell>
          <cell r="CC16">
            <v>-23544.303378043831</v>
          </cell>
          <cell r="CD16">
            <v>0</v>
          </cell>
          <cell r="CE16">
            <v>0</v>
          </cell>
          <cell r="CF16">
            <v>0</v>
          </cell>
          <cell r="CG16">
            <v>-159694.9032558178</v>
          </cell>
          <cell r="CH16">
            <v>-4130.6725103641575</v>
          </cell>
          <cell r="CI16">
            <v>-186781.66945053823</v>
          </cell>
          <cell r="CJ16">
            <v>-39859.701549495061</v>
          </cell>
          <cell r="CK16">
            <v>-25547.777777777781</v>
          </cell>
          <cell r="CL16">
            <v>-321.11111111111109</v>
          </cell>
          <cell r="CM16">
            <v>-6940</v>
          </cell>
          <cell r="CN16">
            <v>-41042.440256691923</v>
          </cell>
          <cell r="CO16">
            <v>-292811.73882543447</v>
          </cell>
          <cell r="CP16">
            <v>0.61656919283408007</v>
          </cell>
          <cell r="CQ16">
            <v>5.1803668216236075E-2</v>
          </cell>
          <cell r="CR16">
            <v>0</v>
          </cell>
          <cell r="CS16">
            <v>0</v>
          </cell>
          <cell r="CT16">
            <v>0</v>
          </cell>
          <cell r="CU16">
            <v>8.2503417604680995E-2</v>
          </cell>
          <cell r="CV16">
            <v>-136.37044168758831</v>
          </cell>
          <cell r="CW16">
            <v>-7.9673250520136634</v>
          </cell>
          <cell r="CX16">
            <v>-3.9756890410485179</v>
          </cell>
          <cell r="CY16">
            <v>-4.9970605526161088E-2</v>
          </cell>
          <cell r="CZ16">
            <v>-1.0799875505757857</v>
          </cell>
          <cell r="DA16">
            <v>-17.30948263843479</v>
          </cell>
          <cell r="DB16">
            <v>-163.89396590439674</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
      <sheetName val="Profit &amp; Loss"/>
      <sheetName val="Below the line"/>
      <sheetName val="FTEs by category"/>
      <sheetName val="Clean Data"/>
      <sheetName val="Raw Data Calcs"/>
      <sheetName val="PIVOT"/>
      <sheetName val="PIVOTDATA"/>
      <sheetName val="ADD TO PIVOT DATA"/>
      <sheetName val="HOW TO"/>
      <sheetName val="Sheet3"/>
    </sheetNames>
    <sheetDataSet>
      <sheetData sheetId="0" refreshError="1"/>
      <sheetData sheetId="1" refreshError="1"/>
      <sheetData sheetId="2">
        <row r="5">
          <cell r="E5">
            <v>6221.9259542286536</v>
          </cell>
        </row>
      </sheetData>
      <sheetData sheetId="3" refreshError="1"/>
      <sheetData sheetId="4">
        <row r="3">
          <cell r="BN3">
            <v>0.19760532777955617</v>
          </cell>
          <cell r="CX3">
            <v>0.14146982114996537</v>
          </cell>
        </row>
        <row r="4">
          <cell r="BN4">
            <v>0.20761444165416432</v>
          </cell>
          <cell r="CX4">
            <v>0.12515967887956961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tatus"/>
      <sheetName val="BENCHMARKS (2)"/>
      <sheetName val="Spec Assessment"/>
      <sheetName val="Model Budgets_Aft Schl Dy Rspt"/>
      <sheetName val="After School_Dy Respt"/>
      <sheetName val="Model Budget-Edu Coord "/>
      <sheetName val="Edu Coord (Treehouse)"/>
      <sheetName val="3066 FNSS 09 UFR Data "/>
      <sheetName val="Model Budgets-Combined Hr Data"/>
      <sheetName val="Combined Hrly Data"/>
      <sheetName val="Model Budgets-Groups- Specialty"/>
      <sheetName val="MB-Groups -Family Skills Dev."/>
      <sheetName val="MB-Groups -Fathers Program"/>
      <sheetName val="Group-Non Stnd"/>
      <sheetName val="Child Care"/>
      <sheetName val="CAF"/>
      <sheetName val="Unbundled IFC Support Rate"/>
      <sheetName val="Unbundled background file"/>
      <sheetName val="units"/>
    </sheetNames>
    <sheetDataSet>
      <sheetData sheetId="0"/>
      <sheetData sheetId="1">
        <row r="157">
          <cell r="D157">
            <v>52564.428772849235</v>
          </cell>
        </row>
      </sheetData>
      <sheetData sheetId="2"/>
      <sheetData sheetId="3"/>
      <sheetData sheetId="4">
        <row r="4">
          <cell r="F4">
            <v>229</v>
          </cell>
        </row>
        <row r="5">
          <cell r="F5">
            <v>260</v>
          </cell>
        </row>
        <row r="6">
          <cell r="F6">
            <v>240</v>
          </cell>
        </row>
        <row r="7">
          <cell r="F7">
            <v>365</v>
          </cell>
        </row>
        <row r="8">
          <cell r="F8">
            <v>260</v>
          </cell>
        </row>
      </sheetData>
      <sheetData sheetId="5"/>
      <sheetData sheetId="6"/>
      <sheetData sheetId="7"/>
      <sheetData sheetId="8"/>
      <sheetData sheetId="9"/>
      <sheetData sheetId="10"/>
      <sheetData sheetId="11"/>
      <sheetData sheetId="12"/>
      <sheetData sheetId="13"/>
      <sheetData sheetId="14"/>
      <sheetData sheetId="15">
        <row r="20">
          <cell r="AD20">
            <v>4.4640068153077195E-2</v>
          </cell>
        </row>
      </sheetData>
      <sheetData sheetId="16"/>
      <sheetData sheetId="17">
        <row r="45">
          <cell r="G45">
            <v>8.1111275183150191</v>
          </cell>
        </row>
        <row r="53">
          <cell r="G53">
            <v>2.84</v>
          </cell>
        </row>
        <row r="72">
          <cell r="K72">
            <v>1.0391381345926798</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rt"/>
      <sheetName val="DCF RATES &amp; FI"/>
      <sheetName val="DDS Fiscal Impact"/>
      <sheetName val="ALL FI"/>
      <sheetName val="Master Look Up FY24"/>
      <sheetName val="Fiscal Impact DDS"/>
      <sheetName val="FY23Util by Month &amp; Attend Code"/>
      <sheetName val="FY23 Encumb Detail"/>
      <sheetName val="Salary lookup"/>
      <sheetName val="AdultCompanion FY24"/>
      <sheetName val="AdultCompanion"/>
      <sheetName val="Aut-FamSupCtrs Final"/>
      <sheetName val="Master Look Up"/>
      <sheetName val="AWC Admin - Family Nav"/>
      <sheetName val="BehavioralSupport"/>
      <sheetName val="Family Training "/>
      <sheetName val="Peer Suppt"/>
      <sheetName val="Respite Recipient Home "/>
      <sheetName val="Fin. Assistance Admin"/>
      <sheetName val="MCB FAMS"/>
      <sheetName val="Med Complex "/>
      <sheetName val="Respite Caregiver Home"/>
      <sheetName val="Site Based Respite"/>
      <sheetName val="IFFS"/>
      <sheetName val="Site Based Respite FY24"/>
      <sheetName val="DCFClinicalComp"/>
      <sheetName val="Ed Coordination"/>
      <sheetName val="Specialty Family Skills Group"/>
      <sheetName val="Family Skills Dev Group"/>
      <sheetName val="Parent Skill Dev Group"/>
      <sheetName val="Unbundled IFC Support FY24"/>
      <sheetName val="Unbundled IFC Support"/>
      <sheetName val="HOURLY &amp; AFTER SCHOOL"/>
      <sheetName val="Adolescent Supprt Network model"/>
      <sheetName val="Add on Rates FY24"/>
      <sheetName val="Add on Rates "/>
      <sheetName val="Spring 2021 CAF"/>
    </sheetNames>
    <sheetDataSet>
      <sheetData sheetId="0"/>
      <sheetData sheetId="1"/>
      <sheetData sheetId="2"/>
      <sheetData sheetId="3"/>
      <sheetData sheetId="4">
        <row r="4">
          <cell r="E4">
            <v>6221.9259542286536</v>
          </cell>
        </row>
        <row r="14">
          <cell r="E14">
            <v>1475.3908322281168</v>
          </cell>
        </row>
        <row r="17">
          <cell r="E17">
            <v>1493.1564099112707</v>
          </cell>
        </row>
        <row r="30">
          <cell r="D30">
            <v>0.12</v>
          </cell>
        </row>
      </sheetData>
      <sheetData sheetId="5"/>
      <sheetData sheetId="6"/>
      <sheetData sheetId="7"/>
      <sheetData sheetId="8">
        <row r="5">
          <cell r="B5" t="str">
            <v>Direct Care</v>
          </cell>
          <cell r="F5">
            <v>41600</v>
          </cell>
          <cell r="G5">
            <v>0.19104335397808503</v>
          </cell>
        </row>
        <row r="6">
          <cell r="B6" t="str">
            <v>Direct Care III</v>
          </cell>
          <cell r="F6">
            <v>53206.566400000003</v>
          </cell>
        </row>
        <row r="7">
          <cell r="B7" t="str">
            <v>Certified Nursing Assistant</v>
          </cell>
          <cell r="F7">
            <v>39772.927999999993</v>
          </cell>
        </row>
        <row r="8">
          <cell r="B8" t="str">
            <v>Case Worker</v>
          </cell>
          <cell r="F8">
            <v>58616.063999999998</v>
          </cell>
        </row>
        <row r="9">
          <cell r="B9" t="str">
            <v>Case Manager</v>
          </cell>
          <cell r="F9">
            <v>64330.864000000001</v>
          </cell>
        </row>
        <row r="10">
          <cell r="B10" t="str">
            <v>LPN</v>
          </cell>
          <cell r="F10">
            <v>65676.416000000012</v>
          </cell>
        </row>
        <row r="11">
          <cell r="B11" t="str">
            <v>Clinical w/ Independent licensure</v>
          </cell>
          <cell r="F11">
            <v>80606.448000000004</v>
          </cell>
        </row>
        <row r="12">
          <cell r="B12" t="str">
            <v xml:space="preserve">Dietician / Nutritionist </v>
          </cell>
          <cell r="F12">
            <v>68100.032000000007</v>
          </cell>
        </row>
        <row r="13">
          <cell r="B13" t="str">
            <v>Program Management</v>
          </cell>
          <cell r="F13">
            <v>79415.232000000018</v>
          </cell>
        </row>
        <row r="14">
          <cell r="B14" t="str">
            <v>Occupational Therapist</v>
          </cell>
          <cell r="F14">
            <v>79076.399999999994</v>
          </cell>
        </row>
        <row r="15">
          <cell r="B15" t="str">
            <v>Physical Therapist</v>
          </cell>
          <cell r="F15">
            <v>85803.494399999996</v>
          </cell>
        </row>
        <row r="16">
          <cell r="B16" t="str">
            <v>Clinical Manager</v>
          </cell>
          <cell r="F16">
            <v>101383.77600000001</v>
          </cell>
        </row>
        <row r="17">
          <cell r="B17" t="str">
            <v>Speech Language Pathologists</v>
          </cell>
          <cell r="F17">
            <v>88933.977599999998</v>
          </cell>
        </row>
        <row r="18">
          <cell r="B18" t="str">
            <v>Registerd Nurse (BA)</v>
          </cell>
          <cell r="F18">
            <v>102258.624</v>
          </cell>
        </row>
        <row r="19">
          <cell r="B19" t="str">
            <v>Registerd Nurse (MA / APRN)</v>
          </cell>
          <cell r="F19">
            <v>135537.79200000002</v>
          </cell>
        </row>
        <row r="20">
          <cell r="B20" t="str">
            <v>Behav.Supp. - Bachelor's</v>
          </cell>
          <cell r="F20">
            <v>58616.063999999998</v>
          </cell>
        </row>
        <row r="21">
          <cell r="B21" t="str">
            <v>Behav. Supp. - Doctorate</v>
          </cell>
          <cell r="F21">
            <v>101383.77600000001</v>
          </cell>
        </row>
        <row r="22">
          <cell r="B22" t="str">
            <v>Behav. Supp. - Master's</v>
          </cell>
          <cell r="F22">
            <v>80606.448000000004</v>
          </cell>
        </row>
        <row r="23">
          <cell r="B23" t="str">
            <v>Nurse-blended rate</v>
          </cell>
          <cell r="F23">
            <v>83967.52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BACE0-CF20-4A88-B2A6-37B483BE1836}">
  <dimension ref="B2:F142"/>
  <sheetViews>
    <sheetView tabSelected="1" topLeftCell="A5" zoomScaleNormal="100" workbookViewId="0">
      <selection activeCell="J41" sqref="J41"/>
    </sheetView>
  </sheetViews>
  <sheetFormatPr defaultRowHeight="15" x14ac:dyDescent="0.25"/>
  <cols>
    <col min="2" max="2" width="43.140625" customWidth="1"/>
    <col min="3" max="3" width="10" bestFit="1" customWidth="1"/>
    <col min="4" max="4" width="12.5703125" bestFit="1" customWidth="1"/>
    <col min="5" max="5" width="13.7109375" style="115" hidden="1" customWidth="1"/>
    <col min="6" max="6" width="19.28515625" style="114" bestFit="1" customWidth="1"/>
  </cols>
  <sheetData>
    <row r="2" spans="2:6" ht="45" x14ac:dyDescent="0.25">
      <c r="B2" s="138" t="s">
        <v>313</v>
      </c>
      <c r="C2" s="137" t="s">
        <v>312</v>
      </c>
      <c r="D2" s="136" t="s">
        <v>311</v>
      </c>
      <c r="E2" s="135" t="s">
        <v>310</v>
      </c>
      <c r="F2" s="134" t="s">
        <v>309</v>
      </c>
    </row>
    <row r="3" spans="2:6" x14ac:dyDescent="0.25">
      <c r="B3" s="133" t="s">
        <v>264</v>
      </c>
      <c r="C3" s="129"/>
      <c r="D3" s="126" t="s">
        <v>263</v>
      </c>
      <c r="E3" s="127">
        <v>14.12</v>
      </c>
      <c r="F3" s="116">
        <f>'AWC Admin-Family Nav FY24'!$F$32</f>
        <v>18.7</v>
      </c>
    </row>
    <row r="4" spans="2:6" x14ac:dyDescent="0.25">
      <c r="B4" s="125" t="s">
        <v>308</v>
      </c>
      <c r="C4" s="129"/>
      <c r="D4" s="126" t="s">
        <v>291</v>
      </c>
      <c r="E4" s="127">
        <v>277.43</v>
      </c>
      <c r="F4" s="116">
        <f>'Respite Recipient Home FY24'!$G$37</f>
        <v>351</v>
      </c>
    </row>
    <row r="5" spans="2:6" x14ac:dyDescent="0.25">
      <c r="B5" s="125" t="s">
        <v>307</v>
      </c>
      <c r="C5" s="129"/>
      <c r="D5" s="126" t="s">
        <v>291</v>
      </c>
      <c r="E5" s="127">
        <v>128.21</v>
      </c>
      <c r="F5" s="116">
        <f>'Respite Caregiver Home FY24'!$G$30</f>
        <v>145.19</v>
      </c>
    </row>
    <row r="6" spans="2:6" x14ac:dyDescent="0.25">
      <c r="B6" s="125" t="s">
        <v>306</v>
      </c>
      <c r="C6" s="129"/>
      <c r="D6" s="126" t="s">
        <v>291</v>
      </c>
      <c r="E6" s="127">
        <v>150.87</v>
      </c>
      <c r="F6" s="116">
        <f>'Respite Caregiver Home FY24'!$L$30</f>
        <v>176.03</v>
      </c>
    </row>
    <row r="7" spans="2:6" x14ac:dyDescent="0.25">
      <c r="B7" s="125" t="s">
        <v>305</v>
      </c>
      <c r="C7" s="129"/>
      <c r="D7" s="126" t="s">
        <v>291</v>
      </c>
      <c r="E7" s="127">
        <v>179.05</v>
      </c>
      <c r="F7" s="116">
        <f>'Respite Caregiver Home FY24'!$Q$30</f>
        <v>206.86</v>
      </c>
    </row>
    <row r="8" spans="2:6" x14ac:dyDescent="0.25">
      <c r="B8" s="132" t="s">
        <v>304</v>
      </c>
      <c r="C8" s="129"/>
      <c r="D8" s="126" t="s">
        <v>291</v>
      </c>
      <c r="E8" s="127">
        <v>128.21</v>
      </c>
      <c r="F8" s="116">
        <f>'Respite Caregiver Home FY24'!$G$30</f>
        <v>145.19</v>
      </c>
    </row>
    <row r="9" spans="2:6" x14ac:dyDescent="0.25">
      <c r="B9" s="125" t="s">
        <v>303</v>
      </c>
      <c r="C9" s="129"/>
      <c r="D9" s="126" t="s">
        <v>263</v>
      </c>
      <c r="E9" s="127">
        <v>7.71</v>
      </c>
      <c r="F9" s="131">
        <f>'Respite Recipient Home FY24'!G34</f>
        <v>9.75</v>
      </c>
    </row>
    <row r="10" spans="2:6" x14ac:dyDescent="0.25">
      <c r="B10" s="125" t="s">
        <v>302</v>
      </c>
      <c r="C10" s="129"/>
      <c r="D10" s="126" t="s">
        <v>263</v>
      </c>
      <c r="E10" s="127">
        <v>3.85</v>
      </c>
      <c r="F10" s="131">
        <f>'Respite Recipient Home FY24'!G35</f>
        <v>4.88</v>
      </c>
    </row>
    <row r="11" spans="2:6" x14ac:dyDescent="0.25">
      <c r="B11" s="125" t="s">
        <v>301</v>
      </c>
      <c r="C11" s="129"/>
      <c r="D11" s="126" t="s">
        <v>263</v>
      </c>
      <c r="E11" s="127">
        <v>2.57</v>
      </c>
      <c r="F11" s="131">
        <f>'Respite Recipient Home FY24'!G36</f>
        <v>3.25</v>
      </c>
    </row>
    <row r="12" spans="2:6" x14ac:dyDescent="0.25">
      <c r="B12" s="125" t="s">
        <v>300</v>
      </c>
      <c r="C12" s="130"/>
      <c r="D12" s="126" t="s">
        <v>263</v>
      </c>
      <c r="E12" s="127">
        <v>9.89</v>
      </c>
      <c r="F12" s="116">
        <f>'Family Training FY24'!$K$20</f>
        <v>13.25</v>
      </c>
    </row>
    <row r="13" spans="2:6" x14ac:dyDescent="0.25">
      <c r="B13" s="125" t="s">
        <v>299</v>
      </c>
      <c r="C13" s="130"/>
      <c r="D13" s="126" t="s">
        <v>263</v>
      </c>
      <c r="E13" s="127">
        <v>4.9400000000000004</v>
      </c>
      <c r="F13" s="116">
        <f>'Family Training FY24'!$K$21</f>
        <v>6.63</v>
      </c>
    </row>
    <row r="14" spans="2:6" x14ac:dyDescent="0.25">
      <c r="B14" s="125" t="s">
        <v>298</v>
      </c>
      <c r="C14" s="130"/>
      <c r="D14" s="126" t="s">
        <v>263</v>
      </c>
      <c r="E14" s="127">
        <v>2.0099999999999998</v>
      </c>
      <c r="F14" s="116">
        <f>'Family Training FY24'!$K$22</f>
        <v>2.65</v>
      </c>
    </row>
    <row r="15" spans="2:6" x14ac:dyDescent="0.25">
      <c r="B15" s="125" t="s">
        <v>297</v>
      </c>
      <c r="C15" s="129"/>
      <c r="D15" s="126" t="s">
        <v>263</v>
      </c>
      <c r="E15" s="127">
        <v>16.559999999999999</v>
      </c>
      <c r="F15" s="116">
        <f>'BehavioralSupport FY24'!$L$24</f>
        <v>20.92</v>
      </c>
    </row>
    <row r="16" spans="2:6" hidden="1" x14ac:dyDescent="0.25">
      <c r="B16" s="125" t="s">
        <v>297</v>
      </c>
      <c r="C16" s="129"/>
      <c r="D16" s="126" t="s">
        <v>263</v>
      </c>
      <c r="E16" s="127">
        <v>16.559999999999999</v>
      </c>
      <c r="F16" s="116">
        <f>'BehavioralSupport FY24'!$L$24</f>
        <v>20.92</v>
      </c>
    </row>
    <row r="17" spans="2:6" hidden="1" x14ac:dyDescent="0.25">
      <c r="B17" s="125" t="s">
        <v>296</v>
      </c>
      <c r="C17" s="129"/>
      <c r="D17" s="126" t="s">
        <v>263</v>
      </c>
      <c r="E17" s="127">
        <v>24.88</v>
      </c>
      <c r="F17" s="116">
        <f>'BehavioralSupport FY24'!$Q$24</f>
        <v>33.14</v>
      </c>
    </row>
    <row r="18" spans="2:6" x14ac:dyDescent="0.25">
      <c r="B18" s="125" t="s">
        <v>296</v>
      </c>
      <c r="C18" s="129"/>
      <c r="D18" s="126" t="s">
        <v>263</v>
      </c>
      <c r="E18" s="127">
        <v>24.88</v>
      </c>
      <c r="F18" s="116">
        <f>'BehavioralSupport FY24'!$Q$24</f>
        <v>33.14</v>
      </c>
    </row>
    <row r="19" spans="2:6" hidden="1" x14ac:dyDescent="0.25">
      <c r="B19" s="125" t="s">
        <v>295</v>
      </c>
      <c r="C19" s="129"/>
      <c r="D19" s="126" t="s">
        <v>263</v>
      </c>
      <c r="E19" s="127">
        <v>35.590000000000003</v>
      </c>
      <c r="F19" s="116">
        <f>'BehavioralSupport FY24'!$V$24</f>
        <v>41.95</v>
      </c>
    </row>
    <row r="20" spans="2:6" x14ac:dyDescent="0.25">
      <c r="B20" s="125" t="s">
        <v>295</v>
      </c>
      <c r="C20" s="129"/>
      <c r="D20" s="126" t="s">
        <v>263</v>
      </c>
      <c r="E20" s="127">
        <v>35.590000000000003</v>
      </c>
      <c r="F20" s="116">
        <f>'BehavioralSupport FY24'!$V$24</f>
        <v>41.95</v>
      </c>
    </row>
    <row r="21" spans="2:6" hidden="1" x14ac:dyDescent="0.25">
      <c r="B21" s="125" t="s">
        <v>294</v>
      </c>
      <c r="C21" s="129"/>
      <c r="D21" s="126" t="s">
        <v>291</v>
      </c>
      <c r="E21" s="127">
        <v>128.21</v>
      </c>
      <c r="F21" s="116">
        <f>'Respite Caregiver Home FY24'!$G$30</f>
        <v>145.19</v>
      </c>
    </row>
    <row r="22" spans="2:6" hidden="1" x14ac:dyDescent="0.25">
      <c r="B22" s="125" t="s">
        <v>293</v>
      </c>
      <c r="C22" s="129"/>
      <c r="D22" s="126" t="s">
        <v>291</v>
      </c>
      <c r="E22" s="127">
        <v>150.87</v>
      </c>
      <c r="F22" s="116">
        <f>'Respite Caregiver Home FY24'!$L$30</f>
        <v>176.03</v>
      </c>
    </row>
    <row r="23" spans="2:6" hidden="1" x14ac:dyDescent="0.25">
      <c r="B23" s="125" t="s">
        <v>292</v>
      </c>
      <c r="C23" s="129"/>
      <c r="D23" s="126" t="s">
        <v>291</v>
      </c>
      <c r="E23" s="127">
        <v>179.05</v>
      </c>
      <c r="F23" s="116">
        <f>'Respite Caregiver Home FY24'!$Q$30</f>
        <v>206.86</v>
      </c>
    </row>
    <row r="24" spans="2:6" x14ac:dyDescent="0.25">
      <c r="B24" s="125" t="s">
        <v>290</v>
      </c>
      <c r="C24" s="130"/>
      <c r="D24" s="126" t="s">
        <v>263</v>
      </c>
      <c r="E24" s="127">
        <v>7.84</v>
      </c>
      <c r="F24" s="116">
        <f>'Peer Suppt FY24'!$G$21</f>
        <v>9.75</v>
      </c>
    </row>
    <row r="25" spans="2:6" hidden="1" x14ac:dyDescent="0.25">
      <c r="B25" s="125" t="s">
        <v>290</v>
      </c>
      <c r="C25" s="130"/>
      <c r="D25" s="126" t="s">
        <v>263</v>
      </c>
      <c r="E25" s="127">
        <v>7.84</v>
      </c>
      <c r="F25" s="116">
        <f>'Peer Suppt FY24'!$G$21</f>
        <v>9.75</v>
      </c>
    </row>
    <row r="26" spans="2:6" hidden="1" x14ac:dyDescent="0.25">
      <c r="B26" s="125" t="s">
        <v>289</v>
      </c>
      <c r="C26" s="130"/>
      <c r="D26" s="126" t="s">
        <v>263</v>
      </c>
      <c r="E26" s="127">
        <v>3.92</v>
      </c>
      <c r="F26" s="116">
        <f>'Peer Suppt FY24'!$G$22</f>
        <v>4.88</v>
      </c>
    </row>
    <row r="27" spans="2:6" x14ac:dyDescent="0.25">
      <c r="B27" s="125" t="s">
        <v>289</v>
      </c>
      <c r="C27" s="130"/>
      <c r="D27" s="126" t="s">
        <v>263</v>
      </c>
      <c r="E27" s="127">
        <v>3.92</v>
      </c>
      <c r="F27" s="116">
        <f>'Peer Suppt FY24'!$G$22</f>
        <v>4.88</v>
      </c>
    </row>
    <row r="28" spans="2:6" x14ac:dyDescent="0.25">
      <c r="B28" s="125" t="s">
        <v>288</v>
      </c>
      <c r="C28" s="130"/>
      <c r="D28" s="126" t="s">
        <v>263</v>
      </c>
      <c r="E28" s="127">
        <v>1.6</v>
      </c>
      <c r="F28" s="116">
        <f>'Peer Suppt FY24'!$G$23</f>
        <v>1.95</v>
      </c>
    </row>
    <row r="29" spans="2:6" x14ac:dyDescent="0.25">
      <c r="B29" s="125" t="s">
        <v>287</v>
      </c>
      <c r="C29" s="130"/>
      <c r="D29" s="126" t="s">
        <v>263</v>
      </c>
      <c r="E29" s="127">
        <v>7.71</v>
      </c>
      <c r="F29" s="116">
        <f>'Respite Recipient Home FY24'!$G$34</f>
        <v>9.75</v>
      </c>
    </row>
    <row r="30" spans="2:6" x14ac:dyDescent="0.25">
      <c r="B30" s="125" t="s">
        <v>286</v>
      </c>
      <c r="C30" s="130"/>
      <c r="D30" s="126" t="s">
        <v>263</v>
      </c>
      <c r="E30" s="127">
        <v>3.85</v>
      </c>
      <c r="F30" s="116">
        <f>'Respite Recipient Home FY24'!$G$35</f>
        <v>4.88</v>
      </c>
    </row>
    <row r="31" spans="2:6" x14ac:dyDescent="0.25">
      <c r="B31" s="125" t="s">
        <v>285</v>
      </c>
      <c r="C31" s="130"/>
      <c r="D31" s="126" t="s">
        <v>263</v>
      </c>
      <c r="E31" s="127">
        <v>2.57</v>
      </c>
      <c r="F31" s="116">
        <f>'Respite Recipient Home FY24'!$G$36</f>
        <v>3.25</v>
      </c>
    </row>
    <row r="32" spans="2:6" x14ac:dyDescent="0.25">
      <c r="B32" s="125" t="s">
        <v>284</v>
      </c>
      <c r="C32" s="129">
        <v>0.5</v>
      </c>
      <c r="D32" s="126" t="s">
        <v>279</v>
      </c>
      <c r="E32" s="127">
        <v>4677.04</v>
      </c>
      <c r="F32" s="116">
        <f>'Aut-FamSupCtrs FY24'!$G$48</f>
        <v>5827.56</v>
      </c>
    </row>
    <row r="33" spans="2:6" x14ac:dyDescent="0.25">
      <c r="B33" s="125" t="s">
        <v>284</v>
      </c>
      <c r="C33" s="129">
        <v>1</v>
      </c>
      <c r="D33" s="126" t="s">
        <v>279</v>
      </c>
      <c r="E33" s="127">
        <v>9354.08</v>
      </c>
      <c r="F33" s="116">
        <f>'Aut-FamSupCtrs FY24'!$L$48</f>
        <v>11655.12</v>
      </c>
    </row>
    <row r="34" spans="2:6" x14ac:dyDescent="0.25">
      <c r="B34" s="125" t="s">
        <v>284</v>
      </c>
      <c r="C34" s="129">
        <v>1.5</v>
      </c>
      <c r="D34" s="126" t="s">
        <v>279</v>
      </c>
      <c r="E34" s="127">
        <v>14031.12</v>
      </c>
      <c r="F34" s="116">
        <f>'Aut-FamSupCtrs FY24'!$Q$48</f>
        <v>17482.68</v>
      </c>
    </row>
    <row r="35" spans="2:6" x14ac:dyDescent="0.25">
      <c r="B35" s="125" t="s">
        <v>284</v>
      </c>
      <c r="C35" s="129">
        <v>2</v>
      </c>
      <c r="D35" s="126" t="s">
        <v>279</v>
      </c>
      <c r="E35" s="127">
        <v>18708.16</v>
      </c>
      <c r="F35" s="116">
        <f>'Aut-FamSupCtrs FY24'!$V$48</f>
        <v>23310.25</v>
      </c>
    </row>
    <row r="36" spans="2:6" x14ac:dyDescent="0.25">
      <c r="B36" s="125" t="s">
        <v>284</v>
      </c>
      <c r="C36" s="129">
        <v>2.5</v>
      </c>
      <c r="D36" s="126" t="s">
        <v>279</v>
      </c>
      <c r="E36" s="127">
        <v>22066.32</v>
      </c>
      <c r="F36" s="116">
        <f>'Aut-FamSupCtrs FY24'!$AA$48</f>
        <v>27676.7</v>
      </c>
    </row>
    <row r="37" spans="2:6" x14ac:dyDescent="0.25">
      <c r="B37" s="125" t="s">
        <v>284</v>
      </c>
      <c r="C37" s="129">
        <v>3</v>
      </c>
      <c r="D37" s="126" t="s">
        <v>279</v>
      </c>
      <c r="E37" s="127">
        <v>25519.11</v>
      </c>
      <c r="F37" s="116">
        <f>'Aut-FamSupCtrs FY24'!$AF$48</f>
        <v>32540.52</v>
      </c>
    </row>
    <row r="38" spans="2:6" x14ac:dyDescent="0.25">
      <c r="B38" s="125" t="s">
        <v>284</v>
      </c>
      <c r="C38" s="129">
        <v>3.5</v>
      </c>
      <c r="D38" s="126" t="s">
        <v>279</v>
      </c>
      <c r="E38" s="127">
        <v>28942.23</v>
      </c>
      <c r="F38" s="116">
        <f>'Aut-FamSupCtrs FY24'!$AK$48</f>
        <v>37348.43</v>
      </c>
    </row>
    <row r="39" spans="2:6" x14ac:dyDescent="0.25">
      <c r="B39" s="125" t="s">
        <v>284</v>
      </c>
      <c r="C39" s="129">
        <v>4</v>
      </c>
      <c r="D39" s="126" t="s">
        <v>279</v>
      </c>
      <c r="E39" s="127">
        <v>32406.78</v>
      </c>
      <c r="F39" s="116">
        <f>'Aut-FamSupCtrs FY24'!$AP$48</f>
        <v>42098.18</v>
      </c>
    </row>
    <row r="40" spans="2:6" x14ac:dyDescent="0.25">
      <c r="B40" s="125" t="s">
        <v>284</v>
      </c>
      <c r="C40" s="129">
        <v>4.5</v>
      </c>
      <c r="D40" s="126" t="s">
        <v>279</v>
      </c>
      <c r="E40" s="127">
        <v>35980.519999999997</v>
      </c>
      <c r="F40" s="116">
        <f>'Aut-FamSupCtrs FY24'!$AU$48</f>
        <v>46797.24</v>
      </c>
    </row>
    <row r="41" spans="2:6" x14ac:dyDescent="0.25">
      <c r="B41" s="125" t="s">
        <v>284</v>
      </c>
      <c r="C41" s="129">
        <v>5</v>
      </c>
      <c r="D41" s="126" t="s">
        <v>279</v>
      </c>
      <c r="E41" s="127">
        <v>39487.47</v>
      </c>
      <c r="F41" s="116">
        <f>'Aut-FamSupCtrs FY24'!$AZ$48</f>
        <v>51462.55</v>
      </c>
    </row>
    <row r="42" spans="2:6" x14ac:dyDescent="0.25">
      <c r="B42" s="125" t="s">
        <v>284</v>
      </c>
      <c r="C42" s="129">
        <v>5.5</v>
      </c>
      <c r="D42" s="126" t="s">
        <v>279</v>
      </c>
      <c r="E42" s="127">
        <v>43008.15</v>
      </c>
      <c r="F42" s="116">
        <f>'Aut-FamSupCtrs FY24'!$BE$48</f>
        <v>56101.18</v>
      </c>
    </row>
    <row r="43" spans="2:6" x14ac:dyDescent="0.25">
      <c r="B43" s="125" t="s">
        <v>284</v>
      </c>
      <c r="C43" s="129">
        <v>6</v>
      </c>
      <c r="D43" s="126" t="s">
        <v>279</v>
      </c>
      <c r="E43" s="127">
        <v>46597.22</v>
      </c>
      <c r="F43" s="116">
        <f>'Aut-FamSupCtrs FY24'!$BJ$48</f>
        <v>60854.559999999998</v>
      </c>
    </row>
    <row r="44" spans="2:6" x14ac:dyDescent="0.25">
      <c r="B44" s="125" t="s">
        <v>284</v>
      </c>
      <c r="C44" s="129">
        <v>6.5</v>
      </c>
      <c r="D44" s="126" t="s">
        <v>279</v>
      </c>
      <c r="E44" s="127">
        <v>50215.49</v>
      </c>
      <c r="F44" s="116">
        <f>'Aut-FamSupCtrs FY24'!$BO$48</f>
        <v>65610.75</v>
      </c>
    </row>
    <row r="45" spans="2:6" x14ac:dyDescent="0.25">
      <c r="B45" s="125" t="s">
        <v>284</v>
      </c>
      <c r="C45" s="129">
        <v>7</v>
      </c>
      <c r="D45" s="126" t="s">
        <v>279</v>
      </c>
      <c r="E45" s="127">
        <v>53763.76</v>
      </c>
      <c r="F45" s="116">
        <f>'Aut-FamSupCtrs FY24'!$BT$48</f>
        <v>70322.03</v>
      </c>
    </row>
    <row r="46" spans="2:6" x14ac:dyDescent="0.25">
      <c r="B46" s="125" t="s">
        <v>284</v>
      </c>
      <c r="C46" s="129">
        <v>7.5</v>
      </c>
      <c r="D46" s="126" t="s">
        <v>279</v>
      </c>
      <c r="E46" s="127">
        <v>57352.13</v>
      </c>
      <c r="F46" s="116">
        <f>'Aut-FamSupCtrs FY24'!$BY$48</f>
        <v>75044.460000000006</v>
      </c>
    </row>
    <row r="47" spans="2:6" x14ac:dyDescent="0.25">
      <c r="B47" s="125" t="s">
        <v>284</v>
      </c>
      <c r="C47" s="129">
        <v>8</v>
      </c>
      <c r="D47" s="126" t="s">
        <v>279</v>
      </c>
      <c r="E47" s="127">
        <v>60800.37</v>
      </c>
      <c r="F47" s="116">
        <f>'Aut-FamSupCtrs FY24'!$CD$48</f>
        <v>79686.55</v>
      </c>
    </row>
    <row r="48" spans="2:6" x14ac:dyDescent="0.25">
      <c r="B48" s="125" t="s">
        <v>284</v>
      </c>
      <c r="C48" s="129">
        <v>8.5</v>
      </c>
      <c r="D48" s="126" t="s">
        <v>279</v>
      </c>
      <c r="E48" s="127">
        <v>64036.93</v>
      </c>
      <c r="F48" s="116">
        <f>'Aut-FamSupCtrs FY24'!$CI$48</f>
        <v>84218.28</v>
      </c>
    </row>
    <row r="49" spans="2:6" x14ac:dyDescent="0.25">
      <c r="B49" s="125" t="s">
        <v>284</v>
      </c>
      <c r="C49" s="129">
        <v>9</v>
      </c>
      <c r="D49" s="126" t="s">
        <v>279</v>
      </c>
      <c r="E49" s="127">
        <v>67183.45</v>
      </c>
      <c r="F49" s="116">
        <f>'Aut-FamSupCtrs FY24'!$CN$48</f>
        <v>88710.24</v>
      </c>
    </row>
    <row r="50" spans="2:6" x14ac:dyDescent="0.25">
      <c r="B50" s="125" t="s">
        <v>284</v>
      </c>
      <c r="C50" s="129">
        <v>9.5</v>
      </c>
      <c r="D50" s="126" t="s">
        <v>279</v>
      </c>
      <c r="E50" s="127">
        <v>70321.210000000006</v>
      </c>
      <c r="F50" s="116">
        <f>'Aut-FamSupCtrs FY24'!$CS$48</f>
        <v>93202.21</v>
      </c>
    </row>
    <row r="51" spans="2:6" x14ac:dyDescent="0.25">
      <c r="B51" s="125" t="s">
        <v>284</v>
      </c>
      <c r="C51" s="129">
        <v>10</v>
      </c>
      <c r="D51" s="126" t="s">
        <v>279</v>
      </c>
      <c r="E51" s="127">
        <v>73402.83</v>
      </c>
      <c r="F51" s="116">
        <f>'Aut-FamSupCtrs FY24'!$CX$48</f>
        <v>97659</v>
      </c>
    </row>
    <row r="52" spans="2:6" x14ac:dyDescent="0.25">
      <c r="B52" s="125" t="s">
        <v>284</v>
      </c>
      <c r="C52" s="129">
        <v>10.5</v>
      </c>
      <c r="D52" s="126" t="s">
        <v>279</v>
      </c>
      <c r="E52" s="127">
        <v>76477.47</v>
      </c>
      <c r="F52" s="116">
        <f>'Aut-FamSupCtrs FY24'!$DC$48</f>
        <v>102123.03</v>
      </c>
    </row>
    <row r="53" spans="2:6" x14ac:dyDescent="0.25">
      <c r="B53" s="125" t="s">
        <v>284</v>
      </c>
      <c r="C53" s="129">
        <v>11</v>
      </c>
      <c r="D53" s="126" t="s">
        <v>279</v>
      </c>
      <c r="E53" s="127">
        <v>79464.98</v>
      </c>
      <c r="F53" s="116">
        <f>'Aut-FamSupCtrs FY24'!$DH$48</f>
        <v>106569.56</v>
      </c>
    </row>
    <row r="54" spans="2:6" x14ac:dyDescent="0.25">
      <c r="B54" s="125" t="s">
        <v>284</v>
      </c>
      <c r="C54" s="129">
        <v>11.5</v>
      </c>
      <c r="D54" s="126" t="s">
        <v>279</v>
      </c>
      <c r="E54" s="127">
        <v>82446.33</v>
      </c>
      <c r="F54" s="116">
        <f>'Aut-FamSupCtrs FY24'!$DM$48</f>
        <v>111034.12</v>
      </c>
    </row>
    <row r="55" spans="2:6" x14ac:dyDescent="0.25">
      <c r="B55" s="125" t="s">
        <v>284</v>
      </c>
      <c r="C55" s="129">
        <v>12</v>
      </c>
      <c r="D55" s="126" t="s">
        <v>279</v>
      </c>
      <c r="E55" s="127">
        <v>85341.28</v>
      </c>
      <c r="F55" s="116">
        <f>'Aut-FamSupCtrs FY24'!$DR$48</f>
        <v>115507.3</v>
      </c>
    </row>
    <row r="56" spans="2:6" hidden="1" x14ac:dyDescent="0.25">
      <c r="B56" s="125" t="s">
        <v>284</v>
      </c>
      <c r="C56" s="129">
        <v>0.5</v>
      </c>
      <c r="D56" s="126" t="s">
        <v>279</v>
      </c>
      <c r="E56" s="127">
        <v>4677.04</v>
      </c>
      <c r="F56" s="116">
        <f>'Aut-FamSupCtrs FY24'!$G$48</f>
        <v>5827.56</v>
      </c>
    </row>
    <row r="57" spans="2:6" hidden="1" x14ac:dyDescent="0.25">
      <c r="B57" s="125" t="s">
        <v>284</v>
      </c>
      <c r="C57" s="129">
        <v>1</v>
      </c>
      <c r="D57" s="126" t="s">
        <v>279</v>
      </c>
      <c r="E57" s="127">
        <v>9354.08</v>
      </c>
      <c r="F57" s="116">
        <f>'Aut-FamSupCtrs FY24'!$L$48</f>
        <v>11655.12</v>
      </c>
    </row>
    <row r="58" spans="2:6" hidden="1" x14ac:dyDescent="0.25">
      <c r="B58" s="125" t="s">
        <v>284</v>
      </c>
      <c r="C58" s="129">
        <v>1.5</v>
      </c>
      <c r="D58" s="126" t="s">
        <v>279</v>
      </c>
      <c r="E58" s="127">
        <v>14031.12</v>
      </c>
      <c r="F58" s="116">
        <f>'Aut-FamSupCtrs FY24'!$Q$48</f>
        <v>17482.68</v>
      </c>
    </row>
    <row r="59" spans="2:6" hidden="1" x14ac:dyDescent="0.25">
      <c r="B59" s="125" t="s">
        <v>284</v>
      </c>
      <c r="C59" s="129">
        <v>2</v>
      </c>
      <c r="D59" s="126" t="s">
        <v>279</v>
      </c>
      <c r="E59" s="127">
        <v>18708.16</v>
      </c>
      <c r="F59" s="116">
        <f>'Aut-FamSupCtrs FY24'!$V$48</f>
        <v>23310.25</v>
      </c>
    </row>
    <row r="60" spans="2:6" hidden="1" x14ac:dyDescent="0.25">
      <c r="B60" s="125" t="s">
        <v>284</v>
      </c>
      <c r="C60" s="129">
        <v>2.5</v>
      </c>
      <c r="D60" s="126" t="s">
        <v>279</v>
      </c>
      <c r="E60" s="127">
        <v>22066.32</v>
      </c>
      <c r="F60" s="116">
        <f>'Aut-FamSupCtrs FY24'!$AA$48</f>
        <v>27676.7</v>
      </c>
    </row>
    <row r="61" spans="2:6" hidden="1" x14ac:dyDescent="0.25">
      <c r="B61" s="125" t="s">
        <v>284</v>
      </c>
      <c r="C61" s="129">
        <v>3</v>
      </c>
      <c r="D61" s="126" t="s">
        <v>279</v>
      </c>
      <c r="E61" s="127">
        <v>25519.11</v>
      </c>
      <c r="F61" s="116">
        <f>'Aut-FamSupCtrs FY24'!$AF$48</f>
        <v>32540.52</v>
      </c>
    </row>
    <row r="62" spans="2:6" hidden="1" x14ac:dyDescent="0.25">
      <c r="B62" s="125" t="s">
        <v>284</v>
      </c>
      <c r="C62" s="129">
        <v>3.5</v>
      </c>
      <c r="D62" s="126" t="s">
        <v>279</v>
      </c>
      <c r="E62" s="127">
        <v>28942.23</v>
      </c>
      <c r="F62" s="116">
        <f>'Aut-FamSupCtrs FY24'!$AK$48</f>
        <v>37348.43</v>
      </c>
    </row>
    <row r="63" spans="2:6" hidden="1" x14ac:dyDescent="0.25">
      <c r="B63" s="125" t="s">
        <v>284</v>
      </c>
      <c r="C63" s="129">
        <v>4</v>
      </c>
      <c r="D63" s="126" t="s">
        <v>279</v>
      </c>
      <c r="E63" s="127">
        <v>32406.78</v>
      </c>
      <c r="F63" s="116">
        <f>'Aut-FamSupCtrs FY24'!$AP$48</f>
        <v>42098.18</v>
      </c>
    </row>
    <row r="64" spans="2:6" hidden="1" x14ac:dyDescent="0.25">
      <c r="B64" s="125" t="s">
        <v>284</v>
      </c>
      <c r="C64" s="129">
        <v>4.5</v>
      </c>
      <c r="D64" s="126" t="s">
        <v>279</v>
      </c>
      <c r="E64" s="127">
        <v>35980.519999999997</v>
      </c>
      <c r="F64" s="116">
        <f>'Aut-FamSupCtrs FY24'!$AU$48</f>
        <v>46797.24</v>
      </c>
    </row>
    <row r="65" spans="2:6" hidden="1" x14ac:dyDescent="0.25">
      <c r="B65" s="125" t="s">
        <v>284</v>
      </c>
      <c r="C65" s="129">
        <v>5</v>
      </c>
      <c r="D65" s="126" t="s">
        <v>279</v>
      </c>
      <c r="E65" s="127">
        <v>39487.47</v>
      </c>
      <c r="F65" s="116">
        <f>'Aut-FamSupCtrs FY24'!$AZ$48</f>
        <v>51462.55</v>
      </c>
    </row>
    <row r="66" spans="2:6" hidden="1" x14ac:dyDescent="0.25">
      <c r="B66" s="125" t="s">
        <v>284</v>
      </c>
      <c r="C66" s="129">
        <v>5.5</v>
      </c>
      <c r="D66" s="126" t="s">
        <v>279</v>
      </c>
      <c r="E66" s="127">
        <v>43008.15</v>
      </c>
      <c r="F66" s="116">
        <f>'Aut-FamSupCtrs FY24'!$BE$48</f>
        <v>56101.18</v>
      </c>
    </row>
    <row r="67" spans="2:6" hidden="1" x14ac:dyDescent="0.25">
      <c r="B67" s="125" t="s">
        <v>284</v>
      </c>
      <c r="C67" s="129">
        <v>6</v>
      </c>
      <c r="D67" s="126" t="s">
        <v>279</v>
      </c>
      <c r="E67" s="127">
        <v>46597.22</v>
      </c>
      <c r="F67" s="116">
        <f>'Aut-FamSupCtrs FY24'!$BJ$48</f>
        <v>60854.559999999998</v>
      </c>
    </row>
    <row r="68" spans="2:6" hidden="1" x14ac:dyDescent="0.25">
      <c r="B68" s="125" t="s">
        <v>284</v>
      </c>
      <c r="C68" s="129">
        <v>6.5</v>
      </c>
      <c r="D68" s="126" t="s">
        <v>279</v>
      </c>
      <c r="E68" s="127">
        <v>50215.49</v>
      </c>
      <c r="F68" s="116">
        <f>'Aut-FamSupCtrs FY24'!$BO$48</f>
        <v>65610.75</v>
      </c>
    </row>
    <row r="69" spans="2:6" hidden="1" x14ac:dyDescent="0.25">
      <c r="B69" s="125" t="s">
        <v>284</v>
      </c>
      <c r="C69" s="129">
        <v>7</v>
      </c>
      <c r="D69" s="126" t="s">
        <v>279</v>
      </c>
      <c r="E69" s="127">
        <v>53763.76</v>
      </c>
      <c r="F69" s="116">
        <f>'Aut-FamSupCtrs FY24'!$BT$48</f>
        <v>70322.03</v>
      </c>
    </row>
    <row r="70" spans="2:6" hidden="1" x14ac:dyDescent="0.25">
      <c r="B70" s="125" t="s">
        <v>284</v>
      </c>
      <c r="C70" s="129">
        <v>7.5</v>
      </c>
      <c r="D70" s="126" t="s">
        <v>279</v>
      </c>
      <c r="E70" s="127">
        <v>57352.13</v>
      </c>
      <c r="F70" s="116">
        <f>'Aut-FamSupCtrs FY24'!$BY$48</f>
        <v>75044.460000000006</v>
      </c>
    </row>
    <row r="71" spans="2:6" hidden="1" x14ac:dyDescent="0.25">
      <c r="B71" s="125" t="s">
        <v>284</v>
      </c>
      <c r="C71" s="129">
        <v>8</v>
      </c>
      <c r="D71" s="126" t="s">
        <v>279</v>
      </c>
      <c r="E71" s="127">
        <v>60800.37</v>
      </c>
      <c r="F71" s="116">
        <f>'Aut-FamSupCtrs FY24'!$CD$48</f>
        <v>79686.55</v>
      </c>
    </row>
    <row r="72" spans="2:6" hidden="1" x14ac:dyDescent="0.25">
      <c r="B72" s="125" t="s">
        <v>284</v>
      </c>
      <c r="C72" s="129">
        <v>8.5</v>
      </c>
      <c r="D72" s="126" t="s">
        <v>279</v>
      </c>
      <c r="E72" s="127">
        <v>64036.93</v>
      </c>
      <c r="F72" s="116">
        <f>'Aut-FamSupCtrs FY24'!$CI$48</f>
        <v>84218.28</v>
      </c>
    </row>
    <row r="73" spans="2:6" hidden="1" x14ac:dyDescent="0.25">
      <c r="B73" s="125" t="s">
        <v>284</v>
      </c>
      <c r="C73" s="129">
        <v>9</v>
      </c>
      <c r="D73" s="126" t="s">
        <v>279</v>
      </c>
      <c r="E73" s="127">
        <v>67183.45</v>
      </c>
      <c r="F73" s="116">
        <f>'Aut-FamSupCtrs FY24'!$CN$48</f>
        <v>88710.24</v>
      </c>
    </row>
    <row r="74" spans="2:6" hidden="1" x14ac:dyDescent="0.25">
      <c r="B74" s="125" t="s">
        <v>284</v>
      </c>
      <c r="C74" s="129">
        <v>9.5</v>
      </c>
      <c r="D74" s="126" t="s">
        <v>279</v>
      </c>
      <c r="E74" s="127">
        <v>70321.210000000006</v>
      </c>
      <c r="F74" s="116">
        <f>'Aut-FamSupCtrs FY24'!$CS$48</f>
        <v>93202.21</v>
      </c>
    </row>
    <row r="75" spans="2:6" hidden="1" x14ac:dyDescent="0.25">
      <c r="B75" s="125" t="s">
        <v>284</v>
      </c>
      <c r="C75" s="129">
        <v>10</v>
      </c>
      <c r="D75" s="126" t="s">
        <v>279</v>
      </c>
      <c r="E75" s="127">
        <v>73402.83</v>
      </c>
      <c r="F75" s="116">
        <f>'Aut-FamSupCtrs FY24'!$CX$48</f>
        <v>97659</v>
      </c>
    </row>
    <row r="76" spans="2:6" hidden="1" x14ac:dyDescent="0.25">
      <c r="B76" s="125" t="s">
        <v>284</v>
      </c>
      <c r="C76" s="129">
        <v>10.5</v>
      </c>
      <c r="D76" s="126" t="s">
        <v>279</v>
      </c>
      <c r="E76" s="127">
        <v>76477.47</v>
      </c>
      <c r="F76" s="116">
        <f>'Aut-FamSupCtrs FY24'!$DC$48</f>
        <v>102123.03</v>
      </c>
    </row>
    <row r="77" spans="2:6" hidden="1" x14ac:dyDescent="0.25">
      <c r="B77" s="125" t="s">
        <v>284</v>
      </c>
      <c r="C77" s="129">
        <v>11</v>
      </c>
      <c r="D77" s="126" t="s">
        <v>279</v>
      </c>
      <c r="E77" s="127">
        <v>79464.98</v>
      </c>
      <c r="F77" s="116">
        <f>'Aut-FamSupCtrs FY24'!$DH$48</f>
        <v>106569.56</v>
      </c>
    </row>
    <row r="78" spans="2:6" hidden="1" x14ac:dyDescent="0.25">
      <c r="B78" s="125" t="s">
        <v>284</v>
      </c>
      <c r="C78" s="129">
        <v>11.5</v>
      </c>
      <c r="D78" s="126" t="s">
        <v>279</v>
      </c>
      <c r="E78" s="127">
        <v>82446.33</v>
      </c>
      <c r="F78" s="116">
        <f>'Aut-FamSupCtrs FY24'!$DM$48</f>
        <v>111034.12</v>
      </c>
    </row>
    <row r="79" spans="2:6" hidden="1" x14ac:dyDescent="0.25">
      <c r="B79" s="125" t="s">
        <v>284</v>
      </c>
      <c r="C79" s="129">
        <v>12</v>
      </c>
      <c r="D79" s="126" t="s">
        <v>279</v>
      </c>
      <c r="E79" s="127">
        <v>85341.28</v>
      </c>
      <c r="F79" s="116">
        <f>'Aut-FamSupCtrs FY24'!$DR$48</f>
        <v>115507.3</v>
      </c>
    </row>
    <row r="80" spans="2:6" hidden="1" x14ac:dyDescent="0.25">
      <c r="B80" s="125" t="s">
        <v>284</v>
      </c>
      <c r="C80" s="129">
        <v>0.5</v>
      </c>
      <c r="D80" s="126" t="s">
        <v>279</v>
      </c>
      <c r="E80" s="127">
        <v>4677.04</v>
      </c>
      <c r="F80" s="116">
        <f>'Aut-FamSupCtrs FY24'!$G$48</f>
        <v>5827.56</v>
      </c>
    </row>
    <row r="81" spans="2:6" hidden="1" x14ac:dyDescent="0.25">
      <c r="B81" s="125" t="s">
        <v>284</v>
      </c>
      <c r="C81" s="129">
        <v>1</v>
      </c>
      <c r="D81" s="126" t="s">
        <v>279</v>
      </c>
      <c r="E81" s="127">
        <v>9354.08</v>
      </c>
      <c r="F81" s="116">
        <f>'Aut-FamSupCtrs FY24'!$L$48</f>
        <v>11655.12</v>
      </c>
    </row>
    <row r="82" spans="2:6" hidden="1" x14ac:dyDescent="0.25">
      <c r="B82" s="125" t="s">
        <v>284</v>
      </c>
      <c r="C82" s="129">
        <v>1.5</v>
      </c>
      <c r="D82" s="126" t="s">
        <v>279</v>
      </c>
      <c r="E82" s="127">
        <v>14031.12</v>
      </c>
      <c r="F82" s="116">
        <f>'Aut-FamSupCtrs FY24'!$Q$48</f>
        <v>17482.68</v>
      </c>
    </row>
    <row r="83" spans="2:6" hidden="1" x14ac:dyDescent="0.25">
      <c r="B83" s="125" t="s">
        <v>284</v>
      </c>
      <c r="C83" s="129">
        <v>2</v>
      </c>
      <c r="D83" s="126" t="s">
        <v>279</v>
      </c>
      <c r="E83" s="127">
        <v>18708.16</v>
      </c>
      <c r="F83" s="116">
        <f>'Aut-FamSupCtrs FY24'!$V$48</f>
        <v>23310.25</v>
      </c>
    </row>
    <row r="84" spans="2:6" hidden="1" x14ac:dyDescent="0.25">
      <c r="B84" s="125" t="s">
        <v>284</v>
      </c>
      <c r="C84" s="129">
        <v>2.5</v>
      </c>
      <c r="D84" s="126" t="s">
        <v>279</v>
      </c>
      <c r="E84" s="127">
        <v>22066.32</v>
      </c>
      <c r="F84" s="116">
        <f>'Aut-FamSupCtrs FY24'!$AA$48</f>
        <v>27676.7</v>
      </c>
    </row>
    <row r="85" spans="2:6" hidden="1" x14ac:dyDescent="0.25">
      <c r="B85" s="125" t="s">
        <v>284</v>
      </c>
      <c r="C85" s="129">
        <v>3</v>
      </c>
      <c r="D85" s="126" t="s">
        <v>279</v>
      </c>
      <c r="E85" s="127">
        <v>25519.11</v>
      </c>
      <c r="F85" s="116">
        <f>'Aut-FamSupCtrs FY24'!$AF$48</f>
        <v>32540.52</v>
      </c>
    </row>
    <row r="86" spans="2:6" hidden="1" x14ac:dyDescent="0.25">
      <c r="B86" s="125" t="s">
        <v>284</v>
      </c>
      <c r="C86" s="129">
        <v>3.5</v>
      </c>
      <c r="D86" s="126" t="s">
        <v>279</v>
      </c>
      <c r="E86" s="127">
        <v>28942.23</v>
      </c>
      <c r="F86" s="116">
        <f>'Aut-FamSupCtrs FY24'!$AK$48</f>
        <v>37348.43</v>
      </c>
    </row>
    <row r="87" spans="2:6" hidden="1" x14ac:dyDescent="0.25">
      <c r="B87" s="125" t="s">
        <v>284</v>
      </c>
      <c r="C87" s="129">
        <v>4</v>
      </c>
      <c r="D87" s="126" t="s">
        <v>279</v>
      </c>
      <c r="E87" s="127">
        <v>32406.78</v>
      </c>
      <c r="F87" s="116">
        <f>'Aut-FamSupCtrs FY24'!$AP$48</f>
        <v>42098.18</v>
      </c>
    </row>
    <row r="88" spans="2:6" hidden="1" x14ac:dyDescent="0.25">
      <c r="B88" s="125" t="s">
        <v>284</v>
      </c>
      <c r="C88" s="129">
        <v>4.5</v>
      </c>
      <c r="D88" s="126" t="s">
        <v>279</v>
      </c>
      <c r="E88" s="127">
        <v>35980.519999999997</v>
      </c>
      <c r="F88" s="116">
        <f>'Aut-FamSupCtrs FY24'!$AU$48</f>
        <v>46797.24</v>
      </c>
    </row>
    <row r="89" spans="2:6" hidden="1" x14ac:dyDescent="0.25">
      <c r="B89" s="125" t="s">
        <v>284</v>
      </c>
      <c r="C89" s="129">
        <v>5</v>
      </c>
      <c r="D89" s="126" t="s">
        <v>279</v>
      </c>
      <c r="E89" s="127">
        <v>39487.47</v>
      </c>
      <c r="F89" s="116">
        <f>'Aut-FamSupCtrs FY24'!$AZ$48</f>
        <v>51462.55</v>
      </c>
    </row>
    <row r="90" spans="2:6" hidden="1" x14ac:dyDescent="0.25">
      <c r="B90" s="125" t="s">
        <v>284</v>
      </c>
      <c r="C90" s="129">
        <v>5.5</v>
      </c>
      <c r="D90" s="126" t="s">
        <v>279</v>
      </c>
      <c r="E90" s="127">
        <v>43008.15</v>
      </c>
      <c r="F90" s="116">
        <f>'Aut-FamSupCtrs FY24'!$BE$48</f>
        <v>56101.18</v>
      </c>
    </row>
    <row r="91" spans="2:6" hidden="1" x14ac:dyDescent="0.25">
      <c r="B91" s="125" t="s">
        <v>284</v>
      </c>
      <c r="C91" s="129">
        <v>6</v>
      </c>
      <c r="D91" s="126" t="s">
        <v>279</v>
      </c>
      <c r="E91" s="127">
        <v>46597.22</v>
      </c>
      <c r="F91" s="116">
        <f>'Aut-FamSupCtrs FY24'!$BJ$48</f>
        <v>60854.559999999998</v>
      </c>
    </row>
    <row r="92" spans="2:6" hidden="1" x14ac:dyDescent="0.25">
      <c r="B92" s="125" t="s">
        <v>284</v>
      </c>
      <c r="C92" s="129">
        <v>6.5</v>
      </c>
      <c r="D92" s="126" t="s">
        <v>279</v>
      </c>
      <c r="E92" s="127">
        <v>50215.49</v>
      </c>
      <c r="F92" s="116">
        <f>'Aut-FamSupCtrs FY24'!$BO$48</f>
        <v>65610.75</v>
      </c>
    </row>
    <row r="93" spans="2:6" hidden="1" x14ac:dyDescent="0.25">
      <c r="B93" s="125" t="s">
        <v>284</v>
      </c>
      <c r="C93" s="129">
        <v>7</v>
      </c>
      <c r="D93" s="126" t="s">
        <v>279</v>
      </c>
      <c r="E93" s="127">
        <v>53763.76</v>
      </c>
      <c r="F93" s="116">
        <f>'Aut-FamSupCtrs FY24'!$BT$48</f>
        <v>70322.03</v>
      </c>
    </row>
    <row r="94" spans="2:6" hidden="1" x14ac:dyDescent="0.25">
      <c r="B94" s="125" t="s">
        <v>284</v>
      </c>
      <c r="C94" s="129">
        <v>7.5</v>
      </c>
      <c r="D94" s="126" t="s">
        <v>279</v>
      </c>
      <c r="E94" s="127">
        <v>57352.13</v>
      </c>
      <c r="F94" s="116">
        <f>'Aut-FamSupCtrs FY24'!$BY$48</f>
        <v>75044.460000000006</v>
      </c>
    </row>
    <row r="95" spans="2:6" hidden="1" x14ac:dyDescent="0.25">
      <c r="B95" s="125" t="s">
        <v>284</v>
      </c>
      <c r="C95" s="129">
        <v>8</v>
      </c>
      <c r="D95" s="126" t="s">
        <v>279</v>
      </c>
      <c r="E95" s="127">
        <v>60800.37</v>
      </c>
      <c r="F95" s="116">
        <f>'Aut-FamSupCtrs FY24'!$CD$48</f>
        <v>79686.55</v>
      </c>
    </row>
    <row r="96" spans="2:6" hidden="1" x14ac:dyDescent="0.25">
      <c r="B96" s="125" t="s">
        <v>284</v>
      </c>
      <c r="C96" s="129">
        <v>8.5</v>
      </c>
      <c r="D96" s="126" t="s">
        <v>279</v>
      </c>
      <c r="E96" s="127">
        <v>64036.93</v>
      </c>
      <c r="F96" s="116">
        <f>'Aut-FamSupCtrs FY24'!$CI$48</f>
        <v>84218.28</v>
      </c>
    </row>
    <row r="97" spans="2:6" hidden="1" x14ac:dyDescent="0.25">
      <c r="B97" s="125" t="s">
        <v>284</v>
      </c>
      <c r="C97" s="129">
        <v>9</v>
      </c>
      <c r="D97" s="126" t="s">
        <v>279</v>
      </c>
      <c r="E97" s="127">
        <v>67183.45</v>
      </c>
      <c r="F97" s="116">
        <f>'Aut-FamSupCtrs FY24'!$CN$48</f>
        <v>88710.24</v>
      </c>
    </row>
    <row r="98" spans="2:6" hidden="1" x14ac:dyDescent="0.25">
      <c r="B98" s="125" t="s">
        <v>284</v>
      </c>
      <c r="C98" s="129">
        <v>9.5</v>
      </c>
      <c r="D98" s="126" t="s">
        <v>279</v>
      </c>
      <c r="E98" s="127">
        <v>70321.210000000006</v>
      </c>
      <c r="F98" s="116">
        <f>'Aut-FamSupCtrs FY24'!$CS$48</f>
        <v>93202.21</v>
      </c>
    </row>
    <row r="99" spans="2:6" hidden="1" x14ac:dyDescent="0.25">
      <c r="B99" s="125" t="s">
        <v>284</v>
      </c>
      <c r="C99" s="129">
        <v>10</v>
      </c>
      <c r="D99" s="126" t="s">
        <v>279</v>
      </c>
      <c r="E99" s="127">
        <v>73402.83</v>
      </c>
      <c r="F99" s="116">
        <f>'Aut-FamSupCtrs FY24'!$CX$48</f>
        <v>97659</v>
      </c>
    </row>
    <row r="100" spans="2:6" hidden="1" x14ac:dyDescent="0.25">
      <c r="B100" s="125" t="s">
        <v>284</v>
      </c>
      <c r="C100" s="129">
        <v>10.5</v>
      </c>
      <c r="D100" s="126" t="s">
        <v>279</v>
      </c>
      <c r="E100" s="127">
        <v>76477.47</v>
      </c>
      <c r="F100" s="116">
        <f>'Aut-FamSupCtrs FY24'!$DC$48</f>
        <v>102123.03</v>
      </c>
    </row>
    <row r="101" spans="2:6" hidden="1" x14ac:dyDescent="0.25">
      <c r="B101" s="125" t="s">
        <v>284</v>
      </c>
      <c r="C101" s="129">
        <v>11</v>
      </c>
      <c r="D101" s="126" t="s">
        <v>279</v>
      </c>
      <c r="E101" s="127">
        <v>79464.98</v>
      </c>
      <c r="F101" s="116">
        <f>'Aut-FamSupCtrs FY24'!$DH$48</f>
        <v>106569.56</v>
      </c>
    </row>
    <row r="102" spans="2:6" hidden="1" x14ac:dyDescent="0.25">
      <c r="B102" s="125" t="s">
        <v>284</v>
      </c>
      <c r="C102" s="129">
        <v>11.5</v>
      </c>
      <c r="D102" s="126" t="s">
        <v>279</v>
      </c>
      <c r="E102" s="127">
        <v>82446.33</v>
      </c>
      <c r="F102" s="116">
        <f>'Aut-FamSupCtrs FY24'!$DM$48</f>
        <v>111034.12</v>
      </c>
    </row>
    <row r="103" spans="2:6" hidden="1" x14ac:dyDescent="0.25">
      <c r="B103" s="125" t="s">
        <v>284</v>
      </c>
      <c r="C103" s="129">
        <v>12</v>
      </c>
      <c r="D103" s="126" t="s">
        <v>279</v>
      </c>
      <c r="E103" s="127">
        <v>85341.28</v>
      </c>
      <c r="F103" s="116">
        <f>'Aut-FamSupCtrs FY24'!$DR$48</f>
        <v>115507.3</v>
      </c>
    </row>
    <row r="104" spans="2:6" hidden="1" x14ac:dyDescent="0.25">
      <c r="B104" s="125" t="s">
        <v>283</v>
      </c>
      <c r="C104" s="129"/>
      <c r="D104" s="126" t="s">
        <v>265</v>
      </c>
      <c r="E104" s="127">
        <v>20.350000000000001</v>
      </c>
      <c r="F104" s="116">
        <f>'IFFS FY24'!$L$26</f>
        <v>25.391815116677574</v>
      </c>
    </row>
    <row r="105" spans="2:6" x14ac:dyDescent="0.25">
      <c r="B105" s="125" t="s">
        <v>283</v>
      </c>
      <c r="C105" s="129"/>
      <c r="D105" s="126" t="s">
        <v>265</v>
      </c>
      <c r="E105" s="127">
        <v>20.350000000000001</v>
      </c>
      <c r="F105" s="116">
        <f>'IFFS FY24'!$L$26</f>
        <v>25.391815116677574</v>
      </c>
    </row>
    <row r="106" spans="2:6" x14ac:dyDescent="0.25">
      <c r="B106" s="125" t="s">
        <v>282</v>
      </c>
      <c r="C106" s="129"/>
      <c r="D106" s="126" t="s">
        <v>279</v>
      </c>
      <c r="E106" s="127">
        <v>315.55</v>
      </c>
      <c r="F106" s="116">
        <f>'Med Complex FY24'!$H$34</f>
        <v>415.3</v>
      </c>
    </row>
    <row r="107" spans="2:6" x14ac:dyDescent="0.25">
      <c r="B107" s="125" t="s">
        <v>281</v>
      </c>
      <c r="C107" s="128"/>
      <c r="D107" s="126" t="s">
        <v>276</v>
      </c>
      <c r="E107" s="127">
        <v>14.97</v>
      </c>
      <c r="F107" s="116">
        <f>'Fin. Assistance Admin FY24'!$G$27</f>
        <v>18.649999999999999</v>
      </c>
    </row>
    <row r="108" spans="2:6" x14ac:dyDescent="0.25">
      <c r="B108" s="125" t="s">
        <v>280</v>
      </c>
      <c r="C108" s="124"/>
      <c r="D108" s="126" t="s">
        <v>279</v>
      </c>
      <c r="E108" s="121">
        <v>282.43</v>
      </c>
      <c r="F108" s="116">
        <f>'AWC Admin-Family Nav FY24'!$K$32</f>
        <v>375.74</v>
      </c>
    </row>
    <row r="109" spans="2:6" x14ac:dyDescent="0.25">
      <c r="B109" s="125" t="s">
        <v>278</v>
      </c>
      <c r="C109" s="124"/>
      <c r="D109" s="122" t="s">
        <v>263</v>
      </c>
      <c r="E109" s="121">
        <v>14.12</v>
      </c>
      <c r="F109" s="116">
        <f>'AWC Admin-Family Nav FY24'!$F$32</f>
        <v>18.7</v>
      </c>
    </row>
    <row r="110" spans="2:6" x14ac:dyDescent="0.25">
      <c r="B110" s="123" t="s">
        <v>277</v>
      </c>
      <c r="C110" s="118"/>
      <c r="D110" s="122" t="s">
        <v>276</v>
      </c>
      <c r="E110" s="121">
        <v>38.47</v>
      </c>
      <c r="F110" s="116">
        <v>40.869999999999997</v>
      </c>
    </row>
    <row r="111" spans="2:6" x14ac:dyDescent="0.25">
      <c r="B111" s="119" t="s">
        <v>275</v>
      </c>
      <c r="C111" s="119"/>
      <c r="D111" s="118"/>
      <c r="E111" s="117"/>
      <c r="F111" s="116"/>
    </row>
    <row r="112" spans="2:6" x14ac:dyDescent="0.25">
      <c r="B112" s="118" t="s">
        <v>274</v>
      </c>
      <c r="C112" s="118"/>
      <c r="D112" s="118" t="s">
        <v>244</v>
      </c>
      <c r="E112" s="116">
        <v>39.135602236627847</v>
      </c>
      <c r="F112" s="116">
        <f>'DCFClinicalComp FY24'!K30</f>
        <v>47.984272688113421</v>
      </c>
    </row>
    <row r="113" spans="2:6" x14ac:dyDescent="0.25">
      <c r="B113" s="118" t="s">
        <v>273</v>
      </c>
      <c r="C113" s="118"/>
      <c r="D113" s="118" t="s">
        <v>244</v>
      </c>
      <c r="E113" s="116">
        <v>59.093055402935136</v>
      </c>
      <c r="F113" s="116">
        <f>'DCFClinicalComp FY24'!P30</f>
        <v>72.541040653906094</v>
      </c>
    </row>
    <row r="114" spans="2:6" x14ac:dyDescent="0.25">
      <c r="B114" s="118" t="s">
        <v>272</v>
      </c>
      <c r="C114" s="118"/>
      <c r="D114" s="118" t="s">
        <v>244</v>
      </c>
      <c r="E114" s="116">
        <v>73.185812217629731</v>
      </c>
      <c r="F114" s="116">
        <f>'DCFClinicalComp FY24'!U31</f>
        <v>91.196456420312884</v>
      </c>
    </row>
    <row r="115" spans="2:6" x14ac:dyDescent="0.25">
      <c r="B115" s="118" t="s">
        <v>271</v>
      </c>
      <c r="C115" s="118"/>
      <c r="D115" s="118" t="s">
        <v>244</v>
      </c>
      <c r="E115" s="116">
        <v>74.342827898616093</v>
      </c>
      <c r="F115" s="116">
        <f>'DCFClinicalComp FY24'!Z31</f>
        <v>92.522996106823072</v>
      </c>
    </row>
    <row r="116" spans="2:6" x14ac:dyDescent="0.25">
      <c r="B116" s="118" t="s">
        <v>270</v>
      </c>
      <c r="C116" s="118"/>
      <c r="D116" s="118" t="s">
        <v>244</v>
      </c>
      <c r="E116" s="116">
        <v>72.596324809030975</v>
      </c>
      <c r="F116" s="116">
        <f>'DCFClinicalComp FY24'!AE31</f>
        <v>91.29105998966277</v>
      </c>
    </row>
    <row r="117" spans="2:6" x14ac:dyDescent="0.25">
      <c r="B117" s="118" t="s">
        <v>269</v>
      </c>
      <c r="C117" s="118"/>
      <c r="D117" s="118" t="s">
        <v>244</v>
      </c>
      <c r="E117" s="116">
        <v>105.96168440373984</v>
      </c>
      <c r="F117" s="116">
        <f>'DCFClinicalComp FY24'!AJ31</f>
        <v>132.36879574135602</v>
      </c>
    </row>
    <row r="118" spans="2:6" x14ac:dyDescent="0.25">
      <c r="B118" s="118" t="s">
        <v>268</v>
      </c>
      <c r="C118" s="118"/>
      <c r="D118" s="118" t="s">
        <v>244</v>
      </c>
      <c r="E118" s="116">
        <v>177.18114101875116</v>
      </c>
      <c r="F118" s="116">
        <f>'DCFClinicalComp FY24'!AO31</f>
        <v>220.97831301062124</v>
      </c>
    </row>
    <row r="119" spans="2:6" x14ac:dyDescent="0.25">
      <c r="B119" s="118" t="s">
        <v>267</v>
      </c>
      <c r="C119" s="118"/>
      <c r="D119" s="118" t="s">
        <v>244</v>
      </c>
      <c r="E119" s="116">
        <v>131.21252152939218</v>
      </c>
      <c r="F119" s="116">
        <f>'DCFClinicalComp FY24'!AT31</f>
        <v>163.53575448777812</v>
      </c>
    </row>
    <row r="120" spans="2:6" x14ac:dyDescent="0.25">
      <c r="B120" s="118" t="s">
        <v>266</v>
      </c>
      <c r="C120" s="118"/>
      <c r="D120" s="118" t="s">
        <v>265</v>
      </c>
      <c r="E120" s="116">
        <v>18.47</v>
      </c>
      <c r="F120" s="116">
        <f>'Ed Coordination FY24'!K24</f>
        <v>22.655662933338935</v>
      </c>
    </row>
    <row r="121" spans="2:6" x14ac:dyDescent="0.25">
      <c r="B121" s="118" t="s">
        <v>264</v>
      </c>
      <c r="C121" s="118"/>
      <c r="D121" s="118" t="s">
        <v>263</v>
      </c>
      <c r="E121" s="116">
        <v>38.47</v>
      </c>
      <c r="F121" s="1242">
        <f>'MCB FAMS FY24'!G26</f>
        <v>40.869999999999997</v>
      </c>
    </row>
    <row r="122" spans="2:6" x14ac:dyDescent="0.25">
      <c r="B122" s="118" t="s">
        <v>262</v>
      </c>
      <c r="C122" s="118"/>
      <c r="D122" s="118" t="s">
        <v>249</v>
      </c>
      <c r="E122" s="116">
        <v>2449.92</v>
      </c>
      <c r="F122" s="120">
        <f>'Specialty Fam Skills Grp FY24'!K28</f>
        <v>2952.3829765976438</v>
      </c>
    </row>
    <row r="123" spans="2:6" x14ac:dyDescent="0.25">
      <c r="B123" s="119" t="s">
        <v>261</v>
      </c>
      <c r="C123" s="119"/>
      <c r="D123" s="118"/>
      <c r="E123" s="116"/>
      <c r="F123" s="116"/>
    </row>
    <row r="124" spans="2:6" x14ac:dyDescent="0.25">
      <c r="B124" s="118" t="s">
        <v>260</v>
      </c>
      <c r="C124" s="118"/>
      <c r="D124" s="118" t="s">
        <v>249</v>
      </c>
      <c r="E124" s="116">
        <v>137.06</v>
      </c>
      <c r="F124" s="116">
        <f>'Specialty Fam Skills Grp FY24'!J32</f>
        <v>140.77437796239585</v>
      </c>
    </row>
    <row r="125" spans="2:6" x14ac:dyDescent="0.25">
      <c r="B125" s="118" t="s">
        <v>259</v>
      </c>
      <c r="C125" s="118"/>
      <c r="D125" s="118" t="s">
        <v>249</v>
      </c>
      <c r="E125" s="116">
        <v>1692.63</v>
      </c>
      <c r="F125" s="120">
        <f>'Family Skills Dev Group FY24'!K23</f>
        <v>2059.3153755372359</v>
      </c>
    </row>
    <row r="126" spans="2:6" x14ac:dyDescent="0.25">
      <c r="B126" s="119" t="s">
        <v>258</v>
      </c>
      <c r="C126" s="119"/>
      <c r="D126" s="118"/>
      <c r="E126" s="116"/>
      <c r="F126" s="116"/>
    </row>
    <row r="127" spans="2:6" x14ac:dyDescent="0.25">
      <c r="B127" s="118" t="s">
        <v>257</v>
      </c>
      <c r="C127" s="118"/>
      <c r="D127" s="118" t="s">
        <v>249</v>
      </c>
      <c r="E127" s="116">
        <v>68.72</v>
      </c>
      <c r="F127" s="116">
        <f>'Family Skills Dev Group FY24'!K27</f>
        <v>70.582338053231013</v>
      </c>
    </row>
    <row r="128" spans="2:6" x14ac:dyDescent="0.25">
      <c r="B128" s="118" t="s">
        <v>253</v>
      </c>
      <c r="C128" s="118"/>
      <c r="D128" s="118" t="s">
        <v>249</v>
      </c>
      <c r="E128" s="116">
        <v>168.53</v>
      </c>
      <c r="F128" s="116">
        <f>'Family Skills Dev Group FY24'!K28</f>
        <v>173.09722689335015</v>
      </c>
    </row>
    <row r="129" spans="2:6" x14ac:dyDescent="0.25">
      <c r="B129" s="118" t="s">
        <v>252</v>
      </c>
      <c r="C129" s="118"/>
      <c r="D129" s="118" t="s">
        <v>249</v>
      </c>
      <c r="E129" s="116">
        <v>48.59</v>
      </c>
      <c r="F129" s="116">
        <f>'Family Skills Dev Group FY24'!K29</f>
        <v>49.90680742151477</v>
      </c>
    </row>
    <row r="130" spans="2:6" x14ac:dyDescent="0.25">
      <c r="B130" s="118" t="s">
        <v>251</v>
      </c>
      <c r="C130" s="118"/>
      <c r="D130" s="118" t="s">
        <v>249</v>
      </c>
      <c r="E130" s="116">
        <v>137.06</v>
      </c>
      <c r="F130" s="116">
        <f>'Family Skills Dev Group FY24'!K30</f>
        <v>140.77437796239585</v>
      </c>
    </row>
    <row r="131" spans="2:6" x14ac:dyDescent="0.25">
      <c r="B131" s="118" t="s">
        <v>250</v>
      </c>
      <c r="C131" s="118"/>
      <c r="D131" s="118" t="s">
        <v>249</v>
      </c>
      <c r="E131" s="116">
        <v>164.48</v>
      </c>
      <c r="F131" s="116">
        <f>'Family Skills Dev Group FY24'!K31</f>
        <v>168.93747035790798</v>
      </c>
    </row>
    <row r="132" spans="2:6" x14ac:dyDescent="0.25">
      <c r="B132" s="118" t="s">
        <v>256</v>
      </c>
      <c r="C132" s="118"/>
      <c r="D132" s="118" t="s">
        <v>249</v>
      </c>
      <c r="E132" s="116">
        <v>1248</v>
      </c>
      <c r="F132" s="120">
        <f>'Parent Skill Dev Group FY24'!J23</f>
        <v>1532.9328221090634</v>
      </c>
    </row>
    <row r="133" spans="2:6" x14ac:dyDescent="0.25">
      <c r="B133" s="119" t="s">
        <v>255</v>
      </c>
      <c r="C133" s="119"/>
      <c r="D133" s="118"/>
      <c r="E133" s="116"/>
      <c r="F133" s="116"/>
    </row>
    <row r="134" spans="2:6" x14ac:dyDescent="0.25">
      <c r="B134" s="118" t="s">
        <v>254</v>
      </c>
      <c r="C134" s="118"/>
      <c r="D134" s="118" t="s">
        <v>249</v>
      </c>
      <c r="E134" s="116">
        <v>68.72</v>
      </c>
      <c r="F134" s="116">
        <f>F127</f>
        <v>70.582338053231013</v>
      </c>
    </row>
    <row r="135" spans="2:6" x14ac:dyDescent="0.25">
      <c r="B135" s="118" t="s">
        <v>253</v>
      </c>
      <c r="C135" s="118"/>
      <c r="D135" s="118" t="s">
        <v>249</v>
      </c>
      <c r="E135" s="116">
        <v>168.53</v>
      </c>
      <c r="F135" s="116">
        <f t="shared" ref="F135:F138" si="0">F128</f>
        <v>173.09722689335015</v>
      </c>
    </row>
    <row r="136" spans="2:6" x14ac:dyDescent="0.25">
      <c r="B136" s="118" t="s">
        <v>252</v>
      </c>
      <c r="C136" s="118"/>
      <c r="D136" s="118" t="s">
        <v>249</v>
      </c>
      <c r="E136" s="116">
        <v>48.59</v>
      </c>
      <c r="F136" s="116">
        <f t="shared" si="0"/>
        <v>49.90680742151477</v>
      </c>
    </row>
    <row r="137" spans="2:6" x14ac:dyDescent="0.25">
      <c r="B137" s="118" t="s">
        <v>251</v>
      </c>
      <c r="C137" s="118"/>
      <c r="D137" s="118" t="s">
        <v>249</v>
      </c>
      <c r="E137" s="116">
        <v>137.06</v>
      </c>
      <c r="F137" s="116">
        <f t="shared" si="0"/>
        <v>140.77437796239585</v>
      </c>
    </row>
    <row r="138" spans="2:6" x14ac:dyDescent="0.25">
      <c r="B138" s="118" t="s">
        <v>250</v>
      </c>
      <c r="C138" s="118"/>
      <c r="D138" s="118" t="s">
        <v>249</v>
      </c>
      <c r="E138" s="116">
        <v>164.48</v>
      </c>
      <c r="F138" s="116">
        <f t="shared" si="0"/>
        <v>168.93747035790798</v>
      </c>
    </row>
    <row r="139" spans="2:6" x14ac:dyDescent="0.25">
      <c r="B139" s="118" t="s">
        <v>248</v>
      </c>
      <c r="C139" s="118"/>
      <c r="D139" s="118" t="s">
        <v>246</v>
      </c>
      <c r="E139" s="116">
        <v>80.42</v>
      </c>
      <c r="F139" s="116">
        <f>'Clinical Non Clinical '!O20</f>
        <v>103.64839162305451</v>
      </c>
    </row>
    <row r="140" spans="2:6" x14ac:dyDescent="0.25">
      <c r="B140" s="118" t="s">
        <v>247</v>
      </c>
      <c r="C140" s="118"/>
      <c r="D140" s="118" t="s">
        <v>246</v>
      </c>
      <c r="E140" s="116"/>
      <c r="F140" s="116">
        <f>'Clinical Non Clinical '!I20</f>
        <v>68.84399072359497</v>
      </c>
    </row>
    <row r="141" spans="2:6" x14ac:dyDescent="0.25">
      <c r="B141" s="118" t="s">
        <v>245</v>
      </c>
      <c r="C141" s="118"/>
      <c r="D141" s="118" t="s">
        <v>244</v>
      </c>
      <c r="E141" s="116">
        <v>21.55</v>
      </c>
      <c r="F141" s="116">
        <v>26.745693305639836</v>
      </c>
    </row>
    <row r="142" spans="2:6" hidden="1" x14ac:dyDescent="0.25">
      <c r="B142" s="118" t="s">
        <v>243</v>
      </c>
      <c r="C142" s="118"/>
      <c r="D142" s="118"/>
      <c r="E142" s="117">
        <v>35.32</v>
      </c>
      <c r="F142" s="116"/>
    </row>
  </sheetData>
  <autoFilter ref="B2:F109" xr:uid="{6A26B3DB-AAD5-41B6-8430-F6252DDCA2AB}"/>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060D3-9E3D-4F1E-9E22-7B38D9DE0B61}">
  <sheetPr>
    <pageSetUpPr fitToPage="1"/>
  </sheetPr>
  <dimension ref="B2:I68"/>
  <sheetViews>
    <sheetView zoomScaleNormal="100" workbookViewId="0">
      <selection activeCell="J13" sqref="J13"/>
    </sheetView>
  </sheetViews>
  <sheetFormatPr defaultRowHeight="12.75" x14ac:dyDescent="0.2"/>
  <cols>
    <col min="1" max="1" width="4.140625" style="591" customWidth="1"/>
    <col min="2" max="2" width="4.7109375" style="591" hidden="1" customWidth="1"/>
    <col min="3" max="3" width="4.42578125" style="591" customWidth="1"/>
    <col min="4" max="4" width="23.85546875" style="591" customWidth="1"/>
    <col min="5" max="5" width="10.28515625" style="591" customWidth="1"/>
    <col min="6" max="6" width="8.7109375" style="591" customWidth="1"/>
    <col min="7" max="7" width="9.28515625" style="591" customWidth="1"/>
    <col min="8" max="8" width="9.85546875" style="591" customWidth="1"/>
    <col min="9" max="9" width="27.28515625" style="591" customWidth="1"/>
    <col min="10" max="10" width="36.140625" style="591" customWidth="1"/>
    <col min="11" max="11" width="7.140625" style="591" customWidth="1"/>
    <col min="12" max="12" width="7.7109375" style="591" customWidth="1"/>
    <col min="13" max="252" width="9.140625" style="591"/>
    <col min="253" max="253" width="30.85546875" style="591" customWidth="1"/>
    <col min="254" max="254" width="27" style="591" customWidth="1"/>
    <col min="255" max="255" width="11.5703125" style="591" bestFit="1" customWidth="1"/>
    <col min="256" max="256" width="9.7109375" style="591" customWidth="1"/>
    <col min="257" max="257" width="12" style="591" customWidth="1"/>
    <col min="258" max="258" width="38" style="591" customWidth="1"/>
    <col min="259" max="259" width="12" style="591" customWidth="1"/>
    <col min="260" max="260" width="12.140625" style="591" customWidth="1"/>
    <col min="261" max="508" width="9.140625" style="591"/>
    <col min="509" max="509" width="30.85546875" style="591" customWidth="1"/>
    <col min="510" max="510" width="27" style="591" customWidth="1"/>
    <col min="511" max="511" width="11.5703125" style="591" bestFit="1" customWidth="1"/>
    <col min="512" max="512" width="9.7109375" style="591" customWidth="1"/>
    <col min="513" max="513" width="12" style="591" customWidth="1"/>
    <col min="514" max="514" width="38" style="591" customWidth="1"/>
    <col min="515" max="515" width="12" style="591" customWidth="1"/>
    <col min="516" max="516" width="12.140625" style="591" customWidth="1"/>
    <col min="517" max="764" width="9.140625" style="591"/>
    <col min="765" max="765" width="30.85546875" style="591" customWidth="1"/>
    <col min="766" max="766" width="27" style="591" customWidth="1"/>
    <col min="767" max="767" width="11.5703125" style="591" bestFit="1" customWidth="1"/>
    <col min="768" max="768" width="9.7109375" style="591" customWidth="1"/>
    <col min="769" max="769" width="12" style="591" customWidth="1"/>
    <col min="770" max="770" width="38" style="591" customWidth="1"/>
    <col min="771" max="771" width="12" style="591" customWidth="1"/>
    <col min="772" max="772" width="12.140625" style="591" customWidth="1"/>
    <col min="773" max="1020" width="9.140625" style="591"/>
    <col min="1021" max="1021" width="30.85546875" style="591" customWidth="1"/>
    <col min="1022" max="1022" width="27" style="591" customWidth="1"/>
    <col min="1023" max="1023" width="11.5703125" style="591" bestFit="1" customWidth="1"/>
    <col min="1024" max="1024" width="9.7109375" style="591" customWidth="1"/>
    <col min="1025" max="1025" width="12" style="591" customWidth="1"/>
    <col min="1026" max="1026" width="38" style="591" customWidth="1"/>
    <col min="1027" max="1027" width="12" style="591" customWidth="1"/>
    <col min="1028" max="1028" width="12.140625" style="591" customWidth="1"/>
    <col min="1029" max="1276" width="9.140625" style="591"/>
    <col min="1277" max="1277" width="30.85546875" style="591" customWidth="1"/>
    <col min="1278" max="1278" width="27" style="591" customWidth="1"/>
    <col min="1279" max="1279" width="11.5703125" style="591" bestFit="1" customWidth="1"/>
    <col min="1280" max="1280" width="9.7109375" style="591" customWidth="1"/>
    <col min="1281" max="1281" width="12" style="591" customWidth="1"/>
    <col min="1282" max="1282" width="38" style="591" customWidth="1"/>
    <col min="1283" max="1283" width="12" style="591" customWidth="1"/>
    <col min="1284" max="1284" width="12.140625" style="591" customWidth="1"/>
    <col min="1285" max="1532" width="9.140625" style="591"/>
    <col min="1533" max="1533" width="30.85546875" style="591" customWidth="1"/>
    <col min="1534" max="1534" width="27" style="591" customWidth="1"/>
    <col min="1535" max="1535" width="11.5703125" style="591" bestFit="1" customWidth="1"/>
    <col min="1536" max="1536" width="9.7109375" style="591" customWidth="1"/>
    <col min="1537" max="1537" width="12" style="591" customWidth="1"/>
    <col min="1538" max="1538" width="38" style="591" customWidth="1"/>
    <col min="1539" max="1539" width="12" style="591" customWidth="1"/>
    <col min="1540" max="1540" width="12.140625" style="591" customWidth="1"/>
    <col min="1541" max="1788" width="9.140625" style="591"/>
    <col min="1789" max="1789" width="30.85546875" style="591" customWidth="1"/>
    <col min="1790" max="1790" width="27" style="591" customWidth="1"/>
    <col min="1791" max="1791" width="11.5703125" style="591" bestFit="1" customWidth="1"/>
    <col min="1792" max="1792" width="9.7109375" style="591" customWidth="1"/>
    <col min="1793" max="1793" width="12" style="591" customWidth="1"/>
    <col min="1794" max="1794" width="38" style="591" customWidth="1"/>
    <col min="1795" max="1795" width="12" style="591" customWidth="1"/>
    <col min="1796" max="1796" width="12.140625" style="591" customWidth="1"/>
    <col min="1797" max="2044" width="9.140625" style="591"/>
    <col min="2045" max="2045" width="30.85546875" style="591" customWidth="1"/>
    <col min="2046" max="2046" width="27" style="591" customWidth="1"/>
    <col min="2047" max="2047" width="11.5703125" style="591" bestFit="1" customWidth="1"/>
    <col min="2048" max="2048" width="9.7109375" style="591" customWidth="1"/>
    <col min="2049" max="2049" width="12" style="591" customWidth="1"/>
    <col min="2050" max="2050" width="38" style="591" customWidth="1"/>
    <col min="2051" max="2051" width="12" style="591" customWidth="1"/>
    <col min="2052" max="2052" width="12.140625" style="591" customWidth="1"/>
    <col min="2053" max="2300" width="9.140625" style="591"/>
    <col min="2301" max="2301" width="30.85546875" style="591" customWidth="1"/>
    <col min="2302" max="2302" width="27" style="591" customWidth="1"/>
    <col min="2303" max="2303" width="11.5703125" style="591" bestFit="1" customWidth="1"/>
    <col min="2304" max="2304" width="9.7109375" style="591" customWidth="1"/>
    <col min="2305" max="2305" width="12" style="591" customWidth="1"/>
    <col min="2306" max="2306" width="38" style="591" customWidth="1"/>
    <col min="2307" max="2307" width="12" style="591" customWidth="1"/>
    <col min="2308" max="2308" width="12.140625" style="591" customWidth="1"/>
    <col min="2309" max="2556" width="9.140625" style="591"/>
    <col min="2557" max="2557" width="30.85546875" style="591" customWidth="1"/>
    <col min="2558" max="2558" width="27" style="591" customWidth="1"/>
    <col min="2559" max="2559" width="11.5703125" style="591" bestFit="1" customWidth="1"/>
    <col min="2560" max="2560" width="9.7109375" style="591" customWidth="1"/>
    <col min="2561" max="2561" width="12" style="591" customWidth="1"/>
    <col min="2562" max="2562" width="38" style="591" customWidth="1"/>
    <col min="2563" max="2563" width="12" style="591" customWidth="1"/>
    <col min="2564" max="2564" width="12.140625" style="591" customWidth="1"/>
    <col min="2565" max="2812" width="9.140625" style="591"/>
    <col min="2813" max="2813" width="30.85546875" style="591" customWidth="1"/>
    <col min="2814" max="2814" width="27" style="591" customWidth="1"/>
    <col min="2815" max="2815" width="11.5703125" style="591" bestFit="1" customWidth="1"/>
    <col min="2816" max="2816" width="9.7109375" style="591" customWidth="1"/>
    <col min="2817" max="2817" width="12" style="591" customWidth="1"/>
    <col min="2818" max="2818" width="38" style="591" customWidth="1"/>
    <col min="2819" max="2819" width="12" style="591" customWidth="1"/>
    <col min="2820" max="2820" width="12.140625" style="591" customWidth="1"/>
    <col min="2821" max="3068" width="9.140625" style="591"/>
    <col min="3069" max="3069" width="30.85546875" style="591" customWidth="1"/>
    <col min="3070" max="3070" width="27" style="591" customWidth="1"/>
    <col min="3071" max="3071" width="11.5703125" style="591" bestFit="1" customWidth="1"/>
    <col min="3072" max="3072" width="9.7109375" style="591" customWidth="1"/>
    <col min="3073" max="3073" width="12" style="591" customWidth="1"/>
    <col min="3074" max="3074" width="38" style="591" customWidth="1"/>
    <col min="3075" max="3075" width="12" style="591" customWidth="1"/>
    <col min="3076" max="3076" width="12.140625" style="591" customWidth="1"/>
    <col min="3077" max="3324" width="9.140625" style="591"/>
    <col min="3325" max="3325" width="30.85546875" style="591" customWidth="1"/>
    <col min="3326" max="3326" width="27" style="591" customWidth="1"/>
    <col min="3327" max="3327" width="11.5703125" style="591" bestFit="1" customWidth="1"/>
    <col min="3328" max="3328" width="9.7109375" style="591" customWidth="1"/>
    <col min="3329" max="3329" width="12" style="591" customWidth="1"/>
    <col min="3330" max="3330" width="38" style="591" customWidth="1"/>
    <col min="3331" max="3331" width="12" style="591" customWidth="1"/>
    <col min="3332" max="3332" width="12.140625" style="591" customWidth="1"/>
    <col min="3333" max="3580" width="9.140625" style="591"/>
    <col min="3581" max="3581" width="30.85546875" style="591" customWidth="1"/>
    <col min="3582" max="3582" width="27" style="591" customWidth="1"/>
    <col min="3583" max="3583" width="11.5703125" style="591" bestFit="1" customWidth="1"/>
    <col min="3584" max="3584" width="9.7109375" style="591" customWidth="1"/>
    <col min="3585" max="3585" width="12" style="591" customWidth="1"/>
    <col min="3586" max="3586" width="38" style="591" customWidth="1"/>
    <col min="3587" max="3587" width="12" style="591" customWidth="1"/>
    <col min="3588" max="3588" width="12.140625" style="591" customWidth="1"/>
    <col min="3589" max="3836" width="9.140625" style="591"/>
    <col min="3837" max="3837" width="30.85546875" style="591" customWidth="1"/>
    <col min="3838" max="3838" width="27" style="591" customWidth="1"/>
    <col min="3839" max="3839" width="11.5703125" style="591" bestFit="1" customWidth="1"/>
    <col min="3840" max="3840" width="9.7109375" style="591" customWidth="1"/>
    <col min="3841" max="3841" width="12" style="591" customWidth="1"/>
    <col min="3842" max="3842" width="38" style="591" customWidth="1"/>
    <col min="3843" max="3843" width="12" style="591" customWidth="1"/>
    <col min="3844" max="3844" width="12.140625" style="591" customWidth="1"/>
    <col min="3845" max="4092" width="9.140625" style="591"/>
    <col min="4093" max="4093" width="30.85546875" style="591" customWidth="1"/>
    <col min="4094" max="4094" width="27" style="591" customWidth="1"/>
    <col min="4095" max="4095" width="11.5703125" style="591" bestFit="1" customWidth="1"/>
    <col min="4096" max="4096" width="9.7109375" style="591" customWidth="1"/>
    <col min="4097" max="4097" width="12" style="591" customWidth="1"/>
    <col min="4098" max="4098" width="38" style="591" customWidth="1"/>
    <col min="4099" max="4099" width="12" style="591" customWidth="1"/>
    <col min="4100" max="4100" width="12.140625" style="591" customWidth="1"/>
    <col min="4101" max="4348" width="9.140625" style="591"/>
    <col min="4349" max="4349" width="30.85546875" style="591" customWidth="1"/>
    <col min="4350" max="4350" width="27" style="591" customWidth="1"/>
    <col min="4351" max="4351" width="11.5703125" style="591" bestFit="1" customWidth="1"/>
    <col min="4352" max="4352" width="9.7109375" style="591" customWidth="1"/>
    <col min="4353" max="4353" width="12" style="591" customWidth="1"/>
    <col min="4354" max="4354" width="38" style="591" customWidth="1"/>
    <col min="4355" max="4355" width="12" style="591" customWidth="1"/>
    <col min="4356" max="4356" width="12.140625" style="591" customWidth="1"/>
    <col min="4357" max="4604" width="9.140625" style="591"/>
    <col min="4605" max="4605" width="30.85546875" style="591" customWidth="1"/>
    <col min="4606" max="4606" width="27" style="591" customWidth="1"/>
    <col min="4607" max="4607" width="11.5703125" style="591" bestFit="1" customWidth="1"/>
    <col min="4608" max="4608" width="9.7109375" style="591" customWidth="1"/>
    <col min="4609" max="4609" width="12" style="591" customWidth="1"/>
    <col min="4610" max="4610" width="38" style="591" customWidth="1"/>
    <col min="4611" max="4611" width="12" style="591" customWidth="1"/>
    <col min="4612" max="4612" width="12.140625" style="591" customWidth="1"/>
    <col min="4613" max="4860" width="9.140625" style="591"/>
    <col min="4861" max="4861" width="30.85546875" style="591" customWidth="1"/>
    <col min="4862" max="4862" width="27" style="591" customWidth="1"/>
    <col min="4863" max="4863" width="11.5703125" style="591" bestFit="1" customWidth="1"/>
    <col min="4864" max="4864" width="9.7109375" style="591" customWidth="1"/>
    <col min="4865" max="4865" width="12" style="591" customWidth="1"/>
    <col min="4866" max="4866" width="38" style="591" customWidth="1"/>
    <col min="4867" max="4867" width="12" style="591" customWidth="1"/>
    <col min="4868" max="4868" width="12.140625" style="591" customWidth="1"/>
    <col min="4869" max="5116" width="9.140625" style="591"/>
    <col min="5117" max="5117" width="30.85546875" style="591" customWidth="1"/>
    <col min="5118" max="5118" width="27" style="591" customWidth="1"/>
    <col min="5119" max="5119" width="11.5703125" style="591" bestFit="1" customWidth="1"/>
    <col min="5120" max="5120" width="9.7109375" style="591" customWidth="1"/>
    <col min="5121" max="5121" width="12" style="591" customWidth="1"/>
    <col min="5122" max="5122" width="38" style="591" customWidth="1"/>
    <col min="5123" max="5123" width="12" style="591" customWidth="1"/>
    <col min="5124" max="5124" width="12.140625" style="591" customWidth="1"/>
    <col min="5125" max="5372" width="9.140625" style="591"/>
    <col min="5373" max="5373" width="30.85546875" style="591" customWidth="1"/>
    <col min="5374" max="5374" width="27" style="591" customWidth="1"/>
    <col min="5375" max="5375" width="11.5703125" style="591" bestFit="1" customWidth="1"/>
    <col min="5376" max="5376" width="9.7109375" style="591" customWidth="1"/>
    <col min="5377" max="5377" width="12" style="591" customWidth="1"/>
    <col min="5378" max="5378" width="38" style="591" customWidth="1"/>
    <col min="5379" max="5379" width="12" style="591" customWidth="1"/>
    <col min="5380" max="5380" width="12.140625" style="591" customWidth="1"/>
    <col min="5381" max="5628" width="9.140625" style="591"/>
    <col min="5629" max="5629" width="30.85546875" style="591" customWidth="1"/>
    <col min="5630" max="5630" width="27" style="591" customWidth="1"/>
    <col min="5631" max="5631" width="11.5703125" style="591" bestFit="1" customWidth="1"/>
    <col min="5632" max="5632" width="9.7109375" style="591" customWidth="1"/>
    <col min="5633" max="5633" width="12" style="591" customWidth="1"/>
    <col min="5634" max="5634" width="38" style="591" customWidth="1"/>
    <col min="5635" max="5635" width="12" style="591" customWidth="1"/>
    <col min="5636" max="5636" width="12.140625" style="591" customWidth="1"/>
    <col min="5637" max="5884" width="9.140625" style="591"/>
    <col min="5885" max="5885" width="30.85546875" style="591" customWidth="1"/>
    <col min="5886" max="5886" width="27" style="591" customWidth="1"/>
    <col min="5887" max="5887" width="11.5703125" style="591" bestFit="1" customWidth="1"/>
    <col min="5888" max="5888" width="9.7109375" style="591" customWidth="1"/>
    <col min="5889" max="5889" width="12" style="591" customWidth="1"/>
    <col min="5890" max="5890" width="38" style="591" customWidth="1"/>
    <col min="5891" max="5891" width="12" style="591" customWidth="1"/>
    <col min="5892" max="5892" width="12.140625" style="591" customWidth="1"/>
    <col min="5893" max="6140" width="9.140625" style="591"/>
    <col min="6141" max="6141" width="30.85546875" style="591" customWidth="1"/>
    <col min="6142" max="6142" width="27" style="591" customWidth="1"/>
    <col min="6143" max="6143" width="11.5703125" style="591" bestFit="1" customWidth="1"/>
    <col min="6144" max="6144" width="9.7109375" style="591" customWidth="1"/>
    <col min="6145" max="6145" width="12" style="591" customWidth="1"/>
    <col min="6146" max="6146" width="38" style="591" customWidth="1"/>
    <col min="6147" max="6147" width="12" style="591" customWidth="1"/>
    <col min="6148" max="6148" width="12.140625" style="591" customWidth="1"/>
    <col min="6149" max="6396" width="9.140625" style="591"/>
    <col min="6397" max="6397" width="30.85546875" style="591" customWidth="1"/>
    <col min="6398" max="6398" width="27" style="591" customWidth="1"/>
    <col min="6399" max="6399" width="11.5703125" style="591" bestFit="1" customWidth="1"/>
    <col min="6400" max="6400" width="9.7109375" style="591" customWidth="1"/>
    <col min="6401" max="6401" width="12" style="591" customWidth="1"/>
    <col min="6402" max="6402" width="38" style="591" customWidth="1"/>
    <col min="6403" max="6403" width="12" style="591" customWidth="1"/>
    <col min="6404" max="6404" width="12.140625" style="591" customWidth="1"/>
    <col min="6405" max="6652" width="9.140625" style="591"/>
    <col min="6653" max="6653" width="30.85546875" style="591" customWidth="1"/>
    <col min="6654" max="6654" width="27" style="591" customWidth="1"/>
    <col min="6655" max="6655" width="11.5703125" style="591" bestFit="1" customWidth="1"/>
    <col min="6656" max="6656" width="9.7109375" style="591" customWidth="1"/>
    <col min="6657" max="6657" width="12" style="591" customWidth="1"/>
    <col min="6658" max="6658" width="38" style="591" customWidth="1"/>
    <col min="6659" max="6659" width="12" style="591" customWidth="1"/>
    <col min="6660" max="6660" width="12.140625" style="591" customWidth="1"/>
    <col min="6661" max="6908" width="9.140625" style="591"/>
    <col min="6909" max="6909" width="30.85546875" style="591" customWidth="1"/>
    <col min="6910" max="6910" width="27" style="591" customWidth="1"/>
    <col min="6911" max="6911" width="11.5703125" style="591" bestFit="1" customWidth="1"/>
    <col min="6912" max="6912" width="9.7109375" style="591" customWidth="1"/>
    <col min="6913" max="6913" width="12" style="591" customWidth="1"/>
    <col min="6914" max="6914" width="38" style="591" customWidth="1"/>
    <col min="6915" max="6915" width="12" style="591" customWidth="1"/>
    <col min="6916" max="6916" width="12.140625" style="591" customWidth="1"/>
    <col min="6917" max="7164" width="9.140625" style="591"/>
    <col min="7165" max="7165" width="30.85546875" style="591" customWidth="1"/>
    <col min="7166" max="7166" width="27" style="591" customWidth="1"/>
    <col min="7167" max="7167" width="11.5703125" style="591" bestFit="1" customWidth="1"/>
    <col min="7168" max="7168" width="9.7109375" style="591" customWidth="1"/>
    <col min="7169" max="7169" width="12" style="591" customWidth="1"/>
    <col min="7170" max="7170" width="38" style="591" customWidth="1"/>
    <col min="7171" max="7171" width="12" style="591" customWidth="1"/>
    <col min="7172" max="7172" width="12.140625" style="591" customWidth="1"/>
    <col min="7173" max="7420" width="9.140625" style="591"/>
    <col min="7421" max="7421" width="30.85546875" style="591" customWidth="1"/>
    <col min="7422" max="7422" width="27" style="591" customWidth="1"/>
    <col min="7423" max="7423" width="11.5703125" style="591" bestFit="1" customWidth="1"/>
    <col min="7424" max="7424" width="9.7109375" style="591" customWidth="1"/>
    <col min="7425" max="7425" width="12" style="591" customWidth="1"/>
    <col min="7426" max="7426" width="38" style="591" customWidth="1"/>
    <col min="7427" max="7427" width="12" style="591" customWidth="1"/>
    <col min="7428" max="7428" width="12.140625" style="591" customWidth="1"/>
    <col min="7429" max="7676" width="9.140625" style="591"/>
    <col min="7677" max="7677" width="30.85546875" style="591" customWidth="1"/>
    <col min="7678" max="7678" width="27" style="591" customWidth="1"/>
    <col min="7679" max="7679" width="11.5703125" style="591" bestFit="1" customWidth="1"/>
    <col min="7680" max="7680" width="9.7109375" style="591" customWidth="1"/>
    <col min="7681" max="7681" width="12" style="591" customWidth="1"/>
    <col min="7682" max="7682" width="38" style="591" customWidth="1"/>
    <col min="7683" max="7683" width="12" style="591" customWidth="1"/>
    <col min="7684" max="7684" width="12.140625" style="591" customWidth="1"/>
    <col min="7685" max="7932" width="9.140625" style="591"/>
    <col min="7933" max="7933" width="30.85546875" style="591" customWidth="1"/>
    <col min="7934" max="7934" width="27" style="591" customWidth="1"/>
    <col min="7935" max="7935" width="11.5703125" style="591" bestFit="1" customWidth="1"/>
    <col min="7936" max="7936" width="9.7109375" style="591" customWidth="1"/>
    <col min="7937" max="7937" width="12" style="591" customWidth="1"/>
    <col min="7938" max="7938" width="38" style="591" customWidth="1"/>
    <col min="7939" max="7939" width="12" style="591" customWidth="1"/>
    <col min="7940" max="7940" width="12.140625" style="591" customWidth="1"/>
    <col min="7941" max="8188" width="9.140625" style="591"/>
    <col min="8189" max="8189" width="30.85546875" style="591" customWidth="1"/>
    <col min="8190" max="8190" width="27" style="591" customWidth="1"/>
    <col min="8191" max="8191" width="11.5703125" style="591" bestFit="1" customWidth="1"/>
    <col min="8192" max="8192" width="9.7109375" style="591" customWidth="1"/>
    <col min="8193" max="8193" width="12" style="591" customWidth="1"/>
    <col min="8194" max="8194" width="38" style="591" customWidth="1"/>
    <col min="8195" max="8195" width="12" style="591" customWidth="1"/>
    <col min="8196" max="8196" width="12.140625" style="591" customWidth="1"/>
    <col min="8197" max="8444" width="9.140625" style="591"/>
    <col min="8445" max="8445" width="30.85546875" style="591" customWidth="1"/>
    <col min="8446" max="8446" width="27" style="591" customWidth="1"/>
    <col min="8447" max="8447" width="11.5703125" style="591" bestFit="1" customWidth="1"/>
    <col min="8448" max="8448" width="9.7109375" style="591" customWidth="1"/>
    <col min="8449" max="8449" width="12" style="591" customWidth="1"/>
    <col min="8450" max="8450" width="38" style="591" customWidth="1"/>
    <col min="8451" max="8451" width="12" style="591" customWidth="1"/>
    <col min="8452" max="8452" width="12.140625" style="591" customWidth="1"/>
    <col min="8453" max="8700" width="9.140625" style="591"/>
    <col min="8701" max="8701" width="30.85546875" style="591" customWidth="1"/>
    <col min="8702" max="8702" width="27" style="591" customWidth="1"/>
    <col min="8703" max="8703" width="11.5703125" style="591" bestFit="1" customWidth="1"/>
    <col min="8704" max="8704" width="9.7109375" style="591" customWidth="1"/>
    <col min="8705" max="8705" width="12" style="591" customWidth="1"/>
    <col min="8706" max="8706" width="38" style="591" customWidth="1"/>
    <col min="8707" max="8707" width="12" style="591" customWidth="1"/>
    <col min="8708" max="8708" width="12.140625" style="591" customWidth="1"/>
    <col min="8709" max="8956" width="9.140625" style="591"/>
    <col min="8957" max="8957" width="30.85546875" style="591" customWidth="1"/>
    <col min="8958" max="8958" width="27" style="591" customWidth="1"/>
    <col min="8959" max="8959" width="11.5703125" style="591" bestFit="1" customWidth="1"/>
    <col min="8960" max="8960" width="9.7109375" style="591" customWidth="1"/>
    <col min="8961" max="8961" width="12" style="591" customWidth="1"/>
    <col min="8962" max="8962" width="38" style="591" customWidth="1"/>
    <col min="8963" max="8963" width="12" style="591" customWidth="1"/>
    <col min="8964" max="8964" width="12.140625" style="591" customWidth="1"/>
    <col min="8965" max="9212" width="9.140625" style="591"/>
    <col min="9213" max="9213" width="30.85546875" style="591" customWidth="1"/>
    <col min="9214" max="9214" width="27" style="591" customWidth="1"/>
    <col min="9215" max="9215" width="11.5703125" style="591" bestFit="1" customWidth="1"/>
    <col min="9216" max="9216" width="9.7109375" style="591" customWidth="1"/>
    <col min="9217" max="9217" width="12" style="591" customWidth="1"/>
    <col min="9218" max="9218" width="38" style="591" customWidth="1"/>
    <col min="9219" max="9219" width="12" style="591" customWidth="1"/>
    <col min="9220" max="9220" width="12.140625" style="591" customWidth="1"/>
    <col min="9221" max="9468" width="9.140625" style="591"/>
    <col min="9469" max="9469" width="30.85546875" style="591" customWidth="1"/>
    <col min="9470" max="9470" width="27" style="591" customWidth="1"/>
    <col min="9471" max="9471" width="11.5703125" style="591" bestFit="1" customWidth="1"/>
    <col min="9472" max="9472" width="9.7109375" style="591" customWidth="1"/>
    <col min="9473" max="9473" width="12" style="591" customWidth="1"/>
    <col min="9474" max="9474" width="38" style="591" customWidth="1"/>
    <col min="9475" max="9475" width="12" style="591" customWidth="1"/>
    <col min="9476" max="9476" width="12.140625" style="591" customWidth="1"/>
    <col min="9477" max="9724" width="9.140625" style="591"/>
    <col min="9725" max="9725" width="30.85546875" style="591" customWidth="1"/>
    <col min="9726" max="9726" width="27" style="591" customWidth="1"/>
    <col min="9727" max="9727" width="11.5703125" style="591" bestFit="1" customWidth="1"/>
    <col min="9728" max="9728" width="9.7109375" style="591" customWidth="1"/>
    <col min="9729" max="9729" width="12" style="591" customWidth="1"/>
    <col min="9730" max="9730" width="38" style="591" customWidth="1"/>
    <col min="9731" max="9731" width="12" style="591" customWidth="1"/>
    <col min="9732" max="9732" width="12.140625" style="591" customWidth="1"/>
    <col min="9733" max="9980" width="9.140625" style="591"/>
    <col min="9981" max="9981" width="30.85546875" style="591" customWidth="1"/>
    <col min="9982" max="9982" width="27" style="591" customWidth="1"/>
    <col min="9983" max="9983" width="11.5703125" style="591" bestFit="1" customWidth="1"/>
    <col min="9984" max="9984" width="9.7109375" style="591" customWidth="1"/>
    <col min="9985" max="9985" width="12" style="591" customWidth="1"/>
    <col min="9986" max="9986" width="38" style="591" customWidth="1"/>
    <col min="9987" max="9987" width="12" style="591" customWidth="1"/>
    <col min="9988" max="9988" width="12.140625" style="591" customWidth="1"/>
    <col min="9989" max="10236" width="9.140625" style="591"/>
    <col min="10237" max="10237" width="30.85546875" style="591" customWidth="1"/>
    <col min="10238" max="10238" width="27" style="591" customWidth="1"/>
    <col min="10239" max="10239" width="11.5703125" style="591" bestFit="1" customWidth="1"/>
    <col min="10240" max="10240" width="9.7109375" style="591" customWidth="1"/>
    <col min="10241" max="10241" width="12" style="591" customWidth="1"/>
    <col min="10242" max="10242" width="38" style="591" customWidth="1"/>
    <col min="10243" max="10243" width="12" style="591" customWidth="1"/>
    <col min="10244" max="10244" width="12.140625" style="591" customWidth="1"/>
    <col min="10245" max="10492" width="9.140625" style="591"/>
    <col min="10493" max="10493" width="30.85546875" style="591" customWidth="1"/>
    <col min="10494" max="10494" width="27" style="591" customWidth="1"/>
    <col min="10495" max="10495" width="11.5703125" style="591" bestFit="1" customWidth="1"/>
    <col min="10496" max="10496" width="9.7109375" style="591" customWidth="1"/>
    <col min="10497" max="10497" width="12" style="591" customWidth="1"/>
    <col min="10498" max="10498" width="38" style="591" customWidth="1"/>
    <col min="10499" max="10499" width="12" style="591" customWidth="1"/>
    <col min="10500" max="10500" width="12.140625" style="591" customWidth="1"/>
    <col min="10501" max="10748" width="9.140625" style="591"/>
    <col min="10749" max="10749" width="30.85546875" style="591" customWidth="1"/>
    <col min="10750" max="10750" width="27" style="591" customWidth="1"/>
    <col min="10751" max="10751" width="11.5703125" style="591" bestFit="1" customWidth="1"/>
    <col min="10752" max="10752" width="9.7109375" style="591" customWidth="1"/>
    <col min="10753" max="10753" width="12" style="591" customWidth="1"/>
    <col min="10754" max="10754" width="38" style="591" customWidth="1"/>
    <col min="10755" max="10755" width="12" style="591" customWidth="1"/>
    <col min="10756" max="10756" width="12.140625" style="591" customWidth="1"/>
    <col min="10757" max="11004" width="9.140625" style="591"/>
    <col min="11005" max="11005" width="30.85546875" style="591" customWidth="1"/>
    <col min="11006" max="11006" width="27" style="591" customWidth="1"/>
    <col min="11007" max="11007" width="11.5703125" style="591" bestFit="1" customWidth="1"/>
    <col min="11008" max="11008" width="9.7109375" style="591" customWidth="1"/>
    <col min="11009" max="11009" width="12" style="591" customWidth="1"/>
    <col min="11010" max="11010" width="38" style="591" customWidth="1"/>
    <col min="11011" max="11011" width="12" style="591" customWidth="1"/>
    <col min="11012" max="11012" width="12.140625" style="591" customWidth="1"/>
    <col min="11013" max="11260" width="9.140625" style="591"/>
    <col min="11261" max="11261" width="30.85546875" style="591" customWidth="1"/>
    <col min="11262" max="11262" width="27" style="591" customWidth="1"/>
    <col min="11263" max="11263" width="11.5703125" style="591" bestFit="1" customWidth="1"/>
    <col min="11264" max="11264" width="9.7109375" style="591" customWidth="1"/>
    <col min="11265" max="11265" width="12" style="591" customWidth="1"/>
    <col min="11266" max="11266" width="38" style="591" customWidth="1"/>
    <col min="11267" max="11267" width="12" style="591" customWidth="1"/>
    <col min="11268" max="11268" width="12.140625" style="591" customWidth="1"/>
    <col min="11269" max="11516" width="9.140625" style="591"/>
    <col min="11517" max="11517" width="30.85546875" style="591" customWidth="1"/>
    <col min="11518" max="11518" width="27" style="591" customWidth="1"/>
    <col min="11519" max="11519" width="11.5703125" style="591" bestFit="1" customWidth="1"/>
    <col min="11520" max="11520" width="9.7109375" style="591" customWidth="1"/>
    <col min="11521" max="11521" width="12" style="591" customWidth="1"/>
    <col min="11522" max="11522" width="38" style="591" customWidth="1"/>
    <col min="11523" max="11523" width="12" style="591" customWidth="1"/>
    <col min="11524" max="11524" width="12.140625" style="591" customWidth="1"/>
    <col min="11525" max="11772" width="9.140625" style="591"/>
    <col min="11773" max="11773" width="30.85546875" style="591" customWidth="1"/>
    <col min="11774" max="11774" width="27" style="591" customWidth="1"/>
    <col min="11775" max="11775" width="11.5703125" style="591" bestFit="1" customWidth="1"/>
    <col min="11776" max="11776" width="9.7109375" style="591" customWidth="1"/>
    <col min="11777" max="11777" width="12" style="591" customWidth="1"/>
    <col min="11778" max="11778" width="38" style="591" customWidth="1"/>
    <col min="11779" max="11779" width="12" style="591" customWidth="1"/>
    <col min="11780" max="11780" width="12.140625" style="591" customWidth="1"/>
    <col min="11781" max="12028" width="9.140625" style="591"/>
    <col min="12029" max="12029" width="30.85546875" style="591" customWidth="1"/>
    <col min="12030" max="12030" width="27" style="591" customWidth="1"/>
    <col min="12031" max="12031" width="11.5703125" style="591" bestFit="1" customWidth="1"/>
    <col min="12032" max="12032" width="9.7109375" style="591" customWidth="1"/>
    <col min="12033" max="12033" width="12" style="591" customWidth="1"/>
    <col min="12034" max="12034" width="38" style="591" customWidth="1"/>
    <col min="12035" max="12035" width="12" style="591" customWidth="1"/>
    <col min="12036" max="12036" width="12.140625" style="591" customWidth="1"/>
    <col min="12037" max="12284" width="9.140625" style="591"/>
    <col min="12285" max="12285" width="30.85546875" style="591" customWidth="1"/>
    <col min="12286" max="12286" width="27" style="591" customWidth="1"/>
    <col min="12287" max="12287" width="11.5703125" style="591" bestFit="1" customWidth="1"/>
    <col min="12288" max="12288" width="9.7109375" style="591" customWidth="1"/>
    <col min="12289" max="12289" width="12" style="591" customWidth="1"/>
    <col min="12290" max="12290" width="38" style="591" customWidth="1"/>
    <col min="12291" max="12291" width="12" style="591" customWidth="1"/>
    <col min="12292" max="12292" width="12.140625" style="591" customWidth="1"/>
    <col min="12293" max="12540" width="9.140625" style="591"/>
    <col min="12541" max="12541" width="30.85546875" style="591" customWidth="1"/>
    <col min="12542" max="12542" width="27" style="591" customWidth="1"/>
    <col min="12543" max="12543" width="11.5703125" style="591" bestFit="1" customWidth="1"/>
    <col min="12544" max="12544" width="9.7109375" style="591" customWidth="1"/>
    <col min="12545" max="12545" width="12" style="591" customWidth="1"/>
    <col min="12546" max="12546" width="38" style="591" customWidth="1"/>
    <col min="12547" max="12547" width="12" style="591" customWidth="1"/>
    <col min="12548" max="12548" width="12.140625" style="591" customWidth="1"/>
    <col min="12549" max="12796" width="9.140625" style="591"/>
    <col min="12797" max="12797" width="30.85546875" style="591" customWidth="1"/>
    <col min="12798" max="12798" width="27" style="591" customWidth="1"/>
    <col min="12799" max="12799" width="11.5703125" style="591" bestFit="1" customWidth="1"/>
    <col min="12800" max="12800" width="9.7109375" style="591" customWidth="1"/>
    <col min="12801" max="12801" width="12" style="591" customWidth="1"/>
    <col min="12802" max="12802" width="38" style="591" customWidth="1"/>
    <col min="12803" max="12803" width="12" style="591" customWidth="1"/>
    <col min="12804" max="12804" width="12.140625" style="591" customWidth="1"/>
    <col min="12805" max="13052" width="9.140625" style="591"/>
    <col min="13053" max="13053" width="30.85546875" style="591" customWidth="1"/>
    <col min="13054" max="13054" width="27" style="591" customWidth="1"/>
    <col min="13055" max="13055" width="11.5703125" style="591" bestFit="1" customWidth="1"/>
    <col min="13056" max="13056" width="9.7109375" style="591" customWidth="1"/>
    <col min="13057" max="13057" width="12" style="591" customWidth="1"/>
    <col min="13058" max="13058" width="38" style="591" customWidth="1"/>
    <col min="13059" max="13059" width="12" style="591" customWidth="1"/>
    <col min="13060" max="13060" width="12.140625" style="591" customWidth="1"/>
    <col min="13061" max="13308" width="9.140625" style="591"/>
    <col min="13309" max="13309" width="30.85546875" style="591" customWidth="1"/>
    <col min="13310" max="13310" width="27" style="591" customWidth="1"/>
    <col min="13311" max="13311" width="11.5703125" style="591" bestFit="1" customWidth="1"/>
    <col min="13312" max="13312" width="9.7109375" style="591" customWidth="1"/>
    <col min="13313" max="13313" width="12" style="591" customWidth="1"/>
    <col min="13314" max="13314" width="38" style="591" customWidth="1"/>
    <col min="13315" max="13315" width="12" style="591" customWidth="1"/>
    <col min="13316" max="13316" width="12.140625" style="591" customWidth="1"/>
    <col min="13317" max="13564" width="9.140625" style="591"/>
    <col min="13565" max="13565" width="30.85546875" style="591" customWidth="1"/>
    <col min="13566" max="13566" width="27" style="591" customWidth="1"/>
    <col min="13567" max="13567" width="11.5703125" style="591" bestFit="1" customWidth="1"/>
    <col min="13568" max="13568" width="9.7109375" style="591" customWidth="1"/>
    <col min="13569" max="13569" width="12" style="591" customWidth="1"/>
    <col min="13570" max="13570" width="38" style="591" customWidth="1"/>
    <col min="13571" max="13571" width="12" style="591" customWidth="1"/>
    <col min="13572" max="13572" width="12.140625" style="591" customWidth="1"/>
    <col min="13573" max="13820" width="9.140625" style="591"/>
    <col min="13821" max="13821" width="30.85546875" style="591" customWidth="1"/>
    <col min="13822" max="13822" width="27" style="591" customWidth="1"/>
    <col min="13823" max="13823" width="11.5703125" style="591" bestFit="1" customWidth="1"/>
    <col min="13824" max="13824" width="9.7109375" style="591" customWidth="1"/>
    <col min="13825" max="13825" width="12" style="591" customWidth="1"/>
    <col min="13826" max="13826" width="38" style="591" customWidth="1"/>
    <col min="13827" max="13827" width="12" style="591" customWidth="1"/>
    <col min="13828" max="13828" width="12.140625" style="591" customWidth="1"/>
    <col min="13829" max="14076" width="9.140625" style="591"/>
    <col min="14077" max="14077" width="30.85546875" style="591" customWidth="1"/>
    <col min="14078" max="14078" width="27" style="591" customWidth="1"/>
    <col min="14079" max="14079" width="11.5703125" style="591" bestFit="1" customWidth="1"/>
    <col min="14080" max="14080" width="9.7109375" style="591" customWidth="1"/>
    <col min="14081" max="14081" width="12" style="591" customWidth="1"/>
    <col min="14082" max="14082" width="38" style="591" customWidth="1"/>
    <col min="14083" max="14083" width="12" style="591" customWidth="1"/>
    <col min="14084" max="14084" width="12.140625" style="591" customWidth="1"/>
    <col min="14085" max="14332" width="9.140625" style="591"/>
    <col min="14333" max="14333" width="30.85546875" style="591" customWidth="1"/>
    <col min="14334" max="14334" width="27" style="591" customWidth="1"/>
    <col min="14335" max="14335" width="11.5703125" style="591" bestFit="1" customWidth="1"/>
    <col min="14336" max="14336" width="9.7109375" style="591" customWidth="1"/>
    <col min="14337" max="14337" width="12" style="591" customWidth="1"/>
    <col min="14338" max="14338" width="38" style="591" customWidth="1"/>
    <col min="14339" max="14339" width="12" style="591" customWidth="1"/>
    <col min="14340" max="14340" width="12.140625" style="591" customWidth="1"/>
    <col min="14341" max="14588" width="9.140625" style="591"/>
    <col min="14589" max="14589" width="30.85546875" style="591" customWidth="1"/>
    <col min="14590" max="14590" width="27" style="591" customWidth="1"/>
    <col min="14591" max="14591" width="11.5703125" style="591" bestFit="1" customWidth="1"/>
    <col min="14592" max="14592" width="9.7109375" style="591" customWidth="1"/>
    <col min="14593" max="14593" width="12" style="591" customWidth="1"/>
    <col min="14594" max="14594" width="38" style="591" customWidth="1"/>
    <col min="14595" max="14595" width="12" style="591" customWidth="1"/>
    <col min="14596" max="14596" width="12.140625" style="591" customWidth="1"/>
    <col min="14597" max="14844" width="9.140625" style="591"/>
    <col min="14845" max="14845" width="30.85546875" style="591" customWidth="1"/>
    <col min="14846" max="14846" width="27" style="591" customWidth="1"/>
    <col min="14847" max="14847" width="11.5703125" style="591" bestFit="1" customWidth="1"/>
    <col min="14848" max="14848" width="9.7109375" style="591" customWidth="1"/>
    <col min="14849" max="14849" width="12" style="591" customWidth="1"/>
    <col min="14850" max="14850" width="38" style="591" customWidth="1"/>
    <col min="14851" max="14851" width="12" style="591" customWidth="1"/>
    <col min="14852" max="14852" width="12.140625" style="591" customWidth="1"/>
    <col min="14853" max="15100" width="9.140625" style="591"/>
    <col min="15101" max="15101" width="30.85546875" style="591" customWidth="1"/>
    <col min="15102" max="15102" width="27" style="591" customWidth="1"/>
    <col min="15103" max="15103" width="11.5703125" style="591" bestFit="1" customWidth="1"/>
    <col min="15104" max="15104" width="9.7109375" style="591" customWidth="1"/>
    <col min="15105" max="15105" width="12" style="591" customWidth="1"/>
    <col min="15106" max="15106" width="38" style="591" customWidth="1"/>
    <col min="15107" max="15107" width="12" style="591" customWidth="1"/>
    <col min="15108" max="15108" width="12.140625" style="591" customWidth="1"/>
    <col min="15109" max="15356" width="9.140625" style="591"/>
    <col min="15357" max="15357" width="30.85546875" style="591" customWidth="1"/>
    <col min="15358" max="15358" width="27" style="591" customWidth="1"/>
    <col min="15359" max="15359" width="11.5703125" style="591" bestFit="1" customWidth="1"/>
    <col min="15360" max="15360" width="9.7109375" style="591" customWidth="1"/>
    <col min="15361" max="15361" width="12" style="591" customWidth="1"/>
    <col min="15362" max="15362" width="38" style="591" customWidth="1"/>
    <col min="15363" max="15363" width="12" style="591" customWidth="1"/>
    <col min="15364" max="15364" width="12.140625" style="591" customWidth="1"/>
    <col min="15365" max="15612" width="9.140625" style="591"/>
    <col min="15613" max="15613" width="30.85546875" style="591" customWidth="1"/>
    <col min="15614" max="15614" width="27" style="591" customWidth="1"/>
    <col min="15615" max="15615" width="11.5703125" style="591" bestFit="1" customWidth="1"/>
    <col min="15616" max="15616" width="9.7109375" style="591" customWidth="1"/>
    <col min="15617" max="15617" width="12" style="591" customWidth="1"/>
    <col min="15618" max="15618" width="38" style="591" customWidth="1"/>
    <col min="15619" max="15619" width="12" style="591" customWidth="1"/>
    <col min="15620" max="15620" width="12.140625" style="591" customWidth="1"/>
    <col min="15621" max="15868" width="9.140625" style="591"/>
    <col min="15869" max="15869" width="30.85546875" style="591" customWidth="1"/>
    <col min="15870" max="15870" width="27" style="591" customWidth="1"/>
    <col min="15871" max="15871" width="11.5703125" style="591" bestFit="1" customWidth="1"/>
    <col min="15872" max="15872" width="9.7109375" style="591" customWidth="1"/>
    <col min="15873" max="15873" width="12" style="591" customWidth="1"/>
    <col min="15874" max="15874" width="38" style="591" customWidth="1"/>
    <col min="15875" max="15875" width="12" style="591" customWidth="1"/>
    <col min="15876" max="15876" width="12.140625" style="591" customWidth="1"/>
    <col min="15877" max="16124" width="9.140625" style="591"/>
    <col min="16125" max="16125" width="30.85546875" style="591" customWidth="1"/>
    <col min="16126" max="16126" width="27" style="591" customWidth="1"/>
    <col min="16127" max="16127" width="11.5703125" style="591" bestFit="1" customWidth="1"/>
    <col min="16128" max="16128" width="9.7109375" style="591" customWidth="1"/>
    <col min="16129" max="16129" width="12" style="591" customWidth="1"/>
    <col min="16130" max="16130" width="38" style="591" customWidth="1"/>
    <col min="16131" max="16131" width="12" style="591" customWidth="1"/>
    <col min="16132" max="16132" width="12.140625" style="591" customWidth="1"/>
    <col min="16133" max="16378" width="9.140625" style="591"/>
    <col min="16379" max="16379" width="9.140625" style="591" customWidth="1"/>
    <col min="16380" max="16380" width="9.140625" style="591"/>
    <col min="16381" max="16384" width="9.140625" style="591" customWidth="1"/>
  </cols>
  <sheetData>
    <row r="2" spans="2:8" x14ac:dyDescent="0.2">
      <c r="B2" s="836"/>
    </row>
    <row r="3" spans="2:8" ht="13.5" thickBot="1" x14ac:dyDescent="0.25">
      <c r="B3" s="836"/>
      <c r="C3" s="596"/>
    </row>
    <row r="4" spans="2:8" s="155" customFormat="1" ht="13.5" thickBot="1" x14ac:dyDescent="0.25">
      <c r="B4" s="836"/>
      <c r="C4" s="835"/>
      <c r="D4" s="690" t="s">
        <v>449</v>
      </c>
      <c r="E4" s="689"/>
      <c r="F4" s="689"/>
      <c r="G4" s="688"/>
      <c r="H4" s="591"/>
    </row>
    <row r="5" spans="2:8" s="155" customFormat="1" ht="15" x14ac:dyDescent="0.25">
      <c r="B5" s="440">
        <v>1</v>
      </c>
      <c r="C5" s="727"/>
      <c r="D5" s="834" t="str">
        <f>IF(INDEX('Master Lookup'!$B$193:$B$199,B5)=0,"",INDEX('Master Lookup'!$B$193:$B$199,B5))</f>
        <v>Management</v>
      </c>
      <c r="E5" s="833">
        <f>IFERROR(INDEX('Master Lookup'!$D$193:$D$199,MATCH(D5,'Master Lookup'!$B$193:$B$199,0)),"")</f>
        <v>79415.232000000018</v>
      </c>
      <c r="F5" s="832">
        <f>IFERROR(INDEX('Master Lookup'!$E$193:$E$199,MATCH(D5,'Master Lookup'!$B$193:$B$199,0)),"")</f>
        <v>5.0099999999999999E-2</v>
      </c>
      <c r="G5" s="831">
        <f>IFERROR(E5*F5,0)</f>
        <v>3978.7031232000008</v>
      </c>
      <c r="H5" s="591"/>
    </row>
    <row r="6" spans="2:8" s="155" customFormat="1" ht="15" x14ac:dyDescent="0.25">
      <c r="B6" s="440">
        <v>2</v>
      </c>
      <c r="C6" s="727"/>
      <c r="D6" s="816" t="str">
        <f>IF(INDEX('Master Lookup'!$B$193:$B$199,B6)=0,"",INDEX('Master Lookup'!$B$193:$B$199,B6))</f>
        <v>Direct Care Staff</v>
      </c>
      <c r="E6" s="496">
        <f>IFERROR(INDEX('Master Lookup'!$D$193:$D$199,MATCH(D6,'Master Lookup'!$B$193:$B$199,0)),"")</f>
        <v>41600</v>
      </c>
      <c r="F6" s="547">
        <f>IFERROR(INDEX('Master Lookup'!$E$193:$E$199,MATCH(D6,'Master Lookup'!$B$193:$B$199,0)),"")</f>
        <v>0.90439999999999998</v>
      </c>
      <c r="G6" s="800">
        <f>IFERROR(E6*F6,0)</f>
        <v>37623.040000000001</v>
      </c>
      <c r="H6" s="591"/>
    </row>
    <row r="7" spans="2:8" s="155" customFormat="1" ht="15" hidden="1" x14ac:dyDescent="0.25">
      <c r="B7" s="440">
        <v>3</v>
      </c>
      <c r="C7" s="830"/>
      <c r="D7" s="815" t="str">
        <f>IF(INDEX('Master Lookup'!$B$193:$B$199,B7)=0,"",INDEX('Master Lookup'!$B$193:$B$199,B7))</f>
        <v/>
      </c>
      <c r="E7" s="503" t="str">
        <f>IFERROR(INDEX('Master Lookup'!$D$193:$D$199,MATCH(D7,'Master Lookup'!$B$193:$B$199,0)),"")</f>
        <v/>
      </c>
      <c r="F7" s="829" t="str">
        <f>IFERROR(INDEX('Master Lookup'!$E$193:$E$199,MATCH(D7,'Master Lookup'!$B$193:$B$199,0)),"")</f>
        <v/>
      </c>
      <c r="G7" s="828">
        <f>IFERROR(E7*F7,0)</f>
        <v>0</v>
      </c>
      <c r="H7" s="591"/>
    </row>
    <row r="8" spans="2:8" s="155" customFormat="1" ht="15" hidden="1" x14ac:dyDescent="0.25">
      <c r="B8" s="440">
        <v>4</v>
      </c>
      <c r="C8" s="727"/>
      <c r="D8" s="815" t="str">
        <f>IF(INDEX('Master Lookup'!$B$193:$B$199,B8)=0,"",INDEX('Master Lookup'!$B$193:$B$199,B8))</f>
        <v/>
      </c>
      <c r="E8" s="503" t="str">
        <f>IFERROR(INDEX('Master Lookup'!$D$193:$D$199,MATCH(D8,'Master Lookup'!$B$193:$B$199,0)),"")</f>
        <v/>
      </c>
      <c r="F8" s="829" t="str">
        <f>IFERROR(INDEX('Master Lookup'!$E$193:$E$199,MATCH(D8,'Master Lookup'!$B$193:$B$199,0)),"")</f>
        <v/>
      </c>
      <c r="G8" s="828">
        <f>IFERROR(E8*F8,0)</f>
        <v>0</v>
      </c>
      <c r="H8" s="591"/>
    </row>
    <row r="9" spans="2:8" s="155" customFormat="1" ht="15" hidden="1" x14ac:dyDescent="0.25">
      <c r="B9" s="440">
        <v>5</v>
      </c>
      <c r="D9" s="815" t="str">
        <f>IF(INDEX('Master Lookup'!$B$193:$B$199,B9)=0,"",INDEX('Master Lookup'!$B$193:$B$199,B9))</f>
        <v/>
      </c>
      <c r="E9" s="503" t="str">
        <f>IFERROR(INDEX('Master Lookup'!$D$193:$D$199,MATCH(D9,'Master Lookup'!$B$193:$B$199,0)),"")</f>
        <v/>
      </c>
      <c r="F9" s="829" t="str">
        <f>IFERROR(INDEX('Master Lookup'!$E$193:$E$199,MATCH(D9,'Master Lookup'!$B$193:$B$199,0)),"")</f>
        <v/>
      </c>
      <c r="G9" s="828">
        <f>IFERROR(E9*F9,0)</f>
        <v>0</v>
      </c>
      <c r="H9" s="591"/>
    </row>
    <row r="10" spans="2:8" s="155" customFormat="1" ht="15" hidden="1" x14ac:dyDescent="0.25">
      <c r="B10" s="440">
        <v>6</v>
      </c>
      <c r="C10" s="727"/>
      <c r="D10" s="815" t="str">
        <f>IF(INDEX('Master Lookup'!$B$193:$B$199,B10)=0,"",INDEX('Master Lookup'!$B$193:$B$199,B10))</f>
        <v/>
      </c>
      <c r="E10" s="503" t="str">
        <f>IFERROR(INDEX('Master Lookup'!$D$193:$D$199,MATCH(D10,'Master Lookup'!$B$193:$B$199,0)),"")</f>
        <v/>
      </c>
      <c r="F10" s="829" t="str">
        <f>IFERROR(INDEX('Master Lookup'!$E$193:$E$199,MATCH(D10,'Master Lookup'!$B$193:$B$199,0)),"")</f>
        <v/>
      </c>
      <c r="G10" s="828">
        <f>IFERROR(E10*F10,0)</f>
        <v>0</v>
      </c>
      <c r="H10" s="591"/>
    </row>
    <row r="11" spans="2:8" s="155" customFormat="1" ht="15.75" x14ac:dyDescent="0.25">
      <c r="B11" s="591"/>
      <c r="C11" s="727"/>
      <c r="D11" s="827" t="s">
        <v>503</v>
      </c>
      <c r="E11" s="826"/>
      <c r="F11" s="825">
        <f>SUM(F5:F10)</f>
        <v>0.95450000000000002</v>
      </c>
      <c r="G11" s="824">
        <f>SUM(G5:G10)</f>
        <v>41601.743123200002</v>
      </c>
      <c r="H11" s="591"/>
    </row>
    <row r="12" spans="2:8" s="155" customFormat="1" ht="15" x14ac:dyDescent="0.25">
      <c r="B12" s="591"/>
      <c r="C12" s="823"/>
      <c r="D12" s="822" t="s">
        <v>368</v>
      </c>
      <c r="E12" s="803"/>
      <c r="F12" s="659">
        <f>INDEX('Master Lookup'!$C$208:$C$210,MATCH(D12,'Master Lookup'!$B$208:$B$210,0))</f>
        <v>0.27379999999999999</v>
      </c>
      <c r="G12" s="821">
        <f>G11*F12</f>
        <v>11390.557267132161</v>
      </c>
      <c r="H12" s="591"/>
    </row>
    <row r="13" spans="2:8" s="155" customFormat="1" ht="15.75" x14ac:dyDescent="0.25">
      <c r="B13" s="591"/>
      <c r="C13" s="820"/>
      <c r="D13" s="813" t="s">
        <v>596</v>
      </c>
      <c r="E13" s="803"/>
      <c r="F13" s="803"/>
      <c r="G13" s="802">
        <f>SUM(G11:G12)</f>
        <v>52992.300390332166</v>
      </c>
      <c r="H13" s="591"/>
    </row>
    <row r="14" spans="2:8" s="155" customFormat="1" ht="15.75" x14ac:dyDescent="0.25">
      <c r="B14" s="591"/>
      <c r="D14" s="819"/>
      <c r="E14" s="803"/>
      <c r="F14" s="803"/>
      <c r="G14" s="818"/>
      <c r="H14" s="591"/>
    </row>
    <row r="15" spans="2:8" s="155" customFormat="1" ht="15" x14ac:dyDescent="0.25">
      <c r="B15" s="591"/>
      <c r="D15" s="817" t="s">
        <v>372</v>
      </c>
      <c r="E15" s="591"/>
      <c r="F15" s="591"/>
      <c r="G15" s="810"/>
      <c r="H15" s="591"/>
    </row>
    <row r="16" spans="2:8" s="155" customFormat="1" ht="26.25" x14ac:dyDescent="0.25">
      <c r="B16" s="440">
        <v>1</v>
      </c>
      <c r="D16" s="816" t="str">
        <f>IF(INDEX('Master Lookup'!$B$202:$B$206,B16)=0,"",INDEX('Master Lookup'!$B$202:$B$206,B16))</f>
        <v>Program Supplies &amp; Materials 215</v>
      </c>
      <c r="E16" s="591"/>
      <c r="F16" s="496">
        <f>IFERROR(INDEX('Master Lookup'!$C$202:$C$206,MATCH(D16,'Master Lookup'!$B$202:$B$206,0)),"")</f>
        <v>1493.1564099112707</v>
      </c>
      <c r="G16" s="627">
        <f>F16</f>
        <v>1493.1564099112707</v>
      </c>
      <c r="H16" s="591"/>
    </row>
    <row r="17" spans="2:9" s="155" customFormat="1" ht="15" hidden="1" x14ac:dyDescent="0.25">
      <c r="B17" s="440">
        <v>2</v>
      </c>
      <c r="D17" s="815" t="str">
        <f>IF(INDEX('Master Lookup'!$B$202:$B$206,B17)=0,"",INDEX('Master Lookup'!$B$202:$B$206,B17))</f>
        <v/>
      </c>
      <c r="E17" s="503"/>
      <c r="F17" s="503" t="str">
        <f>IFERROR(INDEX('Master Lookup'!$C$202:$C$206,MATCH(D17,'Master Lookup'!$B$202:$B$206,0)),"")</f>
        <v/>
      </c>
      <c r="G17" s="814"/>
      <c r="H17" s="591"/>
    </row>
    <row r="18" spans="2:9" s="155" customFormat="1" ht="15" hidden="1" x14ac:dyDescent="0.25">
      <c r="B18" s="440">
        <v>3</v>
      </c>
      <c r="D18" s="815" t="str">
        <f>IF(INDEX('Master Lookup'!$B$202:$B$206,B18)=0,"",INDEX('Master Lookup'!$B$202:$B$206,B18))</f>
        <v/>
      </c>
      <c r="E18" s="503"/>
      <c r="F18" s="503" t="str">
        <f>IFERROR(INDEX('Master Lookup'!$C$202:$C$206,MATCH(D18,'Master Lookup'!$B$202:$B$206,0)),"")</f>
        <v/>
      </c>
      <c r="G18" s="814"/>
      <c r="H18" s="591"/>
    </row>
    <row r="19" spans="2:9" s="155" customFormat="1" ht="15" hidden="1" x14ac:dyDescent="0.25">
      <c r="B19" s="440">
        <v>4</v>
      </c>
      <c r="D19" s="815" t="str">
        <f>IF(INDEX('Master Lookup'!$B$202:$B$206,B19)=0,"",INDEX('Master Lookup'!$B$202:$B$206,B19))</f>
        <v/>
      </c>
      <c r="E19" s="503"/>
      <c r="F19" s="503" t="str">
        <f>IFERROR(INDEX('Master Lookup'!$C$202:$C$206,MATCH(D19,'Master Lookup'!$B$202:$B$206,0)),"")</f>
        <v/>
      </c>
      <c r="G19" s="814"/>
      <c r="H19" s="591"/>
    </row>
    <row r="20" spans="2:9" s="155" customFormat="1" ht="30" x14ac:dyDescent="0.25">
      <c r="B20" s="591"/>
      <c r="D20" s="813" t="s">
        <v>538</v>
      </c>
      <c r="E20" s="812"/>
      <c r="F20" s="812"/>
      <c r="G20" s="802">
        <f>SUM(G16:G19)</f>
        <v>1493.1564099112707</v>
      </c>
      <c r="H20" s="591"/>
    </row>
    <row r="21" spans="2:9" s="155" customFormat="1" ht="15.75" x14ac:dyDescent="0.25">
      <c r="B21" s="591"/>
      <c r="D21" s="811"/>
      <c r="E21" s="591"/>
      <c r="F21" s="591"/>
      <c r="G21" s="810"/>
      <c r="H21" s="591"/>
    </row>
    <row r="22" spans="2:9" s="155" customFormat="1" ht="30" x14ac:dyDescent="0.25">
      <c r="B22" s="591"/>
      <c r="D22" s="489" t="s">
        <v>537</v>
      </c>
      <c r="E22" s="803"/>
      <c r="F22" s="803"/>
      <c r="G22" s="802">
        <f>SUM(G20,G13)</f>
        <v>54485.456800243439</v>
      </c>
      <c r="H22" s="591"/>
    </row>
    <row r="23" spans="2:9" s="155" customFormat="1" ht="15" x14ac:dyDescent="0.25">
      <c r="B23" s="591"/>
      <c r="D23" s="809" t="s">
        <v>366</v>
      </c>
      <c r="E23" s="624">
        <f>INDEX('Master Lookup'!$C$208:$C$210,MATCH(D23,'Master Lookup'!$B$208:$B$210,0))</f>
        <v>0.12</v>
      </c>
      <c r="F23" s="808"/>
      <c r="G23" s="638">
        <f>G22*E23</f>
        <v>6538.2548160292126</v>
      </c>
      <c r="H23" s="591"/>
    </row>
    <row r="24" spans="2:9" s="155" customFormat="1" ht="15" x14ac:dyDescent="0.25">
      <c r="B24" s="591"/>
      <c r="D24" s="807" t="s">
        <v>367</v>
      </c>
      <c r="E24" s="620">
        <f>INDEX('Master Lookup'!$C$208:$C$210,MATCH(D24,'Master Lookup'!$B$208:$B$210,0))</f>
        <v>2.7100379121522307E-2</v>
      </c>
      <c r="F24" s="806"/>
      <c r="G24" s="805">
        <f>(G23+G22)*E24</f>
        <v>1653.7657202034336</v>
      </c>
      <c r="H24" s="591"/>
    </row>
    <row r="25" spans="2:9" s="155" customFormat="1" ht="15.75" x14ac:dyDescent="0.25">
      <c r="B25" s="591"/>
      <c r="D25" s="804" t="s">
        <v>499</v>
      </c>
      <c r="E25" s="803"/>
      <c r="F25" s="803"/>
      <c r="G25" s="802">
        <f>SUM(G22:G24)</f>
        <v>62677.477336476084</v>
      </c>
      <c r="H25" s="591"/>
    </row>
    <row r="26" spans="2:9" s="155" customFormat="1" ht="13.5" thickBot="1" x14ac:dyDescent="0.25">
      <c r="B26" s="591"/>
      <c r="C26" s="801"/>
      <c r="D26" s="643" t="s">
        <v>595</v>
      </c>
      <c r="E26" s="591"/>
      <c r="F26" s="591"/>
      <c r="G26" s="800">
        <f>G25/12</f>
        <v>5223.1231113730073</v>
      </c>
      <c r="H26" s="591"/>
      <c r="I26" s="777"/>
    </row>
    <row r="27" spans="2:9" s="155" customFormat="1" ht="13.5" thickBot="1" x14ac:dyDescent="0.25">
      <c r="B27" s="591"/>
      <c r="D27" s="637" t="s">
        <v>594</v>
      </c>
      <c r="E27" s="799"/>
      <c r="F27" s="799"/>
      <c r="G27" s="798">
        <f>ROUND((G26/140/2),2)</f>
        <v>18.649999999999999</v>
      </c>
      <c r="H27" s="591"/>
    </row>
    <row r="28" spans="2:9" s="155" customFormat="1" x14ac:dyDescent="0.2">
      <c r="B28" s="591"/>
      <c r="D28" s="591"/>
      <c r="E28" s="797"/>
      <c r="F28" s="797"/>
      <c r="G28" s="462"/>
      <c r="H28" s="591"/>
      <c r="I28" s="777"/>
    </row>
    <row r="29" spans="2:9" s="155" customFormat="1" x14ac:dyDescent="0.2">
      <c r="B29" s="591"/>
      <c r="D29" s="591"/>
      <c r="E29" s="796"/>
      <c r="G29" s="460"/>
      <c r="H29" s="591"/>
    </row>
    <row r="30" spans="2:9" s="155" customFormat="1" x14ac:dyDescent="0.2">
      <c r="B30" s="591"/>
      <c r="D30" s="591"/>
      <c r="E30" s="591"/>
      <c r="F30" s="591"/>
      <c r="G30" s="591"/>
      <c r="H30" s="591"/>
    </row>
    <row r="31" spans="2:9" s="155" customFormat="1" x14ac:dyDescent="0.2">
      <c r="B31" s="591"/>
      <c r="D31" s="591"/>
      <c r="E31" s="591"/>
      <c r="F31" s="591"/>
      <c r="G31" s="591"/>
      <c r="H31" s="591"/>
    </row>
    <row r="32" spans="2:9" s="155" customFormat="1" hidden="1" x14ac:dyDescent="0.2">
      <c r="B32" s="591"/>
      <c r="D32" s="591"/>
      <c r="E32" s="591"/>
      <c r="F32" s="591"/>
      <c r="G32" s="591"/>
      <c r="H32" s="591"/>
    </row>
    <row r="33" spans="2:9" s="155" customFormat="1" hidden="1" x14ac:dyDescent="0.2">
      <c r="B33" s="591"/>
      <c r="D33" s="795" t="s">
        <v>593</v>
      </c>
      <c r="E33" s="794">
        <v>15.25</v>
      </c>
      <c r="F33" s="793" t="s">
        <v>499</v>
      </c>
      <c r="G33" s="792">
        <f>G25</f>
        <v>62677.477336476084</v>
      </c>
      <c r="H33" s="791" t="s">
        <v>592</v>
      </c>
      <c r="I33" s="790"/>
    </row>
    <row r="34" spans="2:9" s="155" customFormat="1" hidden="1" x14ac:dyDescent="0.2">
      <c r="B34" s="591"/>
      <c r="D34" s="788" t="s">
        <v>591</v>
      </c>
      <c r="E34" s="786">
        <v>2217.08</v>
      </c>
      <c r="F34" s="787"/>
      <c r="G34" s="789">
        <f>G33/12</f>
        <v>5223.1231113730073</v>
      </c>
      <c r="H34" s="787" t="s">
        <v>590</v>
      </c>
      <c r="I34" s="784"/>
    </row>
    <row r="35" spans="2:9" s="155" customFormat="1" hidden="1" x14ac:dyDescent="0.2">
      <c r="B35" s="591"/>
      <c r="D35" s="788" t="s">
        <v>589</v>
      </c>
      <c r="E35" s="786">
        <f>E34/E33</f>
        <v>145.38229508196721</v>
      </c>
      <c r="F35" s="787"/>
      <c r="G35" s="787"/>
      <c r="H35" s="787"/>
      <c r="I35" s="784"/>
    </row>
    <row r="36" spans="2:9" s="155" customFormat="1" hidden="1" x14ac:dyDescent="0.2">
      <c r="B36" s="591"/>
      <c r="D36" s="788" t="s">
        <v>588</v>
      </c>
      <c r="E36" s="786">
        <f>E34/40</f>
        <v>55.427</v>
      </c>
      <c r="F36" s="787"/>
      <c r="G36" s="786">
        <f>G34/40</f>
        <v>130.57807778432519</v>
      </c>
      <c r="H36" s="785" t="s">
        <v>587</v>
      </c>
      <c r="I36" s="784"/>
    </row>
    <row r="37" spans="2:9" hidden="1" x14ac:dyDescent="0.2">
      <c r="D37" s="783"/>
      <c r="E37" s="782"/>
      <c r="F37" s="781"/>
      <c r="G37" s="780">
        <f>G34/15.25</f>
        <v>342.49987615560701</v>
      </c>
      <c r="H37" s="779" t="s">
        <v>586</v>
      </c>
      <c r="I37" s="778"/>
    </row>
    <row r="38" spans="2:9" hidden="1" x14ac:dyDescent="0.2"/>
    <row r="64" spans="9:9" x14ac:dyDescent="0.2">
      <c r="I64" s="155"/>
    </row>
    <row r="65" spans="9:9" x14ac:dyDescent="0.2">
      <c r="I65" s="155"/>
    </row>
    <row r="66" spans="9:9" x14ac:dyDescent="0.2">
      <c r="I66" s="155"/>
    </row>
    <row r="67" spans="9:9" x14ac:dyDescent="0.2">
      <c r="I67" s="777"/>
    </row>
    <row r="68" spans="9:9" x14ac:dyDescent="0.2">
      <c r="I68" s="155"/>
    </row>
  </sheetData>
  <mergeCells count="2">
    <mergeCell ref="D4:G4"/>
    <mergeCell ref="E28:F28"/>
  </mergeCells>
  <pageMargins left="0.75" right="0.75" top="1" bottom="1" header="0.5" footer="0.5"/>
  <pageSetup scale="6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2CF2-36E5-48F1-B291-F901A27F9826}">
  <sheetPr>
    <pageSetUpPr fitToPage="1"/>
  </sheetPr>
  <dimension ref="B2:L28"/>
  <sheetViews>
    <sheetView zoomScaleNormal="100" workbookViewId="0">
      <selection activeCell="J13" sqref="J13"/>
    </sheetView>
  </sheetViews>
  <sheetFormatPr defaultRowHeight="12.75" x14ac:dyDescent="0.2"/>
  <cols>
    <col min="1" max="1" width="6.5703125" style="155" customWidth="1"/>
    <col min="2" max="2" width="19.5703125" style="155" hidden="1" customWidth="1"/>
    <col min="3" max="3" width="8.5703125" style="155" hidden="1" customWidth="1"/>
    <col min="4" max="4" width="11.42578125" style="155" hidden="1" customWidth="1"/>
    <col min="5" max="5" width="3.85546875" style="155" hidden="1" customWidth="1"/>
    <col min="6" max="6" width="4" style="155" hidden="1" customWidth="1"/>
    <col min="7" max="7" width="26" style="155" bestFit="1" customWidth="1"/>
    <col min="8" max="8" width="14.140625" style="155" bestFit="1" customWidth="1"/>
    <col min="9" max="9" width="7.28515625" style="155" bestFit="1" customWidth="1"/>
    <col min="10" max="10" width="10.42578125" style="155" customWidth="1"/>
    <col min="11" max="11" width="6.42578125" style="155" bestFit="1" customWidth="1"/>
    <col min="12" max="12" width="16.140625" style="155" customWidth="1"/>
    <col min="13" max="13" width="9.140625" style="155"/>
    <col min="14" max="14" width="8.7109375" style="155" customWidth="1"/>
    <col min="15" max="15" width="20.5703125" style="155" customWidth="1"/>
    <col min="16" max="16" width="12" style="155" customWidth="1"/>
    <col min="17" max="17" width="12.7109375" style="155" customWidth="1"/>
    <col min="18" max="21" width="8.7109375" style="155" customWidth="1"/>
    <col min="22" max="22" width="10" style="155" customWidth="1"/>
    <col min="23" max="23" width="8.7109375" style="155" customWidth="1"/>
    <col min="24" max="24" width="22.140625" style="155" customWidth="1"/>
    <col min="25" max="25" width="4.7109375" style="155" customWidth="1"/>
    <col min="26" max="26" width="22.140625" style="155" customWidth="1"/>
    <col min="27" max="27" width="4.7109375" style="155" customWidth="1"/>
    <col min="28" max="31" width="8.7109375" style="155" customWidth="1"/>
    <col min="32" max="270" width="9.140625" style="155"/>
    <col min="271" max="271" width="22.140625" style="155" bestFit="1" customWidth="1"/>
    <col min="272" max="272" width="6.7109375" style="155" bestFit="1" customWidth="1"/>
    <col min="273" max="273" width="12.7109375" style="155" bestFit="1" customWidth="1"/>
    <col min="274" max="279" width="9.140625" style="155"/>
    <col min="280" max="280" width="22.140625" style="155" bestFit="1" customWidth="1"/>
    <col min="281" max="281" width="4.7109375" style="155" bestFit="1" customWidth="1"/>
    <col min="282" max="526" width="9.140625" style="155"/>
    <col min="527" max="527" width="22.140625" style="155" bestFit="1" customWidth="1"/>
    <col min="528" max="528" width="6.7109375" style="155" bestFit="1" customWidth="1"/>
    <col min="529" max="529" width="12.7109375" style="155" bestFit="1" customWidth="1"/>
    <col min="530" max="535" width="9.140625" style="155"/>
    <col min="536" max="536" width="22.140625" style="155" bestFit="1" customWidth="1"/>
    <col min="537" max="537" width="4.7109375" style="155" bestFit="1" customWidth="1"/>
    <col min="538" max="782" width="9.140625" style="155"/>
    <col min="783" max="783" width="22.140625" style="155" bestFit="1" customWidth="1"/>
    <col min="784" max="784" width="6.7109375" style="155" bestFit="1" customWidth="1"/>
    <col min="785" max="785" width="12.7109375" style="155" bestFit="1" customWidth="1"/>
    <col min="786" max="791" width="9.140625" style="155"/>
    <col min="792" max="792" width="22.140625" style="155" bestFit="1" customWidth="1"/>
    <col min="793" max="793" width="4.7109375" style="155" bestFit="1" customWidth="1"/>
    <col min="794" max="1038" width="9.140625" style="155"/>
    <col min="1039" max="1039" width="22.140625" style="155" bestFit="1" customWidth="1"/>
    <col min="1040" max="1040" width="6.7109375" style="155" bestFit="1" customWidth="1"/>
    <col min="1041" max="1041" width="12.7109375" style="155" bestFit="1" customWidth="1"/>
    <col min="1042" max="1047" width="9.140625" style="155"/>
    <col min="1048" max="1048" width="22.140625" style="155" bestFit="1" customWidth="1"/>
    <col min="1049" max="1049" width="4.7109375" style="155" bestFit="1" customWidth="1"/>
    <col min="1050" max="1294" width="9.140625" style="155"/>
    <col min="1295" max="1295" width="22.140625" style="155" bestFit="1" customWidth="1"/>
    <col min="1296" max="1296" width="6.7109375" style="155" bestFit="1" customWidth="1"/>
    <col min="1297" max="1297" width="12.7109375" style="155" bestFit="1" customWidth="1"/>
    <col min="1298" max="1303" width="9.140625" style="155"/>
    <col min="1304" max="1304" width="22.140625" style="155" bestFit="1" customWidth="1"/>
    <col min="1305" max="1305" width="4.7109375" style="155" bestFit="1" customWidth="1"/>
    <col min="1306" max="1550" width="9.140625" style="155"/>
    <col min="1551" max="1551" width="22.140625" style="155" bestFit="1" customWidth="1"/>
    <col min="1552" max="1552" width="6.7109375" style="155" bestFit="1" customWidth="1"/>
    <col min="1553" max="1553" width="12.7109375" style="155" bestFit="1" customWidth="1"/>
    <col min="1554" max="1559" width="9.140625" style="155"/>
    <col min="1560" max="1560" width="22.140625" style="155" bestFit="1" customWidth="1"/>
    <col min="1561" max="1561" width="4.7109375" style="155" bestFit="1" customWidth="1"/>
    <col min="1562" max="1806" width="9.140625" style="155"/>
    <col min="1807" max="1807" width="22.140625" style="155" bestFit="1" customWidth="1"/>
    <col min="1808" max="1808" width="6.7109375" style="155" bestFit="1" customWidth="1"/>
    <col min="1809" max="1809" width="12.7109375" style="155" bestFit="1" customWidth="1"/>
    <col min="1810" max="1815" width="9.140625" style="155"/>
    <col min="1816" max="1816" width="22.140625" style="155" bestFit="1" customWidth="1"/>
    <col min="1817" max="1817" width="4.7109375" style="155" bestFit="1" customWidth="1"/>
    <col min="1818" max="2062" width="9.140625" style="155"/>
    <col min="2063" max="2063" width="22.140625" style="155" bestFit="1" customWidth="1"/>
    <col min="2064" max="2064" width="6.7109375" style="155" bestFit="1" customWidth="1"/>
    <col min="2065" max="2065" width="12.7109375" style="155" bestFit="1" customWidth="1"/>
    <col min="2066" max="2071" width="9.140625" style="155"/>
    <col min="2072" max="2072" width="22.140625" style="155" bestFit="1" customWidth="1"/>
    <col min="2073" max="2073" width="4.7109375" style="155" bestFit="1" customWidth="1"/>
    <col min="2074" max="2318" width="9.140625" style="155"/>
    <col min="2319" max="2319" width="22.140625" style="155" bestFit="1" customWidth="1"/>
    <col min="2320" max="2320" width="6.7109375" style="155" bestFit="1" customWidth="1"/>
    <col min="2321" max="2321" width="12.7109375" style="155" bestFit="1" customWidth="1"/>
    <col min="2322" max="2327" width="9.140625" style="155"/>
    <col min="2328" max="2328" width="22.140625" style="155" bestFit="1" customWidth="1"/>
    <col min="2329" max="2329" width="4.7109375" style="155" bestFit="1" customWidth="1"/>
    <col min="2330" max="2574" width="9.140625" style="155"/>
    <col min="2575" max="2575" width="22.140625" style="155" bestFit="1" customWidth="1"/>
    <col min="2576" max="2576" width="6.7109375" style="155" bestFit="1" customWidth="1"/>
    <col min="2577" max="2577" width="12.7109375" style="155" bestFit="1" customWidth="1"/>
    <col min="2578" max="2583" width="9.140625" style="155"/>
    <col min="2584" max="2584" width="22.140625" style="155" bestFit="1" customWidth="1"/>
    <col min="2585" max="2585" width="4.7109375" style="155" bestFit="1" customWidth="1"/>
    <col min="2586" max="2830" width="9.140625" style="155"/>
    <col min="2831" max="2831" width="22.140625" style="155" bestFit="1" customWidth="1"/>
    <col min="2832" max="2832" width="6.7109375" style="155" bestFit="1" customWidth="1"/>
    <col min="2833" max="2833" width="12.7109375" style="155" bestFit="1" customWidth="1"/>
    <col min="2834" max="2839" width="9.140625" style="155"/>
    <col min="2840" max="2840" width="22.140625" style="155" bestFit="1" customWidth="1"/>
    <col min="2841" max="2841" width="4.7109375" style="155" bestFit="1" customWidth="1"/>
    <col min="2842" max="3086" width="9.140625" style="155"/>
    <col min="3087" max="3087" width="22.140625" style="155" bestFit="1" customWidth="1"/>
    <col min="3088" max="3088" width="6.7109375" style="155" bestFit="1" customWidth="1"/>
    <col min="3089" max="3089" width="12.7109375" style="155" bestFit="1" customWidth="1"/>
    <col min="3090" max="3095" width="9.140625" style="155"/>
    <col min="3096" max="3096" width="22.140625" style="155" bestFit="1" customWidth="1"/>
    <col min="3097" max="3097" width="4.7109375" style="155" bestFit="1" customWidth="1"/>
    <col min="3098" max="3342" width="9.140625" style="155"/>
    <col min="3343" max="3343" width="22.140625" style="155" bestFit="1" customWidth="1"/>
    <col min="3344" max="3344" width="6.7109375" style="155" bestFit="1" customWidth="1"/>
    <col min="3345" max="3345" width="12.7109375" style="155" bestFit="1" customWidth="1"/>
    <col min="3346" max="3351" width="9.140625" style="155"/>
    <col min="3352" max="3352" width="22.140625" style="155" bestFit="1" customWidth="1"/>
    <col min="3353" max="3353" width="4.7109375" style="155" bestFit="1" customWidth="1"/>
    <col min="3354" max="3598" width="9.140625" style="155"/>
    <col min="3599" max="3599" width="22.140625" style="155" bestFit="1" customWidth="1"/>
    <col min="3600" max="3600" width="6.7109375" style="155" bestFit="1" customWidth="1"/>
    <col min="3601" max="3601" width="12.7109375" style="155" bestFit="1" customWidth="1"/>
    <col min="3602" max="3607" width="9.140625" style="155"/>
    <col min="3608" max="3608" width="22.140625" style="155" bestFit="1" customWidth="1"/>
    <col min="3609" max="3609" width="4.7109375" style="155" bestFit="1" customWidth="1"/>
    <col min="3610" max="3854" width="9.140625" style="155"/>
    <col min="3855" max="3855" width="22.140625" style="155" bestFit="1" customWidth="1"/>
    <col min="3856" max="3856" width="6.7109375" style="155" bestFit="1" customWidth="1"/>
    <col min="3857" max="3857" width="12.7109375" style="155" bestFit="1" customWidth="1"/>
    <col min="3858" max="3863" width="9.140625" style="155"/>
    <col min="3864" max="3864" width="22.140625" style="155" bestFit="1" customWidth="1"/>
    <col min="3865" max="3865" width="4.7109375" style="155" bestFit="1" customWidth="1"/>
    <col min="3866" max="4110" width="9.140625" style="155"/>
    <col min="4111" max="4111" width="22.140625" style="155" bestFit="1" customWidth="1"/>
    <col min="4112" max="4112" width="6.7109375" style="155" bestFit="1" customWidth="1"/>
    <col min="4113" max="4113" width="12.7109375" style="155" bestFit="1" customWidth="1"/>
    <col min="4114" max="4119" width="9.140625" style="155"/>
    <col min="4120" max="4120" width="22.140625" style="155" bestFit="1" customWidth="1"/>
    <col min="4121" max="4121" width="4.7109375" style="155" bestFit="1" customWidth="1"/>
    <col min="4122" max="4366" width="9.140625" style="155"/>
    <col min="4367" max="4367" width="22.140625" style="155" bestFit="1" customWidth="1"/>
    <col min="4368" max="4368" width="6.7109375" style="155" bestFit="1" customWidth="1"/>
    <col min="4369" max="4369" width="12.7109375" style="155" bestFit="1" customWidth="1"/>
    <col min="4370" max="4375" width="9.140625" style="155"/>
    <col min="4376" max="4376" width="22.140625" style="155" bestFit="1" customWidth="1"/>
    <col min="4377" max="4377" width="4.7109375" style="155" bestFit="1" customWidth="1"/>
    <col min="4378" max="4622" width="9.140625" style="155"/>
    <col min="4623" max="4623" width="22.140625" style="155" bestFit="1" customWidth="1"/>
    <col min="4624" max="4624" width="6.7109375" style="155" bestFit="1" customWidth="1"/>
    <col min="4625" max="4625" width="12.7109375" style="155" bestFit="1" customWidth="1"/>
    <col min="4626" max="4631" width="9.140625" style="155"/>
    <col min="4632" max="4632" width="22.140625" style="155" bestFit="1" customWidth="1"/>
    <col min="4633" max="4633" width="4.7109375" style="155" bestFit="1" customWidth="1"/>
    <col min="4634" max="4878" width="9.140625" style="155"/>
    <col min="4879" max="4879" width="22.140625" style="155" bestFit="1" customWidth="1"/>
    <col min="4880" max="4880" width="6.7109375" style="155" bestFit="1" customWidth="1"/>
    <col min="4881" max="4881" width="12.7109375" style="155" bestFit="1" customWidth="1"/>
    <col min="4882" max="4887" width="9.140625" style="155"/>
    <col min="4888" max="4888" width="22.140625" style="155" bestFit="1" customWidth="1"/>
    <col min="4889" max="4889" width="4.7109375" style="155" bestFit="1" customWidth="1"/>
    <col min="4890" max="5134" width="9.140625" style="155"/>
    <col min="5135" max="5135" width="22.140625" style="155" bestFit="1" customWidth="1"/>
    <col min="5136" max="5136" width="6.7109375" style="155" bestFit="1" customWidth="1"/>
    <col min="5137" max="5137" width="12.7109375" style="155" bestFit="1" customWidth="1"/>
    <col min="5138" max="5143" width="9.140625" style="155"/>
    <col min="5144" max="5144" width="22.140625" style="155" bestFit="1" customWidth="1"/>
    <col min="5145" max="5145" width="4.7109375" style="155" bestFit="1" customWidth="1"/>
    <col min="5146" max="5390" width="9.140625" style="155"/>
    <col min="5391" max="5391" width="22.140625" style="155" bestFit="1" customWidth="1"/>
    <col min="5392" max="5392" width="6.7109375" style="155" bestFit="1" customWidth="1"/>
    <col min="5393" max="5393" width="12.7109375" style="155" bestFit="1" customWidth="1"/>
    <col min="5394" max="5399" width="9.140625" style="155"/>
    <col min="5400" max="5400" width="22.140625" style="155" bestFit="1" customWidth="1"/>
    <col min="5401" max="5401" width="4.7109375" style="155" bestFit="1" customWidth="1"/>
    <col min="5402" max="5646" width="9.140625" style="155"/>
    <col min="5647" max="5647" width="22.140625" style="155" bestFit="1" customWidth="1"/>
    <col min="5648" max="5648" width="6.7109375" style="155" bestFit="1" customWidth="1"/>
    <col min="5649" max="5649" width="12.7109375" style="155" bestFit="1" customWidth="1"/>
    <col min="5650" max="5655" width="9.140625" style="155"/>
    <col min="5656" max="5656" width="22.140625" style="155" bestFit="1" customWidth="1"/>
    <col min="5657" max="5657" width="4.7109375" style="155" bestFit="1" customWidth="1"/>
    <col min="5658" max="5902" width="9.140625" style="155"/>
    <col min="5903" max="5903" width="22.140625" style="155" bestFit="1" customWidth="1"/>
    <col min="5904" max="5904" width="6.7109375" style="155" bestFit="1" customWidth="1"/>
    <col min="5905" max="5905" width="12.7109375" style="155" bestFit="1" customWidth="1"/>
    <col min="5906" max="5911" width="9.140625" style="155"/>
    <col min="5912" max="5912" width="22.140625" style="155" bestFit="1" customWidth="1"/>
    <col min="5913" max="5913" width="4.7109375" style="155" bestFit="1" customWidth="1"/>
    <col min="5914" max="6158" width="9.140625" style="155"/>
    <col min="6159" max="6159" width="22.140625" style="155" bestFit="1" customWidth="1"/>
    <col min="6160" max="6160" width="6.7109375" style="155" bestFit="1" customWidth="1"/>
    <col min="6161" max="6161" width="12.7109375" style="155" bestFit="1" customWidth="1"/>
    <col min="6162" max="6167" width="9.140625" style="155"/>
    <col min="6168" max="6168" width="22.140625" style="155" bestFit="1" customWidth="1"/>
    <col min="6169" max="6169" width="4.7109375" style="155" bestFit="1" customWidth="1"/>
    <col min="6170" max="6414" width="9.140625" style="155"/>
    <col min="6415" max="6415" width="22.140625" style="155" bestFit="1" customWidth="1"/>
    <col min="6416" max="6416" width="6.7109375" style="155" bestFit="1" customWidth="1"/>
    <col min="6417" max="6417" width="12.7109375" style="155" bestFit="1" customWidth="1"/>
    <col min="6418" max="6423" width="9.140625" style="155"/>
    <col min="6424" max="6424" width="22.140625" style="155" bestFit="1" customWidth="1"/>
    <col min="6425" max="6425" width="4.7109375" style="155" bestFit="1" customWidth="1"/>
    <col min="6426" max="6670" width="9.140625" style="155"/>
    <col min="6671" max="6671" width="22.140625" style="155" bestFit="1" customWidth="1"/>
    <col min="6672" max="6672" width="6.7109375" style="155" bestFit="1" customWidth="1"/>
    <col min="6673" max="6673" width="12.7109375" style="155" bestFit="1" customWidth="1"/>
    <col min="6674" max="6679" width="9.140625" style="155"/>
    <col min="6680" max="6680" width="22.140625" style="155" bestFit="1" customWidth="1"/>
    <col min="6681" max="6681" width="4.7109375" style="155" bestFit="1" customWidth="1"/>
    <col min="6682" max="6926" width="9.140625" style="155"/>
    <col min="6927" max="6927" width="22.140625" style="155" bestFit="1" customWidth="1"/>
    <col min="6928" max="6928" width="6.7109375" style="155" bestFit="1" customWidth="1"/>
    <col min="6929" max="6929" width="12.7109375" style="155" bestFit="1" customWidth="1"/>
    <col min="6930" max="6935" width="9.140625" style="155"/>
    <col min="6936" max="6936" width="22.140625" style="155" bestFit="1" customWidth="1"/>
    <col min="6937" max="6937" width="4.7109375" style="155" bestFit="1" customWidth="1"/>
    <col min="6938" max="7182" width="9.140625" style="155"/>
    <col min="7183" max="7183" width="22.140625" style="155" bestFit="1" customWidth="1"/>
    <col min="7184" max="7184" width="6.7109375" style="155" bestFit="1" customWidth="1"/>
    <col min="7185" max="7185" width="12.7109375" style="155" bestFit="1" customWidth="1"/>
    <col min="7186" max="7191" width="9.140625" style="155"/>
    <col min="7192" max="7192" width="22.140625" style="155" bestFit="1" customWidth="1"/>
    <col min="7193" max="7193" width="4.7109375" style="155" bestFit="1" customWidth="1"/>
    <col min="7194" max="7438" width="9.140625" style="155"/>
    <col min="7439" max="7439" width="22.140625" style="155" bestFit="1" customWidth="1"/>
    <col min="7440" max="7440" width="6.7109375" style="155" bestFit="1" customWidth="1"/>
    <col min="7441" max="7441" width="12.7109375" style="155" bestFit="1" customWidth="1"/>
    <col min="7442" max="7447" width="9.140625" style="155"/>
    <col min="7448" max="7448" width="22.140625" style="155" bestFit="1" customWidth="1"/>
    <col min="7449" max="7449" width="4.7109375" style="155" bestFit="1" customWidth="1"/>
    <col min="7450" max="7694" width="9.140625" style="155"/>
    <col min="7695" max="7695" width="22.140625" style="155" bestFit="1" customWidth="1"/>
    <col min="7696" max="7696" width="6.7109375" style="155" bestFit="1" customWidth="1"/>
    <col min="7697" max="7697" width="12.7109375" style="155" bestFit="1" customWidth="1"/>
    <col min="7698" max="7703" width="9.140625" style="155"/>
    <col min="7704" max="7704" width="22.140625" style="155" bestFit="1" customWidth="1"/>
    <col min="7705" max="7705" width="4.7109375" style="155" bestFit="1" customWidth="1"/>
    <col min="7706" max="7950" width="9.140625" style="155"/>
    <col min="7951" max="7951" width="22.140625" style="155" bestFit="1" customWidth="1"/>
    <col min="7952" max="7952" width="6.7109375" style="155" bestFit="1" customWidth="1"/>
    <col min="7953" max="7953" width="12.7109375" style="155" bestFit="1" customWidth="1"/>
    <col min="7954" max="7959" width="9.140625" style="155"/>
    <col min="7960" max="7960" width="22.140625" style="155" bestFit="1" customWidth="1"/>
    <col min="7961" max="7961" width="4.7109375" style="155" bestFit="1" customWidth="1"/>
    <col min="7962" max="8206" width="9.140625" style="155"/>
    <col min="8207" max="8207" width="22.140625" style="155" bestFit="1" customWidth="1"/>
    <col min="8208" max="8208" width="6.7109375" style="155" bestFit="1" customWidth="1"/>
    <col min="8209" max="8209" width="12.7109375" style="155" bestFit="1" customWidth="1"/>
    <col min="8210" max="8215" width="9.140625" style="155"/>
    <col min="8216" max="8216" width="22.140625" style="155" bestFit="1" customWidth="1"/>
    <col min="8217" max="8217" width="4.7109375" style="155" bestFit="1" customWidth="1"/>
    <col min="8218" max="8462" width="9.140625" style="155"/>
    <col min="8463" max="8463" width="22.140625" style="155" bestFit="1" customWidth="1"/>
    <col min="8464" max="8464" width="6.7109375" style="155" bestFit="1" customWidth="1"/>
    <col min="8465" max="8465" width="12.7109375" style="155" bestFit="1" customWidth="1"/>
    <col min="8466" max="8471" width="9.140625" style="155"/>
    <col min="8472" max="8472" width="22.140625" style="155" bestFit="1" customWidth="1"/>
    <col min="8473" max="8473" width="4.7109375" style="155" bestFit="1" customWidth="1"/>
    <col min="8474" max="8718" width="9.140625" style="155"/>
    <col min="8719" max="8719" width="22.140625" style="155" bestFit="1" customWidth="1"/>
    <col min="8720" max="8720" width="6.7109375" style="155" bestFit="1" customWidth="1"/>
    <col min="8721" max="8721" width="12.7109375" style="155" bestFit="1" customWidth="1"/>
    <col min="8722" max="8727" width="9.140625" style="155"/>
    <col min="8728" max="8728" width="22.140625" style="155" bestFit="1" customWidth="1"/>
    <col min="8729" max="8729" width="4.7109375" style="155" bestFit="1" customWidth="1"/>
    <col min="8730" max="8974" width="9.140625" style="155"/>
    <col min="8975" max="8975" width="22.140625" style="155" bestFit="1" customWidth="1"/>
    <col min="8976" max="8976" width="6.7109375" style="155" bestFit="1" customWidth="1"/>
    <col min="8977" max="8977" width="12.7109375" style="155" bestFit="1" customWidth="1"/>
    <col min="8978" max="8983" width="9.140625" style="155"/>
    <col min="8984" max="8984" width="22.140625" style="155" bestFit="1" customWidth="1"/>
    <col min="8985" max="8985" width="4.7109375" style="155" bestFit="1" customWidth="1"/>
    <col min="8986" max="9230" width="9.140625" style="155"/>
    <col min="9231" max="9231" width="22.140625" style="155" bestFit="1" customWidth="1"/>
    <col min="9232" max="9232" width="6.7109375" style="155" bestFit="1" customWidth="1"/>
    <col min="9233" max="9233" width="12.7109375" style="155" bestFit="1" customWidth="1"/>
    <col min="9234" max="9239" width="9.140625" style="155"/>
    <col min="9240" max="9240" width="22.140625" style="155" bestFit="1" customWidth="1"/>
    <col min="9241" max="9241" width="4.7109375" style="155" bestFit="1" customWidth="1"/>
    <col min="9242" max="9486" width="9.140625" style="155"/>
    <col min="9487" max="9487" width="22.140625" style="155" bestFit="1" customWidth="1"/>
    <col min="9488" max="9488" width="6.7109375" style="155" bestFit="1" customWidth="1"/>
    <col min="9489" max="9489" width="12.7109375" style="155" bestFit="1" customWidth="1"/>
    <col min="9490" max="9495" width="9.140625" style="155"/>
    <col min="9496" max="9496" width="22.140625" style="155" bestFit="1" customWidth="1"/>
    <col min="9497" max="9497" width="4.7109375" style="155" bestFit="1" customWidth="1"/>
    <col min="9498" max="9742" width="9.140625" style="155"/>
    <col min="9743" max="9743" width="22.140625" style="155" bestFit="1" customWidth="1"/>
    <col min="9744" max="9744" width="6.7109375" style="155" bestFit="1" customWidth="1"/>
    <col min="9745" max="9745" width="12.7109375" style="155" bestFit="1" customWidth="1"/>
    <col min="9746" max="9751" width="9.140625" style="155"/>
    <col min="9752" max="9752" width="22.140625" style="155" bestFit="1" customWidth="1"/>
    <col min="9753" max="9753" width="4.7109375" style="155" bestFit="1" customWidth="1"/>
    <col min="9754" max="9998" width="9.140625" style="155"/>
    <col min="9999" max="9999" width="22.140625" style="155" bestFit="1" customWidth="1"/>
    <col min="10000" max="10000" width="6.7109375" style="155" bestFit="1" customWidth="1"/>
    <col min="10001" max="10001" width="12.7109375" style="155" bestFit="1" customWidth="1"/>
    <col min="10002" max="10007" width="9.140625" style="155"/>
    <col min="10008" max="10008" width="22.140625" style="155" bestFit="1" customWidth="1"/>
    <col min="10009" max="10009" width="4.7109375" style="155" bestFit="1" customWidth="1"/>
    <col min="10010" max="10254" width="9.140625" style="155"/>
    <col min="10255" max="10255" width="22.140625" style="155" bestFit="1" customWidth="1"/>
    <col min="10256" max="10256" width="6.7109375" style="155" bestFit="1" customWidth="1"/>
    <col min="10257" max="10257" width="12.7109375" style="155" bestFit="1" customWidth="1"/>
    <col min="10258" max="10263" width="9.140625" style="155"/>
    <col min="10264" max="10264" width="22.140625" style="155" bestFit="1" customWidth="1"/>
    <col min="10265" max="10265" width="4.7109375" style="155" bestFit="1" customWidth="1"/>
    <col min="10266" max="10510" width="9.140625" style="155"/>
    <col min="10511" max="10511" width="22.140625" style="155" bestFit="1" customWidth="1"/>
    <col min="10512" max="10512" width="6.7109375" style="155" bestFit="1" customWidth="1"/>
    <col min="10513" max="10513" width="12.7109375" style="155" bestFit="1" customWidth="1"/>
    <col min="10514" max="10519" width="9.140625" style="155"/>
    <col min="10520" max="10520" width="22.140625" style="155" bestFit="1" customWidth="1"/>
    <col min="10521" max="10521" width="4.7109375" style="155" bestFit="1" customWidth="1"/>
    <col min="10522" max="10766" width="9.140625" style="155"/>
    <col min="10767" max="10767" width="22.140625" style="155" bestFit="1" customWidth="1"/>
    <col min="10768" max="10768" width="6.7109375" style="155" bestFit="1" customWidth="1"/>
    <col min="10769" max="10769" width="12.7109375" style="155" bestFit="1" customWidth="1"/>
    <col min="10770" max="10775" width="9.140625" style="155"/>
    <col min="10776" max="10776" width="22.140625" style="155" bestFit="1" customWidth="1"/>
    <col min="10777" max="10777" width="4.7109375" style="155" bestFit="1" customWidth="1"/>
    <col min="10778" max="11022" width="9.140625" style="155"/>
    <col min="11023" max="11023" width="22.140625" style="155" bestFit="1" customWidth="1"/>
    <col min="11024" max="11024" width="6.7109375" style="155" bestFit="1" customWidth="1"/>
    <col min="11025" max="11025" width="12.7109375" style="155" bestFit="1" customWidth="1"/>
    <col min="11026" max="11031" width="9.140625" style="155"/>
    <col min="11032" max="11032" width="22.140625" style="155" bestFit="1" customWidth="1"/>
    <col min="11033" max="11033" width="4.7109375" style="155" bestFit="1" customWidth="1"/>
    <col min="11034" max="11278" width="9.140625" style="155"/>
    <col min="11279" max="11279" width="22.140625" style="155" bestFit="1" customWidth="1"/>
    <col min="11280" max="11280" width="6.7109375" style="155" bestFit="1" customWidth="1"/>
    <col min="11281" max="11281" width="12.7109375" style="155" bestFit="1" customWidth="1"/>
    <col min="11282" max="11287" width="9.140625" style="155"/>
    <col min="11288" max="11288" width="22.140625" style="155" bestFit="1" customWidth="1"/>
    <col min="11289" max="11289" width="4.7109375" style="155" bestFit="1" customWidth="1"/>
    <col min="11290" max="11534" width="9.140625" style="155"/>
    <col min="11535" max="11535" width="22.140625" style="155" bestFit="1" customWidth="1"/>
    <col min="11536" max="11536" width="6.7109375" style="155" bestFit="1" customWidth="1"/>
    <col min="11537" max="11537" width="12.7109375" style="155" bestFit="1" customWidth="1"/>
    <col min="11538" max="11543" width="9.140625" style="155"/>
    <col min="11544" max="11544" width="22.140625" style="155" bestFit="1" customWidth="1"/>
    <col min="11545" max="11545" width="4.7109375" style="155" bestFit="1" customWidth="1"/>
    <col min="11546" max="11790" width="9.140625" style="155"/>
    <col min="11791" max="11791" width="22.140625" style="155" bestFit="1" customWidth="1"/>
    <col min="11792" max="11792" width="6.7109375" style="155" bestFit="1" customWidth="1"/>
    <col min="11793" max="11793" width="12.7109375" style="155" bestFit="1" customWidth="1"/>
    <col min="11794" max="11799" width="9.140625" style="155"/>
    <col min="11800" max="11800" width="22.140625" style="155" bestFit="1" customWidth="1"/>
    <col min="11801" max="11801" width="4.7109375" style="155" bestFit="1" customWidth="1"/>
    <col min="11802" max="12046" width="9.140625" style="155"/>
    <col min="12047" max="12047" width="22.140625" style="155" bestFit="1" customWidth="1"/>
    <col min="12048" max="12048" width="6.7109375" style="155" bestFit="1" customWidth="1"/>
    <col min="12049" max="12049" width="12.7109375" style="155" bestFit="1" customWidth="1"/>
    <col min="12050" max="12055" width="9.140625" style="155"/>
    <col min="12056" max="12056" width="22.140625" style="155" bestFit="1" customWidth="1"/>
    <col min="12057" max="12057" width="4.7109375" style="155" bestFit="1" customWidth="1"/>
    <col min="12058" max="12302" width="9.140625" style="155"/>
    <col min="12303" max="12303" width="22.140625" style="155" bestFit="1" customWidth="1"/>
    <col min="12304" max="12304" width="6.7109375" style="155" bestFit="1" customWidth="1"/>
    <col min="12305" max="12305" width="12.7109375" style="155" bestFit="1" customWidth="1"/>
    <col min="12306" max="12311" width="9.140625" style="155"/>
    <col min="12312" max="12312" width="22.140625" style="155" bestFit="1" customWidth="1"/>
    <col min="12313" max="12313" width="4.7109375" style="155" bestFit="1" customWidth="1"/>
    <col min="12314" max="12558" width="9.140625" style="155"/>
    <col min="12559" max="12559" width="22.140625" style="155" bestFit="1" customWidth="1"/>
    <col min="12560" max="12560" width="6.7109375" style="155" bestFit="1" customWidth="1"/>
    <col min="12561" max="12561" width="12.7109375" style="155" bestFit="1" customWidth="1"/>
    <col min="12562" max="12567" width="9.140625" style="155"/>
    <col min="12568" max="12568" width="22.140625" style="155" bestFit="1" customWidth="1"/>
    <col min="12569" max="12569" width="4.7109375" style="155" bestFit="1" customWidth="1"/>
    <col min="12570" max="12814" width="9.140625" style="155"/>
    <col min="12815" max="12815" width="22.140625" style="155" bestFit="1" customWidth="1"/>
    <col min="12816" max="12816" width="6.7109375" style="155" bestFit="1" customWidth="1"/>
    <col min="12817" max="12817" width="12.7109375" style="155" bestFit="1" customWidth="1"/>
    <col min="12818" max="12823" width="9.140625" style="155"/>
    <col min="12824" max="12824" width="22.140625" style="155" bestFit="1" customWidth="1"/>
    <col min="12825" max="12825" width="4.7109375" style="155" bestFit="1" customWidth="1"/>
    <col min="12826" max="13070" width="9.140625" style="155"/>
    <col min="13071" max="13071" width="22.140625" style="155" bestFit="1" customWidth="1"/>
    <col min="13072" max="13072" width="6.7109375" style="155" bestFit="1" customWidth="1"/>
    <col min="13073" max="13073" width="12.7109375" style="155" bestFit="1" customWidth="1"/>
    <col min="13074" max="13079" width="9.140625" style="155"/>
    <col min="13080" max="13080" width="22.140625" style="155" bestFit="1" customWidth="1"/>
    <col min="13081" max="13081" width="4.7109375" style="155" bestFit="1" customWidth="1"/>
    <col min="13082" max="13326" width="9.140625" style="155"/>
    <col min="13327" max="13327" width="22.140625" style="155" bestFit="1" customWidth="1"/>
    <col min="13328" max="13328" width="6.7109375" style="155" bestFit="1" customWidth="1"/>
    <col min="13329" max="13329" width="12.7109375" style="155" bestFit="1" customWidth="1"/>
    <col min="13330" max="13335" width="9.140625" style="155"/>
    <col min="13336" max="13336" width="22.140625" style="155" bestFit="1" customWidth="1"/>
    <col min="13337" max="13337" width="4.7109375" style="155" bestFit="1" customWidth="1"/>
    <col min="13338" max="13582" width="9.140625" style="155"/>
    <col min="13583" max="13583" width="22.140625" style="155" bestFit="1" customWidth="1"/>
    <col min="13584" max="13584" width="6.7109375" style="155" bestFit="1" customWidth="1"/>
    <col min="13585" max="13585" width="12.7109375" style="155" bestFit="1" customWidth="1"/>
    <col min="13586" max="13591" width="9.140625" style="155"/>
    <col min="13592" max="13592" width="22.140625" style="155" bestFit="1" customWidth="1"/>
    <col min="13593" max="13593" width="4.7109375" style="155" bestFit="1" customWidth="1"/>
    <col min="13594" max="13838" width="9.140625" style="155"/>
    <col min="13839" max="13839" width="22.140625" style="155" bestFit="1" customWidth="1"/>
    <col min="13840" max="13840" width="6.7109375" style="155" bestFit="1" customWidth="1"/>
    <col min="13841" max="13841" width="12.7109375" style="155" bestFit="1" customWidth="1"/>
    <col min="13842" max="13847" width="9.140625" style="155"/>
    <col min="13848" max="13848" width="22.140625" style="155" bestFit="1" customWidth="1"/>
    <col min="13849" max="13849" width="4.7109375" style="155" bestFit="1" customWidth="1"/>
    <col min="13850" max="14094" width="9.140625" style="155"/>
    <col min="14095" max="14095" width="22.140625" style="155" bestFit="1" customWidth="1"/>
    <col min="14096" max="14096" width="6.7109375" style="155" bestFit="1" customWidth="1"/>
    <col min="14097" max="14097" width="12.7109375" style="155" bestFit="1" customWidth="1"/>
    <col min="14098" max="14103" width="9.140625" style="155"/>
    <col min="14104" max="14104" width="22.140625" style="155" bestFit="1" customWidth="1"/>
    <col min="14105" max="14105" width="4.7109375" style="155" bestFit="1" customWidth="1"/>
    <col min="14106" max="14350" width="9.140625" style="155"/>
    <col min="14351" max="14351" width="22.140625" style="155" bestFit="1" customWidth="1"/>
    <col min="14352" max="14352" width="6.7109375" style="155" bestFit="1" customWidth="1"/>
    <col min="14353" max="14353" width="12.7109375" style="155" bestFit="1" customWidth="1"/>
    <col min="14354" max="14359" width="9.140625" style="155"/>
    <col min="14360" max="14360" width="22.140625" style="155" bestFit="1" customWidth="1"/>
    <col min="14361" max="14361" width="4.7109375" style="155" bestFit="1" customWidth="1"/>
    <col min="14362" max="14606" width="9.140625" style="155"/>
    <col min="14607" max="14607" width="22.140625" style="155" bestFit="1" customWidth="1"/>
    <col min="14608" max="14608" width="6.7109375" style="155" bestFit="1" customWidth="1"/>
    <col min="14609" max="14609" width="12.7109375" style="155" bestFit="1" customWidth="1"/>
    <col min="14610" max="14615" width="9.140625" style="155"/>
    <col min="14616" max="14616" width="22.140625" style="155" bestFit="1" customWidth="1"/>
    <col min="14617" max="14617" width="4.7109375" style="155" bestFit="1" customWidth="1"/>
    <col min="14618" max="14862" width="9.140625" style="155"/>
    <col min="14863" max="14863" width="22.140625" style="155" bestFit="1" customWidth="1"/>
    <col min="14864" max="14864" width="6.7109375" style="155" bestFit="1" customWidth="1"/>
    <col min="14865" max="14865" width="12.7109375" style="155" bestFit="1" customWidth="1"/>
    <col min="14866" max="14871" width="9.140625" style="155"/>
    <col min="14872" max="14872" width="22.140625" style="155" bestFit="1" customWidth="1"/>
    <col min="14873" max="14873" width="4.7109375" style="155" bestFit="1" customWidth="1"/>
    <col min="14874" max="15118" width="9.140625" style="155"/>
    <col min="15119" max="15119" width="22.140625" style="155" bestFit="1" customWidth="1"/>
    <col min="15120" max="15120" width="6.7109375" style="155" bestFit="1" customWidth="1"/>
    <col min="15121" max="15121" width="12.7109375" style="155" bestFit="1" customWidth="1"/>
    <col min="15122" max="15127" width="9.140625" style="155"/>
    <col min="15128" max="15128" width="22.140625" style="155" bestFit="1" customWidth="1"/>
    <col min="15129" max="15129" width="4.7109375" style="155" bestFit="1" customWidth="1"/>
    <col min="15130" max="15374" width="9.140625" style="155"/>
    <col min="15375" max="15375" width="22.140625" style="155" bestFit="1" customWidth="1"/>
    <col min="15376" max="15376" width="6.7109375" style="155" bestFit="1" customWidth="1"/>
    <col min="15377" max="15377" width="12.7109375" style="155" bestFit="1" customWidth="1"/>
    <col min="15378" max="15383" width="9.140625" style="155"/>
    <col min="15384" max="15384" width="22.140625" style="155" bestFit="1" customWidth="1"/>
    <col min="15385" max="15385" width="4.7109375" style="155" bestFit="1" customWidth="1"/>
    <col min="15386" max="15630" width="9.140625" style="155"/>
    <col min="15631" max="15631" width="22.140625" style="155" bestFit="1" customWidth="1"/>
    <col min="15632" max="15632" width="6.7109375" style="155" bestFit="1" customWidth="1"/>
    <col min="15633" max="15633" width="12.7109375" style="155" bestFit="1" customWidth="1"/>
    <col min="15634" max="15639" width="9.140625" style="155"/>
    <col min="15640" max="15640" width="22.140625" style="155" bestFit="1" customWidth="1"/>
    <col min="15641" max="15641" width="4.7109375" style="155" bestFit="1" customWidth="1"/>
    <col min="15642" max="15886" width="9.140625" style="155"/>
    <col min="15887" max="15887" width="22.140625" style="155" bestFit="1" customWidth="1"/>
    <col min="15888" max="15888" width="6.7109375" style="155" bestFit="1" customWidth="1"/>
    <col min="15889" max="15889" width="12.7109375" style="155" bestFit="1" customWidth="1"/>
    <col min="15890" max="15895" width="9.140625" style="155"/>
    <col min="15896" max="15896" width="22.140625" style="155" bestFit="1" customWidth="1"/>
    <col min="15897" max="15897" width="4.7109375" style="155" bestFit="1" customWidth="1"/>
    <col min="15898" max="16142" width="9.140625" style="155"/>
    <col min="16143" max="16143" width="22.140625" style="155" bestFit="1" customWidth="1"/>
    <col min="16144" max="16144" width="6.7109375" style="155" bestFit="1" customWidth="1"/>
    <col min="16145" max="16145" width="12.7109375" style="155" bestFit="1" customWidth="1"/>
    <col min="16146" max="16151" width="9.140625" style="155"/>
    <col min="16152" max="16152" width="22.140625" style="155" bestFit="1" customWidth="1"/>
    <col min="16153" max="16153" width="4.7109375" style="155" bestFit="1" customWidth="1"/>
    <col min="16154" max="16382" width="9.140625" style="155"/>
    <col min="16383" max="16384" width="9.140625" style="155" customWidth="1"/>
  </cols>
  <sheetData>
    <row r="2" spans="5:12" ht="13.5" thickBot="1" x14ac:dyDescent="0.25"/>
    <row r="3" spans="5:12" ht="13.5" thickBot="1" x14ac:dyDescent="0.25">
      <c r="G3" s="876" t="s">
        <v>600</v>
      </c>
      <c r="H3" s="875"/>
      <c r="I3" s="875"/>
      <c r="J3" s="875"/>
      <c r="K3" s="875"/>
      <c r="L3" s="874"/>
    </row>
    <row r="4" spans="5:12" ht="38.25" x14ac:dyDescent="0.2">
      <c r="G4" s="873"/>
      <c r="H4" s="872" t="s">
        <v>599</v>
      </c>
      <c r="I4" s="871" t="s">
        <v>598</v>
      </c>
      <c r="J4" s="870" t="s">
        <v>377</v>
      </c>
      <c r="K4" s="869" t="s">
        <v>380</v>
      </c>
      <c r="L4" s="868" t="s">
        <v>504</v>
      </c>
    </row>
    <row r="5" spans="5:12" x14ac:dyDescent="0.2">
      <c r="G5" s="867"/>
      <c r="H5" s="866">
        <v>15</v>
      </c>
      <c r="I5" s="155">
        <v>30</v>
      </c>
      <c r="J5" s="302"/>
      <c r="K5" s="865"/>
      <c r="L5" s="864"/>
    </row>
    <row r="6" spans="5:12" ht="15" x14ac:dyDescent="0.2">
      <c r="E6" s="581">
        <v>1</v>
      </c>
      <c r="F6" s="581"/>
      <c r="G6" s="816" t="str">
        <f>IF(INDEX('Master Lookup'!$B$331:$B$334,E6)=0,"",INDEX('Master Lookup'!$B$331:$B$334,E6))</f>
        <v>Management</v>
      </c>
      <c r="J6" s="496">
        <f>IFERROR(INDEX('Master Lookup'!$D$331:$D$334,MATCH(G6,'Master Lookup'!$B$331:$B$334,0)),"")</f>
        <v>79415.232000000018</v>
      </c>
      <c r="K6" s="863">
        <f>IFERROR(INDEX('Master Lookup'!$E$331:$E$334,MATCH(G6,'Master Lookup'!$B$331:$B$334,0)),"")</f>
        <v>0.25</v>
      </c>
      <c r="L6" s="851">
        <f>IFERROR(J6*K6,0)</f>
        <v>19853.808000000005</v>
      </c>
    </row>
    <row r="7" spans="5:12" ht="15" x14ac:dyDescent="0.2">
      <c r="E7" s="581">
        <v>2</v>
      </c>
      <c r="F7" s="581"/>
      <c r="G7" s="816" t="str">
        <f>IF(INDEX('Master Lookup'!$B$331:$B$334,E7)=0,"",INDEX('Master Lookup'!$B$331:$B$334,E7))</f>
        <v>Case Worker</v>
      </c>
      <c r="J7" s="496">
        <f>IFERROR(INDEX('Master Lookup'!$D$331:$D$334,MATCH(G7,'Master Lookup'!$B$331:$B$334,0)),"")</f>
        <v>58616.063999999998</v>
      </c>
      <c r="K7" s="863">
        <f>IFERROR(INDEX('Master Lookup'!$E$331:$E$334,MATCH(G7,'Master Lookup'!$B$331:$B$334,0)),"")</f>
        <v>2</v>
      </c>
      <c r="L7" s="851">
        <f>IFERROR(J7*K7,0)</f>
        <v>117232.128</v>
      </c>
    </row>
    <row r="8" spans="5:12" ht="15" hidden="1" x14ac:dyDescent="0.2">
      <c r="E8" s="581">
        <v>3</v>
      </c>
      <c r="F8" s="581"/>
      <c r="G8" s="815" t="str">
        <f>IF(INDEX('Master Lookup'!$B$331:$B$334,E8)=0,"",INDEX('Master Lookup'!$B$331:$B$334,E8))</f>
        <v/>
      </c>
      <c r="H8" s="850"/>
      <c r="I8" s="850"/>
      <c r="J8" s="503" t="str">
        <f>IFERROR(INDEX('Master Lookup'!$D$331:$D$334,MATCH(G8,'Master Lookup'!$B$300:$B$307,0)),"")</f>
        <v/>
      </c>
      <c r="K8" s="862" t="str">
        <f>IFERROR(INDEX('Master Lookup'!$E$331:$E$334,MATCH(G8,'Master Lookup'!$B$331:$B$334,0)),"")</f>
        <v/>
      </c>
      <c r="L8" s="861">
        <f>IFERROR(J8*K8,0)</f>
        <v>0</v>
      </c>
    </row>
    <row r="9" spans="5:12" ht="15" hidden="1" x14ac:dyDescent="0.2">
      <c r="E9" s="581">
        <v>4</v>
      </c>
      <c r="F9" s="581"/>
      <c r="G9" s="815" t="str">
        <f>IF(INDEX('Master Lookup'!$B$331:$B$334,E9)=0,"",INDEX('Master Lookup'!$B$331:$B$334,E9))</f>
        <v/>
      </c>
      <c r="H9" s="850"/>
      <c r="I9" s="850"/>
      <c r="J9" s="503" t="str">
        <f>IFERROR(INDEX('Master Lookup'!$D$331:$D$334,MATCH(G9,'Master Lookup'!$B$300:$B$307,0)),"")</f>
        <v/>
      </c>
      <c r="K9" s="862" t="str">
        <f>IFERROR(INDEX('Master Lookup'!$E$331:$E$334,MATCH(G9,'Master Lookup'!$B$331:$B$334,0)),"")</f>
        <v/>
      </c>
      <c r="L9" s="861">
        <f>IFERROR(J9*K9,0)</f>
        <v>0</v>
      </c>
    </row>
    <row r="10" spans="5:12" x14ac:dyDescent="0.2">
      <c r="G10" s="860" t="s">
        <v>503</v>
      </c>
      <c r="H10" s="846"/>
      <c r="I10" s="846"/>
      <c r="J10" s="846"/>
      <c r="K10" s="859">
        <f>SUM(K6:K9)</f>
        <v>2.25</v>
      </c>
      <c r="L10" s="857">
        <f>SUM(L6:L9)</f>
        <v>137085.93599999999</v>
      </c>
    </row>
    <row r="11" spans="5:12" ht="15" x14ac:dyDescent="0.25">
      <c r="G11" s="822" t="s">
        <v>368</v>
      </c>
      <c r="H11" s="846"/>
      <c r="I11" s="846"/>
      <c r="J11" s="846"/>
      <c r="K11" s="659">
        <f>INDEX('Master Lookup'!$C$345:$C$347,MATCH(G11,'Master Lookup'!$B$345:$B$347,0))</f>
        <v>0.27379999999999999</v>
      </c>
      <c r="L11" s="858">
        <f>L10*K11</f>
        <v>37534.129276799991</v>
      </c>
    </row>
    <row r="12" spans="5:12" ht="15" x14ac:dyDescent="0.25">
      <c r="G12" s="813" t="s">
        <v>596</v>
      </c>
      <c r="H12" s="846"/>
      <c r="I12" s="846"/>
      <c r="J12" s="846"/>
      <c r="K12" s="846"/>
      <c r="L12" s="857">
        <f>SUM(L10:L11)</f>
        <v>174620.06527679999</v>
      </c>
    </row>
    <row r="13" spans="5:12" x14ac:dyDescent="0.2">
      <c r="G13" s="856"/>
      <c r="H13" s="846"/>
      <c r="I13" s="846"/>
      <c r="J13" s="846"/>
      <c r="K13" s="846"/>
      <c r="L13" s="855"/>
    </row>
    <row r="14" spans="5:12" ht="15" x14ac:dyDescent="0.25">
      <c r="G14" s="854" t="s">
        <v>372</v>
      </c>
      <c r="H14" s="844"/>
      <c r="I14" s="844"/>
      <c r="J14" s="844"/>
      <c r="K14" s="844"/>
      <c r="L14" s="853"/>
    </row>
    <row r="15" spans="5:12" ht="15" x14ac:dyDescent="0.2">
      <c r="E15" s="581">
        <v>1</v>
      </c>
      <c r="F15" s="581"/>
      <c r="G15" s="816" t="str">
        <f>IF(INDEX('Master Lookup'!$B$338:$B$343,E15)=0,"",INDEX('Master Lookup'!$B$338:$B$343,E15))</f>
        <v>Non Staff Direct Exp.</v>
      </c>
      <c r="J15" s="496">
        <f>IFERROR(INDEX('Master Lookup'!$C$338:$C$343,MATCH(G15,'Master Lookup'!$B$338:$B$343,0)),"")</f>
        <v>43580.103799999997</v>
      </c>
      <c r="L15" s="852">
        <f>J15</f>
        <v>43580.103799999997</v>
      </c>
    </row>
    <row r="16" spans="5:12" ht="15" x14ac:dyDescent="0.2">
      <c r="E16" s="581">
        <v>2</v>
      </c>
      <c r="F16" s="581"/>
      <c r="G16" s="816" t="str">
        <f>IF(INDEX('Master Lookup'!$B$338:$B$343,E16)=0,"",INDEX('Master Lookup'!$B$338:$B$343,E16))</f>
        <v>Specialty Consulations</v>
      </c>
      <c r="J16" s="496">
        <f>IFERROR(INDEX('Master Lookup'!$C$338:$C$343,MATCH(G16,'Master Lookup'!$B$338:$B$343,0)),"")</f>
        <v>21500</v>
      </c>
      <c r="L16" s="852">
        <f>J16</f>
        <v>21500</v>
      </c>
    </row>
    <row r="17" spans="5:12" ht="15" x14ac:dyDescent="0.2">
      <c r="E17" s="581">
        <v>3</v>
      </c>
      <c r="F17" s="581"/>
      <c r="G17" s="816" t="str">
        <f>IF(INDEX('Master Lookup'!$B$338:$B$343,E17)=0,"",INDEX('Master Lookup'!$B$338:$B$343,E17))</f>
        <v>Flex Spending</v>
      </c>
      <c r="J17" s="496">
        <f>IFERROR(INDEX('Master Lookup'!$C$338:$C$343,MATCH(G17,'Master Lookup'!$B$338:$B$343,0)),"")</f>
        <v>1000</v>
      </c>
      <c r="L17" s="851">
        <f>K7*J17</f>
        <v>2000</v>
      </c>
    </row>
    <row r="18" spans="5:12" ht="15" hidden="1" x14ac:dyDescent="0.2">
      <c r="E18" s="581">
        <v>4</v>
      </c>
      <c r="F18" s="581"/>
      <c r="G18" s="815" t="str">
        <f>IF(INDEX('Master Lookup'!$B$338:$B$343,E18)=0,"",INDEX('Master Lookup'!$B$338:$B$343,E18))</f>
        <v/>
      </c>
      <c r="H18" s="850"/>
      <c r="I18" s="850"/>
      <c r="J18" s="503" t="str">
        <f>IFERROR(INDEX('Master Lookup'!$C$338:$C$343,MATCH(G18,'Master Lookup'!$B$338:$B$343,0)),"")</f>
        <v/>
      </c>
      <c r="K18" s="850"/>
      <c r="L18" s="849"/>
    </row>
    <row r="19" spans="5:12" ht="15" hidden="1" x14ac:dyDescent="0.2">
      <c r="E19" s="581">
        <v>5</v>
      </c>
      <c r="F19" s="581"/>
      <c r="G19" s="815" t="str">
        <f>IF(INDEX('Master Lookup'!$B$338:$B$343,E19)=0,"",INDEX('Master Lookup'!$B$338:$B$343,E19))</f>
        <v/>
      </c>
      <c r="H19" s="850"/>
      <c r="I19" s="850"/>
      <c r="J19" s="503" t="str">
        <f>IFERROR(INDEX('Master Lookup'!$C$338:$C$343,MATCH(G19,'Master Lookup'!$B$338:$B$343,0)),"")</f>
        <v/>
      </c>
      <c r="K19" s="850"/>
      <c r="L19" s="849"/>
    </row>
    <row r="20" spans="5:12" ht="15" x14ac:dyDescent="0.25">
      <c r="G20" s="813" t="s">
        <v>538</v>
      </c>
      <c r="H20" s="846"/>
      <c r="I20" s="846"/>
      <c r="J20" s="846"/>
      <c r="K20" s="846"/>
      <c r="L20" s="845">
        <f>SUM(L15:L19)</f>
        <v>67080.103799999997</v>
      </c>
    </row>
    <row r="21" spans="5:12" ht="15.75" x14ac:dyDescent="0.25">
      <c r="G21" s="848"/>
      <c r="L21" s="847"/>
    </row>
    <row r="22" spans="5:12" ht="30" x14ac:dyDescent="0.25">
      <c r="G22" s="489" t="s">
        <v>537</v>
      </c>
      <c r="H22" s="846"/>
      <c r="I22" s="846"/>
      <c r="J22" s="846"/>
      <c r="K22" s="846"/>
      <c r="L22" s="845">
        <f>SUM(L20,L12)</f>
        <v>241700.1690768</v>
      </c>
    </row>
    <row r="23" spans="5:12" ht="15" x14ac:dyDescent="0.25">
      <c r="G23" s="809" t="s">
        <v>366</v>
      </c>
      <c r="H23" s="844"/>
      <c r="I23" s="844"/>
      <c r="J23" s="844"/>
      <c r="K23" s="624">
        <f>INDEX('Master Lookup'!$C$345:$C$347,MATCH(G23,'Master Lookup'!$B$345:$B$347,0))</f>
        <v>0.12</v>
      </c>
      <c r="L23" s="843">
        <f>L22*K23</f>
        <v>29004.020289215998</v>
      </c>
    </row>
    <row r="24" spans="5:12" ht="15" x14ac:dyDescent="0.25">
      <c r="G24" s="807" t="s">
        <v>367</v>
      </c>
      <c r="H24" s="842"/>
      <c r="I24" s="842"/>
      <c r="J24" s="842"/>
      <c r="K24" s="620">
        <f>INDEX('Master Lookup'!$C$345:$C$347,MATCH(G24,'Master Lookup'!$B$345:$B$347,0))</f>
        <v>2.7100379121522307E-2</v>
      </c>
      <c r="L24" s="841">
        <f>K24*(L22+L23)</f>
        <v>7336.1861616034012</v>
      </c>
    </row>
    <row r="25" spans="5:12" ht="15" x14ac:dyDescent="0.25">
      <c r="G25" s="409" t="s">
        <v>499</v>
      </c>
      <c r="L25" s="840">
        <f>SUM(L22:L24)</f>
        <v>278040.37552761944</v>
      </c>
    </row>
    <row r="26" spans="5:12" ht="13.5" thickBot="1" x14ac:dyDescent="0.25">
      <c r="G26" s="839" t="s">
        <v>597</v>
      </c>
      <c r="H26" s="152"/>
      <c r="I26" s="152"/>
      <c r="J26" s="152"/>
      <c r="K26" s="152"/>
      <c r="L26" s="838">
        <f>L25/I5/365</f>
        <v>25.391815116677574</v>
      </c>
    </row>
    <row r="27" spans="5:12" x14ac:dyDescent="0.2">
      <c r="L27" s="837"/>
    </row>
    <row r="28" spans="5:12" x14ac:dyDescent="0.2">
      <c r="L28" s="460"/>
    </row>
  </sheetData>
  <mergeCells count="1">
    <mergeCell ref="G3:L3"/>
  </mergeCells>
  <pageMargins left="0.75" right="0.75" top="1" bottom="1" header="0.5" footer="0.5"/>
  <pageSetup scale="77" orientation="landscape" r:id="rId1"/>
  <headerFooter alignWithMargins="0">
    <oddHeader>&amp;F</oddHeader>
    <oddFooter>&amp;L&amp;"Arial,Bold"DRAFT&amp;RPage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5C5F-835E-46AC-A944-C0CE468FC567}">
  <sheetPr>
    <pageSetUpPr fitToPage="1"/>
  </sheetPr>
  <dimension ref="B1:H36"/>
  <sheetViews>
    <sheetView zoomScaleNormal="100" workbookViewId="0">
      <selection activeCell="J13" sqref="J13"/>
    </sheetView>
  </sheetViews>
  <sheetFormatPr defaultRowHeight="12.75" x14ac:dyDescent="0.2"/>
  <cols>
    <col min="1" max="1" width="6.28515625" style="155" customWidth="1"/>
    <col min="2" max="2" width="3.140625" style="155" hidden="1" customWidth="1"/>
    <col min="3" max="3" width="3.140625" style="155" customWidth="1"/>
    <col min="4" max="4" width="32.140625" style="155" customWidth="1"/>
    <col min="5" max="5" width="13.85546875" style="155" customWidth="1"/>
    <col min="6" max="7" width="9.140625" style="155"/>
    <col min="8" max="8" width="12.85546875" style="155" customWidth="1"/>
    <col min="9" max="237" width="9.140625" style="155"/>
    <col min="238" max="238" width="19.7109375" style="155" bestFit="1" customWidth="1"/>
    <col min="239" max="239" width="9.140625" style="155"/>
    <col min="240" max="240" width="12.7109375" style="155" bestFit="1" customWidth="1"/>
    <col min="241" max="493" width="9.140625" style="155"/>
    <col min="494" max="494" width="19.7109375" style="155" bestFit="1" customWidth="1"/>
    <col min="495" max="495" width="9.140625" style="155"/>
    <col min="496" max="496" width="12.7109375" style="155" bestFit="1" customWidth="1"/>
    <col min="497" max="749" width="9.140625" style="155"/>
    <col min="750" max="750" width="19.7109375" style="155" bestFit="1" customWidth="1"/>
    <col min="751" max="751" width="9.140625" style="155"/>
    <col min="752" max="752" width="12.7109375" style="155" bestFit="1" customWidth="1"/>
    <col min="753" max="1005" width="9.140625" style="155"/>
    <col min="1006" max="1006" width="19.7109375" style="155" bestFit="1" customWidth="1"/>
    <col min="1007" max="1007" width="9.140625" style="155"/>
    <col min="1008" max="1008" width="12.7109375" style="155" bestFit="1" customWidth="1"/>
    <col min="1009" max="1261" width="9.140625" style="155"/>
    <col min="1262" max="1262" width="19.7109375" style="155" bestFit="1" customWidth="1"/>
    <col min="1263" max="1263" width="9.140625" style="155"/>
    <col min="1264" max="1264" width="12.7109375" style="155" bestFit="1" customWidth="1"/>
    <col min="1265" max="1517" width="9.140625" style="155"/>
    <col min="1518" max="1518" width="19.7109375" style="155" bestFit="1" customWidth="1"/>
    <col min="1519" max="1519" width="9.140625" style="155"/>
    <col min="1520" max="1520" width="12.7109375" style="155" bestFit="1" customWidth="1"/>
    <col min="1521" max="1773" width="9.140625" style="155"/>
    <col min="1774" max="1774" width="19.7109375" style="155" bestFit="1" customWidth="1"/>
    <col min="1775" max="1775" width="9.140625" style="155"/>
    <col min="1776" max="1776" width="12.7109375" style="155" bestFit="1" customWidth="1"/>
    <col min="1777" max="2029" width="9.140625" style="155"/>
    <col min="2030" max="2030" width="19.7109375" style="155" bestFit="1" customWidth="1"/>
    <col min="2031" max="2031" width="9.140625" style="155"/>
    <col min="2032" max="2032" width="12.7109375" style="155" bestFit="1" customWidth="1"/>
    <col min="2033" max="2285" width="9.140625" style="155"/>
    <col min="2286" max="2286" width="19.7109375" style="155" bestFit="1" customWidth="1"/>
    <col min="2287" max="2287" width="9.140625" style="155"/>
    <col min="2288" max="2288" width="12.7109375" style="155" bestFit="1" customWidth="1"/>
    <col min="2289" max="2541" width="9.140625" style="155"/>
    <col min="2542" max="2542" width="19.7109375" style="155" bestFit="1" customWidth="1"/>
    <col min="2543" max="2543" width="9.140625" style="155"/>
    <col min="2544" max="2544" width="12.7109375" style="155" bestFit="1" customWidth="1"/>
    <col min="2545" max="2797" width="9.140625" style="155"/>
    <col min="2798" max="2798" width="19.7109375" style="155" bestFit="1" customWidth="1"/>
    <col min="2799" max="2799" width="9.140625" style="155"/>
    <col min="2800" max="2800" width="12.7109375" style="155" bestFit="1" customWidth="1"/>
    <col min="2801" max="3053" width="9.140625" style="155"/>
    <col min="3054" max="3054" width="19.7109375" style="155" bestFit="1" customWidth="1"/>
    <col min="3055" max="3055" width="9.140625" style="155"/>
    <col min="3056" max="3056" width="12.7109375" style="155" bestFit="1" customWidth="1"/>
    <col min="3057" max="3309" width="9.140625" style="155"/>
    <col min="3310" max="3310" width="19.7109375" style="155" bestFit="1" customWidth="1"/>
    <col min="3311" max="3311" width="9.140625" style="155"/>
    <col min="3312" max="3312" width="12.7109375" style="155" bestFit="1" customWidth="1"/>
    <col min="3313" max="3565" width="9.140625" style="155"/>
    <col min="3566" max="3566" width="19.7109375" style="155" bestFit="1" customWidth="1"/>
    <col min="3567" max="3567" width="9.140625" style="155"/>
    <col min="3568" max="3568" width="12.7109375" style="155" bestFit="1" customWidth="1"/>
    <col min="3569" max="3821" width="9.140625" style="155"/>
    <col min="3822" max="3822" width="19.7109375" style="155" bestFit="1" customWidth="1"/>
    <col min="3823" max="3823" width="9.140625" style="155"/>
    <col min="3824" max="3824" width="12.7109375" style="155" bestFit="1" customWidth="1"/>
    <col min="3825" max="4077" width="9.140625" style="155"/>
    <col min="4078" max="4078" width="19.7109375" style="155" bestFit="1" customWidth="1"/>
    <col min="4079" max="4079" width="9.140625" style="155"/>
    <col min="4080" max="4080" width="12.7109375" style="155" bestFit="1" customWidth="1"/>
    <col min="4081" max="4333" width="9.140625" style="155"/>
    <col min="4334" max="4334" width="19.7109375" style="155" bestFit="1" customWidth="1"/>
    <col min="4335" max="4335" width="9.140625" style="155"/>
    <col min="4336" max="4336" width="12.7109375" style="155" bestFit="1" customWidth="1"/>
    <col min="4337" max="4589" width="9.140625" style="155"/>
    <col min="4590" max="4590" width="19.7109375" style="155" bestFit="1" customWidth="1"/>
    <col min="4591" max="4591" width="9.140625" style="155"/>
    <col min="4592" max="4592" width="12.7109375" style="155" bestFit="1" customWidth="1"/>
    <col min="4593" max="4845" width="9.140625" style="155"/>
    <col min="4846" max="4846" width="19.7109375" style="155" bestFit="1" customWidth="1"/>
    <col min="4847" max="4847" width="9.140625" style="155"/>
    <col min="4848" max="4848" width="12.7109375" style="155" bestFit="1" customWidth="1"/>
    <col min="4849" max="5101" width="9.140625" style="155"/>
    <col min="5102" max="5102" width="19.7109375" style="155" bestFit="1" customWidth="1"/>
    <col min="5103" max="5103" width="9.140625" style="155"/>
    <col min="5104" max="5104" width="12.7109375" style="155" bestFit="1" customWidth="1"/>
    <col min="5105" max="5357" width="9.140625" style="155"/>
    <col min="5358" max="5358" width="19.7109375" style="155" bestFit="1" customWidth="1"/>
    <col min="5359" max="5359" width="9.140625" style="155"/>
    <col min="5360" max="5360" width="12.7109375" style="155" bestFit="1" customWidth="1"/>
    <col min="5361" max="5613" width="9.140625" style="155"/>
    <col min="5614" max="5614" width="19.7109375" style="155" bestFit="1" customWidth="1"/>
    <col min="5615" max="5615" width="9.140625" style="155"/>
    <col min="5616" max="5616" width="12.7109375" style="155" bestFit="1" customWidth="1"/>
    <col min="5617" max="5869" width="9.140625" style="155"/>
    <col min="5870" max="5870" width="19.7109375" style="155" bestFit="1" customWidth="1"/>
    <col min="5871" max="5871" width="9.140625" style="155"/>
    <col min="5872" max="5872" width="12.7109375" style="155" bestFit="1" customWidth="1"/>
    <col min="5873" max="6125" width="9.140625" style="155"/>
    <col min="6126" max="6126" width="19.7109375" style="155" bestFit="1" customWidth="1"/>
    <col min="6127" max="6127" width="9.140625" style="155"/>
    <col min="6128" max="6128" width="12.7109375" style="155" bestFit="1" customWidth="1"/>
    <col min="6129" max="6381" width="9.140625" style="155"/>
    <col min="6382" max="6382" width="19.7109375" style="155" bestFit="1" customWidth="1"/>
    <col min="6383" max="6383" width="9.140625" style="155"/>
    <col min="6384" max="6384" width="12.7109375" style="155" bestFit="1" customWidth="1"/>
    <col min="6385" max="6637" width="9.140625" style="155"/>
    <col min="6638" max="6638" width="19.7109375" style="155" bestFit="1" customWidth="1"/>
    <col min="6639" max="6639" width="9.140625" style="155"/>
    <col min="6640" max="6640" width="12.7109375" style="155" bestFit="1" customWidth="1"/>
    <col min="6641" max="6893" width="9.140625" style="155"/>
    <col min="6894" max="6894" width="19.7109375" style="155" bestFit="1" customWidth="1"/>
    <col min="6895" max="6895" width="9.140625" style="155"/>
    <col min="6896" max="6896" width="12.7109375" style="155" bestFit="1" customWidth="1"/>
    <col min="6897" max="7149" width="9.140625" style="155"/>
    <col min="7150" max="7150" width="19.7109375" style="155" bestFit="1" customWidth="1"/>
    <col min="7151" max="7151" width="9.140625" style="155"/>
    <col min="7152" max="7152" width="12.7109375" style="155" bestFit="1" customWidth="1"/>
    <col min="7153" max="7405" width="9.140625" style="155"/>
    <col min="7406" max="7406" width="19.7109375" style="155" bestFit="1" customWidth="1"/>
    <col min="7407" max="7407" width="9.140625" style="155"/>
    <col min="7408" max="7408" width="12.7109375" style="155" bestFit="1" customWidth="1"/>
    <col min="7409" max="7661" width="9.140625" style="155"/>
    <col min="7662" max="7662" width="19.7109375" style="155" bestFit="1" customWidth="1"/>
    <col min="7663" max="7663" width="9.140625" style="155"/>
    <col min="7664" max="7664" width="12.7109375" style="155" bestFit="1" customWidth="1"/>
    <col min="7665" max="7917" width="9.140625" style="155"/>
    <col min="7918" max="7918" width="19.7109375" style="155" bestFit="1" customWidth="1"/>
    <col min="7919" max="7919" width="9.140625" style="155"/>
    <col min="7920" max="7920" width="12.7109375" style="155" bestFit="1" customWidth="1"/>
    <col min="7921" max="8173" width="9.140625" style="155"/>
    <col min="8174" max="8174" width="19.7109375" style="155" bestFit="1" customWidth="1"/>
    <col min="8175" max="8175" width="9.140625" style="155"/>
    <col min="8176" max="8176" width="12.7109375" style="155" bestFit="1" customWidth="1"/>
    <col min="8177" max="8429" width="9.140625" style="155"/>
    <col min="8430" max="8430" width="19.7109375" style="155" bestFit="1" customWidth="1"/>
    <col min="8431" max="8431" width="9.140625" style="155"/>
    <col min="8432" max="8432" width="12.7109375" style="155" bestFit="1" customWidth="1"/>
    <col min="8433" max="8685" width="9.140625" style="155"/>
    <col min="8686" max="8686" width="19.7109375" style="155" bestFit="1" customWidth="1"/>
    <col min="8687" max="8687" width="9.140625" style="155"/>
    <col min="8688" max="8688" width="12.7109375" style="155" bestFit="1" customWidth="1"/>
    <col min="8689" max="8941" width="9.140625" style="155"/>
    <col min="8942" max="8942" width="19.7109375" style="155" bestFit="1" customWidth="1"/>
    <col min="8943" max="8943" width="9.140625" style="155"/>
    <col min="8944" max="8944" width="12.7109375" style="155" bestFit="1" customWidth="1"/>
    <col min="8945" max="9197" width="9.140625" style="155"/>
    <col min="9198" max="9198" width="19.7109375" style="155" bestFit="1" customWidth="1"/>
    <col min="9199" max="9199" width="9.140625" style="155"/>
    <col min="9200" max="9200" width="12.7109375" style="155" bestFit="1" customWidth="1"/>
    <col min="9201" max="9453" width="9.140625" style="155"/>
    <col min="9454" max="9454" width="19.7109375" style="155" bestFit="1" customWidth="1"/>
    <col min="9455" max="9455" width="9.140625" style="155"/>
    <col min="9456" max="9456" width="12.7109375" style="155" bestFit="1" customWidth="1"/>
    <col min="9457" max="9709" width="9.140625" style="155"/>
    <col min="9710" max="9710" width="19.7109375" style="155" bestFit="1" customWidth="1"/>
    <col min="9711" max="9711" width="9.140625" style="155"/>
    <col min="9712" max="9712" width="12.7109375" style="155" bestFit="1" customWidth="1"/>
    <col min="9713" max="9965" width="9.140625" style="155"/>
    <col min="9966" max="9966" width="19.7109375" style="155" bestFit="1" customWidth="1"/>
    <col min="9967" max="9967" width="9.140625" style="155"/>
    <col min="9968" max="9968" width="12.7109375" style="155" bestFit="1" customWidth="1"/>
    <col min="9969" max="10221" width="9.140625" style="155"/>
    <col min="10222" max="10222" width="19.7109375" style="155" bestFit="1" customWidth="1"/>
    <col min="10223" max="10223" width="9.140625" style="155"/>
    <col min="10224" max="10224" width="12.7109375" style="155" bestFit="1" customWidth="1"/>
    <col min="10225" max="10477" width="9.140625" style="155"/>
    <col min="10478" max="10478" width="19.7109375" style="155" bestFit="1" customWidth="1"/>
    <col min="10479" max="10479" width="9.140625" style="155"/>
    <col min="10480" max="10480" width="12.7109375" style="155" bestFit="1" customWidth="1"/>
    <col min="10481" max="10733" width="9.140625" style="155"/>
    <col min="10734" max="10734" width="19.7109375" style="155" bestFit="1" customWidth="1"/>
    <col min="10735" max="10735" width="9.140625" style="155"/>
    <col min="10736" max="10736" width="12.7109375" style="155" bestFit="1" customWidth="1"/>
    <col min="10737" max="10989" width="9.140625" style="155"/>
    <col min="10990" max="10990" width="19.7109375" style="155" bestFit="1" customWidth="1"/>
    <col min="10991" max="10991" width="9.140625" style="155"/>
    <col min="10992" max="10992" width="12.7109375" style="155" bestFit="1" customWidth="1"/>
    <col min="10993" max="11245" width="9.140625" style="155"/>
    <col min="11246" max="11246" width="19.7109375" style="155" bestFit="1" customWidth="1"/>
    <col min="11247" max="11247" width="9.140625" style="155"/>
    <col min="11248" max="11248" width="12.7109375" style="155" bestFit="1" customWidth="1"/>
    <col min="11249" max="11501" width="9.140625" style="155"/>
    <col min="11502" max="11502" width="19.7109375" style="155" bestFit="1" customWidth="1"/>
    <col min="11503" max="11503" width="9.140625" style="155"/>
    <col min="11504" max="11504" width="12.7109375" style="155" bestFit="1" customWidth="1"/>
    <col min="11505" max="11757" width="9.140625" style="155"/>
    <col min="11758" max="11758" width="19.7109375" style="155" bestFit="1" customWidth="1"/>
    <col min="11759" max="11759" width="9.140625" style="155"/>
    <col min="11760" max="11760" width="12.7109375" style="155" bestFit="1" customWidth="1"/>
    <col min="11761" max="12013" width="9.140625" style="155"/>
    <col min="12014" max="12014" width="19.7109375" style="155" bestFit="1" customWidth="1"/>
    <col min="12015" max="12015" width="9.140625" style="155"/>
    <col min="12016" max="12016" width="12.7109375" style="155" bestFit="1" customWidth="1"/>
    <col min="12017" max="12269" width="9.140625" style="155"/>
    <col min="12270" max="12270" width="19.7109375" style="155" bestFit="1" customWidth="1"/>
    <col min="12271" max="12271" width="9.140625" style="155"/>
    <col min="12272" max="12272" width="12.7109375" style="155" bestFit="1" customWidth="1"/>
    <col min="12273" max="12525" width="9.140625" style="155"/>
    <col min="12526" max="12526" width="19.7109375" style="155" bestFit="1" customWidth="1"/>
    <col min="12527" max="12527" width="9.140625" style="155"/>
    <col min="12528" max="12528" width="12.7109375" style="155" bestFit="1" customWidth="1"/>
    <col min="12529" max="12781" width="9.140625" style="155"/>
    <col min="12782" max="12782" width="19.7109375" style="155" bestFit="1" customWidth="1"/>
    <col min="12783" max="12783" width="9.140625" style="155"/>
    <col min="12784" max="12784" width="12.7109375" style="155" bestFit="1" customWidth="1"/>
    <col min="12785" max="13037" width="9.140625" style="155"/>
    <col min="13038" max="13038" width="19.7109375" style="155" bestFit="1" customWidth="1"/>
    <col min="13039" max="13039" width="9.140625" style="155"/>
    <col min="13040" max="13040" width="12.7109375" style="155" bestFit="1" customWidth="1"/>
    <col min="13041" max="13293" width="9.140625" style="155"/>
    <col min="13294" max="13294" width="19.7109375" style="155" bestFit="1" customWidth="1"/>
    <col min="13295" max="13295" width="9.140625" style="155"/>
    <col min="13296" max="13296" width="12.7109375" style="155" bestFit="1" customWidth="1"/>
    <col min="13297" max="13549" width="9.140625" style="155"/>
    <col min="13550" max="13550" width="19.7109375" style="155" bestFit="1" customWidth="1"/>
    <col min="13551" max="13551" width="9.140625" style="155"/>
    <col min="13552" max="13552" width="12.7109375" style="155" bestFit="1" customWidth="1"/>
    <col min="13553" max="13805" width="9.140625" style="155"/>
    <col min="13806" max="13806" width="19.7109375" style="155" bestFit="1" customWidth="1"/>
    <col min="13807" max="13807" width="9.140625" style="155"/>
    <col min="13808" max="13808" width="12.7109375" style="155" bestFit="1" customWidth="1"/>
    <col min="13809" max="14061" width="9.140625" style="155"/>
    <col min="14062" max="14062" width="19.7109375" style="155" bestFit="1" customWidth="1"/>
    <col min="14063" max="14063" width="9.140625" style="155"/>
    <col min="14064" max="14064" width="12.7109375" style="155" bestFit="1" customWidth="1"/>
    <col min="14065" max="14317" width="9.140625" style="155"/>
    <col min="14318" max="14318" width="19.7109375" style="155" bestFit="1" customWidth="1"/>
    <col min="14319" max="14319" width="9.140625" style="155"/>
    <col min="14320" max="14320" width="12.7109375" style="155" bestFit="1" customWidth="1"/>
    <col min="14321" max="14573" width="9.140625" style="155"/>
    <col min="14574" max="14574" width="19.7109375" style="155" bestFit="1" customWidth="1"/>
    <col min="14575" max="14575" width="9.140625" style="155"/>
    <col min="14576" max="14576" width="12.7109375" style="155" bestFit="1" customWidth="1"/>
    <col min="14577" max="14829" width="9.140625" style="155"/>
    <col min="14830" max="14830" width="19.7109375" style="155" bestFit="1" customWidth="1"/>
    <col min="14831" max="14831" width="9.140625" style="155"/>
    <col min="14832" max="14832" width="12.7109375" style="155" bestFit="1" customWidth="1"/>
    <col min="14833" max="15085" width="9.140625" style="155"/>
    <col min="15086" max="15086" width="19.7109375" style="155" bestFit="1" customWidth="1"/>
    <col min="15087" max="15087" width="9.140625" style="155"/>
    <col min="15088" max="15088" width="12.7109375" style="155" bestFit="1" customWidth="1"/>
    <col min="15089" max="15341" width="9.140625" style="155"/>
    <col min="15342" max="15342" width="19.7109375" style="155" bestFit="1" customWidth="1"/>
    <col min="15343" max="15343" width="9.140625" style="155"/>
    <col min="15344" max="15344" width="12.7109375" style="155" bestFit="1" customWidth="1"/>
    <col min="15345" max="15597" width="9.140625" style="155"/>
    <col min="15598" max="15598" width="19.7109375" style="155" bestFit="1" customWidth="1"/>
    <col min="15599" max="15599" width="9.140625" style="155"/>
    <col min="15600" max="15600" width="12.7109375" style="155" bestFit="1" customWidth="1"/>
    <col min="15601" max="15853" width="9.140625" style="155"/>
    <col min="15854" max="15854" width="19.7109375" style="155" bestFit="1" customWidth="1"/>
    <col min="15855" max="15855" width="9.140625" style="155"/>
    <col min="15856" max="15856" width="12.7109375" style="155" bestFit="1" customWidth="1"/>
    <col min="15857" max="16109" width="9.140625" style="155"/>
    <col min="16110" max="16110" width="19.7109375" style="155" bestFit="1" customWidth="1"/>
    <col min="16111" max="16111" width="9.140625" style="155"/>
    <col min="16112" max="16112" width="12.7109375" style="155" bestFit="1" customWidth="1"/>
    <col min="16113" max="16381" width="9.140625" style="155"/>
    <col min="16382" max="16384" width="9.140625" style="155" customWidth="1"/>
  </cols>
  <sheetData>
    <row r="1" spans="2:8" ht="13.5" thickBot="1" x14ac:dyDescent="0.25"/>
    <row r="2" spans="2:8" ht="13.5" thickBot="1" x14ac:dyDescent="0.25">
      <c r="D2" s="906" t="s">
        <v>282</v>
      </c>
      <c r="E2" s="905"/>
      <c r="F2" s="905"/>
      <c r="G2" s="905"/>
      <c r="H2" s="904"/>
    </row>
    <row r="3" spans="2:8" ht="25.5" x14ac:dyDescent="0.2">
      <c r="D3" s="903"/>
      <c r="E3" s="902" t="s">
        <v>442</v>
      </c>
      <c r="F3" s="901" t="s">
        <v>377</v>
      </c>
      <c r="G3" s="901" t="s">
        <v>380</v>
      </c>
      <c r="H3" s="900" t="s">
        <v>504</v>
      </c>
    </row>
    <row r="4" spans="2:8" ht="15" x14ac:dyDescent="0.25">
      <c r="B4" s="440">
        <v>1</v>
      </c>
      <c r="C4" s="440"/>
      <c r="D4" s="816" t="str">
        <f>IF(INDEX('Master Lookup'!$B$240:$B$246,B4)=0,"",INDEX('Master Lookup'!$B$240:$B$246,B4))</f>
        <v>Management</v>
      </c>
      <c r="E4" s="898">
        <f>IFERROR(INDEX('Master Lookup'!$D$240:$D$246,MATCH(D4,'Master Lookup'!$B$240:$B$246,0)),"")</f>
        <v>580</v>
      </c>
      <c r="F4" s="899">
        <f>IFERROR(INDEX('Master Lookup'!$E$240:$E$246,MATCH(D4,'Master Lookup'!$B$240:$B$246,0)),"")</f>
        <v>79415.232000000018</v>
      </c>
      <c r="G4" s="897">
        <f>IFERROR(INDEX('Master Lookup'!$F$240:$F$246,MATCH(D4,'Master Lookup'!$B$240:$B$246,0)),"")</f>
        <v>0.06</v>
      </c>
      <c r="H4" s="889">
        <f>IFERROR(F4*G4,0)</f>
        <v>4764.9139200000009</v>
      </c>
    </row>
    <row r="5" spans="2:8" ht="15" x14ac:dyDescent="0.25">
      <c r="B5" s="440">
        <v>2</v>
      </c>
      <c r="C5" s="440"/>
      <c r="D5" s="816" t="str">
        <f>IF(INDEX('Master Lookup'!$B$240:$B$246,B5)=0,"",INDEX('Master Lookup'!$B$240:$B$246,B5))</f>
        <v>Case Worker</v>
      </c>
      <c r="E5" s="898">
        <f>IFERROR(INDEX('Master Lookup'!$D$240:$D$246,MATCH(D5,'Master Lookup'!$B$240:$B$246,0)),"")</f>
        <v>35</v>
      </c>
      <c r="F5" s="890">
        <f>IFERROR(INDEX('Master Lookup'!$E$240:$E$246,MATCH(D5,'Master Lookup'!$B$240:$B$246,0)),"")</f>
        <v>58616.063999999998</v>
      </c>
      <c r="G5" s="897">
        <f>IFERROR(INDEX('Master Lookup'!$F$240:$F$246,MATCH(D5,'Master Lookup'!$B$240:$B$246,0)),"")</f>
        <v>1.63</v>
      </c>
      <c r="H5" s="889">
        <f>IFERROR(F5*G5,0)</f>
        <v>95544.184319999986</v>
      </c>
    </row>
    <row r="6" spans="2:8" ht="15" hidden="1" x14ac:dyDescent="0.25">
      <c r="B6" s="440">
        <v>3</v>
      </c>
      <c r="C6" s="440"/>
      <c r="D6" s="815" t="str">
        <f>IF(INDEX('Master Lookup'!$B$240:$B$246,B6)=0,"",INDEX('Master Lookup'!$B$240:$B$246,B6))</f>
        <v/>
      </c>
      <c r="E6" s="896" t="str">
        <f>IFERROR(INDEX('Master Lookup'!$D$240:$D$246,MATCH(D6,'Master Lookup'!$B$240:$B$246,0)),"")</f>
        <v/>
      </c>
      <c r="F6" s="895" t="str">
        <f>IFERROR(INDEX('Master Lookup'!$E$240:$E$246,MATCH(D6,'Master Lookup'!$B$240:$B$246,0)),"")</f>
        <v/>
      </c>
      <c r="G6" s="894" t="str">
        <f>IFERROR(INDEX('Master Lookup'!$F$240:$F$246,MATCH(D6,'Master Lookup'!$B$240:$B$246,0)),"")</f>
        <v/>
      </c>
      <c r="H6" s="893">
        <f>IFERROR(F6*G6,0)</f>
        <v>0</v>
      </c>
    </row>
    <row r="7" spans="2:8" ht="15" hidden="1" x14ac:dyDescent="0.25">
      <c r="B7" s="440">
        <v>4</v>
      </c>
      <c r="C7" s="440"/>
      <c r="D7" s="815" t="str">
        <f>IF(INDEX('Master Lookup'!$B$240:$B$246,B7)=0,"",INDEX('Master Lookup'!$B$240:$B$246,B7))</f>
        <v/>
      </c>
      <c r="E7" s="896" t="str">
        <f>IFERROR(INDEX('Master Lookup'!$D$240:$D$246,MATCH(D7,'Master Lookup'!$B$240:$B$246,0)),"")</f>
        <v/>
      </c>
      <c r="F7" s="895" t="str">
        <f>IFERROR(INDEX('Master Lookup'!$E$240:$E$246,MATCH(D7,'Master Lookup'!$B$240:$B$246,0)),"")</f>
        <v/>
      </c>
      <c r="G7" s="894" t="str">
        <f>IFERROR(INDEX('Master Lookup'!$F$240:$F$246,MATCH(D7,'Master Lookup'!$B$240:$B$246,0)),"")</f>
        <v/>
      </c>
      <c r="H7" s="893">
        <f>IFERROR(F7*G7,0)</f>
        <v>0</v>
      </c>
    </row>
    <row r="8" spans="2:8" ht="15" hidden="1" x14ac:dyDescent="0.25">
      <c r="B8" s="440">
        <v>5</v>
      </c>
      <c r="C8" s="440"/>
      <c r="D8" s="815" t="str">
        <f>IF(INDEX('Master Lookup'!$B$240:$B$246,B8)=0,"",INDEX('Master Lookup'!$B$240:$B$246,B8))</f>
        <v/>
      </c>
      <c r="E8" s="896" t="str">
        <f>IFERROR(INDEX('Master Lookup'!$D$240:$D$246,MATCH(D8,'Master Lookup'!$B$240:$B$246,0)),"")</f>
        <v/>
      </c>
      <c r="F8" s="895" t="str">
        <f>IFERROR(INDEX('Master Lookup'!$E$240:$E$246,MATCH(D8,'Master Lookup'!$B$240:$B$246,0)),"")</f>
        <v/>
      </c>
      <c r="G8" s="894" t="str">
        <f>IFERROR(INDEX('Master Lookup'!$F$240:$F$246,MATCH(D8,'Master Lookup'!$B$240:$B$246,0)),"")</f>
        <v/>
      </c>
      <c r="H8" s="893">
        <f>IFERROR(F8*G8,0)</f>
        <v>0</v>
      </c>
    </row>
    <row r="9" spans="2:8" ht="15" hidden="1" x14ac:dyDescent="0.25">
      <c r="B9" s="440">
        <v>6</v>
      </c>
      <c r="C9" s="440"/>
      <c r="D9" s="815" t="str">
        <f>IF(INDEX('Master Lookup'!$B$240:$B$246,B9)=0,"",INDEX('Master Lookup'!$B$240:$B$246,B9))</f>
        <v/>
      </c>
      <c r="E9" s="896" t="str">
        <f>IFERROR(INDEX('Master Lookup'!$D$240:$D$246,MATCH(D9,'Master Lookup'!$B$240:$B$246,0)),"")</f>
        <v/>
      </c>
      <c r="F9" s="895" t="str">
        <f>IFERROR(INDEX('Master Lookup'!$E$240:$E$246,MATCH(D9,'Master Lookup'!$B$240:$B$246,0)),"")</f>
        <v/>
      </c>
      <c r="G9" s="894" t="str">
        <f>IFERROR(INDEX('Master Lookup'!$F$240:$F$246,MATCH(D9,'Master Lookup'!$B$240:$B$246,0)),"")</f>
        <v/>
      </c>
      <c r="H9" s="893">
        <f>IFERROR(F9*G9,0)</f>
        <v>0</v>
      </c>
    </row>
    <row r="10" spans="2:8" x14ac:dyDescent="0.2">
      <c r="B10" s="456"/>
      <c r="C10" s="456"/>
      <c r="D10" s="860" t="s">
        <v>503</v>
      </c>
      <c r="E10" s="846"/>
      <c r="F10" s="846"/>
      <c r="G10" s="859">
        <f>SUM(G4:G9)</f>
        <v>1.69</v>
      </c>
      <c r="H10" s="882">
        <f>SUM(H4:H9)</f>
        <v>100309.09823999999</v>
      </c>
    </row>
    <row r="11" spans="2:8" ht="15" x14ac:dyDescent="0.25">
      <c r="B11" s="456"/>
      <c r="C11" s="456"/>
      <c r="D11" s="822" t="s">
        <v>368</v>
      </c>
      <c r="E11" s="846"/>
      <c r="F11" s="846"/>
      <c r="G11" s="659">
        <f>INDEX('Master Lookup'!$C$262:$C$265,MATCH(D11,'Master Lookup'!$B$262:$B$265,0))</f>
        <v>0.27379999999999999</v>
      </c>
      <c r="H11" s="892">
        <f>H10*G11</f>
        <v>27464.631098111997</v>
      </c>
    </row>
    <row r="12" spans="2:8" ht="15" x14ac:dyDescent="0.25">
      <c r="B12" s="456"/>
      <c r="C12" s="456"/>
      <c r="D12" s="813" t="s">
        <v>596</v>
      </c>
      <c r="E12" s="846"/>
      <c r="F12" s="846"/>
      <c r="G12" s="846"/>
      <c r="H12" s="882">
        <f>SUM(H10:H11)</f>
        <v>127773.729338112</v>
      </c>
    </row>
    <row r="13" spans="2:8" x14ac:dyDescent="0.2">
      <c r="B13" s="456"/>
      <c r="C13" s="456"/>
      <c r="D13" s="856"/>
      <c r="E13" s="846"/>
      <c r="F13" s="846"/>
      <c r="G13" s="846"/>
      <c r="H13" s="855"/>
    </row>
    <row r="14" spans="2:8" ht="15" x14ac:dyDescent="0.25">
      <c r="B14" s="456"/>
      <c r="C14" s="456"/>
      <c r="D14" s="854" t="s">
        <v>372</v>
      </c>
      <c r="E14" s="844"/>
      <c r="F14" s="844"/>
      <c r="G14" s="844"/>
      <c r="H14" s="853"/>
    </row>
    <row r="15" spans="2:8" ht="15" x14ac:dyDescent="0.25">
      <c r="B15" s="440">
        <v>1</v>
      </c>
      <c r="C15" s="440"/>
      <c r="D15" s="891" t="str">
        <f>IF(INDEX('Master Lookup'!$B$249:$B$260,B15)=0,"",INDEX('Master Lookup'!$B$249:$B$260,B15))</f>
        <v>Total Occupancy</v>
      </c>
      <c r="G15" s="890">
        <f>IFERROR(INDEX('Master Lookup'!$C$249:$C$260,MATCH(D15,'Master Lookup'!$B$249:$B$260,0)),"")</f>
        <v>6221.9259542286536</v>
      </c>
      <c r="H15" s="889">
        <f>G15*$G$5</f>
        <v>10141.739305392704</v>
      </c>
    </row>
    <row r="16" spans="2:8" ht="15" x14ac:dyDescent="0.25">
      <c r="B16" s="440">
        <v>2</v>
      </c>
      <c r="C16" s="440"/>
      <c r="D16" s="891" t="str">
        <f>IF(INDEX('Master Lookup'!$B$249:$B$260,B16)=0,"",INDEX('Master Lookup'!$B$249:$B$260,B16))</f>
        <v>Staff Training 204</v>
      </c>
      <c r="G16" s="890">
        <f>IFERROR(INDEX('Master Lookup'!$C$249:$C$260,MATCH(D16,'Master Lookup'!$B$249:$B$260,0)),"")</f>
        <v>202.39734163733908</v>
      </c>
      <c r="H16" s="889">
        <f>G16*$G$5</f>
        <v>329.90766686886269</v>
      </c>
    </row>
    <row r="17" spans="2:8" ht="15" x14ac:dyDescent="0.25">
      <c r="B17" s="440">
        <v>3</v>
      </c>
      <c r="C17" s="440"/>
      <c r="D17" s="891" t="str">
        <f>IF(INDEX('Master Lookup'!$B$249:$B$260,B17)=0,"",INDEX('Master Lookup'!$B$249:$B$260,B17))</f>
        <v>Staff Mileage / Travel 205</v>
      </c>
      <c r="G17" s="890">
        <f>IFERROR(INDEX('Master Lookup'!$C$249:$C$260,MATCH(D17,'Master Lookup'!$B$249:$B$260,0)),"")</f>
        <v>823.75132959083601</v>
      </c>
      <c r="H17" s="889">
        <f>G17*$G$5</f>
        <v>1342.7146672330625</v>
      </c>
    </row>
    <row r="18" spans="2:8" ht="15" x14ac:dyDescent="0.25">
      <c r="B18" s="440">
        <v>4</v>
      </c>
      <c r="C18" s="440"/>
      <c r="D18" s="891" t="str">
        <f>IF(INDEX('Master Lookup'!$B$249:$B$260,B18)=0,"",INDEX('Master Lookup'!$B$249:$B$260,B18))</f>
        <v>Client Transportation 208</v>
      </c>
      <c r="G18" s="890">
        <f>IFERROR(INDEX('Master Lookup'!$C$249:$C$260,MATCH(D18,'Master Lookup'!$B$249:$B$260,0)),"")</f>
        <v>1741.693522928565</v>
      </c>
      <c r="H18" s="889">
        <f>G18*$G$5</f>
        <v>2838.9604423735609</v>
      </c>
    </row>
    <row r="19" spans="2:8" ht="15" x14ac:dyDescent="0.25">
      <c r="B19" s="440">
        <v>5</v>
      </c>
      <c r="C19" s="440"/>
      <c r="D19" s="891" t="str">
        <f>IF(INDEX('Master Lookup'!$B$249:$B$260,B19)=0,"",INDEX('Master Lookup'!$B$249:$B$260,B19))</f>
        <v>Program Supplies &amp; Materials 215</v>
      </c>
      <c r="G19" s="890">
        <f>IFERROR(INDEX('Master Lookup'!$C$249:$C$260,MATCH(D19,'Master Lookup'!$B$249:$B$260,0)),"")</f>
        <v>1493.1564099112707</v>
      </c>
      <c r="H19" s="889">
        <f>G19*$G$5</f>
        <v>2433.8449481553712</v>
      </c>
    </row>
    <row r="20" spans="2:8" ht="15" x14ac:dyDescent="0.25">
      <c r="B20" s="440">
        <v>6</v>
      </c>
      <c r="C20" s="440"/>
      <c r="D20" s="891" t="str">
        <f>IF(INDEX('Master Lookup'!$B$249:$B$260,B20)=0,"",INDEX('Master Lookup'!$B$249:$B$260,B20))</f>
        <v>Other Expense</v>
      </c>
      <c r="G20" s="890">
        <f>IFERROR(INDEX('Master Lookup'!$C$249:$C$260,MATCH(D20,'Master Lookup'!$B$249:$B$260,0)),"")</f>
        <v>3151.0944966340862</v>
      </c>
      <c r="H20" s="889">
        <f>G20*$G$5</f>
        <v>5136.2840295135602</v>
      </c>
    </row>
    <row r="21" spans="2:8" ht="15" x14ac:dyDescent="0.25">
      <c r="B21" s="440">
        <v>7</v>
      </c>
      <c r="C21" s="440"/>
      <c r="D21" s="891" t="str">
        <f>IF(INDEX('Master Lookup'!$B$249:$B$260,B21)=0,"",INDEX('Master Lookup'!$B$249:$B$260,B21))</f>
        <v xml:space="preserve">Flex Spending </v>
      </c>
      <c r="G21" s="890">
        <f>IFERROR(INDEX('Master Lookup'!$C$249:$C$260,MATCH(D21,'Master Lookup'!$B$249:$B$260,0)),"")</f>
        <v>1000</v>
      </c>
      <c r="H21" s="889">
        <f>G21*$G$5</f>
        <v>1630</v>
      </c>
    </row>
    <row r="22" spans="2:8" ht="15" hidden="1" x14ac:dyDescent="0.25">
      <c r="B22" s="440">
        <v>8</v>
      </c>
      <c r="C22" s="440"/>
      <c r="D22" s="888" t="str">
        <f>IF(INDEX('Master Lookup'!$B$249:$B$260,B22)=0,"",INDEX('Master Lookup'!$B$249:$B$260,B22))</f>
        <v/>
      </c>
      <c r="E22" s="850"/>
      <c r="F22" s="850"/>
      <c r="G22" s="850" t="str">
        <f>IFERROR(INDEX('Master Lookup'!$C$249:$C$260,MATCH(D22,'Master Lookup'!$B$249:$B$260,0)),"")</f>
        <v/>
      </c>
      <c r="H22" s="847"/>
    </row>
    <row r="23" spans="2:8" ht="15" hidden="1" x14ac:dyDescent="0.25">
      <c r="B23" s="440">
        <v>9</v>
      </c>
      <c r="C23" s="440"/>
      <c r="D23" s="888" t="str">
        <f>IF(INDEX('Master Lookup'!$B$249:$B$260,B23)=0,"",INDEX('Master Lookup'!$B$249:$B$260,B23))</f>
        <v/>
      </c>
      <c r="E23" s="850"/>
      <c r="F23" s="850"/>
      <c r="G23" s="850" t="str">
        <f>IFERROR(INDEX('Master Lookup'!$C$249:$C$260,MATCH(D23,'Master Lookup'!$B$249:$B$260,0)),"")</f>
        <v/>
      </c>
      <c r="H23" s="847"/>
    </row>
    <row r="24" spans="2:8" ht="15" hidden="1" x14ac:dyDescent="0.25">
      <c r="B24" s="440">
        <v>10</v>
      </c>
      <c r="C24" s="440"/>
      <c r="D24" s="888" t="str">
        <f>IF(INDEX('Master Lookup'!$B$249:$B$260,B24)=0,"",INDEX('Master Lookup'!$B$249:$B$260,B24))</f>
        <v/>
      </c>
      <c r="E24" s="850"/>
      <c r="F24" s="850"/>
      <c r="G24" s="850" t="str">
        <f>IFERROR(INDEX('Master Lookup'!$C$249:$C$260,MATCH(D24,'Master Lookup'!$B$249:$B$260,0)),"")</f>
        <v/>
      </c>
      <c r="H24" s="847"/>
    </row>
    <row r="25" spans="2:8" ht="15" hidden="1" x14ac:dyDescent="0.25">
      <c r="B25" s="440">
        <v>11</v>
      </c>
      <c r="C25" s="440"/>
      <c r="D25" s="888" t="str">
        <f>IF(INDEX('Master Lookup'!$B$249:$B$260,B25)=0,"",INDEX('Master Lookup'!$B$249:$B$260,B25))</f>
        <v/>
      </c>
      <c r="E25" s="850"/>
      <c r="F25" s="850"/>
      <c r="G25" s="850" t="str">
        <f>IFERROR(INDEX('Master Lookup'!$C$249:$C$260,MATCH(D25,'Master Lookup'!$B$249:$B$260,0)),"")</f>
        <v/>
      </c>
      <c r="H25" s="847"/>
    </row>
    <row r="26" spans="2:8" ht="15" hidden="1" x14ac:dyDescent="0.25">
      <c r="B26" s="440">
        <v>12</v>
      </c>
      <c r="C26" s="440"/>
      <c r="D26" s="888" t="str">
        <f>IF(INDEX('Master Lookup'!$B$249:$B$260,B26)=0,"",INDEX('Master Lookup'!$B$249:$B$260,B26))</f>
        <v/>
      </c>
      <c r="E26" s="850"/>
      <c r="F26" s="850"/>
      <c r="G26" s="850" t="str">
        <f>IFERROR(INDEX('Master Lookup'!$C$249:$C$260,MATCH(D26,'Master Lookup'!$B$249:$B$260,0)),"")</f>
        <v/>
      </c>
      <c r="H26" s="847"/>
    </row>
    <row r="27" spans="2:8" ht="15" x14ac:dyDescent="0.25">
      <c r="D27" s="813" t="s">
        <v>538</v>
      </c>
      <c r="E27" s="846"/>
      <c r="F27" s="846"/>
      <c r="G27" s="846"/>
      <c r="H27" s="882">
        <f>SUM(H15:H26)</f>
        <v>23853.451059537125</v>
      </c>
    </row>
    <row r="28" spans="2:8" ht="15.75" x14ac:dyDescent="0.25">
      <c r="D28" s="819"/>
      <c r="E28" s="846"/>
      <c r="F28" s="846"/>
      <c r="G28" s="846"/>
      <c r="H28" s="855"/>
    </row>
    <row r="29" spans="2:8" ht="15" x14ac:dyDescent="0.25">
      <c r="D29" s="887" t="s">
        <v>537</v>
      </c>
      <c r="H29" s="886">
        <f>SUM(H27,H12)</f>
        <v>151627.18039764912</v>
      </c>
    </row>
    <row r="30" spans="2:8" ht="15" x14ac:dyDescent="0.25">
      <c r="D30" s="809" t="s">
        <v>366</v>
      </c>
      <c r="E30" s="844"/>
      <c r="F30" s="844"/>
      <c r="G30" s="624">
        <f>INDEX('Master Lookup'!$C$262:$C$265,MATCH(D30,'Master Lookup'!$B$262:$B$265,0))</f>
        <v>0.12</v>
      </c>
      <c r="H30" s="885">
        <f>H29*G30</f>
        <v>18195.261647717893</v>
      </c>
    </row>
    <row r="31" spans="2:8" ht="15" x14ac:dyDescent="0.25">
      <c r="D31" s="807" t="s">
        <v>367</v>
      </c>
      <c r="E31" s="842"/>
      <c r="F31" s="842"/>
      <c r="G31" s="620">
        <f>INDEX('Master Lookup'!$C$262:$C$265,MATCH(D31,'Master Lookup'!$B$262:$B$265,0))</f>
        <v>2.7100379121522307E-2</v>
      </c>
      <c r="H31" s="884">
        <f>(H29+H30)*G31</f>
        <v>4602.2525627721961</v>
      </c>
    </row>
    <row r="32" spans="2:8" ht="15" x14ac:dyDescent="0.25">
      <c r="D32" s="883" t="s">
        <v>499</v>
      </c>
      <c r="E32" s="846"/>
      <c r="F32" s="846"/>
      <c r="G32" s="846"/>
      <c r="H32" s="882">
        <f>SUM(H29:H31)</f>
        <v>174424.69460813919</v>
      </c>
    </row>
    <row r="33" spans="4:8" x14ac:dyDescent="0.2">
      <c r="D33" s="881" t="s">
        <v>440</v>
      </c>
      <c r="E33" s="846"/>
      <c r="F33" s="846"/>
      <c r="G33" s="846"/>
      <c r="H33" s="880">
        <f>INDEX('Master Lookup'!$C$262:$C$265,MATCH(D33,'Master Lookup'!$B$262:$B$265,0))</f>
        <v>35</v>
      </c>
    </row>
    <row r="34" spans="4:8" ht="13.5" thickBot="1" x14ac:dyDescent="0.25">
      <c r="D34" s="879" t="s">
        <v>601</v>
      </c>
      <c r="E34" s="878"/>
      <c r="F34" s="878"/>
      <c r="G34" s="878"/>
      <c r="H34" s="877">
        <f>ROUND((H32/H33)/12,2)</f>
        <v>415.3</v>
      </c>
    </row>
    <row r="36" spans="4:8" x14ac:dyDescent="0.2">
      <c r="H36" s="585"/>
    </row>
  </sheetData>
  <mergeCells count="1">
    <mergeCell ref="D2:H2"/>
  </mergeCells>
  <pageMargins left="0.75" right="0.75" top="1" bottom="1" header="0.5" footer="0.5"/>
  <pageSetup scale="6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9C00E-5037-4B2A-8C56-4C3F43DCE824}">
  <sheetPr>
    <pageSetUpPr fitToPage="1"/>
  </sheetPr>
  <dimension ref="A1:J32"/>
  <sheetViews>
    <sheetView zoomScaleNormal="100" workbookViewId="0">
      <selection activeCell="J13" sqref="J13"/>
    </sheetView>
  </sheetViews>
  <sheetFormatPr defaultColWidth="6.42578125" defaultRowHeight="15" x14ac:dyDescent="0.25"/>
  <cols>
    <col min="1" max="1" width="6.42578125" style="158"/>
    <col min="2" max="2" width="3.85546875" style="158" hidden="1" customWidth="1"/>
    <col min="3" max="3" width="6.42578125" style="907"/>
    <col min="4" max="4" width="32.140625" style="158" bestFit="1" customWidth="1"/>
    <col min="5" max="5" width="7.85546875" style="158" bestFit="1" customWidth="1"/>
    <col min="6" max="6" width="7.42578125" style="158" bestFit="1" customWidth="1"/>
    <col min="7" max="7" width="8.85546875" style="158" bestFit="1" customWidth="1"/>
    <col min="8" max="8" width="6.42578125" style="158"/>
    <col min="9" max="9" width="27.140625" style="158" bestFit="1" customWidth="1"/>
    <col min="10" max="10" width="16.140625" style="158" bestFit="1" customWidth="1"/>
    <col min="11" max="16384" width="6.42578125" style="158"/>
  </cols>
  <sheetData>
    <row r="1" spans="1:10" s="947" customFormat="1" x14ac:dyDescent="0.25">
      <c r="A1" s="949"/>
      <c r="B1" s="949"/>
      <c r="C1" s="948"/>
    </row>
    <row r="2" spans="1:10" ht="15.75" thickBot="1" x14ac:dyDescent="0.3">
      <c r="A2" s="699"/>
      <c r="B2" s="699"/>
      <c r="C2" s="946"/>
    </row>
    <row r="3" spans="1:10" ht="15.75" thickBot="1" x14ac:dyDescent="0.3">
      <c r="A3" s="433"/>
      <c r="B3" s="433"/>
      <c r="C3" s="945"/>
      <c r="D3" s="774" t="s">
        <v>602</v>
      </c>
      <c r="E3" s="773"/>
      <c r="F3" s="773"/>
      <c r="G3" s="772"/>
      <c r="I3" s="944" t="s">
        <v>577</v>
      </c>
      <c r="J3" s="944" t="s">
        <v>584</v>
      </c>
    </row>
    <row r="4" spans="1:10" x14ac:dyDescent="0.25">
      <c r="A4" s="771"/>
      <c r="B4" s="771"/>
      <c r="D4" s="943"/>
      <c r="E4" s="942"/>
      <c r="F4" s="941" t="s">
        <v>43</v>
      </c>
      <c r="G4" s="940">
        <f>J9</f>
        <v>1775</v>
      </c>
      <c r="I4" s="939" t="s">
        <v>573</v>
      </c>
      <c r="J4" s="931">
        <v>2080</v>
      </c>
    </row>
    <row r="5" spans="1:10" ht="18" customHeight="1" x14ac:dyDescent="0.25">
      <c r="A5" s="727"/>
      <c r="B5" s="727"/>
      <c r="D5" s="167"/>
      <c r="E5" s="433" t="s">
        <v>377</v>
      </c>
      <c r="F5" s="419" t="s">
        <v>380</v>
      </c>
      <c r="G5" s="767" t="s">
        <v>504</v>
      </c>
      <c r="I5" s="937" t="s">
        <v>571</v>
      </c>
      <c r="J5" s="936">
        <f>120*2</f>
        <v>240</v>
      </c>
    </row>
    <row r="6" spans="1:10" ht="17.25" customHeight="1" x14ac:dyDescent="0.25">
      <c r="A6" s="727"/>
      <c r="B6" s="440">
        <v>1</v>
      </c>
      <c r="D6" s="640" t="str">
        <f>IF(INDEX('Master Lookup'!$B$146:$B$152,B6)=0,"",INDEX('Master Lookup'!$B$146:$B$152,B6))</f>
        <v>Management</v>
      </c>
      <c r="E6" s="671">
        <f>IFERROR(INDEX('Master Lookup'!$D$146:$D$152,MATCH(D6,'Master Lookup'!$B$146:$B$152,0)),"")</f>
        <v>79415.232000000018</v>
      </c>
      <c r="F6" s="670">
        <f>IFERROR(INDEX('Master Lookup'!$E$146:$E$152,MATCH(D6,'Master Lookup'!$B$146:$B$152,0)),"")</f>
        <v>0.06</v>
      </c>
      <c r="G6" s="738">
        <f>E6*F6</f>
        <v>4764.9139200000009</v>
      </c>
      <c r="I6" s="938" t="s">
        <v>568</v>
      </c>
      <c r="J6" s="936">
        <f>10*2.5</f>
        <v>25</v>
      </c>
    </row>
    <row r="7" spans="1:10" x14ac:dyDescent="0.25">
      <c r="A7" s="724"/>
      <c r="B7" s="440">
        <v>2</v>
      </c>
      <c r="D7" s="494" t="str">
        <f>IF(INDEX('Master Lookup'!$B$146:$B$152,B7)=0,"",INDEX('Master Lookup'!$B$146:$B$152,B7))</f>
        <v>Direct Care Staff</v>
      </c>
      <c r="E7" s="496">
        <f>IFERROR(INDEX('Master Lookup'!$D$146:$D$152,MATCH(D7,'Master Lookup'!$B$146:$B$152,0)),"")</f>
        <v>41600</v>
      </c>
      <c r="F7" s="547">
        <f>IFERROR(INDEX('Master Lookup'!$E$146:$E$152,MATCH(D7,'Master Lookup'!$B$146:$B$152,0)),"")</f>
        <v>1</v>
      </c>
      <c r="G7" s="759">
        <f>E7*F7</f>
        <v>41600</v>
      </c>
      <c r="I7" s="937" t="s">
        <v>567</v>
      </c>
      <c r="J7" s="936">
        <f>40*1</f>
        <v>40</v>
      </c>
    </row>
    <row r="8" spans="1:10" ht="18.75" customHeight="1" x14ac:dyDescent="0.25">
      <c r="A8" s="727"/>
      <c r="B8" s="440">
        <v>3</v>
      </c>
      <c r="D8" s="923" t="s">
        <v>503</v>
      </c>
      <c r="E8" s="935"/>
      <c r="F8" s="934">
        <f>SUM(F6:F7)</f>
        <v>1.06</v>
      </c>
      <c r="G8" s="933">
        <f>SUM(G6:G7)</f>
        <v>46364.913919999999</v>
      </c>
      <c r="I8" s="932" t="s">
        <v>564</v>
      </c>
      <c r="J8" s="931">
        <f>SUM(J5:J7)</f>
        <v>305</v>
      </c>
    </row>
    <row r="9" spans="1:10" ht="15" customHeight="1" x14ac:dyDescent="0.25">
      <c r="A9" s="727"/>
      <c r="B9" s="440">
        <v>4</v>
      </c>
      <c r="D9" s="395" t="s">
        <v>368</v>
      </c>
      <c r="E9" s="624">
        <f>INDEX('Master Lookup'!$C$160:$C$162,MATCH(D9,'Master Lookup'!$B$160:$B$162,0))</f>
        <v>0.27379999999999999</v>
      </c>
      <c r="F9" s="764"/>
      <c r="G9" s="738">
        <f>G8*E9</f>
        <v>12694.713431295999</v>
      </c>
      <c r="I9" s="932" t="s">
        <v>563</v>
      </c>
      <c r="J9" s="931">
        <f>J4-J8</f>
        <v>1775</v>
      </c>
    </row>
    <row r="10" spans="1:10" ht="16.5" customHeight="1" x14ac:dyDescent="0.25">
      <c r="A10" s="727"/>
      <c r="B10" s="440">
        <v>5</v>
      </c>
      <c r="D10" s="930"/>
      <c r="E10" s="929"/>
      <c r="F10" s="928"/>
      <c r="G10" s="734"/>
    </row>
    <row r="11" spans="1:10" ht="18" customHeight="1" x14ac:dyDescent="0.25">
      <c r="A11" s="727"/>
      <c r="B11" s="440">
        <v>6</v>
      </c>
      <c r="C11" s="158"/>
      <c r="D11" s="927" t="s">
        <v>502</v>
      </c>
      <c r="E11" s="926"/>
      <c r="F11" s="926"/>
      <c r="G11" s="925">
        <f>SUM(G8:G10)</f>
        <v>59059.627351295996</v>
      </c>
    </row>
    <row r="12" spans="1:10" x14ac:dyDescent="0.25">
      <c r="A12" s="924"/>
      <c r="D12" s="923" t="s">
        <v>372</v>
      </c>
      <c r="E12" s="922"/>
      <c r="F12" s="922"/>
      <c r="G12" s="921"/>
    </row>
    <row r="13" spans="1:10" x14ac:dyDescent="0.25">
      <c r="D13" s="156" t="s">
        <v>356</v>
      </c>
      <c r="E13" s="920"/>
      <c r="F13" s="496">
        <f>IFERROR(INDEX('Master Lookup'!$C$155:$C$158,MATCH(D13,'Master Lookup'!$B$155:$B$158,0)),"")</f>
        <v>202.39734163733908</v>
      </c>
      <c r="G13" s="759">
        <f>F8*F13</f>
        <v>214.54118213557945</v>
      </c>
      <c r="H13" s="718"/>
    </row>
    <row r="14" spans="1:10" x14ac:dyDescent="0.25">
      <c r="D14" s="156" t="s">
        <v>354</v>
      </c>
      <c r="E14" s="920"/>
      <c r="F14" s="496">
        <f>IFERROR(INDEX('Master Lookup'!$C$155:$C$158,MATCH(D14,'Master Lookup'!$B$155:$B$158,0)),"")</f>
        <v>823.75132959083601</v>
      </c>
      <c r="G14" s="759">
        <f>F8*F14</f>
        <v>873.17640936628618</v>
      </c>
    </row>
    <row r="15" spans="1:10" x14ac:dyDescent="0.25">
      <c r="D15" s="919"/>
      <c r="E15" s="918"/>
      <c r="F15" s="918"/>
      <c r="G15" s="917"/>
      <c r="H15" s="712"/>
    </row>
    <row r="16" spans="1:10" x14ac:dyDescent="0.25">
      <c r="D16" s="919"/>
      <c r="E16" s="918"/>
      <c r="F16" s="918"/>
      <c r="G16" s="917"/>
    </row>
    <row r="17" spans="2:8" x14ac:dyDescent="0.25">
      <c r="B17" s="440">
        <v>1</v>
      </c>
      <c r="D17" s="916" t="s">
        <v>538</v>
      </c>
      <c r="E17" s="361"/>
      <c r="F17" s="915"/>
      <c r="G17" s="914">
        <f>SUM(G11:G14)</f>
        <v>60147.344942797863</v>
      </c>
    </row>
    <row r="18" spans="2:8" x14ac:dyDescent="0.25">
      <c r="B18" s="440">
        <v>2</v>
      </c>
      <c r="D18" s="395" t="s">
        <v>366</v>
      </c>
      <c r="E18" s="624">
        <f>INDEX('Master Lookup'!$C$160:$C$162,MATCH(D18,'Master Lookup'!$B$160:$B$162,0))</f>
        <v>0.12</v>
      </c>
      <c r="F18" s="739"/>
      <c r="G18" s="738">
        <f>G17*E18</f>
        <v>7217.6813931357437</v>
      </c>
      <c r="H18" s="701"/>
    </row>
    <row r="19" spans="2:8" hidden="1" x14ac:dyDescent="0.25">
      <c r="B19" s="440">
        <v>3</v>
      </c>
      <c r="D19" s="391" t="s">
        <v>367</v>
      </c>
      <c r="E19" s="620">
        <f>INDEX('Master Lookup'!$C$160:$C$162,MATCH(D19,'Master Lookup'!$B$160:$B$162,0))</f>
        <v>2.7100379121522307E-2</v>
      </c>
      <c r="F19" s="735"/>
      <c r="G19" s="734">
        <f>(G17+G18)*E19</f>
        <v>1825.6177532351355</v>
      </c>
      <c r="H19" s="701"/>
    </row>
    <row r="20" spans="2:8" hidden="1" x14ac:dyDescent="0.25">
      <c r="B20" s="440">
        <v>4</v>
      </c>
      <c r="D20" s="883" t="s">
        <v>499</v>
      </c>
      <c r="E20" s="912"/>
      <c r="F20" s="913"/>
      <c r="G20" s="742">
        <f>SUM(G17:G19)</f>
        <v>69190.644089168738</v>
      </c>
      <c r="H20" s="701"/>
    </row>
    <row r="21" spans="2:8" x14ac:dyDescent="0.25">
      <c r="D21" s="713" t="s">
        <v>581</v>
      </c>
      <c r="E21" s="912"/>
      <c r="F21" s="911"/>
      <c r="G21" s="725">
        <f>ROUND((G20/G4)/4,2)</f>
        <v>9.75</v>
      </c>
    </row>
    <row r="22" spans="2:8" x14ac:dyDescent="0.25">
      <c r="D22" s="710" t="s">
        <v>580</v>
      </c>
      <c r="E22" s="910"/>
      <c r="F22" s="910"/>
      <c r="G22" s="722">
        <f>ROUND(G21/2,2)</f>
        <v>4.88</v>
      </c>
    </row>
    <row r="23" spans="2:8" ht="15.75" thickBot="1" x14ac:dyDescent="0.3">
      <c r="D23" s="706" t="s">
        <v>579</v>
      </c>
      <c r="E23" s="909"/>
      <c r="F23" s="909"/>
      <c r="G23" s="908">
        <f>ROUND(G21/5,2)</f>
        <v>1.95</v>
      </c>
    </row>
    <row r="24" spans="2:8" ht="15.75" thickBot="1" x14ac:dyDescent="0.3"/>
    <row r="25" spans="2:8" ht="27" thickBot="1" x14ac:dyDescent="0.3">
      <c r="D25" s="716"/>
      <c r="E25" s="715" t="s">
        <v>310</v>
      </c>
      <c r="F25" s="715" t="s">
        <v>583</v>
      </c>
      <c r="G25" s="714" t="s">
        <v>582</v>
      </c>
    </row>
    <row r="26" spans="2:8" x14ac:dyDescent="0.25">
      <c r="D26" s="713" t="s">
        <v>581</v>
      </c>
      <c r="E26" s="709">
        <v>7.84</v>
      </c>
      <c r="F26" s="708">
        <f>G21</f>
        <v>9.75</v>
      </c>
      <c r="G26" s="707">
        <f>(F26-E26)/E26</f>
        <v>0.24362244897959187</v>
      </c>
    </row>
    <row r="27" spans="2:8" x14ac:dyDescent="0.25">
      <c r="D27" s="710" t="s">
        <v>580</v>
      </c>
      <c r="E27" s="709">
        <v>3.92</v>
      </c>
      <c r="F27" s="708">
        <f>G22</f>
        <v>4.88</v>
      </c>
      <c r="G27" s="707">
        <f>(F27-E27)/E27</f>
        <v>0.24489795918367346</v>
      </c>
    </row>
    <row r="28" spans="2:8" ht="15.75" thickBot="1" x14ac:dyDescent="0.3">
      <c r="D28" s="706" t="s">
        <v>579</v>
      </c>
      <c r="E28" s="705">
        <v>1.6</v>
      </c>
      <c r="F28" s="704">
        <f>G23</f>
        <v>1.95</v>
      </c>
      <c r="G28" s="703">
        <f>(F28-E28)/E28</f>
        <v>0.21874999999999992</v>
      </c>
    </row>
    <row r="29" spans="2:8" hidden="1" x14ac:dyDescent="0.25"/>
    <row r="30" spans="2:8" hidden="1" x14ac:dyDescent="0.25"/>
    <row r="31" spans="2:8" hidden="1" x14ac:dyDescent="0.25"/>
    <row r="32" spans="2:8" hidden="1" x14ac:dyDescent="0.25"/>
  </sheetData>
  <mergeCells count="1">
    <mergeCell ref="D3:G3"/>
  </mergeCells>
  <pageMargins left="0.75" right="0.75" top="1" bottom="1" header="0.5" footer="0.5"/>
  <pageSetup scale="6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E9F54-586D-4A9C-BF44-470A765E6234}">
  <sheetPr>
    <pageSetUpPr fitToPage="1"/>
  </sheetPr>
  <dimension ref="A1:K44"/>
  <sheetViews>
    <sheetView zoomScaleNormal="100" workbookViewId="0">
      <selection activeCell="J13" sqref="J13"/>
    </sheetView>
  </sheetViews>
  <sheetFormatPr defaultRowHeight="15.75" x14ac:dyDescent="0.25"/>
  <cols>
    <col min="1" max="1" width="5.5703125" style="950" customWidth="1"/>
    <col min="2" max="2" width="5.5703125" style="951" hidden="1" customWidth="1"/>
    <col min="3" max="3" width="4.28515625" style="951" customWidth="1"/>
    <col min="4" max="4" width="32.42578125" style="951" customWidth="1"/>
    <col min="5" max="5" width="8.5703125" style="951" bestFit="1" customWidth="1"/>
    <col min="6" max="6" width="8.85546875" style="951" customWidth="1"/>
    <col min="7" max="7" width="9.85546875" style="951" bestFit="1" customWidth="1"/>
    <col min="8" max="8" width="6.28515625" style="951" customWidth="1"/>
    <col min="9" max="9" width="25.85546875" style="951" bestFit="1" customWidth="1"/>
    <col min="10" max="10" width="15.7109375" style="950" bestFit="1" customWidth="1"/>
    <col min="11" max="236" width="9.140625" style="950"/>
    <col min="237" max="237" width="27.7109375" style="950" customWidth="1"/>
    <col min="238" max="238" width="32.85546875" style="950" bestFit="1" customWidth="1"/>
    <col min="239" max="239" width="11.5703125" style="950" bestFit="1" customWidth="1"/>
    <col min="240" max="240" width="9.7109375" style="950" customWidth="1"/>
    <col min="241" max="241" width="12" style="950" customWidth="1"/>
    <col min="242" max="242" width="30.140625" style="950" customWidth="1"/>
    <col min="243" max="243" width="12" style="950" customWidth="1"/>
    <col min="244" max="244" width="12.140625" style="950" customWidth="1"/>
    <col min="245" max="492" width="9.140625" style="950"/>
    <col min="493" max="493" width="27.7109375" style="950" customWidth="1"/>
    <col min="494" max="494" width="32.85546875" style="950" bestFit="1" customWidth="1"/>
    <col min="495" max="495" width="11.5703125" style="950" bestFit="1" customWidth="1"/>
    <col min="496" max="496" width="9.7109375" style="950" customWidth="1"/>
    <col min="497" max="497" width="12" style="950" customWidth="1"/>
    <col min="498" max="498" width="30.140625" style="950" customWidth="1"/>
    <col min="499" max="499" width="12" style="950" customWidth="1"/>
    <col min="500" max="500" width="12.140625" style="950" customWidth="1"/>
    <col min="501" max="748" width="9.140625" style="950"/>
    <col min="749" max="749" width="27.7109375" style="950" customWidth="1"/>
    <col min="750" max="750" width="32.85546875" style="950" bestFit="1" customWidth="1"/>
    <col min="751" max="751" width="11.5703125" style="950" bestFit="1" customWidth="1"/>
    <col min="752" max="752" width="9.7109375" style="950" customWidth="1"/>
    <col min="753" max="753" width="12" style="950" customWidth="1"/>
    <col min="754" max="754" width="30.140625" style="950" customWidth="1"/>
    <col min="755" max="755" width="12" style="950" customWidth="1"/>
    <col min="756" max="756" width="12.140625" style="950" customWidth="1"/>
    <col min="757" max="1004" width="9.140625" style="950"/>
    <col min="1005" max="1005" width="27.7109375" style="950" customWidth="1"/>
    <col min="1006" max="1006" width="32.85546875" style="950" bestFit="1" customWidth="1"/>
    <col min="1007" max="1007" width="11.5703125" style="950" bestFit="1" customWidth="1"/>
    <col min="1008" max="1008" width="9.7109375" style="950" customWidth="1"/>
    <col min="1009" max="1009" width="12" style="950" customWidth="1"/>
    <col min="1010" max="1010" width="30.140625" style="950" customWidth="1"/>
    <col min="1011" max="1011" width="12" style="950" customWidth="1"/>
    <col min="1012" max="1012" width="12.140625" style="950" customWidth="1"/>
    <col min="1013" max="1260" width="9.140625" style="950"/>
    <col min="1261" max="1261" width="27.7109375" style="950" customWidth="1"/>
    <col min="1262" max="1262" width="32.85546875" style="950" bestFit="1" customWidth="1"/>
    <col min="1263" max="1263" width="11.5703125" style="950" bestFit="1" customWidth="1"/>
    <col min="1264" max="1264" width="9.7109375" style="950" customWidth="1"/>
    <col min="1265" max="1265" width="12" style="950" customWidth="1"/>
    <col min="1266" max="1266" width="30.140625" style="950" customWidth="1"/>
    <col min="1267" max="1267" width="12" style="950" customWidth="1"/>
    <col min="1268" max="1268" width="12.140625" style="950" customWidth="1"/>
    <col min="1269" max="1516" width="9.140625" style="950"/>
    <col min="1517" max="1517" width="27.7109375" style="950" customWidth="1"/>
    <col min="1518" max="1518" width="32.85546875" style="950" bestFit="1" customWidth="1"/>
    <col min="1519" max="1519" width="11.5703125" style="950" bestFit="1" customWidth="1"/>
    <col min="1520" max="1520" width="9.7109375" style="950" customWidth="1"/>
    <col min="1521" max="1521" width="12" style="950" customWidth="1"/>
    <col min="1522" max="1522" width="30.140625" style="950" customWidth="1"/>
    <col min="1523" max="1523" width="12" style="950" customWidth="1"/>
    <col min="1524" max="1524" width="12.140625" style="950" customWidth="1"/>
    <col min="1525" max="1772" width="9.140625" style="950"/>
    <col min="1773" max="1773" width="27.7109375" style="950" customWidth="1"/>
    <col min="1774" max="1774" width="32.85546875" style="950" bestFit="1" customWidth="1"/>
    <col min="1775" max="1775" width="11.5703125" style="950" bestFit="1" customWidth="1"/>
    <col min="1776" max="1776" width="9.7109375" style="950" customWidth="1"/>
    <col min="1777" max="1777" width="12" style="950" customWidth="1"/>
    <col min="1778" max="1778" width="30.140625" style="950" customWidth="1"/>
    <col min="1779" max="1779" width="12" style="950" customWidth="1"/>
    <col min="1780" max="1780" width="12.140625" style="950" customWidth="1"/>
    <col min="1781" max="2028" width="9.140625" style="950"/>
    <col min="2029" max="2029" width="27.7109375" style="950" customWidth="1"/>
    <col min="2030" max="2030" width="32.85546875" style="950" bestFit="1" customWidth="1"/>
    <col min="2031" max="2031" width="11.5703125" style="950" bestFit="1" customWidth="1"/>
    <col min="2032" max="2032" width="9.7109375" style="950" customWidth="1"/>
    <col min="2033" max="2033" width="12" style="950" customWidth="1"/>
    <col min="2034" max="2034" width="30.140625" style="950" customWidth="1"/>
    <col min="2035" max="2035" width="12" style="950" customWidth="1"/>
    <col min="2036" max="2036" width="12.140625" style="950" customWidth="1"/>
    <col min="2037" max="2284" width="9.140625" style="950"/>
    <col min="2285" max="2285" width="27.7109375" style="950" customWidth="1"/>
    <col min="2286" max="2286" width="32.85546875" style="950" bestFit="1" customWidth="1"/>
    <col min="2287" max="2287" width="11.5703125" style="950" bestFit="1" customWidth="1"/>
    <col min="2288" max="2288" width="9.7109375" style="950" customWidth="1"/>
    <col min="2289" max="2289" width="12" style="950" customWidth="1"/>
    <col min="2290" max="2290" width="30.140625" style="950" customWidth="1"/>
    <col min="2291" max="2291" width="12" style="950" customWidth="1"/>
    <col min="2292" max="2292" width="12.140625" style="950" customWidth="1"/>
    <col min="2293" max="2540" width="9.140625" style="950"/>
    <col min="2541" max="2541" width="27.7109375" style="950" customWidth="1"/>
    <col min="2542" max="2542" width="32.85546875" style="950" bestFit="1" customWidth="1"/>
    <col min="2543" max="2543" width="11.5703125" style="950" bestFit="1" customWidth="1"/>
    <col min="2544" max="2544" width="9.7109375" style="950" customWidth="1"/>
    <col min="2545" max="2545" width="12" style="950" customWidth="1"/>
    <col min="2546" max="2546" width="30.140625" style="950" customWidth="1"/>
    <col min="2547" max="2547" width="12" style="950" customWidth="1"/>
    <col min="2548" max="2548" width="12.140625" style="950" customWidth="1"/>
    <col min="2549" max="2796" width="9.140625" style="950"/>
    <col min="2797" max="2797" width="27.7109375" style="950" customWidth="1"/>
    <col min="2798" max="2798" width="32.85546875" style="950" bestFit="1" customWidth="1"/>
    <col min="2799" max="2799" width="11.5703125" style="950" bestFit="1" customWidth="1"/>
    <col min="2800" max="2800" width="9.7109375" style="950" customWidth="1"/>
    <col min="2801" max="2801" width="12" style="950" customWidth="1"/>
    <col min="2802" max="2802" width="30.140625" style="950" customWidth="1"/>
    <col min="2803" max="2803" width="12" style="950" customWidth="1"/>
    <col min="2804" max="2804" width="12.140625" style="950" customWidth="1"/>
    <col min="2805" max="3052" width="9.140625" style="950"/>
    <col min="3053" max="3053" width="27.7109375" style="950" customWidth="1"/>
    <col min="3054" max="3054" width="32.85546875" style="950" bestFit="1" customWidth="1"/>
    <col min="3055" max="3055" width="11.5703125" style="950" bestFit="1" customWidth="1"/>
    <col min="3056" max="3056" width="9.7109375" style="950" customWidth="1"/>
    <col min="3057" max="3057" width="12" style="950" customWidth="1"/>
    <col min="3058" max="3058" width="30.140625" style="950" customWidth="1"/>
    <col min="3059" max="3059" width="12" style="950" customWidth="1"/>
    <col min="3060" max="3060" width="12.140625" style="950" customWidth="1"/>
    <col min="3061" max="3308" width="9.140625" style="950"/>
    <col min="3309" max="3309" width="27.7109375" style="950" customWidth="1"/>
    <col min="3310" max="3310" width="32.85546875" style="950" bestFit="1" customWidth="1"/>
    <col min="3311" max="3311" width="11.5703125" style="950" bestFit="1" customWidth="1"/>
    <col min="3312" max="3312" width="9.7109375" style="950" customWidth="1"/>
    <col min="3313" max="3313" width="12" style="950" customWidth="1"/>
    <col min="3314" max="3314" width="30.140625" style="950" customWidth="1"/>
    <col min="3315" max="3315" width="12" style="950" customWidth="1"/>
    <col min="3316" max="3316" width="12.140625" style="950" customWidth="1"/>
    <col min="3317" max="3564" width="9.140625" style="950"/>
    <col min="3565" max="3565" width="27.7109375" style="950" customWidth="1"/>
    <col min="3566" max="3566" width="32.85546875" style="950" bestFit="1" customWidth="1"/>
    <col min="3567" max="3567" width="11.5703125" style="950" bestFit="1" customWidth="1"/>
    <col min="3568" max="3568" width="9.7109375" style="950" customWidth="1"/>
    <col min="3569" max="3569" width="12" style="950" customWidth="1"/>
    <col min="3570" max="3570" width="30.140625" style="950" customWidth="1"/>
    <col min="3571" max="3571" width="12" style="950" customWidth="1"/>
    <col min="3572" max="3572" width="12.140625" style="950" customWidth="1"/>
    <col min="3573" max="3820" width="9.140625" style="950"/>
    <col min="3821" max="3821" width="27.7109375" style="950" customWidth="1"/>
    <col min="3822" max="3822" width="32.85546875" style="950" bestFit="1" customWidth="1"/>
    <col min="3823" max="3823" width="11.5703125" style="950" bestFit="1" customWidth="1"/>
    <col min="3824" max="3824" width="9.7109375" style="950" customWidth="1"/>
    <col min="3825" max="3825" width="12" style="950" customWidth="1"/>
    <col min="3826" max="3826" width="30.140625" style="950" customWidth="1"/>
    <col min="3827" max="3827" width="12" style="950" customWidth="1"/>
    <col min="3828" max="3828" width="12.140625" style="950" customWidth="1"/>
    <col min="3829" max="4076" width="9.140625" style="950"/>
    <col min="4077" max="4077" width="27.7109375" style="950" customWidth="1"/>
    <col min="4078" max="4078" width="32.85546875" style="950" bestFit="1" customWidth="1"/>
    <col min="4079" max="4079" width="11.5703125" style="950" bestFit="1" customWidth="1"/>
    <col min="4080" max="4080" width="9.7109375" style="950" customWidth="1"/>
    <col min="4081" max="4081" width="12" style="950" customWidth="1"/>
    <col min="4082" max="4082" width="30.140625" style="950" customWidth="1"/>
    <col min="4083" max="4083" width="12" style="950" customWidth="1"/>
    <col min="4084" max="4084" width="12.140625" style="950" customWidth="1"/>
    <col min="4085" max="4332" width="9.140625" style="950"/>
    <col min="4333" max="4333" width="27.7109375" style="950" customWidth="1"/>
    <col min="4334" max="4334" width="32.85546875" style="950" bestFit="1" customWidth="1"/>
    <col min="4335" max="4335" width="11.5703125" style="950" bestFit="1" customWidth="1"/>
    <col min="4336" max="4336" width="9.7109375" style="950" customWidth="1"/>
    <col min="4337" max="4337" width="12" style="950" customWidth="1"/>
    <col min="4338" max="4338" width="30.140625" style="950" customWidth="1"/>
    <col min="4339" max="4339" width="12" style="950" customWidth="1"/>
    <col min="4340" max="4340" width="12.140625" style="950" customWidth="1"/>
    <col min="4341" max="4588" width="9.140625" style="950"/>
    <col min="4589" max="4589" width="27.7109375" style="950" customWidth="1"/>
    <col min="4590" max="4590" width="32.85546875" style="950" bestFit="1" customWidth="1"/>
    <col min="4591" max="4591" width="11.5703125" style="950" bestFit="1" customWidth="1"/>
    <col min="4592" max="4592" width="9.7109375" style="950" customWidth="1"/>
    <col min="4593" max="4593" width="12" style="950" customWidth="1"/>
    <col min="4594" max="4594" width="30.140625" style="950" customWidth="1"/>
    <col min="4595" max="4595" width="12" style="950" customWidth="1"/>
    <col min="4596" max="4596" width="12.140625" style="950" customWidth="1"/>
    <col min="4597" max="4844" width="9.140625" style="950"/>
    <col min="4845" max="4845" width="27.7109375" style="950" customWidth="1"/>
    <col min="4846" max="4846" width="32.85546875" style="950" bestFit="1" customWidth="1"/>
    <col min="4847" max="4847" width="11.5703125" style="950" bestFit="1" customWidth="1"/>
    <col min="4848" max="4848" width="9.7109375" style="950" customWidth="1"/>
    <col min="4849" max="4849" width="12" style="950" customWidth="1"/>
    <col min="4850" max="4850" width="30.140625" style="950" customWidth="1"/>
    <col min="4851" max="4851" width="12" style="950" customWidth="1"/>
    <col min="4852" max="4852" width="12.140625" style="950" customWidth="1"/>
    <col min="4853" max="5100" width="9.140625" style="950"/>
    <col min="5101" max="5101" width="27.7109375" style="950" customWidth="1"/>
    <col min="5102" max="5102" width="32.85546875" style="950" bestFit="1" customWidth="1"/>
    <col min="5103" max="5103" width="11.5703125" style="950" bestFit="1" customWidth="1"/>
    <col min="5104" max="5104" width="9.7109375" style="950" customWidth="1"/>
    <col min="5105" max="5105" width="12" style="950" customWidth="1"/>
    <col min="5106" max="5106" width="30.140625" style="950" customWidth="1"/>
    <col min="5107" max="5107" width="12" style="950" customWidth="1"/>
    <col min="5108" max="5108" width="12.140625" style="950" customWidth="1"/>
    <col min="5109" max="5356" width="9.140625" style="950"/>
    <col min="5357" max="5357" width="27.7109375" style="950" customWidth="1"/>
    <col min="5358" max="5358" width="32.85546875" style="950" bestFit="1" customWidth="1"/>
    <col min="5359" max="5359" width="11.5703125" style="950" bestFit="1" customWidth="1"/>
    <col min="5360" max="5360" width="9.7109375" style="950" customWidth="1"/>
    <col min="5361" max="5361" width="12" style="950" customWidth="1"/>
    <col min="5362" max="5362" width="30.140625" style="950" customWidth="1"/>
    <col min="5363" max="5363" width="12" style="950" customWidth="1"/>
    <col min="5364" max="5364" width="12.140625" style="950" customWidth="1"/>
    <col min="5365" max="5612" width="9.140625" style="950"/>
    <col min="5613" max="5613" width="27.7109375" style="950" customWidth="1"/>
    <col min="5614" max="5614" width="32.85546875" style="950" bestFit="1" customWidth="1"/>
    <col min="5615" max="5615" width="11.5703125" style="950" bestFit="1" customWidth="1"/>
    <col min="5616" max="5616" width="9.7109375" style="950" customWidth="1"/>
    <col min="5617" max="5617" width="12" style="950" customWidth="1"/>
    <col min="5618" max="5618" width="30.140625" style="950" customWidth="1"/>
    <col min="5619" max="5619" width="12" style="950" customWidth="1"/>
    <col min="5620" max="5620" width="12.140625" style="950" customWidth="1"/>
    <col min="5621" max="5868" width="9.140625" style="950"/>
    <col min="5869" max="5869" width="27.7109375" style="950" customWidth="1"/>
    <col min="5870" max="5870" width="32.85546875" style="950" bestFit="1" customWidth="1"/>
    <col min="5871" max="5871" width="11.5703125" style="950" bestFit="1" customWidth="1"/>
    <col min="5872" max="5872" width="9.7109375" style="950" customWidth="1"/>
    <col min="5873" max="5873" width="12" style="950" customWidth="1"/>
    <col min="5874" max="5874" width="30.140625" style="950" customWidth="1"/>
    <col min="5875" max="5875" width="12" style="950" customWidth="1"/>
    <col min="5876" max="5876" width="12.140625" style="950" customWidth="1"/>
    <col min="5877" max="6124" width="9.140625" style="950"/>
    <col min="6125" max="6125" width="27.7109375" style="950" customWidth="1"/>
    <col min="6126" max="6126" width="32.85546875" style="950" bestFit="1" customWidth="1"/>
    <col min="6127" max="6127" width="11.5703125" style="950" bestFit="1" customWidth="1"/>
    <col min="6128" max="6128" width="9.7109375" style="950" customWidth="1"/>
    <col min="6129" max="6129" width="12" style="950" customWidth="1"/>
    <col min="6130" max="6130" width="30.140625" style="950" customWidth="1"/>
    <col min="6131" max="6131" width="12" style="950" customWidth="1"/>
    <col min="6132" max="6132" width="12.140625" style="950" customWidth="1"/>
    <col min="6133" max="6380" width="9.140625" style="950"/>
    <col min="6381" max="6381" width="27.7109375" style="950" customWidth="1"/>
    <col min="6382" max="6382" width="32.85546875" style="950" bestFit="1" customWidth="1"/>
    <col min="6383" max="6383" width="11.5703125" style="950" bestFit="1" customWidth="1"/>
    <col min="6384" max="6384" width="9.7109375" style="950" customWidth="1"/>
    <col min="6385" max="6385" width="12" style="950" customWidth="1"/>
    <col min="6386" max="6386" width="30.140625" style="950" customWidth="1"/>
    <col min="6387" max="6387" width="12" style="950" customWidth="1"/>
    <col min="6388" max="6388" width="12.140625" style="950" customWidth="1"/>
    <col min="6389" max="6636" width="9.140625" style="950"/>
    <col min="6637" max="6637" width="27.7109375" style="950" customWidth="1"/>
    <col min="6638" max="6638" width="32.85546875" style="950" bestFit="1" customWidth="1"/>
    <col min="6639" max="6639" width="11.5703125" style="950" bestFit="1" customWidth="1"/>
    <col min="6640" max="6640" width="9.7109375" style="950" customWidth="1"/>
    <col min="6641" max="6641" width="12" style="950" customWidth="1"/>
    <col min="6642" max="6642" width="30.140625" style="950" customWidth="1"/>
    <col min="6643" max="6643" width="12" style="950" customWidth="1"/>
    <col min="6644" max="6644" width="12.140625" style="950" customWidth="1"/>
    <col min="6645" max="6892" width="9.140625" style="950"/>
    <col min="6893" max="6893" width="27.7109375" style="950" customWidth="1"/>
    <col min="6894" max="6894" width="32.85546875" style="950" bestFit="1" customWidth="1"/>
    <col min="6895" max="6895" width="11.5703125" style="950" bestFit="1" customWidth="1"/>
    <col min="6896" max="6896" width="9.7109375" style="950" customWidth="1"/>
    <col min="6897" max="6897" width="12" style="950" customWidth="1"/>
    <col min="6898" max="6898" width="30.140625" style="950" customWidth="1"/>
    <col min="6899" max="6899" width="12" style="950" customWidth="1"/>
    <col min="6900" max="6900" width="12.140625" style="950" customWidth="1"/>
    <col min="6901" max="7148" width="9.140625" style="950"/>
    <col min="7149" max="7149" width="27.7109375" style="950" customWidth="1"/>
    <col min="7150" max="7150" width="32.85546875" style="950" bestFit="1" customWidth="1"/>
    <col min="7151" max="7151" width="11.5703125" style="950" bestFit="1" customWidth="1"/>
    <col min="7152" max="7152" width="9.7109375" style="950" customWidth="1"/>
    <col min="7153" max="7153" width="12" style="950" customWidth="1"/>
    <col min="7154" max="7154" width="30.140625" style="950" customWidth="1"/>
    <col min="7155" max="7155" width="12" style="950" customWidth="1"/>
    <col min="7156" max="7156" width="12.140625" style="950" customWidth="1"/>
    <col min="7157" max="7404" width="9.140625" style="950"/>
    <col min="7405" max="7405" width="27.7109375" style="950" customWidth="1"/>
    <col min="7406" max="7406" width="32.85546875" style="950" bestFit="1" customWidth="1"/>
    <col min="7407" max="7407" width="11.5703125" style="950" bestFit="1" customWidth="1"/>
    <col min="7408" max="7408" width="9.7109375" style="950" customWidth="1"/>
    <col min="7409" max="7409" width="12" style="950" customWidth="1"/>
    <col min="7410" max="7410" width="30.140625" style="950" customWidth="1"/>
    <col min="7411" max="7411" width="12" style="950" customWidth="1"/>
    <col min="7412" max="7412" width="12.140625" style="950" customWidth="1"/>
    <col min="7413" max="7660" width="9.140625" style="950"/>
    <col min="7661" max="7661" width="27.7109375" style="950" customWidth="1"/>
    <col min="7662" max="7662" width="32.85546875" style="950" bestFit="1" customWidth="1"/>
    <col min="7663" max="7663" width="11.5703125" style="950" bestFit="1" customWidth="1"/>
    <col min="7664" max="7664" width="9.7109375" style="950" customWidth="1"/>
    <col min="7665" max="7665" width="12" style="950" customWidth="1"/>
    <col min="7666" max="7666" width="30.140625" style="950" customWidth="1"/>
    <col min="7667" max="7667" width="12" style="950" customWidth="1"/>
    <col min="7668" max="7668" width="12.140625" style="950" customWidth="1"/>
    <col min="7669" max="7916" width="9.140625" style="950"/>
    <col min="7917" max="7917" width="27.7109375" style="950" customWidth="1"/>
    <col min="7918" max="7918" width="32.85546875" style="950" bestFit="1" customWidth="1"/>
    <col min="7919" max="7919" width="11.5703125" style="950" bestFit="1" customWidth="1"/>
    <col min="7920" max="7920" width="9.7109375" style="950" customWidth="1"/>
    <col min="7921" max="7921" width="12" style="950" customWidth="1"/>
    <col min="7922" max="7922" width="30.140625" style="950" customWidth="1"/>
    <col min="7923" max="7923" width="12" style="950" customWidth="1"/>
    <col min="7924" max="7924" width="12.140625" style="950" customWidth="1"/>
    <col min="7925" max="8172" width="9.140625" style="950"/>
    <col min="8173" max="8173" width="27.7109375" style="950" customWidth="1"/>
    <col min="8174" max="8174" width="32.85546875" style="950" bestFit="1" customWidth="1"/>
    <col min="8175" max="8175" width="11.5703125" style="950" bestFit="1" customWidth="1"/>
    <col min="8176" max="8176" width="9.7109375" style="950" customWidth="1"/>
    <col min="8177" max="8177" width="12" style="950" customWidth="1"/>
    <col min="8178" max="8178" width="30.140625" style="950" customWidth="1"/>
    <col min="8179" max="8179" width="12" style="950" customWidth="1"/>
    <col min="8180" max="8180" width="12.140625" style="950" customWidth="1"/>
    <col min="8181" max="8428" width="9.140625" style="950"/>
    <col min="8429" max="8429" width="27.7109375" style="950" customWidth="1"/>
    <col min="8430" max="8430" width="32.85546875" style="950" bestFit="1" customWidth="1"/>
    <col min="8431" max="8431" width="11.5703125" style="950" bestFit="1" customWidth="1"/>
    <col min="8432" max="8432" width="9.7109375" style="950" customWidth="1"/>
    <col min="8433" max="8433" width="12" style="950" customWidth="1"/>
    <col min="8434" max="8434" width="30.140625" style="950" customWidth="1"/>
    <col min="8435" max="8435" width="12" style="950" customWidth="1"/>
    <col min="8436" max="8436" width="12.140625" style="950" customWidth="1"/>
    <col min="8437" max="8684" width="9.140625" style="950"/>
    <col min="8685" max="8685" width="27.7109375" style="950" customWidth="1"/>
    <col min="8686" max="8686" width="32.85546875" style="950" bestFit="1" customWidth="1"/>
    <col min="8687" max="8687" width="11.5703125" style="950" bestFit="1" customWidth="1"/>
    <col min="8688" max="8688" width="9.7109375" style="950" customWidth="1"/>
    <col min="8689" max="8689" width="12" style="950" customWidth="1"/>
    <col min="8690" max="8690" width="30.140625" style="950" customWidth="1"/>
    <col min="8691" max="8691" width="12" style="950" customWidth="1"/>
    <col min="8692" max="8692" width="12.140625" style="950" customWidth="1"/>
    <col min="8693" max="8940" width="9.140625" style="950"/>
    <col min="8941" max="8941" width="27.7109375" style="950" customWidth="1"/>
    <col min="8942" max="8942" width="32.85546875" style="950" bestFit="1" customWidth="1"/>
    <col min="8943" max="8943" width="11.5703125" style="950" bestFit="1" customWidth="1"/>
    <col min="8944" max="8944" width="9.7109375" style="950" customWidth="1"/>
    <col min="8945" max="8945" width="12" style="950" customWidth="1"/>
    <col min="8946" max="8946" width="30.140625" style="950" customWidth="1"/>
    <col min="8947" max="8947" width="12" style="950" customWidth="1"/>
    <col min="8948" max="8948" width="12.140625" style="950" customWidth="1"/>
    <col min="8949" max="9196" width="9.140625" style="950"/>
    <col min="9197" max="9197" width="27.7109375" style="950" customWidth="1"/>
    <col min="9198" max="9198" width="32.85546875" style="950" bestFit="1" customWidth="1"/>
    <col min="9199" max="9199" width="11.5703125" style="950" bestFit="1" customWidth="1"/>
    <col min="9200" max="9200" width="9.7109375" style="950" customWidth="1"/>
    <col min="9201" max="9201" width="12" style="950" customWidth="1"/>
    <col min="9202" max="9202" width="30.140625" style="950" customWidth="1"/>
    <col min="9203" max="9203" width="12" style="950" customWidth="1"/>
    <col min="9204" max="9204" width="12.140625" style="950" customWidth="1"/>
    <col min="9205" max="9452" width="9.140625" style="950"/>
    <col min="9453" max="9453" width="27.7109375" style="950" customWidth="1"/>
    <col min="9454" max="9454" width="32.85546875" style="950" bestFit="1" customWidth="1"/>
    <col min="9455" max="9455" width="11.5703125" style="950" bestFit="1" customWidth="1"/>
    <col min="9456" max="9456" width="9.7109375" style="950" customWidth="1"/>
    <col min="9457" max="9457" width="12" style="950" customWidth="1"/>
    <col min="9458" max="9458" width="30.140625" style="950" customWidth="1"/>
    <col min="9459" max="9459" width="12" style="950" customWidth="1"/>
    <col min="9460" max="9460" width="12.140625" style="950" customWidth="1"/>
    <col min="9461" max="9708" width="9.140625" style="950"/>
    <col min="9709" max="9709" width="27.7109375" style="950" customWidth="1"/>
    <col min="9710" max="9710" width="32.85546875" style="950" bestFit="1" customWidth="1"/>
    <col min="9711" max="9711" width="11.5703125" style="950" bestFit="1" customWidth="1"/>
    <col min="9712" max="9712" width="9.7109375" style="950" customWidth="1"/>
    <col min="9713" max="9713" width="12" style="950" customWidth="1"/>
    <col min="9714" max="9714" width="30.140625" style="950" customWidth="1"/>
    <col min="9715" max="9715" width="12" style="950" customWidth="1"/>
    <col min="9716" max="9716" width="12.140625" style="950" customWidth="1"/>
    <col min="9717" max="9964" width="9.140625" style="950"/>
    <col min="9965" max="9965" width="27.7109375" style="950" customWidth="1"/>
    <col min="9966" max="9966" width="32.85546875" style="950" bestFit="1" customWidth="1"/>
    <col min="9967" max="9967" width="11.5703125" style="950" bestFit="1" customWidth="1"/>
    <col min="9968" max="9968" width="9.7109375" style="950" customWidth="1"/>
    <col min="9969" max="9969" width="12" style="950" customWidth="1"/>
    <col min="9970" max="9970" width="30.140625" style="950" customWidth="1"/>
    <col min="9971" max="9971" width="12" style="950" customWidth="1"/>
    <col min="9972" max="9972" width="12.140625" style="950" customWidth="1"/>
    <col min="9973" max="10220" width="9.140625" style="950"/>
    <col min="10221" max="10221" width="27.7109375" style="950" customWidth="1"/>
    <col min="10222" max="10222" width="32.85546875" style="950" bestFit="1" customWidth="1"/>
    <col min="10223" max="10223" width="11.5703125" style="950" bestFit="1" customWidth="1"/>
    <col min="10224" max="10224" width="9.7109375" style="950" customWidth="1"/>
    <col min="10225" max="10225" width="12" style="950" customWidth="1"/>
    <col min="10226" max="10226" width="30.140625" style="950" customWidth="1"/>
    <col min="10227" max="10227" width="12" style="950" customWidth="1"/>
    <col min="10228" max="10228" width="12.140625" style="950" customWidth="1"/>
    <col min="10229" max="10476" width="9.140625" style="950"/>
    <col min="10477" max="10477" width="27.7109375" style="950" customWidth="1"/>
    <col min="10478" max="10478" width="32.85546875" style="950" bestFit="1" customWidth="1"/>
    <col min="10479" max="10479" width="11.5703125" style="950" bestFit="1" customWidth="1"/>
    <col min="10480" max="10480" width="9.7109375" style="950" customWidth="1"/>
    <col min="10481" max="10481" width="12" style="950" customWidth="1"/>
    <col min="10482" max="10482" width="30.140625" style="950" customWidth="1"/>
    <col min="10483" max="10483" width="12" style="950" customWidth="1"/>
    <col min="10484" max="10484" width="12.140625" style="950" customWidth="1"/>
    <col min="10485" max="10732" width="9.140625" style="950"/>
    <col min="10733" max="10733" width="27.7109375" style="950" customWidth="1"/>
    <col min="10734" max="10734" width="32.85546875" style="950" bestFit="1" customWidth="1"/>
    <col min="10735" max="10735" width="11.5703125" style="950" bestFit="1" customWidth="1"/>
    <col min="10736" max="10736" width="9.7109375" style="950" customWidth="1"/>
    <col min="10737" max="10737" width="12" style="950" customWidth="1"/>
    <col min="10738" max="10738" width="30.140625" style="950" customWidth="1"/>
    <col min="10739" max="10739" width="12" style="950" customWidth="1"/>
    <col min="10740" max="10740" width="12.140625" style="950" customWidth="1"/>
    <col min="10741" max="10988" width="9.140625" style="950"/>
    <col min="10989" max="10989" width="27.7109375" style="950" customWidth="1"/>
    <col min="10990" max="10990" width="32.85546875" style="950" bestFit="1" customWidth="1"/>
    <col min="10991" max="10991" width="11.5703125" style="950" bestFit="1" customWidth="1"/>
    <col min="10992" max="10992" width="9.7109375" style="950" customWidth="1"/>
    <col min="10993" max="10993" width="12" style="950" customWidth="1"/>
    <col min="10994" max="10994" width="30.140625" style="950" customWidth="1"/>
    <col min="10995" max="10995" width="12" style="950" customWidth="1"/>
    <col min="10996" max="10996" width="12.140625" style="950" customWidth="1"/>
    <col min="10997" max="11244" width="9.140625" style="950"/>
    <col min="11245" max="11245" width="27.7109375" style="950" customWidth="1"/>
    <col min="11246" max="11246" width="32.85546875" style="950" bestFit="1" customWidth="1"/>
    <col min="11247" max="11247" width="11.5703125" style="950" bestFit="1" customWidth="1"/>
    <col min="11248" max="11248" width="9.7109375" style="950" customWidth="1"/>
    <col min="11249" max="11249" width="12" style="950" customWidth="1"/>
    <col min="11250" max="11250" width="30.140625" style="950" customWidth="1"/>
    <col min="11251" max="11251" width="12" style="950" customWidth="1"/>
    <col min="11252" max="11252" width="12.140625" style="950" customWidth="1"/>
    <col min="11253" max="11500" width="9.140625" style="950"/>
    <col min="11501" max="11501" width="27.7109375" style="950" customWidth="1"/>
    <col min="11502" max="11502" width="32.85546875" style="950" bestFit="1" customWidth="1"/>
    <col min="11503" max="11503" width="11.5703125" style="950" bestFit="1" customWidth="1"/>
    <col min="11504" max="11504" width="9.7109375" style="950" customWidth="1"/>
    <col min="11505" max="11505" width="12" style="950" customWidth="1"/>
    <col min="11506" max="11506" width="30.140625" style="950" customWidth="1"/>
    <col min="11507" max="11507" width="12" style="950" customWidth="1"/>
    <col min="11508" max="11508" width="12.140625" style="950" customWidth="1"/>
    <col min="11509" max="11756" width="9.140625" style="950"/>
    <col min="11757" max="11757" width="27.7109375" style="950" customWidth="1"/>
    <col min="11758" max="11758" width="32.85546875" style="950" bestFit="1" customWidth="1"/>
    <col min="11759" max="11759" width="11.5703125" style="950" bestFit="1" customWidth="1"/>
    <col min="11760" max="11760" width="9.7109375" style="950" customWidth="1"/>
    <col min="11761" max="11761" width="12" style="950" customWidth="1"/>
    <col min="11762" max="11762" width="30.140625" style="950" customWidth="1"/>
    <col min="11763" max="11763" width="12" style="950" customWidth="1"/>
    <col min="11764" max="11764" width="12.140625" style="950" customWidth="1"/>
    <col min="11765" max="12012" width="9.140625" style="950"/>
    <col min="12013" max="12013" width="27.7109375" style="950" customWidth="1"/>
    <col min="12014" max="12014" width="32.85546875" style="950" bestFit="1" customWidth="1"/>
    <col min="12015" max="12015" width="11.5703125" style="950" bestFit="1" customWidth="1"/>
    <col min="12016" max="12016" width="9.7109375" style="950" customWidth="1"/>
    <col min="12017" max="12017" width="12" style="950" customWidth="1"/>
    <col min="12018" max="12018" width="30.140625" style="950" customWidth="1"/>
    <col min="12019" max="12019" width="12" style="950" customWidth="1"/>
    <col min="12020" max="12020" width="12.140625" style="950" customWidth="1"/>
    <col min="12021" max="12268" width="9.140625" style="950"/>
    <col min="12269" max="12269" width="27.7109375" style="950" customWidth="1"/>
    <col min="12270" max="12270" width="32.85546875" style="950" bestFit="1" customWidth="1"/>
    <col min="12271" max="12271" width="11.5703125" style="950" bestFit="1" customWidth="1"/>
    <col min="12272" max="12272" width="9.7109375" style="950" customWidth="1"/>
    <col min="12273" max="12273" width="12" style="950" customWidth="1"/>
    <col min="12274" max="12274" width="30.140625" style="950" customWidth="1"/>
    <col min="12275" max="12275" width="12" style="950" customWidth="1"/>
    <col min="12276" max="12276" width="12.140625" style="950" customWidth="1"/>
    <col min="12277" max="12524" width="9.140625" style="950"/>
    <col min="12525" max="12525" width="27.7109375" style="950" customWidth="1"/>
    <col min="12526" max="12526" width="32.85546875" style="950" bestFit="1" customWidth="1"/>
    <col min="12527" max="12527" width="11.5703125" style="950" bestFit="1" customWidth="1"/>
    <col min="12528" max="12528" width="9.7109375" style="950" customWidth="1"/>
    <col min="12529" max="12529" width="12" style="950" customWidth="1"/>
    <col min="12530" max="12530" width="30.140625" style="950" customWidth="1"/>
    <col min="12531" max="12531" width="12" style="950" customWidth="1"/>
    <col min="12532" max="12532" width="12.140625" style="950" customWidth="1"/>
    <col min="12533" max="12780" width="9.140625" style="950"/>
    <col min="12781" max="12781" width="27.7109375" style="950" customWidth="1"/>
    <col min="12782" max="12782" width="32.85546875" style="950" bestFit="1" customWidth="1"/>
    <col min="12783" max="12783" width="11.5703125" style="950" bestFit="1" customWidth="1"/>
    <col min="12784" max="12784" width="9.7109375" style="950" customWidth="1"/>
    <col min="12785" max="12785" width="12" style="950" customWidth="1"/>
    <col min="12786" max="12786" width="30.140625" style="950" customWidth="1"/>
    <col min="12787" max="12787" width="12" style="950" customWidth="1"/>
    <col min="12788" max="12788" width="12.140625" style="950" customWidth="1"/>
    <col min="12789" max="13036" width="9.140625" style="950"/>
    <col min="13037" max="13037" width="27.7109375" style="950" customWidth="1"/>
    <col min="13038" max="13038" width="32.85546875" style="950" bestFit="1" customWidth="1"/>
    <col min="13039" max="13039" width="11.5703125" style="950" bestFit="1" customWidth="1"/>
    <col min="13040" max="13040" width="9.7109375" style="950" customWidth="1"/>
    <col min="13041" max="13041" width="12" style="950" customWidth="1"/>
    <col min="13042" max="13042" width="30.140625" style="950" customWidth="1"/>
    <col min="13043" max="13043" width="12" style="950" customWidth="1"/>
    <col min="13044" max="13044" width="12.140625" style="950" customWidth="1"/>
    <col min="13045" max="13292" width="9.140625" style="950"/>
    <col min="13293" max="13293" width="27.7109375" style="950" customWidth="1"/>
    <col min="13294" max="13294" width="32.85546875" style="950" bestFit="1" customWidth="1"/>
    <col min="13295" max="13295" width="11.5703125" style="950" bestFit="1" customWidth="1"/>
    <col min="13296" max="13296" width="9.7109375" style="950" customWidth="1"/>
    <col min="13297" max="13297" width="12" style="950" customWidth="1"/>
    <col min="13298" max="13298" width="30.140625" style="950" customWidth="1"/>
    <col min="13299" max="13299" width="12" style="950" customWidth="1"/>
    <col min="13300" max="13300" width="12.140625" style="950" customWidth="1"/>
    <col min="13301" max="13548" width="9.140625" style="950"/>
    <col min="13549" max="13549" width="27.7109375" style="950" customWidth="1"/>
    <col min="13550" max="13550" width="32.85546875" style="950" bestFit="1" customWidth="1"/>
    <col min="13551" max="13551" width="11.5703125" style="950" bestFit="1" customWidth="1"/>
    <col min="13552" max="13552" width="9.7109375" style="950" customWidth="1"/>
    <col min="13553" max="13553" width="12" style="950" customWidth="1"/>
    <col min="13554" max="13554" width="30.140625" style="950" customWidth="1"/>
    <col min="13555" max="13555" width="12" style="950" customWidth="1"/>
    <col min="13556" max="13556" width="12.140625" style="950" customWidth="1"/>
    <col min="13557" max="13804" width="9.140625" style="950"/>
    <col min="13805" max="13805" width="27.7109375" style="950" customWidth="1"/>
    <col min="13806" max="13806" width="32.85546875" style="950" bestFit="1" customWidth="1"/>
    <col min="13807" max="13807" width="11.5703125" style="950" bestFit="1" customWidth="1"/>
    <col min="13808" max="13808" width="9.7109375" style="950" customWidth="1"/>
    <col min="13809" max="13809" width="12" style="950" customWidth="1"/>
    <col min="13810" max="13810" width="30.140625" style="950" customWidth="1"/>
    <col min="13811" max="13811" width="12" style="950" customWidth="1"/>
    <col min="13812" max="13812" width="12.140625" style="950" customWidth="1"/>
    <col min="13813" max="14060" width="9.140625" style="950"/>
    <col min="14061" max="14061" width="27.7109375" style="950" customWidth="1"/>
    <col min="14062" max="14062" width="32.85546875" style="950" bestFit="1" customWidth="1"/>
    <col min="14063" max="14063" width="11.5703125" style="950" bestFit="1" customWidth="1"/>
    <col min="14064" max="14064" width="9.7109375" style="950" customWidth="1"/>
    <col min="14065" max="14065" width="12" style="950" customWidth="1"/>
    <col min="14066" max="14066" width="30.140625" style="950" customWidth="1"/>
    <col min="14067" max="14067" width="12" style="950" customWidth="1"/>
    <col min="14068" max="14068" width="12.140625" style="950" customWidth="1"/>
    <col min="14069" max="14316" width="9.140625" style="950"/>
    <col min="14317" max="14317" width="27.7109375" style="950" customWidth="1"/>
    <col min="14318" max="14318" width="32.85546875" style="950" bestFit="1" customWidth="1"/>
    <col min="14319" max="14319" width="11.5703125" style="950" bestFit="1" customWidth="1"/>
    <col min="14320" max="14320" width="9.7109375" style="950" customWidth="1"/>
    <col min="14321" max="14321" width="12" style="950" customWidth="1"/>
    <col min="14322" max="14322" width="30.140625" style="950" customWidth="1"/>
    <col min="14323" max="14323" width="12" style="950" customWidth="1"/>
    <col min="14324" max="14324" width="12.140625" style="950" customWidth="1"/>
    <col min="14325" max="14572" width="9.140625" style="950"/>
    <col min="14573" max="14573" width="27.7109375" style="950" customWidth="1"/>
    <col min="14574" max="14574" width="32.85546875" style="950" bestFit="1" customWidth="1"/>
    <col min="14575" max="14575" width="11.5703125" style="950" bestFit="1" customWidth="1"/>
    <col min="14576" max="14576" width="9.7109375" style="950" customWidth="1"/>
    <col min="14577" max="14577" width="12" style="950" customWidth="1"/>
    <col min="14578" max="14578" width="30.140625" style="950" customWidth="1"/>
    <col min="14579" max="14579" width="12" style="950" customWidth="1"/>
    <col min="14580" max="14580" width="12.140625" style="950" customWidth="1"/>
    <col min="14581" max="14828" width="9.140625" style="950"/>
    <col min="14829" max="14829" width="27.7109375" style="950" customWidth="1"/>
    <col min="14830" max="14830" width="32.85546875" style="950" bestFit="1" customWidth="1"/>
    <col min="14831" max="14831" width="11.5703125" style="950" bestFit="1" customWidth="1"/>
    <col min="14832" max="14832" width="9.7109375" style="950" customWidth="1"/>
    <col min="14833" max="14833" width="12" style="950" customWidth="1"/>
    <col min="14834" max="14834" width="30.140625" style="950" customWidth="1"/>
    <col min="14835" max="14835" width="12" style="950" customWidth="1"/>
    <col min="14836" max="14836" width="12.140625" style="950" customWidth="1"/>
    <col min="14837" max="15084" width="9.140625" style="950"/>
    <col min="15085" max="15085" width="27.7109375" style="950" customWidth="1"/>
    <col min="15086" max="15086" width="32.85546875" style="950" bestFit="1" customWidth="1"/>
    <col min="15087" max="15087" width="11.5703125" style="950" bestFit="1" customWidth="1"/>
    <col min="15088" max="15088" width="9.7109375" style="950" customWidth="1"/>
    <col min="15089" max="15089" width="12" style="950" customWidth="1"/>
    <col min="15090" max="15090" width="30.140625" style="950" customWidth="1"/>
    <col min="15091" max="15091" width="12" style="950" customWidth="1"/>
    <col min="15092" max="15092" width="12.140625" style="950" customWidth="1"/>
    <col min="15093" max="15340" width="9.140625" style="950"/>
    <col min="15341" max="15341" width="27.7109375" style="950" customWidth="1"/>
    <col min="15342" max="15342" width="32.85546875" style="950" bestFit="1" customWidth="1"/>
    <col min="15343" max="15343" width="11.5703125" style="950" bestFit="1" customWidth="1"/>
    <col min="15344" max="15344" width="9.7109375" style="950" customWidth="1"/>
    <col min="15345" max="15345" width="12" style="950" customWidth="1"/>
    <col min="15346" max="15346" width="30.140625" style="950" customWidth="1"/>
    <col min="15347" max="15347" width="12" style="950" customWidth="1"/>
    <col min="15348" max="15348" width="12.140625" style="950" customWidth="1"/>
    <col min="15349" max="15596" width="9.140625" style="950"/>
    <col min="15597" max="15597" width="27.7109375" style="950" customWidth="1"/>
    <col min="15598" max="15598" width="32.85546875" style="950" bestFit="1" customWidth="1"/>
    <col min="15599" max="15599" width="11.5703125" style="950" bestFit="1" customWidth="1"/>
    <col min="15600" max="15600" width="9.7109375" style="950" customWidth="1"/>
    <col min="15601" max="15601" width="12" style="950" customWidth="1"/>
    <col min="15602" max="15602" width="30.140625" style="950" customWidth="1"/>
    <col min="15603" max="15603" width="12" style="950" customWidth="1"/>
    <col min="15604" max="15604" width="12.140625" style="950" customWidth="1"/>
    <col min="15605" max="15852" width="9.140625" style="950"/>
    <col min="15853" max="15853" width="27.7109375" style="950" customWidth="1"/>
    <col min="15854" max="15854" width="32.85546875" style="950" bestFit="1" customWidth="1"/>
    <col min="15855" max="15855" width="11.5703125" style="950" bestFit="1" customWidth="1"/>
    <col min="15856" max="15856" width="9.7109375" style="950" customWidth="1"/>
    <col min="15857" max="15857" width="12" style="950" customWidth="1"/>
    <col min="15858" max="15858" width="30.140625" style="950" customWidth="1"/>
    <col min="15859" max="15859" width="12" style="950" customWidth="1"/>
    <col min="15860" max="15860" width="12.140625" style="950" customWidth="1"/>
    <col min="15861" max="16108" width="9.140625" style="950"/>
    <col min="16109" max="16109" width="27.7109375" style="950" customWidth="1"/>
    <col min="16110" max="16110" width="32.85546875" style="950" bestFit="1" customWidth="1"/>
    <col min="16111" max="16111" width="11.5703125" style="950" bestFit="1" customWidth="1"/>
    <col min="16112" max="16112" width="9.7109375" style="950" customWidth="1"/>
    <col min="16113" max="16113" width="12" style="950" customWidth="1"/>
    <col min="16114" max="16114" width="30.140625" style="950" customWidth="1"/>
    <col min="16115" max="16115" width="12" style="950" customWidth="1"/>
    <col min="16116" max="16116" width="12.140625" style="950" customWidth="1"/>
    <col min="16117" max="16368" width="9.140625" style="950"/>
    <col min="16369" max="16384" width="9.140625" style="950" customWidth="1"/>
  </cols>
  <sheetData>
    <row r="1" spans="1:11" s="1007" customFormat="1" ht="21" thickBot="1" x14ac:dyDescent="0.35">
      <c r="B1" s="1006"/>
      <c r="C1" s="951"/>
      <c r="D1" s="951"/>
      <c r="E1" s="951"/>
      <c r="F1" s="951"/>
      <c r="G1" s="951"/>
      <c r="H1" s="951"/>
      <c r="I1" s="1006"/>
      <c r="J1" s="1008"/>
      <c r="K1" s="1008"/>
    </row>
    <row r="2" spans="1:11" ht="21" hidden="1" thickBot="1" x14ac:dyDescent="0.35">
      <c r="A2" s="1007"/>
      <c r="B2" s="1006"/>
      <c r="I2" s="155"/>
    </row>
    <row r="3" spans="1:11" ht="16.5" hidden="1" thickBot="1" x14ac:dyDescent="0.3">
      <c r="B3" s="155"/>
    </row>
    <row r="4" spans="1:11" ht="16.5" hidden="1" thickBot="1" x14ac:dyDescent="0.3">
      <c r="B4" s="155"/>
    </row>
    <row r="5" spans="1:11" ht="16.5" hidden="1" thickBot="1" x14ac:dyDescent="0.3">
      <c r="B5" s="155"/>
    </row>
    <row r="6" spans="1:11" ht="16.5" hidden="1" thickBot="1" x14ac:dyDescent="0.3">
      <c r="B6" s="155"/>
    </row>
    <row r="7" spans="1:11" ht="15" hidden="1" customHeight="1" x14ac:dyDescent="0.25">
      <c r="A7" s="727"/>
      <c r="B7" s="440">
        <v>1</v>
      </c>
      <c r="C7" s="1006"/>
      <c r="D7" s="1006"/>
      <c r="E7" s="1006"/>
      <c r="F7" s="1006"/>
      <c r="G7" s="1006"/>
      <c r="H7" s="1006"/>
    </row>
    <row r="8" spans="1:11" ht="17.25" hidden="1" customHeight="1" x14ac:dyDescent="0.25">
      <c r="A8" s="596"/>
      <c r="B8" s="440">
        <v>2</v>
      </c>
      <c r="C8" s="1006"/>
      <c r="D8" s="1006"/>
      <c r="E8" s="1006"/>
      <c r="F8" s="1006"/>
      <c r="G8" s="1006"/>
      <c r="H8" s="1006"/>
    </row>
    <row r="9" spans="1:11" ht="16.5" hidden="1" thickBot="1" x14ac:dyDescent="0.3">
      <c r="A9" s="727"/>
      <c r="B9" s="440">
        <v>3</v>
      </c>
      <c r="C9" s="155"/>
      <c r="D9" s="155"/>
      <c r="E9" s="155"/>
      <c r="F9" s="155"/>
      <c r="G9" s="155"/>
      <c r="H9" s="155"/>
    </row>
    <row r="10" spans="1:11" thickBot="1" x14ac:dyDescent="0.3">
      <c r="A10" s="727"/>
      <c r="B10" s="440">
        <v>4</v>
      </c>
      <c r="C10" s="155"/>
      <c r="D10" s="1005" t="s">
        <v>452</v>
      </c>
      <c r="E10" s="1004"/>
      <c r="F10" s="1004"/>
      <c r="G10" s="1003"/>
      <c r="H10" s="155"/>
      <c r="I10" s="155"/>
    </row>
    <row r="11" spans="1:11" x14ac:dyDescent="0.25">
      <c r="A11" s="727"/>
      <c r="B11" s="440">
        <v>5</v>
      </c>
      <c r="C11" s="155"/>
      <c r="D11" s="1002"/>
      <c r="E11" s="1001"/>
      <c r="F11" s="1000" t="s">
        <v>43</v>
      </c>
      <c r="G11" s="999">
        <f>J25</f>
        <v>1775</v>
      </c>
      <c r="H11" s="155"/>
    </row>
    <row r="12" spans="1:11" ht="16.5" customHeight="1" x14ac:dyDescent="0.25">
      <c r="A12" s="727"/>
      <c r="B12" s="440">
        <v>6</v>
      </c>
      <c r="C12" s="155"/>
      <c r="D12" s="998"/>
      <c r="E12" s="997" t="s">
        <v>377</v>
      </c>
      <c r="F12" s="996" t="s">
        <v>380</v>
      </c>
      <c r="G12" s="995" t="s">
        <v>504</v>
      </c>
      <c r="H12" s="155"/>
    </row>
    <row r="13" spans="1:11" ht="18" customHeight="1" x14ac:dyDescent="0.25">
      <c r="A13" s="823"/>
      <c r="B13" s="155"/>
      <c r="C13" s="440"/>
      <c r="D13" s="494" t="str">
        <f>IF(INDEX('Master Lookup'!$B$169:$B$175,B7)=0,"",INDEX('Master Lookup'!$B$169:$B$175,B7))</f>
        <v>Management</v>
      </c>
      <c r="E13" s="496">
        <f>IFERROR(INDEX('Master Lookup'!$D$169:$D$175,MATCH(D13,'Master Lookup'!$B$169:$B$175,0)),"")</f>
        <v>79415.232000000018</v>
      </c>
      <c r="F13" s="547">
        <f>IFERROR(INDEX('Master Lookup'!$E$169:$E$175,MATCH(D13,'Master Lookup'!$B$169:$B$175,0)),"")</f>
        <v>0.06</v>
      </c>
      <c r="G13" s="800">
        <f>IFERROR(E13*F13,0)</f>
        <v>4764.9139200000009</v>
      </c>
      <c r="H13" s="155"/>
    </row>
    <row r="14" spans="1:11" ht="16.5" thickBot="1" x14ac:dyDescent="0.3">
      <c r="A14" s="994"/>
      <c r="B14" s="155"/>
      <c r="C14" s="440"/>
      <c r="D14" s="494" t="str">
        <f>IF(INDEX('Master Lookup'!$B$169:$B$175,B8)=0,"",INDEX('Master Lookup'!$B$169:$B$175,B8))</f>
        <v>Direct Care Staff</v>
      </c>
      <c r="E14" s="496">
        <f>IFERROR(INDEX('Master Lookup'!$D$169:$D$175,MATCH(D14,'Master Lookup'!$B$169:$B$175,0)),"")</f>
        <v>41600</v>
      </c>
      <c r="F14" s="547">
        <f>IFERROR(INDEX('Master Lookup'!$E$169:$E$175,MATCH(D14,'Master Lookup'!$B$169:$B$175,0)),"")</f>
        <v>1</v>
      </c>
      <c r="G14" s="800">
        <f>IFERROR(E14*F14,0)</f>
        <v>41600</v>
      </c>
      <c r="H14" s="155"/>
    </row>
    <row r="15" spans="1:11" ht="16.5" hidden="1" thickBot="1" x14ac:dyDescent="0.3">
      <c r="B15" s="155"/>
      <c r="C15" s="440"/>
      <c r="D15" s="504" t="str">
        <f>IF(INDEX('Master Lookup'!$B$169:$B$175,B9)=0,"",INDEX('Master Lookup'!$B$169:$B$175,B9))</f>
        <v/>
      </c>
      <c r="E15" s="503" t="str">
        <f>IFERROR(INDEX('Master Lookup'!$D$169:$D$175,MATCH(D15,'Master Lookup'!$B$169:$B$175,0)),"")</f>
        <v/>
      </c>
      <c r="F15" s="829" t="str">
        <f>IFERROR(INDEX('Master Lookup'!$E$169:$E$175,MATCH(D15,'Master Lookup'!$B$169:$B$175,0)),"")</f>
        <v/>
      </c>
      <c r="G15" s="828">
        <f>IFERROR(E15*F15,0)</f>
        <v>0</v>
      </c>
      <c r="H15" s="155"/>
    </row>
    <row r="16" spans="1:11" ht="16.5" hidden="1" thickBot="1" x14ac:dyDescent="0.3">
      <c r="A16" s="993"/>
      <c r="B16" s="155"/>
      <c r="C16" s="440"/>
      <c r="D16" s="504" t="str">
        <f>IF(INDEX('Master Lookup'!$B$169:$B$175,B10)=0,"",INDEX('Master Lookup'!$B$169:$B$175,B10))</f>
        <v/>
      </c>
      <c r="E16" s="503" t="str">
        <f>IFERROR(INDEX('Master Lookup'!$D$169:$D$175,MATCH(D16,'Master Lookup'!$B$169:$B$175,0)),"")</f>
        <v/>
      </c>
      <c r="F16" s="829" t="str">
        <f>IFERROR(INDEX('Master Lookup'!$E$169:$E$175,MATCH(D16,'Master Lookup'!$B$169:$B$175,0)),"")</f>
        <v/>
      </c>
      <c r="G16" s="828">
        <f>IFERROR(E16*F16,0)</f>
        <v>0</v>
      </c>
      <c r="H16" s="155"/>
      <c r="I16" s="992"/>
    </row>
    <row r="17" spans="1:10" ht="16.5" hidden="1" thickBot="1" x14ac:dyDescent="0.3">
      <c r="A17" s="991"/>
      <c r="B17" s="155"/>
      <c r="C17" s="440"/>
      <c r="D17" s="504" t="str">
        <f>IF(INDEX('Master Lookup'!$B$169:$B$175,B11)=0,"",INDEX('Master Lookup'!$B$169:$B$175,B11))</f>
        <v/>
      </c>
      <c r="E17" s="503" t="str">
        <f>IFERROR(INDEX('Master Lookup'!$D$169:$D$175,MATCH(D17,'Master Lookup'!$B$169:$B$175,0)),"")</f>
        <v/>
      </c>
      <c r="F17" s="829" t="str">
        <f>IFERROR(INDEX('Master Lookup'!$E$169:$E$175,MATCH(D17,'Master Lookup'!$B$169:$B$175,0)),"")</f>
        <v/>
      </c>
      <c r="G17" s="828">
        <f>IFERROR(E17*F17,0)</f>
        <v>0</v>
      </c>
      <c r="H17" s="155"/>
    </row>
    <row r="18" spans="1:10" ht="16.5" hidden="1" thickBot="1" x14ac:dyDescent="0.3">
      <c r="A18" s="990"/>
      <c r="B18" s="440">
        <v>1</v>
      </c>
      <c r="C18" s="440"/>
      <c r="D18" s="968" t="str">
        <f>IF(INDEX('Master Lookup'!$B$169:$B$175,B12)=0,"",INDEX('Master Lookup'!$B$169:$B$175,B12))</f>
        <v/>
      </c>
      <c r="E18" s="989" t="str">
        <f>IFERROR(INDEX('Master Lookup'!$D$169:$D$175,MATCH(D18,'Master Lookup'!$B$169:$B$175,0)),"")</f>
        <v/>
      </c>
      <c r="F18" s="988" t="str">
        <f>IFERROR(INDEX('Master Lookup'!$E$169:$E$175,MATCH(D18,'Master Lookup'!$B$169:$B$175,0)),"")</f>
        <v/>
      </c>
      <c r="G18" s="987">
        <f>IFERROR(E18*F18,0)</f>
        <v>0</v>
      </c>
      <c r="H18" s="155"/>
    </row>
    <row r="19" spans="1:10" ht="16.5" thickBot="1" x14ac:dyDescent="0.3">
      <c r="B19" s="440">
        <v>2</v>
      </c>
      <c r="C19" s="155"/>
      <c r="D19" s="986" t="s">
        <v>503</v>
      </c>
      <c r="E19" s="826"/>
      <c r="F19" s="825">
        <f>SUM(F13:F18)</f>
        <v>1.06</v>
      </c>
      <c r="G19" s="824">
        <f>SUM(G13:G18)</f>
        <v>46364.913919999999</v>
      </c>
      <c r="H19" s="155"/>
      <c r="I19" s="985" t="s">
        <v>577</v>
      </c>
      <c r="J19" s="984" t="s">
        <v>584</v>
      </c>
    </row>
    <row r="20" spans="1:10" thickBot="1" x14ac:dyDescent="0.3">
      <c r="B20" s="440">
        <v>3</v>
      </c>
      <c r="C20" s="155"/>
      <c r="D20" s="660" t="s">
        <v>368</v>
      </c>
      <c r="E20" s="659">
        <f>INDEX('Master Lookup'!$C$183:$C$185,MATCH(D20,'Master Lookup'!$B$183:$B$185,0))</f>
        <v>0.27379999999999999</v>
      </c>
      <c r="F20" s="983"/>
      <c r="G20" s="982">
        <f>G19*E20</f>
        <v>12694.713431295999</v>
      </c>
      <c r="H20" s="155"/>
      <c r="I20" s="981" t="s">
        <v>573</v>
      </c>
      <c r="J20" s="635">
        <v>2080</v>
      </c>
    </row>
    <row r="21" spans="1:10" x14ac:dyDescent="0.25">
      <c r="B21" s="440">
        <v>4</v>
      </c>
      <c r="C21" s="155"/>
      <c r="D21" s="964" t="s">
        <v>596</v>
      </c>
      <c r="E21" s="812"/>
      <c r="F21" s="812"/>
      <c r="G21" s="802">
        <f>SUM(G19:G20)</f>
        <v>59059.627351295996</v>
      </c>
      <c r="H21" s="155"/>
      <c r="I21" s="980" t="s">
        <v>571</v>
      </c>
      <c r="J21" s="936">
        <f>120*2</f>
        <v>240</v>
      </c>
    </row>
    <row r="22" spans="1:10" x14ac:dyDescent="0.25">
      <c r="B22" s="965"/>
      <c r="C22" s="155"/>
      <c r="D22" s="963"/>
      <c r="E22" s="962"/>
      <c r="F22" s="962"/>
      <c r="G22" s="961"/>
      <c r="H22" s="979"/>
      <c r="I22" s="978" t="s">
        <v>568</v>
      </c>
      <c r="J22" s="936">
        <f>10*2.5</f>
        <v>25</v>
      </c>
    </row>
    <row r="23" spans="1:10" ht="16.5" thickBot="1" x14ac:dyDescent="0.3">
      <c r="B23" s="155"/>
      <c r="C23" s="155"/>
      <c r="D23" s="923" t="s">
        <v>372</v>
      </c>
      <c r="E23" s="977"/>
      <c r="F23" s="977"/>
      <c r="G23" s="976"/>
      <c r="H23" s="457"/>
      <c r="I23" s="975" t="s">
        <v>567</v>
      </c>
      <c r="J23" s="936">
        <f>40*1</f>
        <v>40</v>
      </c>
    </row>
    <row r="24" spans="1:10" thickBot="1" x14ac:dyDescent="0.3">
      <c r="B24" s="155"/>
      <c r="C24" s="155"/>
      <c r="D24" s="494" t="str">
        <f>IF(INDEX('Master Lookup'!$B$178:$B$181,B18)=0,"",INDEX('Master Lookup'!$B$178:$B$181,B18))</f>
        <v>Staff Training 204</v>
      </c>
      <c r="E24" s="915"/>
      <c r="F24" s="496">
        <f>IFERROR(INDEX('Master Lookup'!$C$178:$C$181,MATCH(D24,'Master Lookup'!$B$178:$B$181,0)),"")</f>
        <v>202.39734163733908</v>
      </c>
      <c r="G24" s="800">
        <f>F19*F24</f>
        <v>214.54118213557945</v>
      </c>
      <c r="H24" s="974"/>
      <c r="I24" s="973" t="s">
        <v>564</v>
      </c>
      <c r="J24" s="635">
        <f>SUM(J21:J23)</f>
        <v>305</v>
      </c>
    </row>
    <row r="25" spans="1:10" thickBot="1" x14ac:dyDescent="0.3">
      <c r="B25" s="155"/>
      <c r="C25" s="155"/>
      <c r="D25" s="494" t="str">
        <f>IF(INDEX('Master Lookup'!$B$178:$B$181,B19)=0,"",INDEX('Master Lookup'!$B$178:$B$181,B19))</f>
        <v>Staff Mileage / Travel 205</v>
      </c>
      <c r="E25" s="915"/>
      <c r="F25" s="496">
        <f>IFERROR(INDEX('Master Lookup'!$C$178:$C$181,MATCH(D25,'Master Lookup'!$B$178:$B$181,0)),"")</f>
        <v>823.75132959083601</v>
      </c>
      <c r="G25" s="800">
        <f>F19*F25</f>
        <v>873.17640936628618</v>
      </c>
      <c r="H25" s="971"/>
      <c r="I25" s="972" t="s">
        <v>563</v>
      </c>
      <c r="J25" s="655">
        <f>J20-J24</f>
        <v>1775</v>
      </c>
    </row>
    <row r="26" spans="1:10" hidden="1" x14ac:dyDescent="0.25">
      <c r="B26" s="155"/>
      <c r="C26" s="971"/>
      <c r="D26" s="504" t="str">
        <f>IF(INDEX('Master Lookup'!$B$178:$B$181,B20)=0,"",INDEX('Master Lookup'!$B$178:$B$181,B20))</f>
        <v/>
      </c>
      <c r="E26" s="970"/>
      <c r="F26" s="970"/>
      <c r="G26" s="969"/>
      <c r="H26" s="585"/>
    </row>
    <row r="27" spans="1:10" hidden="1" x14ac:dyDescent="0.25">
      <c r="B27" s="155"/>
      <c r="C27" s="155"/>
      <c r="D27" s="968" t="str">
        <f>IF(INDEX('Master Lookup'!$B$178:$B$181,B21)=0,"",INDEX('Master Lookup'!$B$178:$B$181,B21))</f>
        <v/>
      </c>
      <c r="E27" s="967"/>
      <c r="F27" s="967"/>
      <c r="G27" s="966"/>
      <c r="H27" s="585"/>
    </row>
    <row r="28" spans="1:10" x14ac:dyDescent="0.25">
      <c r="B28" s="155"/>
      <c r="C28" s="965"/>
      <c r="D28" s="964" t="s">
        <v>538</v>
      </c>
      <c r="E28" s="812"/>
      <c r="F28" s="812"/>
      <c r="G28" s="802">
        <f>SUM(G24:G27)</f>
        <v>1087.7175915018656</v>
      </c>
      <c r="H28" s="585"/>
    </row>
    <row r="29" spans="1:10" x14ac:dyDescent="0.25">
      <c r="C29" s="155"/>
      <c r="D29" s="963"/>
      <c r="E29" s="962"/>
      <c r="F29" s="962"/>
      <c r="G29" s="961"/>
      <c r="H29" s="585"/>
    </row>
    <row r="30" spans="1:10" ht="30" x14ac:dyDescent="0.25">
      <c r="C30" s="155"/>
      <c r="D30" s="489" t="s">
        <v>537</v>
      </c>
      <c r="E30" s="400"/>
      <c r="F30" s="743"/>
      <c r="G30" s="742">
        <f>SUM(G21,G28)</f>
        <v>60147.344942797863</v>
      </c>
      <c r="H30" s="155"/>
    </row>
    <row r="31" spans="1:10" x14ac:dyDescent="0.25">
      <c r="C31" s="155"/>
      <c r="D31" s="395" t="s">
        <v>366</v>
      </c>
      <c r="E31" s="624">
        <f>INDEX('Master Lookup'!$C$183:$C$185,MATCH(D31,'Master Lookup'!$B$183:$B$185,0))</f>
        <v>0.12</v>
      </c>
      <c r="F31" s="739"/>
      <c r="G31" s="738">
        <f>G30*E31</f>
        <v>7217.6813931357437</v>
      </c>
      <c r="H31" s="155"/>
    </row>
    <row r="32" spans="1:10" x14ac:dyDescent="0.25">
      <c r="C32" s="155"/>
      <c r="D32" s="156" t="s">
        <v>367</v>
      </c>
      <c r="E32" s="543">
        <f>INDEX('Master Lookup'!$C$183:$C$185,MATCH(D32,'Master Lookup'!$B$183:$B$185,0))</f>
        <v>2.7100379121522307E-2</v>
      </c>
      <c r="F32" s="960"/>
      <c r="G32" s="759">
        <f>(G30+G31)*E32</f>
        <v>1825.6177532351355</v>
      </c>
      <c r="H32" s="155"/>
    </row>
    <row r="33" spans="3:8" x14ac:dyDescent="0.25">
      <c r="C33" s="155"/>
      <c r="D33" s="883" t="s">
        <v>499</v>
      </c>
      <c r="E33" s="912"/>
      <c r="F33" s="913"/>
      <c r="G33" s="742">
        <f>SUM(G30:G32)</f>
        <v>69190.644089168738</v>
      </c>
      <c r="H33" s="155"/>
    </row>
    <row r="34" spans="3:8" x14ac:dyDescent="0.25">
      <c r="C34" s="155"/>
      <c r="D34" s="959" t="s">
        <v>606</v>
      </c>
      <c r="E34" s="958"/>
      <c r="F34" s="958"/>
      <c r="G34" s="957">
        <f>ROUND((G33/G11)/4,2)</f>
        <v>9.75</v>
      </c>
      <c r="H34" s="155"/>
    </row>
    <row r="35" spans="3:8" x14ac:dyDescent="0.25">
      <c r="D35" s="953" t="s">
        <v>605</v>
      </c>
      <c r="E35" s="777"/>
      <c r="F35" s="777"/>
      <c r="G35" s="956">
        <f>ROUND(G34/2,2)</f>
        <v>4.88</v>
      </c>
    </row>
    <row r="36" spans="3:8" x14ac:dyDescent="0.25">
      <c r="D36" s="953" t="s">
        <v>604</v>
      </c>
      <c r="E36" s="777"/>
      <c r="F36" s="777"/>
      <c r="G36" s="956">
        <f>ROUND(G34/3,2)</f>
        <v>3.25</v>
      </c>
    </row>
    <row r="37" spans="3:8" ht="16.5" thickBot="1" x14ac:dyDescent="0.3">
      <c r="D37" s="952" t="s">
        <v>603</v>
      </c>
      <c r="E37" s="955"/>
      <c r="F37" s="955"/>
      <c r="G37" s="954">
        <f>ROUND((G34*9)*4,2)</f>
        <v>351</v>
      </c>
    </row>
    <row r="38" spans="3:8" x14ac:dyDescent="0.25">
      <c r="D38" s="155"/>
      <c r="E38" s="155"/>
      <c r="F38" s="155"/>
      <c r="G38" s="155"/>
    </row>
    <row r="39" spans="3:8" ht="27" hidden="1" thickBot="1" x14ac:dyDescent="0.3">
      <c r="D39" s="716"/>
      <c r="E39" s="715" t="s">
        <v>310</v>
      </c>
      <c r="F39" s="715" t="s">
        <v>583</v>
      </c>
      <c r="G39" s="714" t="s">
        <v>582</v>
      </c>
    </row>
    <row r="40" spans="3:8" hidden="1" x14ac:dyDescent="0.25">
      <c r="D40" s="953" t="s">
        <v>606</v>
      </c>
      <c r="E40" s="709">
        <v>7.71</v>
      </c>
      <c r="F40" s="708">
        <f>G34</f>
        <v>9.75</v>
      </c>
      <c r="G40" s="707">
        <f>(F40-E40)/E40</f>
        <v>0.26459143968871596</v>
      </c>
    </row>
    <row r="41" spans="3:8" hidden="1" x14ac:dyDescent="0.25">
      <c r="D41" s="953" t="s">
        <v>605</v>
      </c>
      <c r="E41" s="709">
        <v>3.85</v>
      </c>
      <c r="F41" s="708">
        <f>G35</f>
        <v>4.88</v>
      </c>
      <c r="G41" s="707">
        <f>(F41-E41)/E41</f>
        <v>0.26753246753246746</v>
      </c>
    </row>
    <row r="42" spans="3:8" hidden="1" x14ac:dyDescent="0.25">
      <c r="D42" s="953" t="s">
        <v>604</v>
      </c>
      <c r="E42" s="709">
        <v>2.57</v>
      </c>
      <c r="F42" s="708">
        <f>G36</f>
        <v>3.25</v>
      </c>
      <c r="G42" s="707">
        <f>(F42-E42)/E42</f>
        <v>0.26459143968871601</v>
      </c>
    </row>
    <row r="43" spans="3:8" ht="16.5" hidden="1" thickBot="1" x14ac:dyDescent="0.3">
      <c r="D43" s="952" t="s">
        <v>603</v>
      </c>
      <c r="E43" s="705">
        <v>277.43</v>
      </c>
      <c r="F43" s="704">
        <f>G37</f>
        <v>351</v>
      </c>
      <c r="G43" s="703">
        <f>(F43-E43)/E43</f>
        <v>0.26518401038099698</v>
      </c>
    </row>
    <row r="44" spans="3:8" hidden="1" x14ac:dyDescent="0.25"/>
  </sheetData>
  <mergeCells count="1">
    <mergeCell ref="D10:G10"/>
  </mergeCells>
  <pageMargins left="0.75" right="0.75" top="1" bottom="1" header="0.5" footer="0.5"/>
  <pageSetup scale="6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260DB-763D-460D-8695-0B05DFBA859A}">
  <sheetPr>
    <pageSetUpPr fitToPage="1"/>
  </sheetPr>
  <dimension ref="B1:Q32"/>
  <sheetViews>
    <sheetView zoomScale="90" zoomScaleNormal="90" workbookViewId="0">
      <selection activeCell="J13" sqref="J13"/>
    </sheetView>
  </sheetViews>
  <sheetFormatPr defaultRowHeight="12.75" x14ac:dyDescent="0.2"/>
  <cols>
    <col min="1" max="1" width="4.140625" style="155" customWidth="1"/>
    <col min="2" max="2" width="5.140625" style="1009" hidden="1" customWidth="1"/>
    <col min="3" max="3" width="4.140625" style="155" customWidth="1"/>
    <col min="4" max="4" width="32.5703125" style="155" customWidth="1"/>
    <col min="5" max="5" width="8.5703125" style="155" customWidth="1"/>
    <col min="6" max="6" width="10.7109375" style="155" bestFit="1" customWidth="1"/>
    <col min="7" max="7" width="10.140625" style="155" customWidth="1"/>
    <col min="8" max="8" width="5.7109375" style="155" customWidth="1"/>
    <col min="9" max="9" width="32.5703125" style="155" customWidth="1"/>
    <col min="10" max="10" width="9.140625" style="155" customWidth="1"/>
    <col min="11" max="12" width="9.140625" style="155"/>
    <col min="13" max="13" width="5.7109375" style="155" customWidth="1"/>
    <col min="14" max="14" width="32.7109375" style="155" customWidth="1"/>
    <col min="15" max="15" width="9.140625" style="155" customWidth="1"/>
    <col min="16" max="246" width="9.140625" style="155"/>
    <col min="247" max="247" width="36.140625" style="155" customWidth="1"/>
    <col min="248" max="248" width="28.140625" style="155" bestFit="1" customWidth="1"/>
    <col min="249" max="249" width="10.7109375" style="155" bestFit="1" customWidth="1"/>
    <col min="250" max="250" width="8.7109375" style="155" bestFit="1" customWidth="1"/>
    <col min="251" max="251" width="10.140625" style="155" bestFit="1" customWidth="1"/>
    <col min="252" max="252" width="19.5703125" style="155" customWidth="1"/>
    <col min="253" max="253" width="9.140625" style="155"/>
    <col min="254" max="254" width="22.85546875" style="155" bestFit="1" customWidth="1"/>
    <col min="255" max="255" width="28.140625" style="155" bestFit="1" customWidth="1"/>
    <col min="256" max="256" width="10.7109375" style="155" bestFit="1" customWidth="1"/>
    <col min="257" max="257" width="7" style="155" bestFit="1" customWidth="1"/>
    <col min="258" max="258" width="9.140625" style="155"/>
    <col min="259" max="259" width="15.5703125" style="155" bestFit="1" customWidth="1"/>
    <col min="260" max="260" width="9.140625" style="155"/>
    <col min="261" max="261" width="22.85546875" style="155" bestFit="1" customWidth="1"/>
    <col min="262" max="262" width="28.140625" style="155" bestFit="1" customWidth="1"/>
    <col min="263" max="263" width="10.7109375" style="155" bestFit="1" customWidth="1"/>
    <col min="264" max="264" width="7" style="155" bestFit="1" customWidth="1"/>
    <col min="265" max="502" width="9.140625" style="155"/>
    <col min="503" max="503" width="36.140625" style="155" customWidth="1"/>
    <col min="504" max="504" width="28.140625" style="155" bestFit="1" customWidth="1"/>
    <col min="505" max="505" width="10.7109375" style="155" bestFit="1" customWidth="1"/>
    <col min="506" max="506" width="8.7109375" style="155" bestFit="1" customWidth="1"/>
    <col min="507" max="507" width="10.140625" style="155" bestFit="1" customWidth="1"/>
    <col min="508" max="508" width="19.5703125" style="155" customWidth="1"/>
    <col min="509" max="509" width="9.140625" style="155"/>
    <col min="510" max="510" width="22.85546875" style="155" bestFit="1" customWidth="1"/>
    <col min="511" max="511" width="28.140625" style="155" bestFit="1" customWidth="1"/>
    <col min="512" max="512" width="10.7109375" style="155" bestFit="1" customWidth="1"/>
    <col min="513" max="513" width="7" style="155" bestFit="1" customWidth="1"/>
    <col min="514" max="514" width="9.140625" style="155"/>
    <col min="515" max="515" width="15.5703125" style="155" bestFit="1" customWidth="1"/>
    <col min="516" max="516" width="9.140625" style="155"/>
    <col min="517" max="517" width="22.85546875" style="155" bestFit="1" customWidth="1"/>
    <col min="518" max="518" width="28.140625" style="155" bestFit="1" customWidth="1"/>
    <col min="519" max="519" width="10.7109375" style="155" bestFit="1" customWidth="1"/>
    <col min="520" max="520" width="7" style="155" bestFit="1" customWidth="1"/>
    <col min="521" max="758" width="9.140625" style="155"/>
    <col min="759" max="759" width="36.140625" style="155" customWidth="1"/>
    <col min="760" max="760" width="28.140625" style="155" bestFit="1" customWidth="1"/>
    <col min="761" max="761" width="10.7109375" style="155" bestFit="1" customWidth="1"/>
    <col min="762" max="762" width="8.7109375" style="155" bestFit="1" customWidth="1"/>
    <col min="763" max="763" width="10.140625" style="155" bestFit="1" customWidth="1"/>
    <col min="764" max="764" width="19.5703125" style="155" customWidth="1"/>
    <col min="765" max="765" width="9.140625" style="155"/>
    <col min="766" max="766" width="22.85546875" style="155" bestFit="1" customWidth="1"/>
    <col min="767" max="767" width="28.140625" style="155" bestFit="1" customWidth="1"/>
    <col min="768" max="768" width="10.7109375" style="155" bestFit="1" customWidth="1"/>
    <col min="769" max="769" width="7" style="155" bestFit="1" customWidth="1"/>
    <col min="770" max="770" width="9.140625" style="155"/>
    <col min="771" max="771" width="15.5703125" style="155" bestFit="1" customWidth="1"/>
    <col min="772" max="772" width="9.140625" style="155"/>
    <col min="773" max="773" width="22.85546875" style="155" bestFit="1" customWidth="1"/>
    <col min="774" max="774" width="28.140625" style="155" bestFit="1" customWidth="1"/>
    <col min="775" max="775" width="10.7109375" style="155" bestFit="1" customWidth="1"/>
    <col min="776" max="776" width="7" style="155" bestFit="1" customWidth="1"/>
    <col min="777" max="1014" width="9.140625" style="155"/>
    <col min="1015" max="1015" width="36.140625" style="155" customWidth="1"/>
    <col min="1016" max="1016" width="28.140625" style="155" bestFit="1" customWidth="1"/>
    <col min="1017" max="1017" width="10.7109375" style="155" bestFit="1" customWidth="1"/>
    <col min="1018" max="1018" width="8.7109375" style="155" bestFit="1" customWidth="1"/>
    <col min="1019" max="1019" width="10.140625" style="155" bestFit="1" customWidth="1"/>
    <col min="1020" max="1020" width="19.5703125" style="155" customWidth="1"/>
    <col min="1021" max="1021" width="9.140625" style="155"/>
    <col min="1022" max="1022" width="22.85546875" style="155" bestFit="1" customWidth="1"/>
    <col min="1023" max="1023" width="28.140625" style="155" bestFit="1" customWidth="1"/>
    <col min="1024" max="1024" width="10.7109375" style="155" bestFit="1" customWidth="1"/>
    <col min="1025" max="1025" width="7" style="155" bestFit="1" customWidth="1"/>
    <col min="1026" max="1026" width="9.140625" style="155"/>
    <col min="1027" max="1027" width="15.5703125" style="155" bestFit="1" customWidth="1"/>
    <col min="1028" max="1028" width="9.140625" style="155"/>
    <col min="1029" max="1029" width="22.85546875" style="155" bestFit="1" customWidth="1"/>
    <col min="1030" max="1030" width="28.140625" style="155" bestFit="1" customWidth="1"/>
    <col min="1031" max="1031" width="10.7109375" style="155" bestFit="1" customWidth="1"/>
    <col min="1032" max="1032" width="7" style="155" bestFit="1" customWidth="1"/>
    <col min="1033" max="1270" width="9.140625" style="155"/>
    <col min="1271" max="1271" width="36.140625" style="155" customWidth="1"/>
    <col min="1272" max="1272" width="28.140625" style="155" bestFit="1" customWidth="1"/>
    <col min="1273" max="1273" width="10.7109375" style="155" bestFit="1" customWidth="1"/>
    <col min="1274" max="1274" width="8.7109375" style="155" bestFit="1" customWidth="1"/>
    <col min="1275" max="1275" width="10.140625" style="155" bestFit="1" customWidth="1"/>
    <col min="1276" max="1276" width="19.5703125" style="155" customWidth="1"/>
    <col min="1277" max="1277" width="9.140625" style="155"/>
    <col min="1278" max="1278" width="22.85546875" style="155" bestFit="1" customWidth="1"/>
    <col min="1279" max="1279" width="28.140625" style="155" bestFit="1" customWidth="1"/>
    <col min="1280" max="1280" width="10.7109375" style="155" bestFit="1" customWidth="1"/>
    <col min="1281" max="1281" width="7" style="155" bestFit="1" customWidth="1"/>
    <col min="1282" max="1282" width="9.140625" style="155"/>
    <col min="1283" max="1283" width="15.5703125" style="155" bestFit="1" customWidth="1"/>
    <col min="1284" max="1284" width="9.140625" style="155"/>
    <col min="1285" max="1285" width="22.85546875" style="155" bestFit="1" customWidth="1"/>
    <col min="1286" max="1286" width="28.140625" style="155" bestFit="1" customWidth="1"/>
    <col min="1287" max="1287" width="10.7109375" style="155" bestFit="1" customWidth="1"/>
    <col min="1288" max="1288" width="7" style="155" bestFit="1" customWidth="1"/>
    <col min="1289" max="1526" width="9.140625" style="155"/>
    <col min="1527" max="1527" width="36.140625" style="155" customWidth="1"/>
    <col min="1528" max="1528" width="28.140625" style="155" bestFit="1" customWidth="1"/>
    <col min="1529" max="1529" width="10.7109375" style="155" bestFit="1" customWidth="1"/>
    <col min="1530" max="1530" width="8.7109375" style="155" bestFit="1" customWidth="1"/>
    <col min="1531" max="1531" width="10.140625" style="155" bestFit="1" customWidth="1"/>
    <col min="1532" max="1532" width="19.5703125" style="155" customWidth="1"/>
    <col min="1533" max="1533" width="9.140625" style="155"/>
    <col min="1534" max="1534" width="22.85546875" style="155" bestFit="1" customWidth="1"/>
    <col min="1535" max="1535" width="28.140625" style="155" bestFit="1" customWidth="1"/>
    <col min="1536" max="1536" width="10.7109375" style="155" bestFit="1" customWidth="1"/>
    <col min="1537" max="1537" width="7" style="155" bestFit="1" customWidth="1"/>
    <col min="1538" max="1538" width="9.140625" style="155"/>
    <col min="1539" max="1539" width="15.5703125" style="155" bestFit="1" customWidth="1"/>
    <col min="1540" max="1540" width="9.140625" style="155"/>
    <col min="1541" max="1541" width="22.85546875" style="155" bestFit="1" customWidth="1"/>
    <col min="1542" max="1542" width="28.140625" style="155" bestFit="1" customWidth="1"/>
    <col min="1543" max="1543" width="10.7109375" style="155" bestFit="1" customWidth="1"/>
    <col min="1544" max="1544" width="7" style="155" bestFit="1" customWidth="1"/>
    <col min="1545" max="1782" width="9.140625" style="155"/>
    <col min="1783" max="1783" width="36.140625" style="155" customWidth="1"/>
    <col min="1784" max="1784" width="28.140625" style="155" bestFit="1" customWidth="1"/>
    <col min="1785" max="1785" width="10.7109375" style="155" bestFit="1" customWidth="1"/>
    <col min="1786" max="1786" width="8.7109375" style="155" bestFit="1" customWidth="1"/>
    <col min="1787" max="1787" width="10.140625" style="155" bestFit="1" customWidth="1"/>
    <col min="1788" max="1788" width="19.5703125" style="155" customWidth="1"/>
    <col min="1789" max="1789" width="9.140625" style="155"/>
    <col min="1790" max="1790" width="22.85546875" style="155" bestFit="1" customWidth="1"/>
    <col min="1791" max="1791" width="28.140625" style="155" bestFit="1" customWidth="1"/>
    <col min="1792" max="1792" width="10.7109375" style="155" bestFit="1" customWidth="1"/>
    <col min="1793" max="1793" width="7" style="155" bestFit="1" customWidth="1"/>
    <col min="1794" max="1794" width="9.140625" style="155"/>
    <col min="1795" max="1795" width="15.5703125" style="155" bestFit="1" customWidth="1"/>
    <col min="1796" max="1796" width="9.140625" style="155"/>
    <col min="1797" max="1797" width="22.85546875" style="155" bestFit="1" customWidth="1"/>
    <col min="1798" max="1798" width="28.140625" style="155" bestFit="1" customWidth="1"/>
    <col min="1799" max="1799" width="10.7109375" style="155" bestFit="1" customWidth="1"/>
    <col min="1800" max="1800" width="7" style="155" bestFit="1" customWidth="1"/>
    <col min="1801" max="2038" width="9.140625" style="155"/>
    <col min="2039" max="2039" width="36.140625" style="155" customWidth="1"/>
    <col min="2040" max="2040" width="28.140625" style="155" bestFit="1" customWidth="1"/>
    <col min="2041" max="2041" width="10.7109375" style="155" bestFit="1" customWidth="1"/>
    <col min="2042" max="2042" width="8.7109375" style="155" bestFit="1" customWidth="1"/>
    <col min="2043" max="2043" width="10.140625" style="155" bestFit="1" customWidth="1"/>
    <col min="2044" max="2044" width="19.5703125" style="155" customWidth="1"/>
    <col min="2045" max="2045" width="9.140625" style="155"/>
    <col min="2046" max="2046" width="22.85546875" style="155" bestFit="1" customWidth="1"/>
    <col min="2047" max="2047" width="28.140625" style="155" bestFit="1" customWidth="1"/>
    <col min="2048" max="2048" width="10.7109375" style="155" bestFit="1" customWidth="1"/>
    <col min="2049" max="2049" width="7" style="155" bestFit="1" customWidth="1"/>
    <col min="2050" max="2050" width="9.140625" style="155"/>
    <col min="2051" max="2051" width="15.5703125" style="155" bestFit="1" customWidth="1"/>
    <col min="2052" max="2052" width="9.140625" style="155"/>
    <col min="2053" max="2053" width="22.85546875" style="155" bestFit="1" customWidth="1"/>
    <col min="2054" max="2054" width="28.140625" style="155" bestFit="1" customWidth="1"/>
    <col min="2055" max="2055" width="10.7109375" style="155" bestFit="1" customWidth="1"/>
    <col min="2056" max="2056" width="7" style="155" bestFit="1" customWidth="1"/>
    <col min="2057" max="2294" width="9.140625" style="155"/>
    <col min="2295" max="2295" width="36.140625" style="155" customWidth="1"/>
    <col min="2296" max="2296" width="28.140625" style="155" bestFit="1" customWidth="1"/>
    <col min="2297" max="2297" width="10.7109375" style="155" bestFit="1" customWidth="1"/>
    <col min="2298" max="2298" width="8.7109375" style="155" bestFit="1" customWidth="1"/>
    <col min="2299" max="2299" width="10.140625" style="155" bestFit="1" customWidth="1"/>
    <col min="2300" max="2300" width="19.5703125" style="155" customWidth="1"/>
    <col min="2301" max="2301" width="9.140625" style="155"/>
    <col min="2302" max="2302" width="22.85546875" style="155" bestFit="1" customWidth="1"/>
    <col min="2303" max="2303" width="28.140625" style="155" bestFit="1" customWidth="1"/>
    <col min="2304" max="2304" width="10.7109375" style="155" bestFit="1" customWidth="1"/>
    <col min="2305" max="2305" width="7" style="155" bestFit="1" customWidth="1"/>
    <col min="2306" max="2306" width="9.140625" style="155"/>
    <col min="2307" max="2307" width="15.5703125" style="155" bestFit="1" customWidth="1"/>
    <col min="2308" max="2308" width="9.140625" style="155"/>
    <col min="2309" max="2309" width="22.85546875" style="155" bestFit="1" customWidth="1"/>
    <col min="2310" max="2310" width="28.140625" style="155" bestFit="1" customWidth="1"/>
    <col min="2311" max="2311" width="10.7109375" style="155" bestFit="1" customWidth="1"/>
    <col min="2312" max="2312" width="7" style="155" bestFit="1" customWidth="1"/>
    <col min="2313" max="2550" width="9.140625" style="155"/>
    <col min="2551" max="2551" width="36.140625" style="155" customWidth="1"/>
    <col min="2552" max="2552" width="28.140625" style="155" bestFit="1" customWidth="1"/>
    <col min="2553" max="2553" width="10.7109375" style="155" bestFit="1" customWidth="1"/>
    <col min="2554" max="2554" width="8.7109375" style="155" bestFit="1" customWidth="1"/>
    <col min="2555" max="2555" width="10.140625" style="155" bestFit="1" customWidth="1"/>
    <col min="2556" max="2556" width="19.5703125" style="155" customWidth="1"/>
    <col min="2557" max="2557" width="9.140625" style="155"/>
    <col min="2558" max="2558" width="22.85546875" style="155" bestFit="1" customWidth="1"/>
    <col min="2559" max="2559" width="28.140625" style="155" bestFit="1" customWidth="1"/>
    <col min="2560" max="2560" width="10.7109375" style="155" bestFit="1" customWidth="1"/>
    <col min="2561" max="2561" width="7" style="155" bestFit="1" customWidth="1"/>
    <col min="2562" max="2562" width="9.140625" style="155"/>
    <col min="2563" max="2563" width="15.5703125" style="155" bestFit="1" customWidth="1"/>
    <col min="2564" max="2564" width="9.140625" style="155"/>
    <col min="2565" max="2565" width="22.85546875" style="155" bestFit="1" customWidth="1"/>
    <col min="2566" max="2566" width="28.140625" style="155" bestFit="1" customWidth="1"/>
    <col min="2567" max="2567" width="10.7109375" style="155" bestFit="1" customWidth="1"/>
    <col min="2568" max="2568" width="7" style="155" bestFit="1" customWidth="1"/>
    <col min="2569" max="2806" width="9.140625" style="155"/>
    <col min="2807" max="2807" width="36.140625" style="155" customWidth="1"/>
    <col min="2808" max="2808" width="28.140625" style="155" bestFit="1" customWidth="1"/>
    <col min="2809" max="2809" width="10.7109375" style="155" bestFit="1" customWidth="1"/>
    <col min="2810" max="2810" width="8.7109375" style="155" bestFit="1" customWidth="1"/>
    <col min="2811" max="2811" width="10.140625" style="155" bestFit="1" customWidth="1"/>
    <col min="2812" max="2812" width="19.5703125" style="155" customWidth="1"/>
    <col min="2813" max="2813" width="9.140625" style="155"/>
    <col min="2814" max="2814" width="22.85546875" style="155" bestFit="1" customWidth="1"/>
    <col min="2815" max="2815" width="28.140625" style="155" bestFit="1" customWidth="1"/>
    <col min="2816" max="2816" width="10.7109375" style="155" bestFit="1" customWidth="1"/>
    <col min="2817" max="2817" width="7" style="155" bestFit="1" customWidth="1"/>
    <col min="2818" max="2818" width="9.140625" style="155"/>
    <col min="2819" max="2819" width="15.5703125" style="155" bestFit="1" customWidth="1"/>
    <col min="2820" max="2820" width="9.140625" style="155"/>
    <col min="2821" max="2821" width="22.85546875" style="155" bestFit="1" customWidth="1"/>
    <col min="2822" max="2822" width="28.140625" style="155" bestFit="1" customWidth="1"/>
    <col min="2823" max="2823" width="10.7109375" style="155" bestFit="1" customWidth="1"/>
    <col min="2824" max="2824" width="7" style="155" bestFit="1" customWidth="1"/>
    <col min="2825" max="3062" width="9.140625" style="155"/>
    <col min="3063" max="3063" width="36.140625" style="155" customWidth="1"/>
    <col min="3064" max="3064" width="28.140625" style="155" bestFit="1" customWidth="1"/>
    <col min="3065" max="3065" width="10.7109375" style="155" bestFit="1" customWidth="1"/>
    <col min="3066" max="3066" width="8.7109375" style="155" bestFit="1" customWidth="1"/>
    <col min="3067" max="3067" width="10.140625" style="155" bestFit="1" customWidth="1"/>
    <col min="3068" max="3068" width="19.5703125" style="155" customWidth="1"/>
    <col min="3069" max="3069" width="9.140625" style="155"/>
    <col min="3070" max="3070" width="22.85546875" style="155" bestFit="1" customWidth="1"/>
    <col min="3071" max="3071" width="28.140625" style="155" bestFit="1" customWidth="1"/>
    <col min="3072" max="3072" width="10.7109375" style="155" bestFit="1" customWidth="1"/>
    <col min="3073" max="3073" width="7" style="155" bestFit="1" customWidth="1"/>
    <col min="3074" max="3074" width="9.140625" style="155"/>
    <col min="3075" max="3075" width="15.5703125" style="155" bestFit="1" customWidth="1"/>
    <col min="3076" max="3076" width="9.140625" style="155"/>
    <col min="3077" max="3077" width="22.85546875" style="155" bestFit="1" customWidth="1"/>
    <col min="3078" max="3078" width="28.140625" style="155" bestFit="1" customWidth="1"/>
    <col min="3079" max="3079" width="10.7109375" style="155" bestFit="1" customWidth="1"/>
    <col min="3080" max="3080" width="7" style="155" bestFit="1" customWidth="1"/>
    <col min="3081" max="3318" width="9.140625" style="155"/>
    <col min="3319" max="3319" width="36.140625" style="155" customWidth="1"/>
    <col min="3320" max="3320" width="28.140625" style="155" bestFit="1" customWidth="1"/>
    <col min="3321" max="3321" width="10.7109375" style="155" bestFit="1" customWidth="1"/>
    <col min="3322" max="3322" width="8.7109375" style="155" bestFit="1" customWidth="1"/>
    <col min="3323" max="3323" width="10.140625" style="155" bestFit="1" customWidth="1"/>
    <col min="3324" max="3324" width="19.5703125" style="155" customWidth="1"/>
    <col min="3325" max="3325" width="9.140625" style="155"/>
    <col min="3326" max="3326" width="22.85546875" style="155" bestFit="1" customWidth="1"/>
    <col min="3327" max="3327" width="28.140625" style="155" bestFit="1" customWidth="1"/>
    <col min="3328" max="3328" width="10.7109375" style="155" bestFit="1" customWidth="1"/>
    <col min="3329" max="3329" width="7" style="155" bestFit="1" customWidth="1"/>
    <col min="3330" max="3330" width="9.140625" style="155"/>
    <col min="3331" max="3331" width="15.5703125" style="155" bestFit="1" customWidth="1"/>
    <col min="3332" max="3332" width="9.140625" style="155"/>
    <col min="3333" max="3333" width="22.85546875" style="155" bestFit="1" customWidth="1"/>
    <col min="3334" max="3334" width="28.140625" style="155" bestFit="1" customWidth="1"/>
    <col min="3335" max="3335" width="10.7109375" style="155" bestFit="1" customWidth="1"/>
    <col min="3336" max="3336" width="7" style="155" bestFit="1" customWidth="1"/>
    <col min="3337" max="3574" width="9.140625" style="155"/>
    <col min="3575" max="3575" width="36.140625" style="155" customWidth="1"/>
    <col min="3576" max="3576" width="28.140625" style="155" bestFit="1" customWidth="1"/>
    <col min="3577" max="3577" width="10.7109375" style="155" bestFit="1" customWidth="1"/>
    <col min="3578" max="3578" width="8.7109375" style="155" bestFit="1" customWidth="1"/>
    <col min="3579" max="3579" width="10.140625" style="155" bestFit="1" customWidth="1"/>
    <col min="3580" max="3580" width="19.5703125" style="155" customWidth="1"/>
    <col min="3581" max="3581" width="9.140625" style="155"/>
    <col min="3582" max="3582" width="22.85546875" style="155" bestFit="1" customWidth="1"/>
    <col min="3583" max="3583" width="28.140625" style="155" bestFit="1" customWidth="1"/>
    <col min="3584" max="3584" width="10.7109375" style="155" bestFit="1" customWidth="1"/>
    <col min="3585" max="3585" width="7" style="155" bestFit="1" customWidth="1"/>
    <col min="3586" max="3586" width="9.140625" style="155"/>
    <col min="3587" max="3587" width="15.5703125" style="155" bestFit="1" customWidth="1"/>
    <col min="3588" max="3588" width="9.140625" style="155"/>
    <col min="3589" max="3589" width="22.85546875" style="155" bestFit="1" customWidth="1"/>
    <col min="3590" max="3590" width="28.140625" style="155" bestFit="1" customWidth="1"/>
    <col min="3591" max="3591" width="10.7109375" style="155" bestFit="1" customWidth="1"/>
    <col min="3592" max="3592" width="7" style="155" bestFit="1" customWidth="1"/>
    <col min="3593" max="3830" width="9.140625" style="155"/>
    <col min="3831" max="3831" width="36.140625" style="155" customWidth="1"/>
    <col min="3832" max="3832" width="28.140625" style="155" bestFit="1" customWidth="1"/>
    <col min="3833" max="3833" width="10.7109375" style="155" bestFit="1" customWidth="1"/>
    <col min="3834" max="3834" width="8.7109375" style="155" bestFit="1" customWidth="1"/>
    <col min="3835" max="3835" width="10.140625" style="155" bestFit="1" customWidth="1"/>
    <col min="3836" max="3836" width="19.5703125" style="155" customWidth="1"/>
    <col min="3837" max="3837" width="9.140625" style="155"/>
    <col min="3838" max="3838" width="22.85546875" style="155" bestFit="1" customWidth="1"/>
    <col min="3839" max="3839" width="28.140625" style="155" bestFit="1" customWidth="1"/>
    <col min="3840" max="3840" width="10.7109375" style="155" bestFit="1" customWidth="1"/>
    <col min="3841" max="3841" width="7" style="155" bestFit="1" customWidth="1"/>
    <col min="3842" max="3842" width="9.140625" style="155"/>
    <col min="3843" max="3843" width="15.5703125" style="155" bestFit="1" customWidth="1"/>
    <col min="3844" max="3844" width="9.140625" style="155"/>
    <col min="3845" max="3845" width="22.85546875" style="155" bestFit="1" customWidth="1"/>
    <col min="3846" max="3846" width="28.140625" style="155" bestFit="1" customWidth="1"/>
    <col min="3847" max="3847" width="10.7109375" style="155" bestFit="1" customWidth="1"/>
    <col min="3848" max="3848" width="7" style="155" bestFit="1" customWidth="1"/>
    <col min="3849" max="4086" width="9.140625" style="155"/>
    <col min="4087" max="4087" width="36.140625" style="155" customWidth="1"/>
    <col min="4088" max="4088" width="28.140625" style="155" bestFit="1" customWidth="1"/>
    <col min="4089" max="4089" width="10.7109375" style="155" bestFit="1" customWidth="1"/>
    <col min="4090" max="4090" width="8.7109375" style="155" bestFit="1" customWidth="1"/>
    <col min="4091" max="4091" width="10.140625" style="155" bestFit="1" customWidth="1"/>
    <col min="4092" max="4092" width="19.5703125" style="155" customWidth="1"/>
    <col min="4093" max="4093" width="9.140625" style="155"/>
    <col min="4094" max="4094" width="22.85546875" style="155" bestFit="1" customWidth="1"/>
    <col min="4095" max="4095" width="28.140625" style="155" bestFit="1" customWidth="1"/>
    <col min="4096" max="4096" width="10.7109375" style="155" bestFit="1" customWidth="1"/>
    <col min="4097" max="4097" width="7" style="155" bestFit="1" customWidth="1"/>
    <col min="4098" max="4098" width="9.140625" style="155"/>
    <col min="4099" max="4099" width="15.5703125" style="155" bestFit="1" customWidth="1"/>
    <col min="4100" max="4100" width="9.140625" style="155"/>
    <col min="4101" max="4101" width="22.85546875" style="155" bestFit="1" customWidth="1"/>
    <col min="4102" max="4102" width="28.140625" style="155" bestFit="1" customWidth="1"/>
    <col min="4103" max="4103" width="10.7109375" style="155" bestFit="1" customWidth="1"/>
    <col min="4104" max="4104" width="7" style="155" bestFit="1" customWidth="1"/>
    <col min="4105" max="4342" width="9.140625" style="155"/>
    <col min="4343" max="4343" width="36.140625" style="155" customWidth="1"/>
    <col min="4344" max="4344" width="28.140625" style="155" bestFit="1" customWidth="1"/>
    <col min="4345" max="4345" width="10.7109375" style="155" bestFit="1" customWidth="1"/>
    <col min="4346" max="4346" width="8.7109375" style="155" bestFit="1" customWidth="1"/>
    <col min="4347" max="4347" width="10.140625" style="155" bestFit="1" customWidth="1"/>
    <col min="4348" max="4348" width="19.5703125" style="155" customWidth="1"/>
    <col min="4349" max="4349" width="9.140625" style="155"/>
    <col min="4350" max="4350" width="22.85546875" style="155" bestFit="1" customWidth="1"/>
    <col min="4351" max="4351" width="28.140625" style="155" bestFit="1" customWidth="1"/>
    <col min="4352" max="4352" width="10.7109375" style="155" bestFit="1" customWidth="1"/>
    <col min="4353" max="4353" width="7" style="155" bestFit="1" customWidth="1"/>
    <col min="4354" max="4354" width="9.140625" style="155"/>
    <col min="4355" max="4355" width="15.5703125" style="155" bestFit="1" customWidth="1"/>
    <col min="4356" max="4356" width="9.140625" style="155"/>
    <col min="4357" max="4357" width="22.85546875" style="155" bestFit="1" customWidth="1"/>
    <col min="4358" max="4358" width="28.140625" style="155" bestFit="1" customWidth="1"/>
    <col min="4359" max="4359" width="10.7109375" style="155" bestFit="1" customWidth="1"/>
    <col min="4360" max="4360" width="7" style="155" bestFit="1" customWidth="1"/>
    <col min="4361" max="4598" width="9.140625" style="155"/>
    <col min="4599" max="4599" width="36.140625" style="155" customWidth="1"/>
    <col min="4600" max="4600" width="28.140625" style="155" bestFit="1" customWidth="1"/>
    <col min="4601" max="4601" width="10.7109375" style="155" bestFit="1" customWidth="1"/>
    <col min="4602" max="4602" width="8.7109375" style="155" bestFit="1" customWidth="1"/>
    <col min="4603" max="4603" width="10.140625" style="155" bestFit="1" customWidth="1"/>
    <col min="4604" max="4604" width="19.5703125" style="155" customWidth="1"/>
    <col min="4605" max="4605" width="9.140625" style="155"/>
    <col min="4606" max="4606" width="22.85546875" style="155" bestFit="1" customWidth="1"/>
    <col min="4607" max="4607" width="28.140625" style="155" bestFit="1" customWidth="1"/>
    <col min="4608" max="4608" width="10.7109375" style="155" bestFit="1" customWidth="1"/>
    <col min="4609" max="4609" width="7" style="155" bestFit="1" customWidth="1"/>
    <col min="4610" max="4610" width="9.140625" style="155"/>
    <col min="4611" max="4611" width="15.5703125" style="155" bestFit="1" customWidth="1"/>
    <col min="4612" max="4612" width="9.140625" style="155"/>
    <col min="4613" max="4613" width="22.85546875" style="155" bestFit="1" customWidth="1"/>
    <col min="4614" max="4614" width="28.140625" style="155" bestFit="1" customWidth="1"/>
    <col min="4615" max="4615" width="10.7109375" style="155" bestFit="1" customWidth="1"/>
    <col min="4616" max="4616" width="7" style="155" bestFit="1" customWidth="1"/>
    <col min="4617" max="4854" width="9.140625" style="155"/>
    <col min="4855" max="4855" width="36.140625" style="155" customWidth="1"/>
    <col min="4856" max="4856" width="28.140625" style="155" bestFit="1" customWidth="1"/>
    <col min="4857" max="4857" width="10.7109375" style="155" bestFit="1" customWidth="1"/>
    <col min="4858" max="4858" width="8.7109375" style="155" bestFit="1" customWidth="1"/>
    <col min="4859" max="4859" width="10.140625" style="155" bestFit="1" customWidth="1"/>
    <col min="4860" max="4860" width="19.5703125" style="155" customWidth="1"/>
    <col min="4861" max="4861" width="9.140625" style="155"/>
    <col min="4862" max="4862" width="22.85546875" style="155" bestFit="1" customWidth="1"/>
    <col min="4863" max="4863" width="28.140625" style="155" bestFit="1" customWidth="1"/>
    <col min="4864" max="4864" width="10.7109375" style="155" bestFit="1" customWidth="1"/>
    <col min="4865" max="4865" width="7" style="155" bestFit="1" customWidth="1"/>
    <col min="4866" max="4866" width="9.140625" style="155"/>
    <col min="4867" max="4867" width="15.5703125" style="155" bestFit="1" customWidth="1"/>
    <col min="4868" max="4868" width="9.140625" style="155"/>
    <col min="4869" max="4869" width="22.85546875" style="155" bestFit="1" customWidth="1"/>
    <col min="4870" max="4870" width="28.140625" style="155" bestFit="1" customWidth="1"/>
    <col min="4871" max="4871" width="10.7109375" style="155" bestFit="1" customWidth="1"/>
    <col min="4872" max="4872" width="7" style="155" bestFit="1" customWidth="1"/>
    <col min="4873" max="5110" width="9.140625" style="155"/>
    <col min="5111" max="5111" width="36.140625" style="155" customWidth="1"/>
    <col min="5112" max="5112" width="28.140625" style="155" bestFit="1" customWidth="1"/>
    <col min="5113" max="5113" width="10.7109375" style="155" bestFit="1" customWidth="1"/>
    <col min="5114" max="5114" width="8.7109375" style="155" bestFit="1" customWidth="1"/>
    <col min="5115" max="5115" width="10.140625" style="155" bestFit="1" customWidth="1"/>
    <col min="5116" max="5116" width="19.5703125" style="155" customWidth="1"/>
    <col min="5117" max="5117" width="9.140625" style="155"/>
    <col min="5118" max="5118" width="22.85546875" style="155" bestFit="1" customWidth="1"/>
    <col min="5119" max="5119" width="28.140625" style="155" bestFit="1" customWidth="1"/>
    <col min="5120" max="5120" width="10.7109375" style="155" bestFit="1" customWidth="1"/>
    <col min="5121" max="5121" width="7" style="155" bestFit="1" customWidth="1"/>
    <col min="5122" max="5122" width="9.140625" style="155"/>
    <col min="5123" max="5123" width="15.5703125" style="155" bestFit="1" customWidth="1"/>
    <col min="5124" max="5124" width="9.140625" style="155"/>
    <col min="5125" max="5125" width="22.85546875" style="155" bestFit="1" customWidth="1"/>
    <col min="5126" max="5126" width="28.140625" style="155" bestFit="1" customWidth="1"/>
    <col min="5127" max="5127" width="10.7109375" style="155" bestFit="1" customWidth="1"/>
    <col min="5128" max="5128" width="7" style="155" bestFit="1" customWidth="1"/>
    <col min="5129" max="5366" width="9.140625" style="155"/>
    <col min="5367" max="5367" width="36.140625" style="155" customWidth="1"/>
    <col min="5368" max="5368" width="28.140625" style="155" bestFit="1" customWidth="1"/>
    <col min="5369" max="5369" width="10.7109375" style="155" bestFit="1" customWidth="1"/>
    <col min="5370" max="5370" width="8.7109375" style="155" bestFit="1" customWidth="1"/>
    <col min="5371" max="5371" width="10.140625" style="155" bestFit="1" customWidth="1"/>
    <col min="5372" max="5372" width="19.5703125" style="155" customWidth="1"/>
    <col min="5373" max="5373" width="9.140625" style="155"/>
    <col min="5374" max="5374" width="22.85546875" style="155" bestFit="1" customWidth="1"/>
    <col min="5375" max="5375" width="28.140625" style="155" bestFit="1" customWidth="1"/>
    <col min="5376" max="5376" width="10.7109375" style="155" bestFit="1" customWidth="1"/>
    <col min="5377" max="5377" width="7" style="155" bestFit="1" customWidth="1"/>
    <col min="5378" max="5378" width="9.140625" style="155"/>
    <col min="5379" max="5379" width="15.5703125" style="155" bestFit="1" customWidth="1"/>
    <col min="5380" max="5380" width="9.140625" style="155"/>
    <col min="5381" max="5381" width="22.85546875" style="155" bestFit="1" customWidth="1"/>
    <col min="5382" max="5382" width="28.140625" style="155" bestFit="1" customWidth="1"/>
    <col min="5383" max="5383" width="10.7109375" style="155" bestFit="1" customWidth="1"/>
    <col min="5384" max="5384" width="7" style="155" bestFit="1" customWidth="1"/>
    <col min="5385" max="5622" width="9.140625" style="155"/>
    <col min="5623" max="5623" width="36.140625" style="155" customWidth="1"/>
    <col min="5624" max="5624" width="28.140625" style="155" bestFit="1" customWidth="1"/>
    <col min="5625" max="5625" width="10.7109375" style="155" bestFit="1" customWidth="1"/>
    <col min="5626" max="5626" width="8.7109375" style="155" bestFit="1" customWidth="1"/>
    <col min="5627" max="5627" width="10.140625" style="155" bestFit="1" customWidth="1"/>
    <col min="5628" max="5628" width="19.5703125" style="155" customWidth="1"/>
    <col min="5629" max="5629" width="9.140625" style="155"/>
    <col min="5630" max="5630" width="22.85546875" style="155" bestFit="1" customWidth="1"/>
    <col min="5631" max="5631" width="28.140625" style="155" bestFit="1" customWidth="1"/>
    <col min="5632" max="5632" width="10.7109375" style="155" bestFit="1" customWidth="1"/>
    <col min="5633" max="5633" width="7" style="155" bestFit="1" customWidth="1"/>
    <col min="5634" max="5634" width="9.140625" style="155"/>
    <col min="5635" max="5635" width="15.5703125" style="155" bestFit="1" customWidth="1"/>
    <col min="5636" max="5636" width="9.140625" style="155"/>
    <col min="5637" max="5637" width="22.85546875" style="155" bestFit="1" customWidth="1"/>
    <col min="5638" max="5638" width="28.140625" style="155" bestFit="1" customWidth="1"/>
    <col min="5639" max="5639" width="10.7109375" style="155" bestFit="1" customWidth="1"/>
    <col min="5640" max="5640" width="7" style="155" bestFit="1" customWidth="1"/>
    <col min="5641" max="5878" width="9.140625" style="155"/>
    <col min="5879" max="5879" width="36.140625" style="155" customWidth="1"/>
    <col min="5880" max="5880" width="28.140625" style="155" bestFit="1" customWidth="1"/>
    <col min="5881" max="5881" width="10.7109375" style="155" bestFit="1" customWidth="1"/>
    <col min="5882" max="5882" width="8.7109375" style="155" bestFit="1" customWidth="1"/>
    <col min="5883" max="5883" width="10.140625" style="155" bestFit="1" customWidth="1"/>
    <col min="5884" max="5884" width="19.5703125" style="155" customWidth="1"/>
    <col min="5885" max="5885" width="9.140625" style="155"/>
    <col min="5886" max="5886" width="22.85546875" style="155" bestFit="1" customWidth="1"/>
    <col min="5887" max="5887" width="28.140625" style="155" bestFit="1" customWidth="1"/>
    <col min="5888" max="5888" width="10.7109375" style="155" bestFit="1" customWidth="1"/>
    <col min="5889" max="5889" width="7" style="155" bestFit="1" customWidth="1"/>
    <col min="5890" max="5890" width="9.140625" style="155"/>
    <col min="5891" max="5891" width="15.5703125" style="155" bestFit="1" customWidth="1"/>
    <col min="5892" max="5892" width="9.140625" style="155"/>
    <col min="5893" max="5893" width="22.85546875" style="155" bestFit="1" customWidth="1"/>
    <col min="5894" max="5894" width="28.140625" style="155" bestFit="1" customWidth="1"/>
    <col min="5895" max="5895" width="10.7109375" style="155" bestFit="1" customWidth="1"/>
    <col min="5896" max="5896" width="7" style="155" bestFit="1" customWidth="1"/>
    <col min="5897" max="6134" width="9.140625" style="155"/>
    <col min="6135" max="6135" width="36.140625" style="155" customWidth="1"/>
    <col min="6136" max="6136" width="28.140625" style="155" bestFit="1" customWidth="1"/>
    <col min="6137" max="6137" width="10.7109375" style="155" bestFit="1" customWidth="1"/>
    <col min="6138" max="6138" width="8.7109375" style="155" bestFit="1" customWidth="1"/>
    <col min="6139" max="6139" width="10.140625" style="155" bestFit="1" customWidth="1"/>
    <col min="6140" max="6140" width="19.5703125" style="155" customWidth="1"/>
    <col min="6141" max="6141" width="9.140625" style="155"/>
    <col min="6142" max="6142" width="22.85546875" style="155" bestFit="1" customWidth="1"/>
    <col min="6143" max="6143" width="28.140625" style="155" bestFit="1" customWidth="1"/>
    <col min="6144" max="6144" width="10.7109375" style="155" bestFit="1" customWidth="1"/>
    <col min="6145" max="6145" width="7" style="155" bestFit="1" customWidth="1"/>
    <col min="6146" max="6146" width="9.140625" style="155"/>
    <col min="6147" max="6147" width="15.5703125" style="155" bestFit="1" customWidth="1"/>
    <col min="6148" max="6148" width="9.140625" style="155"/>
    <col min="6149" max="6149" width="22.85546875" style="155" bestFit="1" customWidth="1"/>
    <col min="6150" max="6150" width="28.140625" style="155" bestFit="1" customWidth="1"/>
    <col min="6151" max="6151" width="10.7109375" style="155" bestFit="1" customWidth="1"/>
    <col min="6152" max="6152" width="7" style="155" bestFit="1" customWidth="1"/>
    <col min="6153" max="6390" width="9.140625" style="155"/>
    <col min="6391" max="6391" width="36.140625" style="155" customWidth="1"/>
    <col min="6392" max="6392" width="28.140625" style="155" bestFit="1" customWidth="1"/>
    <col min="6393" max="6393" width="10.7109375" style="155" bestFit="1" customWidth="1"/>
    <col min="6394" max="6394" width="8.7109375" style="155" bestFit="1" customWidth="1"/>
    <col min="6395" max="6395" width="10.140625" style="155" bestFit="1" customWidth="1"/>
    <col min="6396" max="6396" width="19.5703125" style="155" customWidth="1"/>
    <col min="6397" max="6397" width="9.140625" style="155"/>
    <col min="6398" max="6398" width="22.85546875" style="155" bestFit="1" customWidth="1"/>
    <col min="6399" max="6399" width="28.140625" style="155" bestFit="1" customWidth="1"/>
    <col min="6400" max="6400" width="10.7109375" style="155" bestFit="1" customWidth="1"/>
    <col min="6401" max="6401" width="7" style="155" bestFit="1" customWidth="1"/>
    <col min="6402" max="6402" width="9.140625" style="155"/>
    <col min="6403" max="6403" width="15.5703125" style="155" bestFit="1" customWidth="1"/>
    <col min="6404" max="6404" width="9.140625" style="155"/>
    <col min="6405" max="6405" width="22.85546875" style="155" bestFit="1" customWidth="1"/>
    <col min="6406" max="6406" width="28.140625" style="155" bestFit="1" customWidth="1"/>
    <col min="6407" max="6407" width="10.7109375" style="155" bestFit="1" customWidth="1"/>
    <col min="6408" max="6408" width="7" style="155" bestFit="1" customWidth="1"/>
    <col min="6409" max="6646" width="9.140625" style="155"/>
    <col min="6647" max="6647" width="36.140625" style="155" customWidth="1"/>
    <col min="6648" max="6648" width="28.140625" style="155" bestFit="1" customWidth="1"/>
    <col min="6649" max="6649" width="10.7109375" style="155" bestFit="1" customWidth="1"/>
    <col min="6650" max="6650" width="8.7109375" style="155" bestFit="1" customWidth="1"/>
    <col min="6651" max="6651" width="10.140625" style="155" bestFit="1" customWidth="1"/>
    <col min="6652" max="6652" width="19.5703125" style="155" customWidth="1"/>
    <col min="6653" max="6653" width="9.140625" style="155"/>
    <col min="6654" max="6654" width="22.85546875" style="155" bestFit="1" customWidth="1"/>
    <col min="6655" max="6655" width="28.140625" style="155" bestFit="1" customWidth="1"/>
    <col min="6656" max="6656" width="10.7109375" style="155" bestFit="1" customWidth="1"/>
    <col min="6657" max="6657" width="7" style="155" bestFit="1" customWidth="1"/>
    <col min="6658" max="6658" width="9.140625" style="155"/>
    <col min="6659" max="6659" width="15.5703125" style="155" bestFit="1" customWidth="1"/>
    <col min="6660" max="6660" width="9.140625" style="155"/>
    <col min="6661" max="6661" width="22.85546875" style="155" bestFit="1" customWidth="1"/>
    <col min="6662" max="6662" width="28.140625" style="155" bestFit="1" customWidth="1"/>
    <col min="6663" max="6663" width="10.7109375" style="155" bestFit="1" customWidth="1"/>
    <col min="6664" max="6664" width="7" style="155" bestFit="1" customWidth="1"/>
    <col min="6665" max="6902" width="9.140625" style="155"/>
    <col min="6903" max="6903" width="36.140625" style="155" customWidth="1"/>
    <col min="6904" max="6904" width="28.140625" style="155" bestFit="1" customWidth="1"/>
    <col min="6905" max="6905" width="10.7109375" style="155" bestFit="1" customWidth="1"/>
    <col min="6906" max="6906" width="8.7109375" style="155" bestFit="1" customWidth="1"/>
    <col min="6907" max="6907" width="10.140625" style="155" bestFit="1" customWidth="1"/>
    <col min="6908" max="6908" width="19.5703125" style="155" customWidth="1"/>
    <col min="6909" max="6909" width="9.140625" style="155"/>
    <col min="6910" max="6910" width="22.85546875" style="155" bestFit="1" customWidth="1"/>
    <col min="6911" max="6911" width="28.140625" style="155" bestFit="1" customWidth="1"/>
    <col min="6912" max="6912" width="10.7109375" style="155" bestFit="1" customWidth="1"/>
    <col min="6913" max="6913" width="7" style="155" bestFit="1" customWidth="1"/>
    <col min="6914" max="6914" width="9.140625" style="155"/>
    <col min="6915" max="6915" width="15.5703125" style="155" bestFit="1" customWidth="1"/>
    <col min="6916" max="6916" width="9.140625" style="155"/>
    <col min="6917" max="6917" width="22.85546875" style="155" bestFit="1" customWidth="1"/>
    <col min="6918" max="6918" width="28.140625" style="155" bestFit="1" customWidth="1"/>
    <col min="6919" max="6919" width="10.7109375" style="155" bestFit="1" customWidth="1"/>
    <col min="6920" max="6920" width="7" style="155" bestFit="1" customWidth="1"/>
    <col min="6921" max="7158" width="9.140625" style="155"/>
    <col min="7159" max="7159" width="36.140625" style="155" customWidth="1"/>
    <col min="7160" max="7160" width="28.140625" style="155" bestFit="1" customWidth="1"/>
    <col min="7161" max="7161" width="10.7109375" style="155" bestFit="1" customWidth="1"/>
    <col min="7162" max="7162" width="8.7109375" style="155" bestFit="1" customWidth="1"/>
    <col min="7163" max="7163" width="10.140625" style="155" bestFit="1" customWidth="1"/>
    <col min="7164" max="7164" width="19.5703125" style="155" customWidth="1"/>
    <col min="7165" max="7165" width="9.140625" style="155"/>
    <col min="7166" max="7166" width="22.85546875" style="155" bestFit="1" customWidth="1"/>
    <col min="7167" max="7167" width="28.140625" style="155" bestFit="1" customWidth="1"/>
    <col min="7168" max="7168" width="10.7109375" style="155" bestFit="1" customWidth="1"/>
    <col min="7169" max="7169" width="7" style="155" bestFit="1" customWidth="1"/>
    <col min="7170" max="7170" width="9.140625" style="155"/>
    <col min="7171" max="7171" width="15.5703125" style="155" bestFit="1" customWidth="1"/>
    <col min="7172" max="7172" width="9.140625" style="155"/>
    <col min="7173" max="7173" width="22.85546875" style="155" bestFit="1" customWidth="1"/>
    <col min="7174" max="7174" width="28.140625" style="155" bestFit="1" customWidth="1"/>
    <col min="7175" max="7175" width="10.7109375" style="155" bestFit="1" customWidth="1"/>
    <col min="7176" max="7176" width="7" style="155" bestFit="1" customWidth="1"/>
    <col min="7177" max="7414" width="9.140625" style="155"/>
    <col min="7415" max="7415" width="36.140625" style="155" customWidth="1"/>
    <col min="7416" max="7416" width="28.140625" style="155" bestFit="1" customWidth="1"/>
    <col min="7417" max="7417" width="10.7109375" style="155" bestFit="1" customWidth="1"/>
    <col min="7418" max="7418" width="8.7109375" style="155" bestFit="1" customWidth="1"/>
    <col min="7419" max="7419" width="10.140625" style="155" bestFit="1" customWidth="1"/>
    <col min="7420" max="7420" width="19.5703125" style="155" customWidth="1"/>
    <col min="7421" max="7421" width="9.140625" style="155"/>
    <col min="7422" max="7422" width="22.85546875" style="155" bestFit="1" customWidth="1"/>
    <col min="7423" max="7423" width="28.140625" style="155" bestFit="1" customWidth="1"/>
    <col min="7424" max="7424" width="10.7109375" style="155" bestFit="1" customWidth="1"/>
    <col min="7425" max="7425" width="7" style="155" bestFit="1" customWidth="1"/>
    <col min="7426" max="7426" width="9.140625" style="155"/>
    <col min="7427" max="7427" width="15.5703125" style="155" bestFit="1" customWidth="1"/>
    <col min="7428" max="7428" width="9.140625" style="155"/>
    <col min="7429" max="7429" width="22.85546875" style="155" bestFit="1" customWidth="1"/>
    <col min="7430" max="7430" width="28.140625" style="155" bestFit="1" customWidth="1"/>
    <col min="7431" max="7431" width="10.7109375" style="155" bestFit="1" customWidth="1"/>
    <col min="7432" max="7432" width="7" style="155" bestFit="1" customWidth="1"/>
    <col min="7433" max="7670" width="9.140625" style="155"/>
    <col min="7671" max="7671" width="36.140625" style="155" customWidth="1"/>
    <col min="7672" max="7672" width="28.140625" style="155" bestFit="1" customWidth="1"/>
    <col min="7673" max="7673" width="10.7109375" style="155" bestFit="1" customWidth="1"/>
    <col min="7674" max="7674" width="8.7109375" style="155" bestFit="1" customWidth="1"/>
    <col min="7675" max="7675" width="10.140625" style="155" bestFit="1" customWidth="1"/>
    <col min="7676" max="7676" width="19.5703125" style="155" customWidth="1"/>
    <col min="7677" max="7677" width="9.140625" style="155"/>
    <col min="7678" max="7678" width="22.85546875" style="155" bestFit="1" customWidth="1"/>
    <col min="7679" max="7679" width="28.140625" style="155" bestFit="1" customWidth="1"/>
    <col min="7680" max="7680" width="10.7109375" style="155" bestFit="1" customWidth="1"/>
    <col min="7681" max="7681" width="7" style="155" bestFit="1" customWidth="1"/>
    <col min="7682" max="7682" width="9.140625" style="155"/>
    <col min="7683" max="7683" width="15.5703125" style="155" bestFit="1" customWidth="1"/>
    <col min="7684" max="7684" width="9.140625" style="155"/>
    <col min="7685" max="7685" width="22.85546875" style="155" bestFit="1" customWidth="1"/>
    <col min="7686" max="7686" width="28.140625" style="155" bestFit="1" customWidth="1"/>
    <col min="7687" max="7687" width="10.7109375" style="155" bestFit="1" customWidth="1"/>
    <col min="7688" max="7688" width="7" style="155" bestFit="1" customWidth="1"/>
    <col min="7689" max="7926" width="9.140625" style="155"/>
    <col min="7927" max="7927" width="36.140625" style="155" customWidth="1"/>
    <col min="7928" max="7928" width="28.140625" style="155" bestFit="1" customWidth="1"/>
    <col min="7929" max="7929" width="10.7109375" style="155" bestFit="1" customWidth="1"/>
    <col min="7930" max="7930" width="8.7109375" style="155" bestFit="1" customWidth="1"/>
    <col min="7931" max="7931" width="10.140625" style="155" bestFit="1" customWidth="1"/>
    <col min="7932" max="7932" width="19.5703125" style="155" customWidth="1"/>
    <col min="7933" max="7933" width="9.140625" style="155"/>
    <col min="7934" max="7934" width="22.85546875" style="155" bestFit="1" customWidth="1"/>
    <col min="7935" max="7935" width="28.140625" style="155" bestFit="1" customWidth="1"/>
    <col min="7936" max="7936" width="10.7109375" style="155" bestFit="1" customWidth="1"/>
    <col min="7937" max="7937" width="7" style="155" bestFit="1" customWidth="1"/>
    <col min="7938" max="7938" width="9.140625" style="155"/>
    <col min="7939" max="7939" width="15.5703125" style="155" bestFit="1" customWidth="1"/>
    <col min="7940" max="7940" width="9.140625" style="155"/>
    <col min="7941" max="7941" width="22.85546875" style="155" bestFit="1" customWidth="1"/>
    <col min="7942" max="7942" width="28.140625" style="155" bestFit="1" customWidth="1"/>
    <col min="7943" max="7943" width="10.7109375" style="155" bestFit="1" customWidth="1"/>
    <col min="7944" max="7944" width="7" style="155" bestFit="1" customWidth="1"/>
    <col min="7945" max="8182" width="9.140625" style="155"/>
    <col min="8183" max="8183" width="36.140625" style="155" customWidth="1"/>
    <col min="8184" max="8184" width="28.140625" style="155" bestFit="1" customWidth="1"/>
    <col min="8185" max="8185" width="10.7109375" style="155" bestFit="1" customWidth="1"/>
    <col min="8186" max="8186" width="8.7109375" style="155" bestFit="1" customWidth="1"/>
    <col min="8187" max="8187" width="10.140625" style="155" bestFit="1" customWidth="1"/>
    <col min="8188" max="8188" width="19.5703125" style="155" customWidth="1"/>
    <col min="8189" max="8189" width="9.140625" style="155"/>
    <col min="8190" max="8190" width="22.85546875" style="155" bestFit="1" customWidth="1"/>
    <col min="8191" max="8191" width="28.140625" style="155" bestFit="1" customWidth="1"/>
    <col min="8192" max="8192" width="10.7109375" style="155" bestFit="1" customWidth="1"/>
    <col min="8193" max="8193" width="7" style="155" bestFit="1" customWidth="1"/>
    <col min="8194" max="8194" width="9.140625" style="155"/>
    <col min="8195" max="8195" width="15.5703125" style="155" bestFit="1" customWidth="1"/>
    <col min="8196" max="8196" width="9.140625" style="155"/>
    <col min="8197" max="8197" width="22.85546875" style="155" bestFit="1" customWidth="1"/>
    <col min="8198" max="8198" width="28.140625" style="155" bestFit="1" customWidth="1"/>
    <col min="8199" max="8199" width="10.7109375" style="155" bestFit="1" customWidth="1"/>
    <col min="8200" max="8200" width="7" style="155" bestFit="1" customWidth="1"/>
    <col min="8201" max="8438" width="9.140625" style="155"/>
    <col min="8439" max="8439" width="36.140625" style="155" customWidth="1"/>
    <col min="8440" max="8440" width="28.140625" style="155" bestFit="1" customWidth="1"/>
    <col min="8441" max="8441" width="10.7109375" style="155" bestFit="1" customWidth="1"/>
    <col min="8442" max="8442" width="8.7109375" style="155" bestFit="1" customWidth="1"/>
    <col min="8443" max="8443" width="10.140625" style="155" bestFit="1" customWidth="1"/>
    <col min="8444" max="8444" width="19.5703125" style="155" customWidth="1"/>
    <col min="8445" max="8445" width="9.140625" style="155"/>
    <col min="8446" max="8446" width="22.85546875" style="155" bestFit="1" customWidth="1"/>
    <col min="8447" max="8447" width="28.140625" style="155" bestFit="1" customWidth="1"/>
    <col min="8448" max="8448" width="10.7109375" style="155" bestFit="1" customWidth="1"/>
    <col min="8449" max="8449" width="7" style="155" bestFit="1" customWidth="1"/>
    <col min="8450" max="8450" width="9.140625" style="155"/>
    <col min="8451" max="8451" width="15.5703125" style="155" bestFit="1" customWidth="1"/>
    <col min="8452" max="8452" width="9.140625" style="155"/>
    <col min="8453" max="8453" width="22.85546875" style="155" bestFit="1" customWidth="1"/>
    <col min="8454" max="8454" width="28.140625" style="155" bestFit="1" customWidth="1"/>
    <col min="8455" max="8455" width="10.7109375" style="155" bestFit="1" customWidth="1"/>
    <col min="8456" max="8456" width="7" style="155" bestFit="1" customWidth="1"/>
    <col min="8457" max="8694" width="9.140625" style="155"/>
    <col min="8695" max="8695" width="36.140625" style="155" customWidth="1"/>
    <col min="8696" max="8696" width="28.140625" style="155" bestFit="1" customWidth="1"/>
    <col min="8697" max="8697" width="10.7109375" style="155" bestFit="1" customWidth="1"/>
    <col min="8698" max="8698" width="8.7109375" style="155" bestFit="1" customWidth="1"/>
    <col min="8699" max="8699" width="10.140625" style="155" bestFit="1" customWidth="1"/>
    <col min="8700" max="8700" width="19.5703125" style="155" customWidth="1"/>
    <col min="8701" max="8701" width="9.140625" style="155"/>
    <col min="8702" max="8702" width="22.85546875" style="155" bestFit="1" customWidth="1"/>
    <col min="8703" max="8703" width="28.140625" style="155" bestFit="1" customWidth="1"/>
    <col min="8704" max="8704" width="10.7109375" style="155" bestFit="1" customWidth="1"/>
    <col min="8705" max="8705" width="7" style="155" bestFit="1" customWidth="1"/>
    <col min="8706" max="8706" width="9.140625" style="155"/>
    <col min="8707" max="8707" width="15.5703125" style="155" bestFit="1" customWidth="1"/>
    <col min="8708" max="8708" width="9.140625" style="155"/>
    <col min="8709" max="8709" width="22.85546875" style="155" bestFit="1" customWidth="1"/>
    <col min="8710" max="8710" width="28.140625" style="155" bestFit="1" customWidth="1"/>
    <col min="8711" max="8711" width="10.7109375" style="155" bestFit="1" customWidth="1"/>
    <col min="8712" max="8712" width="7" style="155" bestFit="1" customWidth="1"/>
    <col min="8713" max="8950" width="9.140625" style="155"/>
    <col min="8951" max="8951" width="36.140625" style="155" customWidth="1"/>
    <col min="8952" max="8952" width="28.140625" style="155" bestFit="1" customWidth="1"/>
    <col min="8953" max="8953" width="10.7109375" style="155" bestFit="1" customWidth="1"/>
    <col min="8954" max="8954" width="8.7109375" style="155" bestFit="1" customWidth="1"/>
    <col min="8955" max="8955" width="10.140625" style="155" bestFit="1" customWidth="1"/>
    <col min="8956" max="8956" width="19.5703125" style="155" customWidth="1"/>
    <col min="8957" max="8957" width="9.140625" style="155"/>
    <col min="8958" max="8958" width="22.85546875" style="155" bestFit="1" customWidth="1"/>
    <col min="8959" max="8959" width="28.140625" style="155" bestFit="1" customWidth="1"/>
    <col min="8960" max="8960" width="10.7109375" style="155" bestFit="1" customWidth="1"/>
    <col min="8961" max="8961" width="7" style="155" bestFit="1" customWidth="1"/>
    <col min="8962" max="8962" width="9.140625" style="155"/>
    <col min="8963" max="8963" width="15.5703125" style="155" bestFit="1" customWidth="1"/>
    <col min="8964" max="8964" width="9.140625" style="155"/>
    <col min="8965" max="8965" width="22.85546875" style="155" bestFit="1" customWidth="1"/>
    <col min="8966" max="8966" width="28.140625" style="155" bestFit="1" customWidth="1"/>
    <col min="8967" max="8967" width="10.7109375" style="155" bestFit="1" customWidth="1"/>
    <col min="8968" max="8968" width="7" style="155" bestFit="1" customWidth="1"/>
    <col min="8969" max="9206" width="9.140625" style="155"/>
    <col min="9207" max="9207" width="36.140625" style="155" customWidth="1"/>
    <col min="9208" max="9208" width="28.140625" style="155" bestFit="1" customWidth="1"/>
    <col min="9209" max="9209" width="10.7109375" style="155" bestFit="1" customWidth="1"/>
    <col min="9210" max="9210" width="8.7109375" style="155" bestFit="1" customWidth="1"/>
    <col min="9211" max="9211" width="10.140625" style="155" bestFit="1" customWidth="1"/>
    <col min="9212" max="9212" width="19.5703125" style="155" customWidth="1"/>
    <col min="9213" max="9213" width="9.140625" style="155"/>
    <col min="9214" max="9214" width="22.85546875" style="155" bestFit="1" customWidth="1"/>
    <col min="9215" max="9215" width="28.140625" style="155" bestFit="1" customWidth="1"/>
    <col min="9216" max="9216" width="10.7109375" style="155" bestFit="1" customWidth="1"/>
    <col min="9217" max="9217" width="7" style="155" bestFit="1" customWidth="1"/>
    <col min="9218" max="9218" width="9.140625" style="155"/>
    <col min="9219" max="9219" width="15.5703125" style="155" bestFit="1" customWidth="1"/>
    <col min="9220" max="9220" width="9.140625" style="155"/>
    <col min="9221" max="9221" width="22.85546875" style="155" bestFit="1" customWidth="1"/>
    <col min="9222" max="9222" width="28.140625" style="155" bestFit="1" customWidth="1"/>
    <col min="9223" max="9223" width="10.7109375" style="155" bestFit="1" customWidth="1"/>
    <col min="9224" max="9224" width="7" style="155" bestFit="1" customWidth="1"/>
    <col min="9225" max="9462" width="9.140625" style="155"/>
    <col min="9463" max="9463" width="36.140625" style="155" customWidth="1"/>
    <col min="9464" max="9464" width="28.140625" style="155" bestFit="1" customWidth="1"/>
    <col min="9465" max="9465" width="10.7109375" style="155" bestFit="1" customWidth="1"/>
    <col min="9466" max="9466" width="8.7109375" style="155" bestFit="1" customWidth="1"/>
    <col min="9467" max="9467" width="10.140625" style="155" bestFit="1" customWidth="1"/>
    <col min="9468" max="9468" width="19.5703125" style="155" customWidth="1"/>
    <col min="9469" max="9469" width="9.140625" style="155"/>
    <col min="9470" max="9470" width="22.85546875" style="155" bestFit="1" customWidth="1"/>
    <col min="9471" max="9471" width="28.140625" style="155" bestFit="1" customWidth="1"/>
    <col min="9472" max="9472" width="10.7109375" style="155" bestFit="1" customWidth="1"/>
    <col min="9473" max="9473" width="7" style="155" bestFit="1" customWidth="1"/>
    <col min="9474" max="9474" width="9.140625" style="155"/>
    <col min="9475" max="9475" width="15.5703125" style="155" bestFit="1" customWidth="1"/>
    <col min="9476" max="9476" width="9.140625" style="155"/>
    <col min="9477" max="9477" width="22.85546875" style="155" bestFit="1" customWidth="1"/>
    <col min="9478" max="9478" width="28.140625" style="155" bestFit="1" customWidth="1"/>
    <col min="9479" max="9479" width="10.7109375" style="155" bestFit="1" customWidth="1"/>
    <col min="9480" max="9480" width="7" style="155" bestFit="1" customWidth="1"/>
    <col min="9481" max="9718" width="9.140625" style="155"/>
    <col min="9719" max="9719" width="36.140625" style="155" customWidth="1"/>
    <col min="9720" max="9720" width="28.140625" style="155" bestFit="1" customWidth="1"/>
    <col min="9721" max="9721" width="10.7109375" style="155" bestFit="1" customWidth="1"/>
    <col min="9722" max="9722" width="8.7109375" style="155" bestFit="1" customWidth="1"/>
    <col min="9723" max="9723" width="10.140625" style="155" bestFit="1" customWidth="1"/>
    <col min="9724" max="9724" width="19.5703125" style="155" customWidth="1"/>
    <col min="9725" max="9725" width="9.140625" style="155"/>
    <col min="9726" max="9726" width="22.85546875" style="155" bestFit="1" customWidth="1"/>
    <col min="9727" max="9727" width="28.140625" style="155" bestFit="1" customWidth="1"/>
    <col min="9728" max="9728" width="10.7109375" style="155" bestFit="1" customWidth="1"/>
    <col min="9729" max="9729" width="7" style="155" bestFit="1" customWidth="1"/>
    <col min="9730" max="9730" width="9.140625" style="155"/>
    <col min="9731" max="9731" width="15.5703125" style="155" bestFit="1" customWidth="1"/>
    <col min="9732" max="9732" width="9.140625" style="155"/>
    <col min="9733" max="9733" width="22.85546875" style="155" bestFit="1" customWidth="1"/>
    <col min="9734" max="9734" width="28.140625" style="155" bestFit="1" customWidth="1"/>
    <col min="9735" max="9735" width="10.7109375" style="155" bestFit="1" customWidth="1"/>
    <col min="9736" max="9736" width="7" style="155" bestFit="1" customWidth="1"/>
    <col min="9737" max="9974" width="9.140625" style="155"/>
    <col min="9975" max="9975" width="36.140625" style="155" customWidth="1"/>
    <col min="9976" max="9976" width="28.140625" style="155" bestFit="1" customWidth="1"/>
    <col min="9977" max="9977" width="10.7109375" style="155" bestFit="1" customWidth="1"/>
    <col min="9978" max="9978" width="8.7109375" style="155" bestFit="1" customWidth="1"/>
    <col min="9979" max="9979" width="10.140625" style="155" bestFit="1" customWidth="1"/>
    <col min="9980" max="9980" width="19.5703125" style="155" customWidth="1"/>
    <col min="9981" max="9981" width="9.140625" style="155"/>
    <col min="9982" max="9982" width="22.85546875" style="155" bestFit="1" customWidth="1"/>
    <col min="9983" max="9983" width="28.140625" style="155" bestFit="1" customWidth="1"/>
    <col min="9984" max="9984" width="10.7109375" style="155" bestFit="1" customWidth="1"/>
    <col min="9985" max="9985" width="7" style="155" bestFit="1" customWidth="1"/>
    <col min="9986" max="9986" width="9.140625" style="155"/>
    <col min="9987" max="9987" width="15.5703125" style="155" bestFit="1" customWidth="1"/>
    <col min="9988" max="9988" width="9.140625" style="155"/>
    <col min="9989" max="9989" width="22.85546875" style="155" bestFit="1" customWidth="1"/>
    <col min="9990" max="9990" width="28.140625" style="155" bestFit="1" customWidth="1"/>
    <col min="9991" max="9991" width="10.7109375" style="155" bestFit="1" customWidth="1"/>
    <col min="9992" max="9992" width="7" style="155" bestFit="1" customWidth="1"/>
    <col min="9993" max="10230" width="9.140625" style="155"/>
    <col min="10231" max="10231" width="36.140625" style="155" customWidth="1"/>
    <col min="10232" max="10232" width="28.140625" style="155" bestFit="1" customWidth="1"/>
    <col min="10233" max="10233" width="10.7109375" style="155" bestFit="1" customWidth="1"/>
    <col min="10234" max="10234" width="8.7109375" style="155" bestFit="1" customWidth="1"/>
    <col min="10235" max="10235" width="10.140625" style="155" bestFit="1" customWidth="1"/>
    <col min="10236" max="10236" width="19.5703125" style="155" customWidth="1"/>
    <col min="10237" max="10237" width="9.140625" style="155"/>
    <col min="10238" max="10238" width="22.85546875" style="155" bestFit="1" customWidth="1"/>
    <col min="10239" max="10239" width="28.140625" style="155" bestFit="1" customWidth="1"/>
    <col min="10240" max="10240" width="10.7109375" style="155" bestFit="1" customWidth="1"/>
    <col min="10241" max="10241" width="7" style="155" bestFit="1" customWidth="1"/>
    <col min="10242" max="10242" width="9.140625" style="155"/>
    <col min="10243" max="10243" width="15.5703125" style="155" bestFit="1" customWidth="1"/>
    <col min="10244" max="10244" width="9.140625" style="155"/>
    <col min="10245" max="10245" width="22.85546875" style="155" bestFit="1" customWidth="1"/>
    <col min="10246" max="10246" width="28.140625" style="155" bestFit="1" customWidth="1"/>
    <col min="10247" max="10247" width="10.7109375" style="155" bestFit="1" customWidth="1"/>
    <col min="10248" max="10248" width="7" style="155" bestFit="1" customWidth="1"/>
    <col min="10249" max="10486" width="9.140625" style="155"/>
    <col min="10487" max="10487" width="36.140625" style="155" customWidth="1"/>
    <col min="10488" max="10488" width="28.140625" style="155" bestFit="1" customWidth="1"/>
    <col min="10489" max="10489" width="10.7109375" style="155" bestFit="1" customWidth="1"/>
    <col min="10490" max="10490" width="8.7109375" style="155" bestFit="1" customWidth="1"/>
    <col min="10491" max="10491" width="10.140625" style="155" bestFit="1" customWidth="1"/>
    <col min="10492" max="10492" width="19.5703125" style="155" customWidth="1"/>
    <col min="10493" max="10493" width="9.140625" style="155"/>
    <col min="10494" max="10494" width="22.85546875" style="155" bestFit="1" customWidth="1"/>
    <col min="10495" max="10495" width="28.140625" style="155" bestFit="1" customWidth="1"/>
    <col min="10496" max="10496" width="10.7109375" style="155" bestFit="1" customWidth="1"/>
    <col min="10497" max="10497" width="7" style="155" bestFit="1" customWidth="1"/>
    <col min="10498" max="10498" width="9.140625" style="155"/>
    <col min="10499" max="10499" width="15.5703125" style="155" bestFit="1" customWidth="1"/>
    <col min="10500" max="10500" width="9.140625" style="155"/>
    <col min="10501" max="10501" width="22.85546875" style="155" bestFit="1" customWidth="1"/>
    <col min="10502" max="10502" width="28.140625" style="155" bestFit="1" customWidth="1"/>
    <col min="10503" max="10503" width="10.7109375" style="155" bestFit="1" customWidth="1"/>
    <col min="10504" max="10504" width="7" style="155" bestFit="1" customWidth="1"/>
    <col min="10505" max="10742" width="9.140625" style="155"/>
    <col min="10743" max="10743" width="36.140625" style="155" customWidth="1"/>
    <col min="10744" max="10744" width="28.140625" style="155" bestFit="1" customWidth="1"/>
    <col min="10745" max="10745" width="10.7109375" style="155" bestFit="1" customWidth="1"/>
    <col min="10746" max="10746" width="8.7109375" style="155" bestFit="1" customWidth="1"/>
    <col min="10747" max="10747" width="10.140625" style="155" bestFit="1" customWidth="1"/>
    <col min="10748" max="10748" width="19.5703125" style="155" customWidth="1"/>
    <col min="10749" max="10749" width="9.140625" style="155"/>
    <col min="10750" max="10750" width="22.85546875" style="155" bestFit="1" customWidth="1"/>
    <col min="10751" max="10751" width="28.140625" style="155" bestFit="1" customWidth="1"/>
    <col min="10752" max="10752" width="10.7109375" style="155" bestFit="1" customWidth="1"/>
    <col min="10753" max="10753" width="7" style="155" bestFit="1" customWidth="1"/>
    <col min="10754" max="10754" width="9.140625" style="155"/>
    <col min="10755" max="10755" width="15.5703125" style="155" bestFit="1" customWidth="1"/>
    <col min="10756" max="10756" width="9.140625" style="155"/>
    <col min="10757" max="10757" width="22.85546875" style="155" bestFit="1" customWidth="1"/>
    <col min="10758" max="10758" width="28.140625" style="155" bestFit="1" customWidth="1"/>
    <col min="10759" max="10759" width="10.7109375" style="155" bestFit="1" customWidth="1"/>
    <col min="10760" max="10760" width="7" style="155" bestFit="1" customWidth="1"/>
    <col min="10761" max="10998" width="9.140625" style="155"/>
    <col min="10999" max="10999" width="36.140625" style="155" customWidth="1"/>
    <col min="11000" max="11000" width="28.140625" style="155" bestFit="1" customWidth="1"/>
    <col min="11001" max="11001" width="10.7109375" style="155" bestFit="1" customWidth="1"/>
    <col min="11002" max="11002" width="8.7109375" style="155" bestFit="1" customWidth="1"/>
    <col min="11003" max="11003" width="10.140625" style="155" bestFit="1" customWidth="1"/>
    <col min="11004" max="11004" width="19.5703125" style="155" customWidth="1"/>
    <col min="11005" max="11005" width="9.140625" style="155"/>
    <col min="11006" max="11006" width="22.85546875" style="155" bestFit="1" customWidth="1"/>
    <col min="11007" max="11007" width="28.140625" style="155" bestFit="1" customWidth="1"/>
    <col min="11008" max="11008" width="10.7109375" style="155" bestFit="1" customWidth="1"/>
    <col min="11009" max="11009" width="7" style="155" bestFit="1" customWidth="1"/>
    <col min="11010" max="11010" width="9.140625" style="155"/>
    <col min="11011" max="11011" width="15.5703125" style="155" bestFit="1" customWidth="1"/>
    <col min="11012" max="11012" width="9.140625" style="155"/>
    <col min="11013" max="11013" width="22.85546875" style="155" bestFit="1" customWidth="1"/>
    <col min="11014" max="11014" width="28.140625" style="155" bestFit="1" customWidth="1"/>
    <col min="11015" max="11015" width="10.7109375" style="155" bestFit="1" customWidth="1"/>
    <col min="11016" max="11016" width="7" style="155" bestFit="1" customWidth="1"/>
    <col min="11017" max="11254" width="9.140625" style="155"/>
    <col min="11255" max="11255" width="36.140625" style="155" customWidth="1"/>
    <col min="11256" max="11256" width="28.140625" style="155" bestFit="1" customWidth="1"/>
    <col min="11257" max="11257" width="10.7109375" style="155" bestFit="1" customWidth="1"/>
    <col min="11258" max="11258" width="8.7109375" style="155" bestFit="1" customWidth="1"/>
    <col min="11259" max="11259" width="10.140625" style="155" bestFit="1" customWidth="1"/>
    <col min="11260" max="11260" width="19.5703125" style="155" customWidth="1"/>
    <col min="11261" max="11261" width="9.140625" style="155"/>
    <col min="11262" max="11262" width="22.85546875" style="155" bestFit="1" customWidth="1"/>
    <col min="11263" max="11263" width="28.140625" style="155" bestFit="1" customWidth="1"/>
    <col min="11264" max="11264" width="10.7109375" style="155" bestFit="1" customWidth="1"/>
    <col min="11265" max="11265" width="7" style="155" bestFit="1" customWidth="1"/>
    <col min="11266" max="11266" width="9.140625" style="155"/>
    <col min="11267" max="11267" width="15.5703125" style="155" bestFit="1" customWidth="1"/>
    <col min="11268" max="11268" width="9.140625" style="155"/>
    <col min="11269" max="11269" width="22.85546875" style="155" bestFit="1" customWidth="1"/>
    <col min="11270" max="11270" width="28.140625" style="155" bestFit="1" customWidth="1"/>
    <col min="11271" max="11271" width="10.7109375" style="155" bestFit="1" customWidth="1"/>
    <col min="11272" max="11272" width="7" style="155" bestFit="1" customWidth="1"/>
    <col min="11273" max="11510" width="9.140625" style="155"/>
    <col min="11511" max="11511" width="36.140625" style="155" customWidth="1"/>
    <col min="11512" max="11512" width="28.140625" style="155" bestFit="1" customWidth="1"/>
    <col min="11513" max="11513" width="10.7109375" style="155" bestFit="1" customWidth="1"/>
    <col min="11514" max="11514" width="8.7109375" style="155" bestFit="1" customWidth="1"/>
    <col min="11515" max="11515" width="10.140625" style="155" bestFit="1" customWidth="1"/>
    <col min="11516" max="11516" width="19.5703125" style="155" customWidth="1"/>
    <col min="11517" max="11517" width="9.140625" style="155"/>
    <col min="11518" max="11518" width="22.85546875" style="155" bestFit="1" customWidth="1"/>
    <col min="11519" max="11519" width="28.140625" style="155" bestFit="1" customWidth="1"/>
    <col min="11520" max="11520" width="10.7109375" style="155" bestFit="1" customWidth="1"/>
    <col min="11521" max="11521" width="7" style="155" bestFit="1" customWidth="1"/>
    <col min="11522" max="11522" width="9.140625" style="155"/>
    <col min="11523" max="11523" width="15.5703125" style="155" bestFit="1" customWidth="1"/>
    <col min="11524" max="11524" width="9.140625" style="155"/>
    <col min="11525" max="11525" width="22.85546875" style="155" bestFit="1" customWidth="1"/>
    <col min="11526" max="11526" width="28.140625" style="155" bestFit="1" customWidth="1"/>
    <col min="11527" max="11527" width="10.7109375" style="155" bestFit="1" customWidth="1"/>
    <col min="11528" max="11528" width="7" style="155" bestFit="1" customWidth="1"/>
    <col min="11529" max="11766" width="9.140625" style="155"/>
    <col min="11767" max="11767" width="36.140625" style="155" customWidth="1"/>
    <col min="11768" max="11768" width="28.140625" style="155" bestFit="1" customWidth="1"/>
    <col min="11769" max="11769" width="10.7109375" style="155" bestFit="1" customWidth="1"/>
    <col min="11770" max="11770" width="8.7109375" style="155" bestFit="1" customWidth="1"/>
    <col min="11771" max="11771" width="10.140625" style="155" bestFit="1" customWidth="1"/>
    <col min="11772" max="11772" width="19.5703125" style="155" customWidth="1"/>
    <col min="11773" max="11773" width="9.140625" style="155"/>
    <col min="11774" max="11774" width="22.85546875" style="155" bestFit="1" customWidth="1"/>
    <col min="11775" max="11775" width="28.140625" style="155" bestFit="1" customWidth="1"/>
    <col min="11776" max="11776" width="10.7109375" style="155" bestFit="1" customWidth="1"/>
    <col min="11777" max="11777" width="7" style="155" bestFit="1" customWidth="1"/>
    <col min="11778" max="11778" width="9.140625" style="155"/>
    <col min="11779" max="11779" width="15.5703125" style="155" bestFit="1" customWidth="1"/>
    <col min="11780" max="11780" width="9.140625" style="155"/>
    <col min="11781" max="11781" width="22.85546875" style="155" bestFit="1" customWidth="1"/>
    <col min="11782" max="11782" width="28.140625" style="155" bestFit="1" customWidth="1"/>
    <col min="11783" max="11783" width="10.7109375" style="155" bestFit="1" customWidth="1"/>
    <col min="11784" max="11784" width="7" style="155" bestFit="1" customWidth="1"/>
    <col min="11785" max="12022" width="9.140625" style="155"/>
    <col min="12023" max="12023" width="36.140625" style="155" customWidth="1"/>
    <col min="12024" max="12024" width="28.140625" style="155" bestFit="1" customWidth="1"/>
    <col min="12025" max="12025" width="10.7109375" style="155" bestFit="1" customWidth="1"/>
    <col min="12026" max="12026" width="8.7109375" style="155" bestFit="1" customWidth="1"/>
    <col min="12027" max="12027" width="10.140625" style="155" bestFit="1" customWidth="1"/>
    <col min="12028" max="12028" width="19.5703125" style="155" customWidth="1"/>
    <col min="12029" max="12029" width="9.140625" style="155"/>
    <col min="12030" max="12030" width="22.85546875" style="155" bestFit="1" customWidth="1"/>
    <col min="12031" max="12031" width="28.140625" style="155" bestFit="1" customWidth="1"/>
    <col min="12032" max="12032" width="10.7109375" style="155" bestFit="1" customWidth="1"/>
    <col min="12033" max="12033" width="7" style="155" bestFit="1" customWidth="1"/>
    <col min="12034" max="12034" width="9.140625" style="155"/>
    <col min="12035" max="12035" width="15.5703125" style="155" bestFit="1" customWidth="1"/>
    <col min="12036" max="12036" width="9.140625" style="155"/>
    <col min="12037" max="12037" width="22.85546875" style="155" bestFit="1" customWidth="1"/>
    <col min="12038" max="12038" width="28.140625" style="155" bestFit="1" customWidth="1"/>
    <col min="12039" max="12039" width="10.7109375" style="155" bestFit="1" customWidth="1"/>
    <col min="12040" max="12040" width="7" style="155" bestFit="1" customWidth="1"/>
    <col min="12041" max="12278" width="9.140625" style="155"/>
    <col min="12279" max="12279" width="36.140625" style="155" customWidth="1"/>
    <col min="12280" max="12280" width="28.140625" style="155" bestFit="1" customWidth="1"/>
    <col min="12281" max="12281" width="10.7109375" style="155" bestFit="1" customWidth="1"/>
    <col min="12282" max="12282" width="8.7109375" style="155" bestFit="1" customWidth="1"/>
    <col min="12283" max="12283" width="10.140625" style="155" bestFit="1" customWidth="1"/>
    <col min="12284" max="12284" width="19.5703125" style="155" customWidth="1"/>
    <col min="12285" max="12285" width="9.140625" style="155"/>
    <col min="12286" max="12286" width="22.85546875" style="155" bestFit="1" customWidth="1"/>
    <col min="12287" max="12287" width="28.140625" style="155" bestFit="1" customWidth="1"/>
    <col min="12288" max="12288" width="10.7109375" style="155" bestFit="1" customWidth="1"/>
    <col min="12289" max="12289" width="7" style="155" bestFit="1" customWidth="1"/>
    <col min="12290" max="12290" width="9.140625" style="155"/>
    <col min="12291" max="12291" width="15.5703125" style="155" bestFit="1" customWidth="1"/>
    <col min="12292" max="12292" width="9.140625" style="155"/>
    <col min="12293" max="12293" width="22.85546875" style="155" bestFit="1" customWidth="1"/>
    <col min="12294" max="12294" width="28.140625" style="155" bestFit="1" customWidth="1"/>
    <col min="12295" max="12295" width="10.7109375" style="155" bestFit="1" customWidth="1"/>
    <col min="12296" max="12296" width="7" style="155" bestFit="1" customWidth="1"/>
    <col min="12297" max="12534" width="9.140625" style="155"/>
    <col min="12535" max="12535" width="36.140625" style="155" customWidth="1"/>
    <col min="12536" max="12536" width="28.140625" style="155" bestFit="1" customWidth="1"/>
    <col min="12537" max="12537" width="10.7109375" style="155" bestFit="1" customWidth="1"/>
    <col min="12538" max="12538" width="8.7109375" style="155" bestFit="1" customWidth="1"/>
    <col min="12539" max="12539" width="10.140625" style="155" bestFit="1" customWidth="1"/>
    <col min="12540" max="12540" width="19.5703125" style="155" customWidth="1"/>
    <col min="12541" max="12541" width="9.140625" style="155"/>
    <col min="12542" max="12542" width="22.85546875" style="155" bestFit="1" customWidth="1"/>
    <col min="12543" max="12543" width="28.140625" style="155" bestFit="1" customWidth="1"/>
    <col min="12544" max="12544" width="10.7109375" style="155" bestFit="1" customWidth="1"/>
    <col min="12545" max="12545" width="7" style="155" bestFit="1" customWidth="1"/>
    <col min="12546" max="12546" width="9.140625" style="155"/>
    <col min="12547" max="12547" width="15.5703125" style="155" bestFit="1" customWidth="1"/>
    <col min="12548" max="12548" width="9.140625" style="155"/>
    <col min="12549" max="12549" width="22.85546875" style="155" bestFit="1" customWidth="1"/>
    <col min="12550" max="12550" width="28.140625" style="155" bestFit="1" customWidth="1"/>
    <col min="12551" max="12551" width="10.7109375" style="155" bestFit="1" customWidth="1"/>
    <col min="12552" max="12552" width="7" style="155" bestFit="1" customWidth="1"/>
    <col min="12553" max="12790" width="9.140625" style="155"/>
    <col min="12791" max="12791" width="36.140625" style="155" customWidth="1"/>
    <col min="12792" max="12792" width="28.140625" style="155" bestFit="1" customWidth="1"/>
    <col min="12793" max="12793" width="10.7109375" style="155" bestFit="1" customWidth="1"/>
    <col min="12794" max="12794" width="8.7109375" style="155" bestFit="1" customWidth="1"/>
    <col min="12795" max="12795" width="10.140625" style="155" bestFit="1" customWidth="1"/>
    <col min="12796" max="12796" width="19.5703125" style="155" customWidth="1"/>
    <col min="12797" max="12797" width="9.140625" style="155"/>
    <col min="12798" max="12798" width="22.85546875" style="155" bestFit="1" customWidth="1"/>
    <col min="12799" max="12799" width="28.140625" style="155" bestFit="1" customWidth="1"/>
    <col min="12800" max="12800" width="10.7109375" style="155" bestFit="1" customWidth="1"/>
    <col min="12801" max="12801" width="7" style="155" bestFit="1" customWidth="1"/>
    <col min="12802" max="12802" width="9.140625" style="155"/>
    <col min="12803" max="12803" width="15.5703125" style="155" bestFit="1" customWidth="1"/>
    <col min="12804" max="12804" width="9.140625" style="155"/>
    <col min="12805" max="12805" width="22.85546875" style="155" bestFit="1" customWidth="1"/>
    <col min="12806" max="12806" width="28.140625" style="155" bestFit="1" customWidth="1"/>
    <col min="12807" max="12807" width="10.7109375" style="155" bestFit="1" customWidth="1"/>
    <col min="12808" max="12808" width="7" style="155" bestFit="1" customWidth="1"/>
    <col min="12809" max="13046" width="9.140625" style="155"/>
    <col min="13047" max="13047" width="36.140625" style="155" customWidth="1"/>
    <col min="13048" max="13048" width="28.140625" style="155" bestFit="1" customWidth="1"/>
    <col min="13049" max="13049" width="10.7109375" style="155" bestFit="1" customWidth="1"/>
    <col min="13050" max="13050" width="8.7109375" style="155" bestFit="1" customWidth="1"/>
    <col min="13051" max="13051" width="10.140625" style="155" bestFit="1" customWidth="1"/>
    <col min="13052" max="13052" width="19.5703125" style="155" customWidth="1"/>
    <col min="13053" max="13053" width="9.140625" style="155"/>
    <col min="13054" max="13054" width="22.85546875" style="155" bestFit="1" customWidth="1"/>
    <col min="13055" max="13055" width="28.140625" style="155" bestFit="1" customWidth="1"/>
    <col min="13056" max="13056" width="10.7109375" style="155" bestFit="1" customWidth="1"/>
    <col min="13057" max="13057" width="7" style="155" bestFit="1" customWidth="1"/>
    <col min="13058" max="13058" width="9.140625" style="155"/>
    <col min="13059" max="13059" width="15.5703125" style="155" bestFit="1" customWidth="1"/>
    <col min="13060" max="13060" width="9.140625" style="155"/>
    <col min="13061" max="13061" width="22.85546875" style="155" bestFit="1" customWidth="1"/>
    <col min="13062" max="13062" width="28.140625" style="155" bestFit="1" customWidth="1"/>
    <col min="13063" max="13063" width="10.7109375" style="155" bestFit="1" customWidth="1"/>
    <col min="13064" max="13064" width="7" style="155" bestFit="1" customWidth="1"/>
    <col min="13065" max="13302" width="9.140625" style="155"/>
    <col min="13303" max="13303" width="36.140625" style="155" customWidth="1"/>
    <col min="13304" max="13304" width="28.140625" style="155" bestFit="1" customWidth="1"/>
    <col min="13305" max="13305" width="10.7109375" style="155" bestFit="1" customWidth="1"/>
    <col min="13306" max="13306" width="8.7109375" style="155" bestFit="1" customWidth="1"/>
    <col min="13307" max="13307" width="10.140625" style="155" bestFit="1" customWidth="1"/>
    <col min="13308" max="13308" width="19.5703125" style="155" customWidth="1"/>
    <col min="13309" max="13309" width="9.140625" style="155"/>
    <col min="13310" max="13310" width="22.85546875" style="155" bestFit="1" customWidth="1"/>
    <col min="13311" max="13311" width="28.140625" style="155" bestFit="1" customWidth="1"/>
    <col min="13312" max="13312" width="10.7109375" style="155" bestFit="1" customWidth="1"/>
    <col min="13313" max="13313" width="7" style="155" bestFit="1" customWidth="1"/>
    <col min="13314" max="13314" width="9.140625" style="155"/>
    <col min="13315" max="13315" width="15.5703125" style="155" bestFit="1" customWidth="1"/>
    <col min="13316" max="13316" width="9.140625" style="155"/>
    <col min="13317" max="13317" width="22.85546875" style="155" bestFit="1" customWidth="1"/>
    <col min="13318" max="13318" width="28.140625" style="155" bestFit="1" customWidth="1"/>
    <col min="13319" max="13319" width="10.7109375" style="155" bestFit="1" customWidth="1"/>
    <col min="13320" max="13320" width="7" style="155" bestFit="1" customWidth="1"/>
    <col min="13321" max="13558" width="9.140625" style="155"/>
    <col min="13559" max="13559" width="36.140625" style="155" customWidth="1"/>
    <col min="13560" max="13560" width="28.140625" style="155" bestFit="1" customWidth="1"/>
    <col min="13561" max="13561" width="10.7109375" style="155" bestFit="1" customWidth="1"/>
    <col min="13562" max="13562" width="8.7109375" style="155" bestFit="1" customWidth="1"/>
    <col min="13563" max="13563" width="10.140625" style="155" bestFit="1" customWidth="1"/>
    <col min="13564" max="13564" width="19.5703125" style="155" customWidth="1"/>
    <col min="13565" max="13565" width="9.140625" style="155"/>
    <col min="13566" max="13566" width="22.85546875" style="155" bestFit="1" customWidth="1"/>
    <col min="13567" max="13567" width="28.140625" style="155" bestFit="1" customWidth="1"/>
    <col min="13568" max="13568" width="10.7109375" style="155" bestFit="1" customWidth="1"/>
    <col min="13569" max="13569" width="7" style="155" bestFit="1" customWidth="1"/>
    <col min="13570" max="13570" width="9.140625" style="155"/>
    <col min="13571" max="13571" width="15.5703125" style="155" bestFit="1" customWidth="1"/>
    <col min="13572" max="13572" width="9.140625" style="155"/>
    <col min="13573" max="13573" width="22.85546875" style="155" bestFit="1" customWidth="1"/>
    <col min="13574" max="13574" width="28.140625" style="155" bestFit="1" customWidth="1"/>
    <col min="13575" max="13575" width="10.7109375" style="155" bestFit="1" customWidth="1"/>
    <col min="13576" max="13576" width="7" style="155" bestFit="1" customWidth="1"/>
    <col min="13577" max="13814" width="9.140625" style="155"/>
    <col min="13815" max="13815" width="36.140625" style="155" customWidth="1"/>
    <col min="13816" max="13816" width="28.140625" style="155" bestFit="1" customWidth="1"/>
    <col min="13817" max="13817" width="10.7109375" style="155" bestFit="1" customWidth="1"/>
    <col min="13818" max="13818" width="8.7109375" style="155" bestFit="1" customWidth="1"/>
    <col min="13819" max="13819" width="10.140625" style="155" bestFit="1" customWidth="1"/>
    <col min="13820" max="13820" width="19.5703125" style="155" customWidth="1"/>
    <col min="13821" max="13821" width="9.140625" style="155"/>
    <col min="13822" max="13822" width="22.85546875" style="155" bestFit="1" customWidth="1"/>
    <col min="13823" max="13823" width="28.140625" style="155" bestFit="1" customWidth="1"/>
    <col min="13824" max="13824" width="10.7109375" style="155" bestFit="1" customWidth="1"/>
    <col min="13825" max="13825" width="7" style="155" bestFit="1" customWidth="1"/>
    <col min="13826" max="13826" width="9.140625" style="155"/>
    <col min="13827" max="13827" width="15.5703125" style="155" bestFit="1" customWidth="1"/>
    <col min="13828" max="13828" width="9.140625" style="155"/>
    <col min="13829" max="13829" width="22.85546875" style="155" bestFit="1" customWidth="1"/>
    <col min="13830" max="13830" width="28.140625" style="155" bestFit="1" customWidth="1"/>
    <col min="13831" max="13831" width="10.7109375" style="155" bestFit="1" customWidth="1"/>
    <col min="13832" max="13832" width="7" style="155" bestFit="1" customWidth="1"/>
    <col min="13833" max="14070" width="9.140625" style="155"/>
    <col min="14071" max="14071" width="36.140625" style="155" customWidth="1"/>
    <col min="14072" max="14072" width="28.140625" style="155" bestFit="1" customWidth="1"/>
    <col min="14073" max="14073" width="10.7109375" style="155" bestFit="1" customWidth="1"/>
    <col min="14074" max="14074" width="8.7109375" style="155" bestFit="1" customWidth="1"/>
    <col min="14075" max="14075" width="10.140625" style="155" bestFit="1" customWidth="1"/>
    <col min="14076" max="14076" width="19.5703125" style="155" customWidth="1"/>
    <col min="14077" max="14077" width="9.140625" style="155"/>
    <col min="14078" max="14078" width="22.85546875" style="155" bestFit="1" customWidth="1"/>
    <col min="14079" max="14079" width="28.140625" style="155" bestFit="1" customWidth="1"/>
    <col min="14080" max="14080" width="10.7109375" style="155" bestFit="1" customWidth="1"/>
    <col min="14081" max="14081" width="7" style="155" bestFit="1" customWidth="1"/>
    <col min="14082" max="14082" width="9.140625" style="155"/>
    <col min="14083" max="14083" width="15.5703125" style="155" bestFit="1" customWidth="1"/>
    <col min="14084" max="14084" width="9.140625" style="155"/>
    <col min="14085" max="14085" width="22.85546875" style="155" bestFit="1" customWidth="1"/>
    <col min="14086" max="14086" width="28.140625" style="155" bestFit="1" customWidth="1"/>
    <col min="14087" max="14087" width="10.7109375" style="155" bestFit="1" customWidth="1"/>
    <col min="14088" max="14088" width="7" style="155" bestFit="1" customWidth="1"/>
    <col min="14089" max="14326" width="9.140625" style="155"/>
    <col min="14327" max="14327" width="36.140625" style="155" customWidth="1"/>
    <col min="14328" max="14328" width="28.140625" style="155" bestFit="1" customWidth="1"/>
    <col min="14329" max="14329" width="10.7109375" style="155" bestFit="1" customWidth="1"/>
    <col min="14330" max="14330" width="8.7109375" style="155" bestFit="1" customWidth="1"/>
    <col min="14331" max="14331" width="10.140625" style="155" bestFit="1" customWidth="1"/>
    <col min="14332" max="14332" width="19.5703125" style="155" customWidth="1"/>
    <col min="14333" max="14333" width="9.140625" style="155"/>
    <col min="14334" max="14334" width="22.85546875" style="155" bestFit="1" customWidth="1"/>
    <col min="14335" max="14335" width="28.140625" style="155" bestFit="1" customWidth="1"/>
    <col min="14336" max="14336" width="10.7109375" style="155" bestFit="1" customWidth="1"/>
    <col min="14337" max="14337" width="7" style="155" bestFit="1" customWidth="1"/>
    <col min="14338" max="14338" width="9.140625" style="155"/>
    <col min="14339" max="14339" width="15.5703125" style="155" bestFit="1" customWidth="1"/>
    <col min="14340" max="14340" width="9.140625" style="155"/>
    <col min="14341" max="14341" width="22.85546875" style="155" bestFit="1" customWidth="1"/>
    <col min="14342" max="14342" width="28.140625" style="155" bestFit="1" customWidth="1"/>
    <col min="14343" max="14343" width="10.7109375" style="155" bestFit="1" customWidth="1"/>
    <col min="14344" max="14344" width="7" style="155" bestFit="1" customWidth="1"/>
    <col min="14345" max="14582" width="9.140625" style="155"/>
    <col min="14583" max="14583" width="36.140625" style="155" customWidth="1"/>
    <col min="14584" max="14584" width="28.140625" style="155" bestFit="1" customWidth="1"/>
    <col min="14585" max="14585" width="10.7109375" style="155" bestFit="1" customWidth="1"/>
    <col min="14586" max="14586" width="8.7109375" style="155" bestFit="1" customWidth="1"/>
    <col min="14587" max="14587" width="10.140625" style="155" bestFit="1" customWidth="1"/>
    <col min="14588" max="14588" width="19.5703125" style="155" customWidth="1"/>
    <col min="14589" max="14589" width="9.140625" style="155"/>
    <col min="14590" max="14590" width="22.85546875" style="155" bestFit="1" customWidth="1"/>
    <col min="14591" max="14591" width="28.140625" style="155" bestFit="1" customWidth="1"/>
    <col min="14592" max="14592" width="10.7109375" style="155" bestFit="1" customWidth="1"/>
    <col min="14593" max="14593" width="7" style="155" bestFit="1" customWidth="1"/>
    <col min="14594" max="14594" width="9.140625" style="155"/>
    <col min="14595" max="14595" width="15.5703125" style="155" bestFit="1" customWidth="1"/>
    <col min="14596" max="14596" width="9.140625" style="155"/>
    <col min="14597" max="14597" width="22.85546875" style="155" bestFit="1" customWidth="1"/>
    <col min="14598" max="14598" width="28.140625" style="155" bestFit="1" customWidth="1"/>
    <col min="14599" max="14599" width="10.7109375" style="155" bestFit="1" customWidth="1"/>
    <col min="14600" max="14600" width="7" style="155" bestFit="1" customWidth="1"/>
    <col min="14601" max="14838" width="9.140625" style="155"/>
    <col min="14839" max="14839" width="36.140625" style="155" customWidth="1"/>
    <col min="14840" max="14840" width="28.140625" style="155" bestFit="1" customWidth="1"/>
    <col min="14841" max="14841" width="10.7109375" style="155" bestFit="1" customWidth="1"/>
    <col min="14842" max="14842" width="8.7109375" style="155" bestFit="1" customWidth="1"/>
    <col min="14843" max="14843" width="10.140625" style="155" bestFit="1" customWidth="1"/>
    <col min="14844" max="14844" width="19.5703125" style="155" customWidth="1"/>
    <col min="14845" max="14845" width="9.140625" style="155"/>
    <col min="14846" max="14846" width="22.85546875" style="155" bestFit="1" customWidth="1"/>
    <col min="14847" max="14847" width="28.140625" style="155" bestFit="1" customWidth="1"/>
    <col min="14848" max="14848" width="10.7109375" style="155" bestFit="1" customWidth="1"/>
    <col min="14849" max="14849" width="7" style="155" bestFit="1" customWidth="1"/>
    <col min="14850" max="14850" width="9.140625" style="155"/>
    <col min="14851" max="14851" width="15.5703125" style="155" bestFit="1" customWidth="1"/>
    <col min="14852" max="14852" width="9.140625" style="155"/>
    <col min="14853" max="14853" width="22.85546875" style="155" bestFit="1" customWidth="1"/>
    <col min="14854" max="14854" width="28.140625" style="155" bestFit="1" customWidth="1"/>
    <col min="14855" max="14855" width="10.7109375" style="155" bestFit="1" customWidth="1"/>
    <col min="14856" max="14856" width="7" style="155" bestFit="1" customWidth="1"/>
    <col min="14857" max="15094" width="9.140625" style="155"/>
    <col min="15095" max="15095" width="36.140625" style="155" customWidth="1"/>
    <col min="15096" max="15096" width="28.140625" style="155" bestFit="1" customWidth="1"/>
    <col min="15097" max="15097" width="10.7109375" style="155" bestFit="1" customWidth="1"/>
    <col min="15098" max="15098" width="8.7109375" style="155" bestFit="1" customWidth="1"/>
    <col min="15099" max="15099" width="10.140625" style="155" bestFit="1" customWidth="1"/>
    <col min="15100" max="15100" width="19.5703125" style="155" customWidth="1"/>
    <col min="15101" max="15101" width="9.140625" style="155"/>
    <col min="15102" max="15102" width="22.85546875" style="155" bestFit="1" customWidth="1"/>
    <col min="15103" max="15103" width="28.140625" style="155" bestFit="1" customWidth="1"/>
    <col min="15104" max="15104" width="10.7109375" style="155" bestFit="1" customWidth="1"/>
    <col min="15105" max="15105" width="7" style="155" bestFit="1" customWidth="1"/>
    <col min="15106" max="15106" width="9.140625" style="155"/>
    <col min="15107" max="15107" width="15.5703125" style="155" bestFit="1" customWidth="1"/>
    <col min="15108" max="15108" width="9.140625" style="155"/>
    <col min="15109" max="15109" width="22.85546875" style="155" bestFit="1" customWidth="1"/>
    <col min="15110" max="15110" width="28.140625" style="155" bestFit="1" customWidth="1"/>
    <col min="15111" max="15111" width="10.7109375" style="155" bestFit="1" customWidth="1"/>
    <col min="15112" max="15112" width="7" style="155" bestFit="1" customWidth="1"/>
    <col min="15113" max="15350" width="9.140625" style="155"/>
    <col min="15351" max="15351" width="36.140625" style="155" customWidth="1"/>
    <col min="15352" max="15352" width="28.140625" style="155" bestFit="1" customWidth="1"/>
    <col min="15353" max="15353" width="10.7109375" style="155" bestFit="1" customWidth="1"/>
    <col min="15354" max="15354" width="8.7109375" style="155" bestFit="1" customWidth="1"/>
    <col min="15355" max="15355" width="10.140625" style="155" bestFit="1" customWidth="1"/>
    <col min="15356" max="15356" width="19.5703125" style="155" customWidth="1"/>
    <col min="15357" max="15357" width="9.140625" style="155"/>
    <col min="15358" max="15358" width="22.85546875" style="155" bestFit="1" customWidth="1"/>
    <col min="15359" max="15359" width="28.140625" style="155" bestFit="1" customWidth="1"/>
    <col min="15360" max="15360" width="10.7109375" style="155" bestFit="1" customWidth="1"/>
    <col min="15361" max="15361" width="7" style="155" bestFit="1" customWidth="1"/>
    <col min="15362" max="15362" width="9.140625" style="155"/>
    <col min="15363" max="15363" width="15.5703125" style="155" bestFit="1" customWidth="1"/>
    <col min="15364" max="15364" width="9.140625" style="155"/>
    <col min="15365" max="15365" width="22.85546875" style="155" bestFit="1" customWidth="1"/>
    <col min="15366" max="15366" width="28.140625" style="155" bestFit="1" customWidth="1"/>
    <col min="15367" max="15367" width="10.7109375" style="155" bestFit="1" customWidth="1"/>
    <col min="15368" max="15368" width="7" style="155" bestFit="1" customWidth="1"/>
    <col min="15369" max="15606" width="9.140625" style="155"/>
    <col min="15607" max="15607" width="36.140625" style="155" customWidth="1"/>
    <col min="15608" max="15608" width="28.140625" style="155" bestFit="1" customWidth="1"/>
    <col min="15609" max="15609" width="10.7109375" style="155" bestFit="1" customWidth="1"/>
    <col min="15610" max="15610" width="8.7109375" style="155" bestFit="1" customWidth="1"/>
    <col min="15611" max="15611" width="10.140625" style="155" bestFit="1" customWidth="1"/>
    <col min="15612" max="15612" width="19.5703125" style="155" customWidth="1"/>
    <col min="15613" max="15613" width="9.140625" style="155"/>
    <col min="15614" max="15614" width="22.85546875" style="155" bestFit="1" customWidth="1"/>
    <col min="15615" max="15615" width="28.140625" style="155" bestFit="1" customWidth="1"/>
    <col min="15616" max="15616" width="10.7109375" style="155" bestFit="1" customWidth="1"/>
    <col min="15617" max="15617" width="7" style="155" bestFit="1" customWidth="1"/>
    <col min="15618" max="15618" width="9.140625" style="155"/>
    <col min="15619" max="15619" width="15.5703125" style="155" bestFit="1" customWidth="1"/>
    <col min="15620" max="15620" width="9.140625" style="155"/>
    <col min="15621" max="15621" width="22.85546875" style="155" bestFit="1" customWidth="1"/>
    <col min="15622" max="15622" width="28.140625" style="155" bestFit="1" customWidth="1"/>
    <col min="15623" max="15623" width="10.7109375" style="155" bestFit="1" customWidth="1"/>
    <col min="15624" max="15624" width="7" style="155" bestFit="1" customWidth="1"/>
    <col min="15625" max="15862" width="9.140625" style="155"/>
    <col min="15863" max="15863" width="36.140625" style="155" customWidth="1"/>
    <col min="15864" max="15864" width="28.140625" style="155" bestFit="1" customWidth="1"/>
    <col min="15865" max="15865" width="10.7109375" style="155" bestFit="1" customWidth="1"/>
    <col min="15866" max="15866" width="8.7109375" style="155" bestFit="1" customWidth="1"/>
    <col min="15867" max="15867" width="10.140625" style="155" bestFit="1" customWidth="1"/>
    <col min="15868" max="15868" width="19.5703125" style="155" customWidth="1"/>
    <col min="15869" max="15869" width="9.140625" style="155"/>
    <col min="15870" max="15870" width="22.85546875" style="155" bestFit="1" customWidth="1"/>
    <col min="15871" max="15871" width="28.140625" style="155" bestFit="1" customWidth="1"/>
    <col min="15872" max="15872" width="10.7109375" style="155" bestFit="1" customWidth="1"/>
    <col min="15873" max="15873" width="7" style="155" bestFit="1" customWidth="1"/>
    <col min="15874" max="15874" width="9.140625" style="155"/>
    <col min="15875" max="15875" width="15.5703125" style="155" bestFit="1" customWidth="1"/>
    <col min="15876" max="15876" width="9.140625" style="155"/>
    <col min="15877" max="15877" width="22.85546875" style="155" bestFit="1" customWidth="1"/>
    <col min="15878" max="15878" width="28.140625" style="155" bestFit="1" customWidth="1"/>
    <col min="15879" max="15879" width="10.7109375" style="155" bestFit="1" customWidth="1"/>
    <col min="15880" max="15880" width="7" style="155" bestFit="1" customWidth="1"/>
    <col min="15881" max="16118" width="9.140625" style="155"/>
    <col min="16119" max="16119" width="36.140625" style="155" customWidth="1"/>
    <col min="16120" max="16120" width="28.140625" style="155" bestFit="1" customWidth="1"/>
    <col min="16121" max="16121" width="10.7109375" style="155" bestFit="1" customWidth="1"/>
    <col min="16122" max="16122" width="8.7109375" style="155" bestFit="1" customWidth="1"/>
    <col min="16123" max="16123" width="10.140625" style="155" bestFit="1" customWidth="1"/>
    <col min="16124" max="16124" width="19.5703125" style="155" customWidth="1"/>
    <col min="16125" max="16125" width="9.140625" style="155"/>
    <col min="16126" max="16126" width="22.85546875" style="155" bestFit="1" customWidth="1"/>
    <col min="16127" max="16127" width="28.140625" style="155" bestFit="1" customWidth="1"/>
    <col min="16128" max="16128" width="10.7109375" style="155" bestFit="1" customWidth="1"/>
    <col min="16129" max="16129" width="7" style="155" bestFit="1" customWidth="1"/>
    <col min="16130" max="16130" width="9.140625" style="155"/>
    <col min="16131" max="16131" width="15.5703125" style="155" bestFit="1" customWidth="1"/>
    <col min="16132" max="16132" width="9.140625" style="155"/>
    <col min="16133" max="16133" width="22.85546875" style="155" bestFit="1" customWidth="1"/>
    <col min="16134" max="16134" width="28.140625" style="155" bestFit="1" customWidth="1"/>
    <col min="16135" max="16135" width="10.7109375" style="155" bestFit="1" customWidth="1"/>
    <col min="16136" max="16136" width="7" style="155" bestFit="1" customWidth="1"/>
    <col min="16137" max="16378" width="9.140625" style="155"/>
    <col min="16379" max="16384" width="9.140625" style="155" customWidth="1"/>
  </cols>
  <sheetData>
    <row r="1" spans="2:17" ht="24" customHeight="1" thickBot="1" x14ac:dyDescent="0.25">
      <c r="D1" s="898"/>
      <c r="E1" s="898"/>
      <c r="G1" s="1048"/>
      <c r="H1" s="1048"/>
      <c r="I1" s="1048"/>
      <c r="J1" s="1048"/>
      <c r="K1" s="1048"/>
    </row>
    <row r="2" spans="2:17" ht="20.25" customHeight="1" thickBot="1" x14ac:dyDescent="0.25">
      <c r="D2" s="1047" t="s">
        <v>611</v>
      </c>
      <c r="E2" s="1046"/>
      <c r="F2" s="1046"/>
      <c r="G2" s="1046"/>
      <c r="H2" s="1046"/>
      <c r="I2" s="1046"/>
      <c r="J2" s="1046"/>
      <c r="K2" s="1046"/>
      <c r="L2" s="1046"/>
      <c r="M2" s="1046"/>
      <c r="N2" s="1046"/>
      <c r="O2" s="1046"/>
      <c r="P2" s="1046"/>
      <c r="Q2" s="1045"/>
    </row>
    <row r="5" spans="2:17" ht="13.5" thickBot="1" x14ac:dyDescent="0.25"/>
    <row r="6" spans="2:17" ht="15.75" thickBot="1" x14ac:dyDescent="0.3">
      <c r="D6" s="1044" t="s">
        <v>610</v>
      </c>
      <c r="E6" s="1043"/>
      <c r="F6" s="1043"/>
      <c r="G6" s="1042"/>
      <c r="I6" s="1044" t="s">
        <v>609</v>
      </c>
      <c r="J6" s="1043"/>
      <c r="K6" s="1043"/>
      <c r="L6" s="1042"/>
      <c r="N6" s="1044" t="s">
        <v>608</v>
      </c>
      <c r="O6" s="1043"/>
      <c r="P6" s="1043"/>
      <c r="Q6" s="1042"/>
    </row>
    <row r="7" spans="2:17" x14ac:dyDescent="0.2">
      <c r="D7" s="1041"/>
      <c r="E7" s="1040"/>
      <c r="F7" s="1040" t="s">
        <v>44</v>
      </c>
      <c r="G7" s="1039">
        <v>365</v>
      </c>
      <c r="I7" s="1036"/>
      <c r="J7" s="1035"/>
      <c r="K7" s="1038" t="s">
        <v>44</v>
      </c>
      <c r="L7" s="1037">
        <v>365</v>
      </c>
      <c r="N7" s="1036"/>
      <c r="O7" s="1035"/>
      <c r="P7" s="1038" t="s">
        <v>44</v>
      </c>
      <c r="Q7" s="1037">
        <v>365</v>
      </c>
    </row>
    <row r="8" spans="2:17" x14ac:dyDescent="0.2">
      <c r="D8" s="1036"/>
      <c r="E8" s="1035" t="s">
        <v>377</v>
      </c>
      <c r="F8" s="1035" t="s">
        <v>380</v>
      </c>
      <c r="G8" s="1034" t="s">
        <v>504</v>
      </c>
      <c r="I8" s="1036"/>
      <c r="J8" s="1035" t="s">
        <v>377</v>
      </c>
      <c r="K8" s="1035" t="s">
        <v>380</v>
      </c>
      <c r="L8" s="1034" t="s">
        <v>504</v>
      </c>
      <c r="N8" s="298"/>
      <c r="O8" s="1035" t="s">
        <v>377</v>
      </c>
      <c r="P8" s="1035" t="s">
        <v>380</v>
      </c>
      <c r="Q8" s="1034" t="s">
        <v>504</v>
      </c>
    </row>
    <row r="9" spans="2:17" ht="15" x14ac:dyDescent="0.2">
      <c r="B9" s="581">
        <v>1</v>
      </c>
      <c r="C9" s="456"/>
      <c r="D9" s="816" t="str">
        <f>IF(INDEX('Master Lookup'!$B$273:$B$277,B9)=0,"",INDEX('Master Lookup'!$B$273:$B$277,B9))</f>
        <v>Case Worker</v>
      </c>
      <c r="E9" s="496">
        <f>IFERROR(INDEX('Master Lookup'!$D$273:$D$277,MATCH(D9,'Master Lookup'!$B$273:$B$277,0)),"")</f>
        <v>58616.063999999998</v>
      </c>
      <c r="F9" s="547">
        <f>IFERROR(INDEX('Master Lookup'!$E$273:$E$277,MATCH(D9,'Master Lookup'!$B$273:$B$277,0)),"")</f>
        <v>0.15</v>
      </c>
      <c r="G9" s="1033">
        <f>IFERROR(F9*E9,0)</f>
        <v>8792.409599999999</v>
      </c>
      <c r="I9" s="816" t="str">
        <f>IF(INDEX('Master Lookup'!$B$273:$B$277,B9)=0,"",INDEX('Master Lookup'!$B$273:$B$277,B9))</f>
        <v>Case Worker</v>
      </c>
      <c r="J9" s="496">
        <f>IFERROR(INDEX('Master Lookup'!$D$273:$D$277,MATCH(I9,'Master Lookup'!$B$273:$B$277,0)),"")</f>
        <v>58616.063999999998</v>
      </c>
      <c r="K9" s="547">
        <f>IFERROR(INDEX('Master Lookup'!$E$273:$E$277,MATCH(I9,'Master Lookup'!$B$273:$B$277,0)),"")</f>
        <v>0.15</v>
      </c>
      <c r="L9" s="1033">
        <f>IFERROR(K9*J9,0)</f>
        <v>8792.409599999999</v>
      </c>
      <c r="N9" s="816" t="str">
        <f>IF(INDEX('Master Lookup'!$B$273:$B$277,B9)=0,"",INDEX('Master Lookup'!$B$273:$B$277,B9))</f>
        <v>Case Worker</v>
      </c>
      <c r="O9" s="496">
        <f>IFERROR(INDEX('Master Lookup'!$D$273:$D$277,MATCH(N9,'Master Lookup'!$B$273:$B$277,0)),"")</f>
        <v>58616.063999999998</v>
      </c>
      <c r="P9" s="547">
        <f>IFERROR(INDEX('Master Lookup'!$E$273:$E$277,MATCH(N9,'Master Lookup'!$B$273:$B$277,0)),"")</f>
        <v>0.15</v>
      </c>
      <c r="Q9" s="1033">
        <f>IFERROR(P9*O9,0)</f>
        <v>8792.409599999999</v>
      </c>
    </row>
    <row r="10" spans="2:17" ht="15" hidden="1" x14ac:dyDescent="0.2">
      <c r="B10" s="581">
        <v>2</v>
      </c>
      <c r="C10" s="456"/>
      <c r="D10" s="815" t="str">
        <f>IF(INDEX('Master Lookup'!$B$273:$B$277,B10)=0,"",INDEX('Master Lookup'!$B$273:$B$277,B10))</f>
        <v/>
      </c>
      <c r="E10" s="503" t="str">
        <f>IFERROR(INDEX('Master Lookup'!$D$273:$D$277,MATCH(D10,'Master Lookup'!$B$273:$B$277,0)),"")</f>
        <v/>
      </c>
      <c r="F10" s="829" t="str">
        <f>IFERROR(INDEX('Master Lookup'!$E$273:$E$277,MATCH(D10,'Master Lookup'!$B$273:$B$277,0)),"")</f>
        <v/>
      </c>
      <c r="G10" s="1031">
        <f>IFERROR(F10*E10,0)</f>
        <v>0</v>
      </c>
      <c r="H10" s="1032"/>
      <c r="I10" s="815" t="str">
        <f>IF(INDEX('Master Lookup'!$B$273:$B$277,B10)=0,"",INDEX('Master Lookup'!$B$273:$B$277,B10))</f>
        <v/>
      </c>
      <c r="J10" s="503" t="str">
        <f>IFERROR(INDEX('Master Lookup'!$D$273:$D$277,MATCH(I10,'Master Lookup'!$B$273:$B$277,0)),"")</f>
        <v/>
      </c>
      <c r="K10" s="829" t="str">
        <f>IFERROR(INDEX('Master Lookup'!$E$273:$E$277,MATCH(I10,'Master Lookup'!$B$273:$B$277,0)),"")</f>
        <v/>
      </c>
      <c r="L10" s="1031">
        <f>IFERROR(K10*J10,0)</f>
        <v>0</v>
      </c>
      <c r="N10" s="815" t="str">
        <f>IF(INDEX('Master Lookup'!$B$273:$B$277,B10)=0,"",INDEX('Master Lookup'!$B$273:$B$277,B10))</f>
        <v/>
      </c>
      <c r="O10" s="503" t="str">
        <f>IFERROR(INDEX('Master Lookup'!$D$273:$D$277,MATCH(N10,'Master Lookup'!$B$273:$B$277,0)),"")</f>
        <v/>
      </c>
      <c r="P10" s="829" t="str">
        <f>IFERROR(INDEX('Master Lookup'!$E$273:$E$277,MATCH(N10,'Master Lookup'!$B$273:$B$277,0)),"")</f>
        <v/>
      </c>
      <c r="Q10" s="1031">
        <f>IFERROR(P10*O10,0)</f>
        <v>0</v>
      </c>
    </row>
    <row r="11" spans="2:17" ht="15" hidden="1" x14ac:dyDescent="0.2">
      <c r="B11" s="581">
        <v>3</v>
      </c>
      <c r="C11" s="456"/>
      <c r="D11" s="815" t="str">
        <f>IF(INDEX('Master Lookup'!$B$273:$B$277,B11)=0,"",INDEX('Master Lookup'!$B$273:$B$277,B11))</f>
        <v/>
      </c>
      <c r="E11" s="503" t="str">
        <f>IFERROR(INDEX('Master Lookup'!$D$273:$D$277,MATCH(D11,'Master Lookup'!$B$273:$B$277,0)),"")</f>
        <v/>
      </c>
      <c r="F11" s="829" t="str">
        <f>IFERROR(INDEX('Master Lookup'!$E$273:$E$277,MATCH(D11,'Master Lookup'!$B$273:$B$277,0)),"")</f>
        <v/>
      </c>
      <c r="G11" s="1031">
        <f>IFERROR(F11*E11,0)</f>
        <v>0</v>
      </c>
      <c r="H11" s="460"/>
      <c r="I11" s="815" t="str">
        <f>IF(INDEX('Master Lookup'!$B$273:$B$277,B11)=0,"",INDEX('Master Lookup'!$B$273:$B$277,B11))</f>
        <v/>
      </c>
      <c r="J11" s="503" t="str">
        <f>IFERROR(INDEX('Master Lookup'!$D$273:$D$277,MATCH(I11,'Master Lookup'!$B$273:$B$277,0)),"")</f>
        <v/>
      </c>
      <c r="K11" s="829" t="str">
        <f>IFERROR(INDEX('Master Lookup'!$E$273:$E$277,MATCH(I11,'Master Lookup'!$B$273:$B$277,0)),"")</f>
        <v/>
      </c>
      <c r="L11" s="1031">
        <f>IFERROR(K11*J11,0)</f>
        <v>0</v>
      </c>
      <c r="N11" s="815" t="str">
        <f>IF(INDEX('Master Lookup'!$B$273:$B$277,B11)=0,"",INDEX('Master Lookup'!$B$273:$B$277,B11))</f>
        <v/>
      </c>
      <c r="O11" s="503" t="str">
        <f>IFERROR(INDEX('Master Lookup'!$D$273:$D$277,MATCH(N11,'Master Lookup'!$B$273:$B$277,0)),"")</f>
        <v/>
      </c>
      <c r="P11" s="829" t="str">
        <f>IFERROR(INDEX('Master Lookup'!$E$273:$E$277,MATCH(N11,'Master Lookup'!$B$273:$B$277,0)),"")</f>
        <v/>
      </c>
      <c r="Q11" s="1031">
        <f>IFERROR(P11*O11,0)</f>
        <v>0</v>
      </c>
    </row>
    <row r="12" spans="2:17" ht="15" hidden="1" x14ac:dyDescent="0.2">
      <c r="B12" s="581">
        <v>4</v>
      </c>
      <c r="C12" s="456"/>
      <c r="D12" s="815" t="str">
        <f>IF(INDEX('Master Lookup'!$B$273:$B$277,B12)=0,"",INDEX('Master Lookup'!$B$273:$B$277,B12))</f>
        <v/>
      </c>
      <c r="E12" s="503" t="str">
        <f>IFERROR(INDEX('Master Lookup'!$D$273:$D$277,MATCH(D12,'Master Lookup'!$B$273:$B$277,0)),"")</f>
        <v/>
      </c>
      <c r="F12" s="829" t="str">
        <f>IFERROR(INDEX('Master Lookup'!$E$273:$E$277,MATCH(D12,'Master Lookup'!$B$273:$B$277,0)),"")</f>
        <v/>
      </c>
      <c r="G12" s="1031">
        <f>IFERROR(F12*E12,0)</f>
        <v>0</v>
      </c>
      <c r="I12" s="815" t="str">
        <f>IF(INDEX('Master Lookup'!$B$273:$B$277,B12)=0,"",INDEX('Master Lookup'!$B$273:$B$277,B12))</f>
        <v/>
      </c>
      <c r="J12" s="503" t="str">
        <f>IFERROR(INDEX('Master Lookup'!$D$273:$D$277,MATCH(I12,'Master Lookup'!$B$273:$B$277,0)),"")</f>
        <v/>
      </c>
      <c r="K12" s="829" t="str">
        <f>IFERROR(INDEX('Master Lookup'!$E$273:$E$277,MATCH(I12,'Master Lookup'!$B$273:$B$277,0)),"")</f>
        <v/>
      </c>
      <c r="L12" s="1031">
        <f>IFERROR(K12*J12,0)</f>
        <v>0</v>
      </c>
      <c r="N12" s="815" t="str">
        <f>IF(INDEX('Master Lookup'!$B$273:$B$277,B12)=0,"",INDEX('Master Lookup'!$B$273:$B$277,B12))</f>
        <v/>
      </c>
      <c r="O12" s="503" t="str">
        <f>IFERROR(INDEX('Master Lookup'!$D$273:$D$277,MATCH(N12,'Master Lookup'!$B$273:$B$277,0)),"")</f>
        <v/>
      </c>
      <c r="P12" s="829" t="str">
        <f>IFERROR(INDEX('Master Lookup'!$E$273:$E$277,MATCH(N12,'Master Lookup'!$B$273:$B$277,0)),"")</f>
        <v/>
      </c>
      <c r="Q12" s="1031">
        <f>IFERROR(P12*O12,0)</f>
        <v>0</v>
      </c>
    </row>
    <row r="13" spans="2:17" ht="15" hidden="1" x14ac:dyDescent="0.2">
      <c r="B13" s="581">
        <v>5</v>
      </c>
      <c r="C13" s="456"/>
      <c r="D13" s="815" t="str">
        <f>IF(INDEX('Master Lookup'!$B$273:$B$277,B13)=0,"",INDEX('Master Lookup'!$B$273:$B$277,B13))</f>
        <v/>
      </c>
      <c r="E13" s="503" t="str">
        <f>IFERROR(INDEX('Master Lookup'!$D$273:$D$277,MATCH(D13,'Master Lookup'!$B$273:$B$277,0)),"")</f>
        <v/>
      </c>
      <c r="F13" s="829" t="str">
        <f>IFERROR(INDEX('Master Lookup'!$E$273:$E$277,MATCH(D13,'Master Lookup'!$B$273:$B$277,0)),"")</f>
        <v/>
      </c>
      <c r="G13" s="1031">
        <f>IFERROR(F13*E13,0)</f>
        <v>0</v>
      </c>
      <c r="I13" s="815" t="str">
        <f>IF(INDEX('Master Lookup'!$B$273:$B$277,B13)=0,"",INDEX('Master Lookup'!$B$273:$B$277,B13))</f>
        <v/>
      </c>
      <c r="J13" s="503" t="str">
        <f>IFERROR(INDEX('Master Lookup'!$D$273:$D$277,MATCH(I13,'Master Lookup'!$B$273:$B$277,0)),"")</f>
        <v/>
      </c>
      <c r="K13" s="829" t="str">
        <f>IFERROR(INDEX('Master Lookup'!$E$273:$E$277,MATCH(I13,'Master Lookup'!$B$273:$B$277,0)),"")</f>
        <v/>
      </c>
      <c r="L13" s="1031">
        <f>IFERROR(K13*J13,0)</f>
        <v>0</v>
      </c>
      <c r="N13" s="815" t="str">
        <f>IF(INDEX('Master Lookup'!$B$273:$B$277,B13)=0,"",INDEX('Master Lookup'!$B$273:$B$277,B13))</f>
        <v/>
      </c>
      <c r="O13" s="503" t="str">
        <f>IFERROR(INDEX('Master Lookup'!$D$273:$D$277,MATCH(N13,'Master Lookup'!$B$273:$B$277,0)),"")</f>
        <v/>
      </c>
      <c r="P13" s="829" t="str">
        <f>IFERROR(INDEX('Master Lookup'!$E$273:$E$277,MATCH(N13,'Master Lookup'!$B$273:$B$277,0)),"")</f>
        <v/>
      </c>
      <c r="Q13" s="1031">
        <f>IFERROR(P13*O13,0)</f>
        <v>0</v>
      </c>
    </row>
    <row r="14" spans="2:17" x14ac:dyDescent="0.2">
      <c r="B14" s="1015"/>
      <c r="C14" s="456"/>
      <c r="D14" s="860" t="s">
        <v>503</v>
      </c>
      <c r="E14" s="1022"/>
      <c r="F14" s="1030">
        <f>SUM(F9:F13)</f>
        <v>0.15</v>
      </c>
      <c r="G14" s="1028">
        <f>SUM(G9:G13)</f>
        <v>8792.409599999999</v>
      </c>
      <c r="I14" s="860" t="s">
        <v>503</v>
      </c>
      <c r="J14" s="1022"/>
      <c r="K14" s="1030">
        <f>SUM(K9:K13)</f>
        <v>0.15</v>
      </c>
      <c r="L14" s="1028">
        <f>SUM(L9:L13)</f>
        <v>8792.409599999999</v>
      </c>
      <c r="N14" s="860" t="s">
        <v>503</v>
      </c>
      <c r="O14" s="1022"/>
      <c r="P14" s="1030">
        <f>SUM(P9:P13)</f>
        <v>0.15</v>
      </c>
      <c r="Q14" s="1028">
        <f>SUM(Q9:Q13)</f>
        <v>8792.409599999999</v>
      </c>
    </row>
    <row r="15" spans="2:17" ht="15" x14ac:dyDescent="0.25">
      <c r="B15" s="1015"/>
      <c r="C15" s="456"/>
      <c r="D15" s="822" t="s">
        <v>368</v>
      </c>
      <c r="E15" s="1022"/>
      <c r="F15" s="659">
        <f>INDEX('Master Lookup'!$C$291:$C$293,MATCH(D15,'Master Lookup'!$B$291:$B$293,0))</f>
        <v>0.27379999999999999</v>
      </c>
      <c r="G15" s="1029">
        <f>G14*F15</f>
        <v>2407.3617484799997</v>
      </c>
      <c r="I15" s="822" t="s">
        <v>368</v>
      </c>
      <c r="J15" s="1022"/>
      <c r="K15" s="659">
        <f>INDEX('Master Lookup'!$C$291:$C$293,MATCH(I15,'Master Lookup'!$B$291:$B$293,0))</f>
        <v>0.27379999999999999</v>
      </c>
      <c r="L15" s="1029">
        <f>L14*K15</f>
        <v>2407.3617484799997</v>
      </c>
      <c r="N15" s="822" t="s">
        <v>368</v>
      </c>
      <c r="O15" s="1022"/>
      <c r="P15" s="659">
        <f>INDEX('Master Lookup'!$C$291:$C$293,MATCH(N15,'Master Lookup'!$B$291:$B$293,0))</f>
        <v>0.27379999999999999</v>
      </c>
      <c r="Q15" s="1029">
        <f>Q14*P15</f>
        <v>2407.3617484799997</v>
      </c>
    </row>
    <row r="16" spans="2:17" ht="15" x14ac:dyDescent="0.25">
      <c r="B16" s="1015"/>
      <c r="C16" s="456"/>
      <c r="D16" s="813" t="s">
        <v>596</v>
      </c>
      <c r="E16" s="1022"/>
      <c r="F16" s="1022"/>
      <c r="G16" s="1028">
        <f>SUM(G14:G15)</f>
        <v>11199.771348479999</v>
      </c>
      <c r="I16" s="813" t="s">
        <v>596</v>
      </c>
      <c r="J16" s="1022"/>
      <c r="K16" s="1022"/>
      <c r="L16" s="1028">
        <f>SUM(L14:L15)</f>
        <v>11199.771348479999</v>
      </c>
      <c r="N16" s="813" t="s">
        <v>596</v>
      </c>
      <c r="O16" s="1022"/>
      <c r="P16" s="1022"/>
      <c r="Q16" s="1028">
        <f>SUM(Q14:Q15)</f>
        <v>11199.771348479999</v>
      </c>
    </row>
    <row r="17" spans="2:17" x14ac:dyDescent="0.2">
      <c r="B17" s="1015"/>
      <c r="C17" s="456"/>
      <c r="D17" s="856"/>
      <c r="E17" s="1022"/>
      <c r="F17" s="1022"/>
      <c r="G17" s="1027"/>
      <c r="I17" s="856"/>
      <c r="J17" s="1022"/>
      <c r="K17" s="1022"/>
      <c r="L17" s="1027"/>
      <c r="N17" s="856"/>
      <c r="O17" s="1022"/>
      <c r="P17" s="1022"/>
      <c r="Q17" s="1027"/>
    </row>
    <row r="18" spans="2:17" ht="15" x14ac:dyDescent="0.25">
      <c r="B18" s="1015"/>
      <c r="C18" s="456"/>
      <c r="D18" s="817" t="s">
        <v>372</v>
      </c>
      <c r="E18" s="456"/>
      <c r="F18" s="456"/>
      <c r="G18" s="1026"/>
      <c r="I18" s="817" t="s">
        <v>372</v>
      </c>
      <c r="J18" s="456"/>
      <c r="K18" s="456"/>
      <c r="L18" s="1026"/>
      <c r="N18" s="817" t="s">
        <v>372</v>
      </c>
      <c r="O18" s="456"/>
      <c r="P18" s="456"/>
      <c r="Q18" s="1026"/>
    </row>
    <row r="19" spans="2:17" ht="15" x14ac:dyDescent="0.2">
      <c r="B19" s="581">
        <v>1</v>
      </c>
      <c r="C19" s="456"/>
      <c r="D19" s="816" t="str">
        <f>IF(INDEX('Master Lookup'!$B$280:$B$285,B19)=0,"",INDEX('Master Lookup'!$B$280:$B$285,B19))</f>
        <v>Client Transportation 208</v>
      </c>
      <c r="E19" s="456"/>
      <c r="F19" s="496">
        <f>IFERROR(INDEX('Master Lookup'!$C$280:$C$285,MATCH(D19,'Master Lookup'!$B$280:$B$285,0)),"")</f>
        <v>1741.693522928565</v>
      </c>
      <c r="G19" s="668">
        <f>IF(F19&lt;&gt;"",F19,0)</f>
        <v>1741.693522928565</v>
      </c>
      <c r="I19" s="816" t="str">
        <f>IF(INDEX('Master Lookup'!$B$280:$B$285,B19)=0,"",INDEX('Master Lookup'!$B$280:$B$285,B19))</f>
        <v>Client Transportation 208</v>
      </c>
      <c r="J19" s="456"/>
      <c r="K19" s="496">
        <f>IFERROR(INDEX('Master Lookup'!$C$280:$C$285,MATCH(I19,'Master Lookup'!$B$280:$B$285,0)),"")</f>
        <v>1741.693522928565</v>
      </c>
      <c r="L19" s="668">
        <f>IF(K19&lt;&gt;"",K19,0)</f>
        <v>1741.693522928565</v>
      </c>
      <c r="N19" s="816" t="str">
        <f>IF(INDEX('Master Lookup'!$B$280:$B$285,B19)=0,"",INDEX('Master Lookup'!$B$280:$B$285,B19))</f>
        <v>Client Transportation 208</v>
      </c>
      <c r="O19" s="456"/>
      <c r="P19" s="496">
        <f>IFERROR(INDEX('Master Lookup'!$C$280:$C$285,MATCH(N19,'Master Lookup'!$B$280:$B$285,0)),"")</f>
        <v>1741.693522928565</v>
      </c>
      <c r="Q19" s="668">
        <f>IF(P19&lt;&gt;"",P19,0)</f>
        <v>1741.693522928565</v>
      </c>
    </row>
    <row r="20" spans="2:17" ht="15" x14ac:dyDescent="0.2">
      <c r="B20" s="581">
        <v>2</v>
      </c>
      <c r="C20" s="456"/>
      <c r="D20" s="816" t="str">
        <f>IF(INDEX('Master Lookup'!$B$280:$B$285,B20)=0,"",INDEX('Master Lookup'!$B$280:$B$285,B20))</f>
        <v>Total Occupancy</v>
      </c>
      <c r="E20" s="456"/>
      <c r="F20" s="496">
        <f>IFERROR(INDEX('Master Lookup'!$C$280:$C$285,MATCH(D20,'Master Lookup'!$B$280:$B$285,0)),"")</f>
        <v>6221.9259542286536</v>
      </c>
      <c r="G20" s="668">
        <f>IF(F20&lt;&gt;"",F20,0)</f>
        <v>6221.9259542286536</v>
      </c>
      <c r="I20" s="816" t="str">
        <f>IF(INDEX('Master Lookup'!$B$280:$B$285,B20)=0,"",INDEX('Master Lookup'!$B$280:$B$285,B20))</f>
        <v>Total Occupancy</v>
      </c>
      <c r="J20" s="456"/>
      <c r="K20" s="496">
        <f>IFERROR(INDEX('Master Lookup'!$C$280:$C$285,MATCH(I20,'Master Lookup'!$B$280:$B$285,0)),"")</f>
        <v>6221.9259542286536</v>
      </c>
      <c r="L20" s="668">
        <f>IF(K20&lt;&gt;"",K20,0)</f>
        <v>6221.9259542286536</v>
      </c>
      <c r="N20" s="816" t="str">
        <f>IF(INDEX('Master Lookup'!$B$280:$B$285,B20)=0,"",INDEX('Master Lookup'!$B$280:$B$285,B20))</f>
        <v>Total Occupancy</v>
      </c>
      <c r="O20" s="456"/>
      <c r="P20" s="496">
        <f>IFERROR(INDEX('Master Lookup'!$C$280:$C$285,MATCH(N20,'Master Lookup'!$B$280:$B$285,0)),"")</f>
        <v>6221.9259542286536</v>
      </c>
      <c r="Q20" s="668">
        <f>IF(P20&lt;&gt;"",P20,0)</f>
        <v>6221.9259542286536</v>
      </c>
    </row>
    <row r="21" spans="2:17" ht="15" hidden="1" x14ac:dyDescent="0.2">
      <c r="B21" s="581">
        <v>3</v>
      </c>
      <c r="C21" s="456"/>
      <c r="D21" s="815" t="str">
        <f>IF(INDEX('Master Lookup'!$B$280:$B$285,B21)=0,"",INDEX('Master Lookup'!$B$280:$B$285,B21))</f>
        <v/>
      </c>
      <c r="E21" s="1025"/>
      <c r="F21" s="503" t="str">
        <f>IFERROR(INDEX('Master Lookup'!$C$280:$C$285,MATCH(D21,'Master Lookup'!$B$280:$B$285,0)),"")</f>
        <v/>
      </c>
      <c r="G21" s="1024">
        <f>IF(F21&lt;&gt;"",F21,0)</f>
        <v>0</v>
      </c>
      <c r="I21" s="815" t="str">
        <f>IF(INDEX('Master Lookup'!$B$280:$B$285,B21)=0,"",INDEX('Master Lookup'!$B$280:$B$285,B21))</f>
        <v/>
      </c>
      <c r="J21" s="1025"/>
      <c r="K21" s="503" t="str">
        <f>IFERROR(INDEX('Master Lookup'!$C$280:$C$285,MATCH(I21,'Master Lookup'!$B$280:$B$285,0)),"")</f>
        <v/>
      </c>
      <c r="L21" s="1024">
        <f>IF(K21&lt;&gt;"",K21,0)</f>
        <v>0</v>
      </c>
      <c r="N21" s="815" t="str">
        <f>IF(INDEX('Master Lookup'!$B$280:$B$285,B21)=0,"",INDEX('Master Lookup'!$B$280:$B$285,B21))</f>
        <v/>
      </c>
      <c r="O21" s="1025"/>
      <c r="P21" s="503" t="str">
        <f>IFERROR(INDEX('Master Lookup'!$C$280:$C$285,MATCH(N21,'Master Lookup'!$B$280:$B$285,0)),"")</f>
        <v/>
      </c>
      <c r="Q21" s="1024">
        <f>IF(P21&lt;&gt;"",P21,0)</f>
        <v>0</v>
      </c>
    </row>
    <row r="22" spans="2:17" ht="15" hidden="1" x14ac:dyDescent="0.2">
      <c r="B22" s="581">
        <v>4</v>
      </c>
      <c r="C22" s="456"/>
      <c r="D22" s="815" t="str">
        <f>IF(INDEX('Master Lookup'!$B$280:$B$285,B22)=0,"",INDEX('Master Lookup'!$B$280:$B$285,B22))</f>
        <v/>
      </c>
      <c r="E22" s="1025"/>
      <c r="F22" s="503" t="str">
        <f>IFERROR(INDEX('Master Lookup'!$C$280:$C$285,MATCH(D22,'Master Lookup'!$B$280:$B$285,0)),"")</f>
        <v/>
      </c>
      <c r="G22" s="1024">
        <f>IF(F22&lt;&gt;"",F22,0)</f>
        <v>0</v>
      </c>
      <c r="I22" s="815" t="str">
        <f>IF(INDEX('Master Lookup'!$B$280:$B$285,B22)=0,"",INDEX('Master Lookup'!$B$280:$B$285,B22))</f>
        <v/>
      </c>
      <c r="J22" s="1025"/>
      <c r="K22" s="503" t="str">
        <f>IFERROR(INDEX('Master Lookup'!$C$280:$C$285,MATCH(I22,'Master Lookup'!$B$280:$B$285,0)),"")</f>
        <v/>
      </c>
      <c r="L22" s="1024">
        <f>IF(K22&lt;&gt;"",K22,0)</f>
        <v>0</v>
      </c>
      <c r="N22" s="815" t="str">
        <f>IF(INDEX('Master Lookup'!$B$280:$B$285,B22)=0,"",INDEX('Master Lookup'!$B$280:$B$285,B22))</f>
        <v/>
      </c>
      <c r="O22" s="1025"/>
      <c r="P22" s="503" t="str">
        <f>IFERROR(INDEX('Master Lookup'!$C$280:$C$285,MATCH(N22,'Master Lookup'!$B$280:$B$285,0)),"")</f>
        <v/>
      </c>
      <c r="Q22" s="1024">
        <f>IF(P22&lt;&gt;"",P22,0)</f>
        <v>0</v>
      </c>
    </row>
    <row r="23" spans="2:17" ht="15" x14ac:dyDescent="0.2">
      <c r="B23" s="581"/>
      <c r="C23" s="456"/>
      <c r="D23" s="891" t="s">
        <v>328</v>
      </c>
      <c r="E23" s="456"/>
      <c r="F23" s="496">
        <f>INDEX('Master Lookup'!$C$287:$C$289,MATCH(D23,'Master Lookup'!$B$287:$B$289,0))</f>
        <v>26905.669366364942</v>
      </c>
      <c r="G23" s="668">
        <f>IFERROR(F23,0)</f>
        <v>26905.669366364942</v>
      </c>
      <c r="I23" s="891" t="s">
        <v>326</v>
      </c>
      <c r="J23" s="456"/>
      <c r="K23" s="496">
        <f>INDEX('Master Lookup'!$C$287:$C$289,MATCH(I23,'Master Lookup'!$B$287:$B$289,0))</f>
        <v>36688.899475940932</v>
      </c>
      <c r="L23" s="668">
        <f>IFERROR(K23,0)</f>
        <v>36688.899475940932</v>
      </c>
      <c r="N23" s="891" t="s">
        <v>324</v>
      </c>
      <c r="O23" s="456"/>
      <c r="P23" s="496">
        <f>INDEX('Master Lookup'!$C$287:$C$289,MATCH(N23,'Master Lookup'!$B$287:$B$289,0))</f>
        <v>46472.129585516923</v>
      </c>
      <c r="Q23" s="668">
        <f>IFERROR(P23,0)</f>
        <v>46472.129585516923</v>
      </c>
    </row>
    <row r="24" spans="2:17" ht="15" x14ac:dyDescent="0.25">
      <c r="B24" s="1015"/>
      <c r="C24" s="456"/>
      <c r="D24" s="813" t="s">
        <v>538</v>
      </c>
      <c r="E24" s="1022"/>
      <c r="F24" s="1022"/>
      <c r="G24" s="625">
        <f>SUM(G19:G23)</f>
        <v>34869.288843522161</v>
      </c>
      <c r="I24" s="813" t="s">
        <v>538</v>
      </c>
      <c r="J24" s="1022"/>
      <c r="K24" s="1022"/>
      <c r="L24" s="625">
        <f>SUM(L19:L23)</f>
        <v>44652.518953098152</v>
      </c>
      <c r="N24" s="813" t="s">
        <v>538</v>
      </c>
      <c r="O24" s="1022"/>
      <c r="P24" s="1022"/>
      <c r="Q24" s="625">
        <f>SUM(Q19:Q23)</f>
        <v>54435.749062674142</v>
      </c>
    </row>
    <row r="25" spans="2:17" ht="15.75" x14ac:dyDescent="0.25">
      <c r="B25" s="1015"/>
      <c r="C25" s="456"/>
      <c r="D25" s="811"/>
      <c r="E25" s="1021"/>
      <c r="F25" s="1021"/>
      <c r="G25" s="1023"/>
      <c r="I25" s="811"/>
      <c r="J25" s="1021"/>
      <c r="K25" s="1021"/>
      <c r="L25" s="1023"/>
      <c r="N25" s="811"/>
      <c r="O25" s="1021"/>
      <c r="P25" s="1021"/>
      <c r="Q25" s="1023"/>
    </row>
    <row r="26" spans="2:17" ht="30" x14ac:dyDescent="0.25">
      <c r="B26" s="1015"/>
      <c r="C26" s="456"/>
      <c r="D26" s="489" t="s">
        <v>537</v>
      </c>
      <c r="E26" s="1022"/>
      <c r="F26" s="1022"/>
      <c r="G26" s="625">
        <f>SUM(G24,G16)</f>
        <v>46069.060192002158</v>
      </c>
      <c r="I26" s="489" t="s">
        <v>537</v>
      </c>
      <c r="J26" s="1022"/>
      <c r="K26" s="1022"/>
      <c r="L26" s="625">
        <f>SUM(L24,L16)</f>
        <v>55852.290301578149</v>
      </c>
      <c r="N26" s="489" t="s">
        <v>537</v>
      </c>
      <c r="O26" s="1022"/>
      <c r="P26" s="1022"/>
      <c r="Q26" s="625">
        <f>SUM(Q24,Q16)</f>
        <v>65635.520411154139</v>
      </c>
    </row>
    <row r="27" spans="2:17" ht="15" x14ac:dyDescent="0.25">
      <c r="B27" s="1015"/>
      <c r="C27" s="456"/>
      <c r="D27" s="809" t="s">
        <v>366</v>
      </c>
      <c r="E27" s="624">
        <f>INDEX('Master Lookup'!$C$291:$C$293,MATCH(D27,'Master Lookup'!$B$291:$B$293,0))</f>
        <v>0.12</v>
      </c>
      <c r="F27" s="1021"/>
      <c r="G27" s="1020">
        <f>G26*E27</f>
        <v>5528.2872230402591</v>
      </c>
      <c r="I27" s="809" t="s">
        <v>366</v>
      </c>
      <c r="J27" s="624">
        <f>INDEX('Master Lookup'!$C$291:$C$293,MATCH(I27,'Master Lookup'!$B$291:$B$293,0))</f>
        <v>0.12</v>
      </c>
      <c r="K27" s="1021"/>
      <c r="L27" s="1020">
        <f>L26*J27</f>
        <v>6702.2748361893773</v>
      </c>
      <c r="N27" s="809" t="s">
        <v>366</v>
      </c>
      <c r="O27" s="624">
        <f>INDEX('Master Lookup'!$C$291:$C$293,MATCH(N27,'Master Lookup'!$B$291:$B$293,0))</f>
        <v>0.12</v>
      </c>
      <c r="P27" s="1021"/>
      <c r="Q27" s="1020">
        <f>Q26*O27</f>
        <v>7876.2624493384965</v>
      </c>
    </row>
    <row r="28" spans="2:17" ht="15.75" thickBot="1" x14ac:dyDescent="0.3">
      <c r="B28" s="1015"/>
      <c r="C28" s="456"/>
      <c r="D28" s="1019" t="s">
        <v>367</v>
      </c>
      <c r="E28" s="1018">
        <f>INDEX('Master Lookup'!$C$291:$C$293,MATCH(D28,'Master Lookup'!$B$291:$B$293,0))</f>
        <v>2.7100379121522307E-2</v>
      </c>
      <c r="F28" s="1017"/>
      <c r="G28" s="1016">
        <f>(G26+G27)*E28</f>
        <v>1398.3076766125484</v>
      </c>
      <c r="I28" s="1019" t="s">
        <v>367</v>
      </c>
      <c r="J28" s="1018">
        <f>INDEX('Master Lookup'!$C$291:$C$293,MATCH(I28,'Master Lookup'!$B$291:$B$293,0))</f>
        <v>2.7100379121522307E-2</v>
      </c>
      <c r="K28" s="1017"/>
      <c r="L28" s="1016">
        <f>(L26+L27)*J28</f>
        <v>1695.2524310154622</v>
      </c>
      <c r="N28" s="1019" t="s">
        <v>367</v>
      </c>
      <c r="O28" s="1018">
        <f>INDEX('Master Lookup'!$C$291:$C$293,MATCH(N28,'Master Lookup'!$B$291:$B$293,0))</f>
        <v>2.7100379121522307E-2</v>
      </c>
      <c r="P28" s="1017"/>
      <c r="Q28" s="1016">
        <f>(Q26+Q27)*O28</f>
        <v>1992.197185418376</v>
      </c>
    </row>
    <row r="29" spans="2:17" ht="15.75" thickBot="1" x14ac:dyDescent="0.3">
      <c r="B29" s="1015"/>
      <c r="C29" s="456"/>
      <c r="D29" s="1014" t="s">
        <v>499</v>
      </c>
      <c r="E29" s="678"/>
      <c r="F29" s="678"/>
      <c r="G29" s="1013">
        <f>SUM(G26:G28)</f>
        <v>52995.65509165496</v>
      </c>
      <c r="I29" s="1014" t="s">
        <v>499</v>
      </c>
      <c r="J29" s="678"/>
      <c r="K29" s="678"/>
      <c r="L29" s="1013">
        <f>SUM(L26:L28)</f>
        <v>64249.817568782986</v>
      </c>
      <c r="N29" s="1014" t="s">
        <v>499</v>
      </c>
      <c r="O29" s="678"/>
      <c r="P29" s="678"/>
      <c r="Q29" s="1013">
        <f>SUM(Q26:Q28)</f>
        <v>75503.980045911012</v>
      </c>
    </row>
    <row r="30" spans="2:17" ht="13.5" thickBot="1" x14ac:dyDescent="0.25">
      <c r="D30" s="1012" t="s">
        <v>607</v>
      </c>
      <c r="E30" s="1011"/>
      <c r="F30" s="1011"/>
      <c r="G30" s="1010">
        <f>ROUND(G29/G7,2)</f>
        <v>145.19</v>
      </c>
      <c r="I30" s="1012" t="s">
        <v>607</v>
      </c>
      <c r="J30" s="1011"/>
      <c r="K30" s="1011"/>
      <c r="L30" s="1010">
        <f>ROUND(L29/L7,2)</f>
        <v>176.03</v>
      </c>
      <c r="N30" s="1012" t="s">
        <v>607</v>
      </c>
      <c r="O30" s="1011"/>
      <c r="P30" s="1011"/>
      <c r="Q30" s="1010">
        <f>ROUND(Q29/Q7,2)</f>
        <v>206.86</v>
      </c>
    </row>
    <row r="32" spans="2:17" x14ac:dyDescent="0.2">
      <c r="G32" s="460"/>
      <c r="L32" s="460"/>
      <c r="Q32" s="460"/>
    </row>
  </sheetData>
  <mergeCells count="4">
    <mergeCell ref="D6:G6"/>
    <mergeCell ref="I6:L6"/>
    <mergeCell ref="N6:Q6"/>
    <mergeCell ref="D2:Q2"/>
  </mergeCells>
  <pageMargins left="0.17" right="0.2" top="1" bottom="0.72" header="0.5" footer="0.5"/>
  <pageSetup scale="6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A341E3-81B2-4D22-9DDE-9B8CDDF9DCF9}">
          <x14:formula1>
            <xm:f>'Master Lookup'!$B$287:$B$289</xm:f>
          </x14:formula1>
          <xm:sqref>D23 N23 I23</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69A0-7046-469B-AC6C-0B99B1527693}">
  <dimension ref="B1:I28"/>
  <sheetViews>
    <sheetView zoomScaleNormal="100" workbookViewId="0">
      <selection activeCell="J13" sqref="J13"/>
    </sheetView>
  </sheetViews>
  <sheetFormatPr defaultColWidth="8.85546875" defaultRowHeight="12.75" x14ac:dyDescent="0.2"/>
  <cols>
    <col min="1" max="1" width="4.7109375" style="456" customWidth="1"/>
    <col min="2" max="2" width="3.42578125" style="456" hidden="1" customWidth="1"/>
    <col min="3" max="3" width="4.28515625" style="456" customWidth="1"/>
    <col min="4" max="4" width="32.5703125" style="456" customWidth="1"/>
    <col min="5" max="5" width="11.28515625" style="456" customWidth="1"/>
    <col min="6" max="6" width="12.42578125" style="456" bestFit="1" customWidth="1"/>
    <col min="7" max="7" width="10.85546875" style="456" customWidth="1"/>
    <col min="8" max="8" width="11.5703125" style="456" bestFit="1" customWidth="1"/>
    <col min="9" max="16384" width="8.85546875" style="456"/>
  </cols>
  <sheetData>
    <row r="1" spans="2:9" ht="13.5" thickBot="1" x14ac:dyDescent="0.25"/>
    <row r="2" spans="2:9" ht="13.5" thickBot="1" x14ac:dyDescent="0.25">
      <c r="D2" s="1069" t="s">
        <v>447</v>
      </c>
      <c r="E2" s="1068"/>
      <c r="F2" s="1068"/>
      <c r="G2" s="1067"/>
    </row>
    <row r="3" spans="2:9" x14ac:dyDescent="0.2">
      <c r="D3" s="1066"/>
      <c r="E3" s="1065"/>
      <c r="F3" s="1064" t="s">
        <v>613</v>
      </c>
      <c r="G3" s="1063">
        <v>507</v>
      </c>
    </row>
    <row r="4" spans="2:9" x14ac:dyDescent="0.2">
      <c r="D4" s="1062"/>
      <c r="E4" s="1061" t="s">
        <v>377</v>
      </c>
      <c r="F4" s="1061" t="s">
        <v>380</v>
      </c>
      <c r="G4" s="1060" t="s">
        <v>504</v>
      </c>
      <c r="H4" s="460"/>
      <c r="I4" s="457"/>
    </row>
    <row r="5" spans="2:9" ht="15" x14ac:dyDescent="0.25">
      <c r="B5" s="440">
        <v>1</v>
      </c>
      <c r="D5" s="816" t="str">
        <f>IF(INDEX('Master Lookup'!$B$216:$B$222,B5)=0,"",INDEX('Master Lookup'!$B$216:$B$222,B5))</f>
        <v>Management</v>
      </c>
      <c r="E5" s="496">
        <f>IFERROR(INDEX('Master Lookup'!$D$216:$D$222,MATCH(D5,'Master Lookup'!$B$216:$B$222,0)),"")</f>
        <v>79415.232000000018</v>
      </c>
      <c r="F5" s="547">
        <f>IFERROR(INDEX('Master Lookup'!$E$216:$E$222,MATCH(D5,'Master Lookup'!$B$216:$B$222,0)),"")</f>
        <v>0.05</v>
      </c>
      <c r="G5" s="1033">
        <f>IFERROR(F5*E5,0)</f>
        <v>3970.7616000000012</v>
      </c>
      <c r="H5" s="1049"/>
    </row>
    <row r="6" spans="2:9" ht="15" x14ac:dyDescent="0.25">
      <c r="B6" s="440">
        <v>2</v>
      </c>
      <c r="D6" s="816" t="str">
        <f>IF(INDEX('Master Lookup'!$B$216:$B$222,B6)=0,"",INDEX('Master Lookup'!$B$216:$B$222,B6))</f>
        <v>Direct Care Staff</v>
      </c>
      <c r="E6" s="496">
        <f>IFERROR(INDEX('Master Lookup'!$D$216:$D$222,MATCH(D6,'Master Lookup'!$B$216:$B$222,0)),"")</f>
        <v>41600</v>
      </c>
      <c r="F6" s="547">
        <f>IFERROR(INDEX('Master Lookup'!$E$216:$E$222,MATCH(D6,'Master Lookup'!$B$216:$B$222,0)),"")</f>
        <v>0.05</v>
      </c>
      <c r="G6" s="1033">
        <f>IFERROR(F6*E6,0)</f>
        <v>2080</v>
      </c>
    </row>
    <row r="7" spans="2:9" ht="15" hidden="1" x14ac:dyDescent="0.25">
      <c r="B7" s="440">
        <v>3</v>
      </c>
      <c r="D7" s="815" t="str">
        <f>IF(INDEX('Master Lookup'!$B$216:$B$222,B7)=0,"",INDEX('Master Lookup'!$B$216:$B$222,B7))</f>
        <v/>
      </c>
      <c r="E7" s="1025"/>
      <c r="F7" s="829" t="str">
        <f>IFERROR(INDEX('Master Lookup'!$E$216:$E$222,MATCH(D7,'Master Lookup'!$B$216:$B$222,0)),"")</f>
        <v/>
      </c>
      <c r="G7" s="1031">
        <f>IFERROR(F7*E7,0)</f>
        <v>0</v>
      </c>
    </row>
    <row r="8" spans="2:9" ht="15" hidden="1" x14ac:dyDescent="0.25">
      <c r="B8" s="440">
        <v>4</v>
      </c>
      <c r="D8" s="815" t="str">
        <f>IF(INDEX('Master Lookup'!$B$216:$B$222,B8)=0,"",INDEX('Master Lookup'!$B$216:$B$222,B8))</f>
        <v/>
      </c>
      <c r="E8" s="1025"/>
      <c r="F8" s="829" t="str">
        <f>IFERROR(INDEX('Master Lookup'!$E$216:$E$222,MATCH(D8,'Master Lookup'!$B$216:$B$222,0)),"")</f>
        <v/>
      </c>
      <c r="G8" s="1031">
        <f>IFERROR(F8*E8,0)</f>
        <v>0</v>
      </c>
    </row>
    <row r="9" spans="2:9" ht="15" hidden="1" x14ac:dyDescent="0.25">
      <c r="B9" s="440">
        <v>5</v>
      </c>
      <c r="D9" s="815" t="str">
        <f>IF(INDEX('Master Lookup'!$B$216:$B$222,B9)=0,"",INDEX('Master Lookup'!$B$216:$B$222,B9))</f>
        <v/>
      </c>
      <c r="E9" s="1025"/>
      <c r="F9" s="829" t="str">
        <f>IFERROR(INDEX('Master Lookup'!$E$216:$E$222,MATCH(D9,'Master Lookup'!$B$216:$B$222,0)),"")</f>
        <v/>
      </c>
      <c r="G9" s="1031">
        <f>IFERROR(F9*E9,0)</f>
        <v>0</v>
      </c>
    </row>
    <row r="10" spans="2:9" ht="15" hidden="1" x14ac:dyDescent="0.25">
      <c r="B10" s="440">
        <v>6</v>
      </c>
      <c r="D10" s="815" t="str">
        <f>IF(INDEX('Master Lookup'!$B$216:$B$222,B10)=0,"",INDEX('Master Lookup'!$B$216:$B$222,B10))</f>
        <v/>
      </c>
      <c r="E10" s="1025"/>
      <c r="F10" s="829" t="str">
        <f>IFERROR(INDEX('Master Lookup'!$E$216:$E$222,MATCH(D10,'Master Lookup'!$B$216:$B$222,0)),"")</f>
        <v/>
      </c>
      <c r="G10" s="1031">
        <f>IFERROR(F10*E10,0)</f>
        <v>0</v>
      </c>
    </row>
    <row r="11" spans="2:9" x14ac:dyDescent="0.2">
      <c r="D11" s="860" t="s">
        <v>503</v>
      </c>
      <c r="E11" s="1022"/>
      <c r="F11" s="1030">
        <f>SUM(F5:F10)</f>
        <v>0.1</v>
      </c>
      <c r="G11" s="1028">
        <f>SUM(G5:G10)</f>
        <v>6050.7616000000016</v>
      </c>
    </row>
    <row r="12" spans="2:9" ht="15" x14ac:dyDescent="0.25">
      <c r="D12" s="822" t="s">
        <v>368</v>
      </c>
      <c r="E12" s="1022"/>
      <c r="F12" s="659">
        <f>INDEX('Master Lookup'!$C$231:$C$233,MATCH(D12,'Master Lookup'!$B$231:$B$233,0))</f>
        <v>0.27379999999999999</v>
      </c>
      <c r="G12" s="1029">
        <f>G11*F12</f>
        <v>1656.6985260800004</v>
      </c>
    </row>
    <row r="13" spans="2:9" ht="15" x14ac:dyDescent="0.25">
      <c r="D13" s="813" t="s">
        <v>596</v>
      </c>
      <c r="E13" s="1022"/>
      <c r="F13" s="1022"/>
      <c r="G13" s="1028">
        <f>SUM(G11:G12)</f>
        <v>7707.4601260800018</v>
      </c>
    </row>
    <row r="14" spans="2:9" x14ac:dyDescent="0.2">
      <c r="D14" s="856"/>
      <c r="E14" s="1022"/>
      <c r="F14" s="1022"/>
      <c r="G14" s="1027"/>
    </row>
    <row r="15" spans="2:9" ht="15" x14ac:dyDescent="0.25">
      <c r="D15" s="817" t="s">
        <v>372</v>
      </c>
      <c r="G15" s="1026"/>
    </row>
    <row r="16" spans="2:9" ht="15" x14ac:dyDescent="0.25">
      <c r="B16" s="440">
        <v>1</v>
      </c>
      <c r="D16" s="816" t="str">
        <f>IF(INDEX('Master Lookup'!$B$225:$B$229,B16)=0,"",INDEX('Master Lookup'!$B$225:$B$229,B16))</f>
        <v>Program Supplies &amp; Materials 215</v>
      </c>
      <c r="F16" s="1059">
        <f>IFERROR(INDEX('Master Lookup'!$C$225:$C$229,MATCH(D16,'Master Lookup'!$B$225:$B$229,0)),"")</f>
        <v>20.323165999999997</v>
      </c>
      <c r="G16" s="668">
        <f>IFERROR(G3*F16,0)</f>
        <v>10303.845161999998</v>
      </c>
    </row>
    <row r="17" spans="2:7" ht="15" hidden="1" x14ac:dyDescent="0.25">
      <c r="B17" s="440">
        <v>2</v>
      </c>
      <c r="D17" s="815" t="str">
        <f>IF(INDEX('Master Lookup'!$B$225:$B$229,B17)=0,"",INDEX('Master Lookup'!$B$225:$B$229,B17))</f>
        <v/>
      </c>
      <c r="E17" s="1025"/>
      <c r="F17" s="1058" t="str">
        <f>IFERROR(INDEX('Master Lookup'!$C$225:$C$229,MATCH(D17,'Master Lookup'!$B$225:$B$229,0)),"")</f>
        <v/>
      </c>
      <c r="G17" s="1024">
        <f>IFERROR(G4*F17,0)</f>
        <v>0</v>
      </c>
    </row>
    <row r="18" spans="2:7" ht="15" hidden="1" x14ac:dyDescent="0.25">
      <c r="B18" s="440">
        <v>3</v>
      </c>
      <c r="D18" s="815" t="str">
        <f>IF(INDEX('Master Lookup'!$B$225:$B$229,B18)=0,"",INDEX('Master Lookup'!$B$225:$B$229,B18))</f>
        <v/>
      </c>
      <c r="E18" s="1025"/>
      <c r="F18" s="1058" t="str">
        <f>IFERROR(INDEX('Master Lookup'!$C$225:$C$229,MATCH(D18,'Master Lookup'!$B$225:$B$229,0)),"")</f>
        <v/>
      </c>
      <c r="G18" s="1024">
        <f>IFERROR(G5*F18,0)</f>
        <v>0</v>
      </c>
    </row>
    <row r="19" spans="2:7" ht="15" hidden="1" x14ac:dyDescent="0.25">
      <c r="B19" s="440">
        <v>4</v>
      </c>
      <c r="D19" s="815" t="str">
        <f>IF(INDEX('Master Lookup'!$B$225:$B$229,B19)=0,"",INDEX('Master Lookup'!$B$225:$B$229,B19))</f>
        <v/>
      </c>
      <c r="E19" s="1025"/>
      <c r="F19" s="1058" t="str">
        <f>IFERROR(INDEX('Master Lookup'!$C$225:$C$229,MATCH(D19,'Master Lookup'!$B$225:$B$229,0)),"")</f>
        <v/>
      </c>
      <c r="G19" s="1024">
        <f>IFERROR(G6*F19,0)</f>
        <v>0</v>
      </c>
    </row>
    <row r="20" spans="2:7" ht="15" x14ac:dyDescent="0.25">
      <c r="D20" s="813" t="s">
        <v>538</v>
      </c>
      <c r="E20" s="1022"/>
      <c r="F20" s="1022"/>
      <c r="G20" s="625">
        <f>SUM(G16:G19)</f>
        <v>10303.845161999998</v>
      </c>
    </row>
    <row r="21" spans="2:7" ht="15.75" x14ac:dyDescent="0.25">
      <c r="D21" s="811"/>
      <c r="E21" s="1021"/>
      <c r="F21" s="1021"/>
      <c r="G21" s="1023"/>
    </row>
    <row r="22" spans="2:7" ht="30" x14ac:dyDescent="0.25">
      <c r="D22" s="489" t="s">
        <v>537</v>
      </c>
      <c r="E22" s="1022"/>
      <c r="F22" s="1022"/>
      <c r="G22" s="625">
        <f>SUM(G20,G13)</f>
        <v>18011.305288079999</v>
      </c>
    </row>
    <row r="23" spans="2:7" ht="15" x14ac:dyDescent="0.25">
      <c r="D23" s="809" t="s">
        <v>366</v>
      </c>
      <c r="E23" s="624">
        <f>INDEX('Master Lookup'!$C$231:$C$233,MATCH(D23,'Master Lookup'!$B$231:$B$233,0))</f>
        <v>0.12</v>
      </c>
      <c r="F23" s="1021"/>
      <c r="G23" s="1020">
        <f>G22*E23</f>
        <v>2161.3566345695999</v>
      </c>
    </row>
    <row r="24" spans="2:7" ht="15" x14ac:dyDescent="0.25">
      <c r="D24" s="807" t="s">
        <v>367</v>
      </c>
      <c r="E24" s="620">
        <f>INDEX('Master Lookup'!$C$231:$C$233,MATCH(D24,'Master Lookup'!$B$231:$B$233,0))</f>
        <v>2.7100379121522307E-2</v>
      </c>
      <c r="F24" s="1057"/>
      <c r="G24" s="1056">
        <f>(G22+G23)*E24</f>
        <v>546.68678599410123</v>
      </c>
    </row>
    <row r="25" spans="2:7" ht="15.75" thickBot="1" x14ac:dyDescent="0.3">
      <c r="D25" s="1055" t="s">
        <v>499</v>
      </c>
      <c r="E25" s="1054"/>
      <c r="F25" s="1054"/>
      <c r="G25" s="1053">
        <f>SUM(G22:G24)</f>
        <v>20719.348708643698</v>
      </c>
    </row>
    <row r="26" spans="2:7" ht="13.5" thickBot="1" x14ac:dyDescent="0.25">
      <c r="D26" s="1052" t="s">
        <v>612</v>
      </c>
      <c r="E26" s="1051"/>
      <c r="F26" s="1051"/>
      <c r="G26" s="1050">
        <f>ROUND(G25/G3,2)</f>
        <v>40.869999999999997</v>
      </c>
    </row>
    <row r="27" spans="2:7" x14ac:dyDescent="0.2">
      <c r="G27" s="1049"/>
    </row>
    <row r="28" spans="2:7" x14ac:dyDescent="0.2">
      <c r="G28" s="460"/>
    </row>
  </sheetData>
  <mergeCells count="1">
    <mergeCell ref="D2:G2"/>
  </mergeCell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66290-D7F3-4CDD-A9B7-A45D7344747A}">
  <sheetPr>
    <pageSetUpPr fitToPage="1"/>
  </sheetPr>
  <dimension ref="B2:AU200"/>
  <sheetViews>
    <sheetView zoomScale="90" zoomScaleNormal="90" workbookViewId="0">
      <selection activeCell="J13" sqref="J13"/>
    </sheetView>
  </sheetViews>
  <sheetFormatPr defaultRowHeight="12.75" x14ac:dyDescent="0.2"/>
  <cols>
    <col min="1" max="1" width="9.140625" style="456"/>
    <col min="2" max="2" width="10.140625" style="456" bestFit="1" customWidth="1"/>
    <col min="3" max="3" width="0" style="456" hidden="1" customWidth="1"/>
    <col min="4" max="4" width="9.140625" style="456"/>
    <col min="5" max="5" width="0" style="456" hidden="1" customWidth="1"/>
    <col min="6" max="6" width="9.140625" style="456"/>
    <col min="7" max="7" width="0" style="456" hidden="1" customWidth="1"/>
    <col min="8" max="8" width="33.140625" style="456" customWidth="1"/>
    <col min="9" max="9" width="8.85546875" style="456" bestFit="1" customWidth="1"/>
    <col min="10" max="10" width="10.28515625" style="456" bestFit="1" customWidth="1"/>
    <col min="11" max="11" width="10.5703125" style="456" customWidth="1"/>
    <col min="12" max="12" width="9.140625" style="456"/>
    <col min="13" max="13" width="33.140625" style="456" customWidth="1"/>
    <col min="14" max="14" width="8.85546875" style="456" bestFit="1" customWidth="1"/>
    <col min="15" max="15" width="10.28515625" style="456" bestFit="1" customWidth="1"/>
    <col min="16" max="16" width="11" style="456" customWidth="1"/>
    <col min="17" max="17" width="9.28515625" style="456" customWidth="1"/>
    <col min="18" max="18" width="34.7109375" style="456" customWidth="1"/>
    <col min="19" max="22" width="11" style="456" customWidth="1"/>
    <col min="23" max="23" width="33" style="456" customWidth="1"/>
    <col min="24" max="27" width="11" style="456" customWidth="1"/>
    <col min="28" max="28" width="34.140625" style="456" customWidth="1"/>
    <col min="29" max="29" width="8.85546875" style="456" bestFit="1" customWidth="1"/>
    <col min="30" max="32" width="11" style="456" customWidth="1"/>
    <col min="33" max="33" width="32.7109375" style="456" customWidth="1"/>
    <col min="34" max="37" width="11" style="456" customWidth="1"/>
    <col min="38" max="38" width="32.5703125" style="456" customWidth="1"/>
    <col min="39" max="42" width="11" style="456" customWidth="1"/>
    <col min="43" max="43" width="32.5703125" style="456" customWidth="1"/>
    <col min="44" max="46" width="11" style="456" customWidth="1"/>
    <col min="47" max="47" width="9.85546875" style="456" customWidth="1"/>
    <col min="48" max="48" width="11.5703125" style="456" customWidth="1"/>
    <col min="49" max="267" width="9.140625" style="456"/>
    <col min="268" max="268" width="22.140625" style="456" bestFit="1" customWidth="1"/>
    <col min="269" max="269" width="6.85546875" style="456" customWidth="1"/>
    <col min="270" max="270" width="7.140625" style="456" customWidth="1"/>
    <col min="271" max="271" width="10.42578125" style="456" customWidth="1"/>
    <col min="272" max="276" width="9.140625" style="456"/>
    <col min="277" max="277" width="22.140625" style="456" bestFit="1" customWidth="1"/>
    <col min="278" max="278" width="5.140625" style="456" bestFit="1" customWidth="1"/>
    <col min="279" max="279" width="7.140625" style="456" customWidth="1"/>
    <col min="280" max="280" width="11.42578125" style="456" customWidth="1"/>
    <col min="281" max="283" width="9.140625" style="456"/>
    <col min="284" max="284" width="9.85546875" style="456" customWidth="1"/>
    <col min="285" max="285" width="9.140625" style="456"/>
    <col min="286" max="286" width="22.28515625" style="456" customWidth="1"/>
    <col min="287" max="287" width="5.140625" style="456" bestFit="1" customWidth="1"/>
    <col min="288" max="288" width="6.85546875" style="456" customWidth="1"/>
    <col min="289" max="289" width="8.140625" style="456" bestFit="1" customWidth="1"/>
    <col min="290" max="290" width="9.140625" style="456"/>
    <col min="291" max="291" width="9.42578125" style="456" bestFit="1" customWidth="1"/>
    <col min="292" max="292" width="9.140625" style="456"/>
    <col min="293" max="293" width="10.5703125" style="456" customWidth="1"/>
    <col min="294" max="294" width="9.140625" style="456"/>
    <col min="295" max="295" width="22.140625" style="456" bestFit="1" customWidth="1"/>
    <col min="296" max="301" width="9.140625" style="456"/>
    <col min="302" max="302" width="38.7109375" style="456" customWidth="1"/>
    <col min="303" max="303" width="28" style="456" bestFit="1" customWidth="1"/>
    <col min="304" max="304" width="11.5703125" style="456" customWidth="1"/>
    <col min="305" max="523" width="9.140625" style="456"/>
    <col min="524" max="524" width="22.140625" style="456" bestFit="1" customWidth="1"/>
    <col min="525" max="525" width="6.85546875" style="456" customWidth="1"/>
    <col min="526" max="526" width="7.140625" style="456" customWidth="1"/>
    <col min="527" max="527" width="10.42578125" style="456" customWidth="1"/>
    <col min="528" max="532" width="9.140625" style="456"/>
    <col min="533" max="533" width="22.140625" style="456" bestFit="1" customWidth="1"/>
    <col min="534" max="534" width="5.140625" style="456" bestFit="1" customWidth="1"/>
    <col min="535" max="535" width="7.140625" style="456" customWidth="1"/>
    <col min="536" max="536" width="11.42578125" style="456" customWidth="1"/>
    <col min="537" max="539" width="9.140625" style="456"/>
    <col min="540" max="540" width="9.85546875" style="456" customWidth="1"/>
    <col min="541" max="541" width="9.140625" style="456"/>
    <col min="542" max="542" width="22.28515625" style="456" customWidth="1"/>
    <col min="543" max="543" width="5.140625" style="456" bestFit="1" customWidth="1"/>
    <col min="544" max="544" width="6.85546875" style="456" customWidth="1"/>
    <col min="545" max="545" width="8.140625" style="456" bestFit="1" customWidth="1"/>
    <col min="546" max="546" width="9.140625" style="456"/>
    <col min="547" max="547" width="9.42578125" style="456" bestFit="1" customWidth="1"/>
    <col min="548" max="548" width="9.140625" style="456"/>
    <col min="549" max="549" width="10.5703125" style="456" customWidth="1"/>
    <col min="550" max="550" width="9.140625" style="456"/>
    <col min="551" max="551" width="22.140625" style="456" bestFit="1" customWidth="1"/>
    <col min="552" max="557" width="9.140625" style="456"/>
    <col min="558" max="558" width="38.7109375" style="456" customWidth="1"/>
    <col min="559" max="559" width="28" style="456" bestFit="1" customWidth="1"/>
    <col min="560" max="560" width="11.5703125" style="456" customWidth="1"/>
    <col min="561" max="779" width="9.140625" style="456"/>
    <col min="780" max="780" width="22.140625" style="456" bestFit="1" customWidth="1"/>
    <col min="781" max="781" width="6.85546875" style="456" customWidth="1"/>
    <col min="782" max="782" width="7.140625" style="456" customWidth="1"/>
    <col min="783" max="783" width="10.42578125" style="456" customWidth="1"/>
    <col min="784" max="788" width="9.140625" style="456"/>
    <col min="789" max="789" width="22.140625" style="456" bestFit="1" customWidth="1"/>
    <col min="790" max="790" width="5.140625" style="456" bestFit="1" customWidth="1"/>
    <col min="791" max="791" width="7.140625" style="456" customWidth="1"/>
    <col min="792" max="792" width="11.42578125" style="456" customWidth="1"/>
    <col min="793" max="795" width="9.140625" style="456"/>
    <col min="796" max="796" width="9.85546875" style="456" customWidth="1"/>
    <col min="797" max="797" width="9.140625" style="456"/>
    <col min="798" max="798" width="22.28515625" style="456" customWidth="1"/>
    <col min="799" max="799" width="5.140625" style="456" bestFit="1" customWidth="1"/>
    <col min="800" max="800" width="6.85546875" style="456" customWidth="1"/>
    <col min="801" max="801" width="8.140625" style="456" bestFit="1" customWidth="1"/>
    <col min="802" max="802" width="9.140625" style="456"/>
    <col min="803" max="803" width="9.42578125" style="456" bestFit="1" customWidth="1"/>
    <col min="804" max="804" width="9.140625" style="456"/>
    <col min="805" max="805" width="10.5703125" style="456" customWidth="1"/>
    <col min="806" max="806" width="9.140625" style="456"/>
    <col min="807" max="807" width="22.140625" style="456" bestFit="1" customWidth="1"/>
    <col min="808" max="813" width="9.140625" style="456"/>
    <col min="814" max="814" width="38.7109375" style="456" customWidth="1"/>
    <col min="815" max="815" width="28" style="456" bestFit="1" customWidth="1"/>
    <col min="816" max="816" width="11.5703125" style="456" customWidth="1"/>
    <col min="817" max="1035" width="9.140625" style="456"/>
    <col min="1036" max="1036" width="22.140625" style="456" bestFit="1" customWidth="1"/>
    <col min="1037" max="1037" width="6.85546875" style="456" customWidth="1"/>
    <col min="1038" max="1038" width="7.140625" style="456" customWidth="1"/>
    <col min="1039" max="1039" width="10.42578125" style="456" customWidth="1"/>
    <col min="1040" max="1044" width="9.140625" style="456"/>
    <col min="1045" max="1045" width="22.140625" style="456" bestFit="1" customWidth="1"/>
    <col min="1046" max="1046" width="5.140625" style="456" bestFit="1" customWidth="1"/>
    <col min="1047" max="1047" width="7.140625" style="456" customWidth="1"/>
    <col min="1048" max="1048" width="11.42578125" style="456" customWidth="1"/>
    <col min="1049" max="1051" width="9.140625" style="456"/>
    <col min="1052" max="1052" width="9.85546875" style="456" customWidth="1"/>
    <col min="1053" max="1053" width="9.140625" style="456"/>
    <col min="1054" max="1054" width="22.28515625" style="456" customWidth="1"/>
    <col min="1055" max="1055" width="5.140625" style="456" bestFit="1" customWidth="1"/>
    <col min="1056" max="1056" width="6.85546875" style="456" customWidth="1"/>
    <col min="1057" max="1057" width="8.140625" style="456" bestFit="1" customWidth="1"/>
    <col min="1058" max="1058" width="9.140625" style="456"/>
    <col min="1059" max="1059" width="9.42578125" style="456" bestFit="1" customWidth="1"/>
    <col min="1060" max="1060" width="9.140625" style="456"/>
    <col min="1061" max="1061" width="10.5703125" style="456" customWidth="1"/>
    <col min="1062" max="1062" width="9.140625" style="456"/>
    <col min="1063" max="1063" width="22.140625" style="456" bestFit="1" customWidth="1"/>
    <col min="1064" max="1069" width="9.140625" style="456"/>
    <col min="1070" max="1070" width="38.7109375" style="456" customWidth="1"/>
    <col min="1071" max="1071" width="28" style="456" bestFit="1" customWidth="1"/>
    <col min="1072" max="1072" width="11.5703125" style="456" customWidth="1"/>
    <col min="1073" max="1291" width="9.140625" style="456"/>
    <col min="1292" max="1292" width="22.140625" style="456" bestFit="1" customWidth="1"/>
    <col min="1293" max="1293" width="6.85546875" style="456" customWidth="1"/>
    <col min="1294" max="1294" width="7.140625" style="456" customWidth="1"/>
    <col min="1295" max="1295" width="10.42578125" style="456" customWidth="1"/>
    <col min="1296" max="1300" width="9.140625" style="456"/>
    <col min="1301" max="1301" width="22.140625" style="456" bestFit="1" customWidth="1"/>
    <col min="1302" max="1302" width="5.140625" style="456" bestFit="1" customWidth="1"/>
    <col min="1303" max="1303" width="7.140625" style="456" customWidth="1"/>
    <col min="1304" max="1304" width="11.42578125" style="456" customWidth="1"/>
    <col min="1305" max="1307" width="9.140625" style="456"/>
    <col min="1308" max="1308" width="9.85546875" style="456" customWidth="1"/>
    <col min="1309" max="1309" width="9.140625" style="456"/>
    <col min="1310" max="1310" width="22.28515625" style="456" customWidth="1"/>
    <col min="1311" max="1311" width="5.140625" style="456" bestFit="1" customWidth="1"/>
    <col min="1312" max="1312" width="6.85546875" style="456" customWidth="1"/>
    <col min="1313" max="1313" width="8.140625" style="456" bestFit="1" customWidth="1"/>
    <col min="1314" max="1314" width="9.140625" style="456"/>
    <col min="1315" max="1315" width="9.42578125" style="456" bestFit="1" customWidth="1"/>
    <col min="1316" max="1316" width="9.140625" style="456"/>
    <col min="1317" max="1317" width="10.5703125" style="456" customWidth="1"/>
    <col min="1318" max="1318" width="9.140625" style="456"/>
    <col min="1319" max="1319" width="22.140625" style="456" bestFit="1" customWidth="1"/>
    <col min="1320" max="1325" width="9.140625" style="456"/>
    <col min="1326" max="1326" width="38.7109375" style="456" customWidth="1"/>
    <col min="1327" max="1327" width="28" style="456" bestFit="1" customWidth="1"/>
    <col min="1328" max="1328" width="11.5703125" style="456" customWidth="1"/>
    <col min="1329" max="1547" width="9.140625" style="456"/>
    <col min="1548" max="1548" width="22.140625" style="456" bestFit="1" customWidth="1"/>
    <col min="1549" max="1549" width="6.85546875" style="456" customWidth="1"/>
    <col min="1550" max="1550" width="7.140625" style="456" customWidth="1"/>
    <col min="1551" max="1551" width="10.42578125" style="456" customWidth="1"/>
    <col min="1552" max="1556" width="9.140625" style="456"/>
    <col min="1557" max="1557" width="22.140625" style="456" bestFit="1" customWidth="1"/>
    <col min="1558" max="1558" width="5.140625" style="456" bestFit="1" customWidth="1"/>
    <col min="1559" max="1559" width="7.140625" style="456" customWidth="1"/>
    <col min="1560" max="1560" width="11.42578125" style="456" customWidth="1"/>
    <col min="1561" max="1563" width="9.140625" style="456"/>
    <col min="1564" max="1564" width="9.85546875" style="456" customWidth="1"/>
    <col min="1565" max="1565" width="9.140625" style="456"/>
    <col min="1566" max="1566" width="22.28515625" style="456" customWidth="1"/>
    <col min="1567" max="1567" width="5.140625" style="456" bestFit="1" customWidth="1"/>
    <col min="1568" max="1568" width="6.85546875" style="456" customWidth="1"/>
    <col min="1569" max="1569" width="8.140625" style="456" bestFit="1" customWidth="1"/>
    <col min="1570" max="1570" width="9.140625" style="456"/>
    <col min="1571" max="1571" width="9.42578125" style="456" bestFit="1" customWidth="1"/>
    <col min="1572" max="1572" width="9.140625" style="456"/>
    <col min="1573" max="1573" width="10.5703125" style="456" customWidth="1"/>
    <col min="1574" max="1574" width="9.140625" style="456"/>
    <col min="1575" max="1575" width="22.140625" style="456" bestFit="1" customWidth="1"/>
    <col min="1576" max="1581" width="9.140625" style="456"/>
    <col min="1582" max="1582" width="38.7109375" style="456" customWidth="1"/>
    <col min="1583" max="1583" width="28" style="456" bestFit="1" customWidth="1"/>
    <col min="1584" max="1584" width="11.5703125" style="456" customWidth="1"/>
    <col min="1585" max="1803" width="9.140625" style="456"/>
    <col min="1804" max="1804" width="22.140625" style="456" bestFit="1" customWidth="1"/>
    <col min="1805" max="1805" width="6.85546875" style="456" customWidth="1"/>
    <col min="1806" max="1806" width="7.140625" style="456" customWidth="1"/>
    <col min="1807" max="1807" width="10.42578125" style="456" customWidth="1"/>
    <col min="1808" max="1812" width="9.140625" style="456"/>
    <col min="1813" max="1813" width="22.140625" style="456" bestFit="1" customWidth="1"/>
    <col min="1814" max="1814" width="5.140625" style="456" bestFit="1" customWidth="1"/>
    <col min="1815" max="1815" width="7.140625" style="456" customWidth="1"/>
    <col min="1816" max="1816" width="11.42578125" style="456" customWidth="1"/>
    <col min="1817" max="1819" width="9.140625" style="456"/>
    <col min="1820" max="1820" width="9.85546875" style="456" customWidth="1"/>
    <col min="1821" max="1821" width="9.140625" style="456"/>
    <col min="1822" max="1822" width="22.28515625" style="456" customWidth="1"/>
    <col min="1823" max="1823" width="5.140625" style="456" bestFit="1" customWidth="1"/>
    <col min="1824" max="1824" width="6.85546875" style="456" customWidth="1"/>
    <col min="1825" max="1825" width="8.140625" style="456" bestFit="1" customWidth="1"/>
    <col min="1826" max="1826" width="9.140625" style="456"/>
    <col min="1827" max="1827" width="9.42578125" style="456" bestFit="1" customWidth="1"/>
    <col min="1828" max="1828" width="9.140625" style="456"/>
    <col min="1829" max="1829" width="10.5703125" style="456" customWidth="1"/>
    <col min="1830" max="1830" width="9.140625" style="456"/>
    <col min="1831" max="1831" width="22.140625" style="456" bestFit="1" customWidth="1"/>
    <col min="1832" max="1837" width="9.140625" style="456"/>
    <col min="1838" max="1838" width="38.7109375" style="456" customWidth="1"/>
    <col min="1839" max="1839" width="28" style="456" bestFit="1" customWidth="1"/>
    <col min="1840" max="1840" width="11.5703125" style="456" customWidth="1"/>
    <col min="1841" max="2059" width="9.140625" style="456"/>
    <col min="2060" max="2060" width="22.140625" style="456" bestFit="1" customWidth="1"/>
    <col min="2061" max="2061" width="6.85546875" style="456" customWidth="1"/>
    <col min="2062" max="2062" width="7.140625" style="456" customWidth="1"/>
    <col min="2063" max="2063" width="10.42578125" style="456" customWidth="1"/>
    <col min="2064" max="2068" width="9.140625" style="456"/>
    <col min="2069" max="2069" width="22.140625" style="456" bestFit="1" customWidth="1"/>
    <col min="2070" max="2070" width="5.140625" style="456" bestFit="1" customWidth="1"/>
    <col min="2071" max="2071" width="7.140625" style="456" customWidth="1"/>
    <col min="2072" max="2072" width="11.42578125" style="456" customWidth="1"/>
    <col min="2073" max="2075" width="9.140625" style="456"/>
    <col min="2076" max="2076" width="9.85546875" style="456" customWidth="1"/>
    <col min="2077" max="2077" width="9.140625" style="456"/>
    <col min="2078" max="2078" width="22.28515625" style="456" customWidth="1"/>
    <col min="2079" max="2079" width="5.140625" style="456" bestFit="1" customWidth="1"/>
    <col min="2080" max="2080" width="6.85546875" style="456" customWidth="1"/>
    <col min="2081" max="2081" width="8.140625" style="456" bestFit="1" customWidth="1"/>
    <col min="2082" max="2082" width="9.140625" style="456"/>
    <col min="2083" max="2083" width="9.42578125" style="456" bestFit="1" customWidth="1"/>
    <col min="2084" max="2084" width="9.140625" style="456"/>
    <col min="2085" max="2085" width="10.5703125" style="456" customWidth="1"/>
    <col min="2086" max="2086" width="9.140625" style="456"/>
    <col min="2087" max="2087" width="22.140625" style="456" bestFit="1" customWidth="1"/>
    <col min="2088" max="2093" width="9.140625" style="456"/>
    <col min="2094" max="2094" width="38.7109375" style="456" customWidth="1"/>
    <col min="2095" max="2095" width="28" style="456" bestFit="1" customWidth="1"/>
    <col min="2096" max="2096" width="11.5703125" style="456" customWidth="1"/>
    <col min="2097" max="2315" width="9.140625" style="456"/>
    <col min="2316" max="2316" width="22.140625" style="456" bestFit="1" customWidth="1"/>
    <col min="2317" max="2317" width="6.85546875" style="456" customWidth="1"/>
    <col min="2318" max="2318" width="7.140625" style="456" customWidth="1"/>
    <col min="2319" max="2319" width="10.42578125" style="456" customWidth="1"/>
    <col min="2320" max="2324" width="9.140625" style="456"/>
    <col min="2325" max="2325" width="22.140625" style="456" bestFit="1" customWidth="1"/>
    <col min="2326" max="2326" width="5.140625" style="456" bestFit="1" customWidth="1"/>
    <col min="2327" max="2327" width="7.140625" style="456" customWidth="1"/>
    <col min="2328" max="2328" width="11.42578125" style="456" customWidth="1"/>
    <col min="2329" max="2331" width="9.140625" style="456"/>
    <col min="2332" max="2332" width="9.85546875" style="456" customWidth="1"/>
    <col min="2333" max="2333" width="9.140625" style="456"/>
    <col min="2334" max="2334" width="22.28515625" style="456" customWidth="1"/>
    <col min="2335" max="2335" width="5.140625" style="456" bestFit="1" customWidth="1"/>
    <col min="2336" max="2336" width="6.85546875" style="456" customWidth="1"/>
    <col min="2337" max="2337" width="8.140625" style="456" bestFit="1" customWidth="1"/>
    <col min="2338" max="2338" width="9.140625" style="456"/>
    <col min="2339" max="2339" width="9.42578125" style="456" bestFit="1" customWidth="1"/>
    <col min="2340" max="2340" width="9.140625" style="456"/>
    <col min="2341" max="2341" width="10.5703125" style="456" customWidth="1"/>
    <col min="2342" max="2342" width="9.140625" style="456"/>
    <col min="2343" max="2343" width="22.140625" style="456" bestFit="1" customWidth="1"/>
    <col min="2344" max="2349" width="9.140625" style="456"/>
    <col min="2350" max="2350" width="38.7109375" style="456" customWidth="1"/>
    <col min="2351" max="2351" width="28" style="456" bestFit="1" customWidth="1"/>
    <col min="2352" max="2352" width="11.5703125" style="456" customWidth="1"/>
    <col min="2353" max="2571" width="9.140625" style="456"/>
    <col min="2572" max="2572" width="22.140625" style="456" bestFit="1" customWidth="1"/>
    <col min="2573" max="2573" width="6.85546875" style="456" customWidth="1"/>
    <col min="2574" max="2574" width="7.140625" style="456" customWidth="1"/>
    <col min="2575" max="2575" width="10.42578125" style="456" customWidth="1"/>
    <col min="2576" max="2580" width="9.140625" style="456"/>
    <col min="2581" max="2581" width="22.140625" style="456" bestFit="1" customWidth="1"/>
    <col min="2582" max="2582" width="5.140625" style="456" bestFit="1" customWidth="1"/>
    <col min="2583" max="2583" width="7.140625" style="456" customWidth="1"/>
    <col min="2584" max="2584" width="11.42578125" style="456" customWidth="1"/>
    <col min="2585" max="2587" width="9.140625" style="456"/>
    <col min="2588" max="2588" width="9.85546875" style="456" customWidth="1"/>
    <col min="2589" max="2589" width="9.140625" style="456"/>
    <col min="2590" max="2590" width="22.28515625" style="456" customWidth="1"/>
    <col min="2591" max="2591" width="5.140625" style="456" bestFit="1" customWidth="1"/>
    <col min="2592" max="2592" width="6.85546875" style="456" customWidth="1"/>
    <col min="2593" max="2593" width="8.140625" style="456" bestFit="1" customWidth="1"/>
    <col min="2594" max="2594" width="9.140625" style="456"/>
    <col min="2595" max="2595" width="9.42578125" style="456" bestFit="1" customWidth="1"/>
    <col min="2596" max="2596" width="9.140625" style="456"/>
    <col min="2597" max="2597" width="10.5703125" style="456" customWidth="1"/>
    <col min="2598" max="2598" width="9.140625" style="456"/>
    <col min="2599" max="2599" width="22.140625" style="456" bestFit="1" customWidth="1"/>
    <col min="2600" max="2605" width="9.140625" style="456"/>
    <col min="2606" max="2606" width="38.7109375" style="456" customWidth="1"/>
    <col min="2607" max="2607" width="28" style="456" bestFit="1" customWidth="1"/>
    <col min="2608" max="2608" width="11.5703125" style="456" customWidth="1"/>
    <col min="2609" max="2827" width="9.140625" style="456"/>
    <col min="2828" max="2828" width="22.140625" style="456" bestFit="1" customWidth="1"/>
    <col min="2829" max="2829" width="6.85546875" style="456" customWidth="1"/>
    <col min="2830" max="2830" width="7.140625" style="456" customWidth="1"/>
    <col min="2831" max="2831" width="10.42578125" style="456" customWidth="1"/>
    <col min="2832" max="2836" width="9.140625" style="456"/>
    <col min="2837" max="2837" width="22.140625" style="456" bestFit="1" customWidth="1"/>
    <col min="2838" max="2838" width="5.140625" style="456" bestFit="1" customWidth="1"/>
    <col min="2839" max="2839" width="7.140625" style="456" customWidth="1"/>
    <col min="2840" max="2840" width="11.42578125" style="456" customWidth="1"/>
    <col min="2841" max="2843" width="9.140625" style="456"/>
    <col min="2844" max="2844" width="9.85546875" style="456" customWidth="1"/>
    <col min="2845" max="2845" width="9.140625" style="456"/>
    <col min="2846" max="2846" width="22.28515625" style="456" customWidth="1"/>
    <col min="2847" max="2847" width="5.140625" style="456" bestFit="1" customWidth="1"/>
    <col min="2848" max="2848" width="6.85546875" style="456" customWidth="1"/>
    <col min="2849" max="2849" width="8.140625" style="456" bestFit="1" customWidth="1"/>
    <col min="2850" max="2850" width="9.140625" style="456"/>
    <col min="2851" max="2851" width="9.42578125" style="456" bestFit="1" customWidth="1"/>
    <col min="2852" max="2852" width="9.140625" style="456"/>
    <col min="2853" max="2853" width="10.5703125" style="456" customWidth="1"/>
    <col min="2854" max="2854" width="9.140625" style="456"/>
    <col min="2855" max="2855" width="22.140625" style="456" bestFit="1" customWidth="1"/>
    <col min="2856" max="2861" width="9.140625" style="456"/>
    <col min="2862" max="2862" width="38.7109375" style="456" customWidth="1"/>
    <col min="2863" max="2863" width="28" style="456" bestFit="1" customWidth="1"/>
    <col min="2864" max="2864" width="11.5703125" style="456" customWidth="1"/>
    <col min="2865" max="3083" width="9.140625" style="456"/>
    <col min="3084" max="3084" width="22.140625" style="456" bestFit="1" customWidth="1"/>
    <col min="3085" max="3085" width="6.85546875" style="456" customWidth="1"/>
    <col min="3086" max="3086" width="7.140625" style="456" customWidth="1"/>
    <col min="3087" max="3087" width="10.42578125" style="456" customWidth="1"/>
    <col min="3088" max="3092" width="9.140625" style="456"/>
    <col min="3093" max="3093" width="22.140625" style="456" bestFit="1" customWidth="1"/>
    <col min="3094" max="3094" width="5.140625" style="456" bestFit="1" customWidth="1"/>
    <col min="3095" max="3095" width="7.140625" style="456" customWidth="1"/>
    <col min="3096" max="3096" width="11.42578125" style="456" customWidth="1"/>
    <col min="3097" max="3099" width="9.140625" style="456"/>
    <col min="3100" max="3100" width="9.85546875" style="456" customWidth="1"/>
    <col min="3101" max="3101" width="9.140625" style="456"/>
    <col min="3102" max="3102" width="22.28515625" style="456" customWidth="1"/>
    <col min="3103" max="3103" width="5.140625" style="456" bestFit="1" customWidth="1"/>
    <col min="3104" max="3104" width="6.85546875" style="456" customWidth="1"/>
    <col min="3105" max="3105" width="8.140625" style="456" bestFit="1" customWidth="1"/>
    <col min="3106" max="3106" width="9.140625" style="456"/>
    <col min="3107" max="3107" width="9.42578125" style="456" bestFit="1" customWidth="1"/>
    <col min="3108" max="3108" width="9.140625" style="456"/>
    <col min="3109" max="3109" width="10.5703125" style="456" customWidth="1"/>
    <col min="3110" max="3110" width="9.140625" style="456"/>
    <col min="3111" max="3111" width="22.140625" style="456" bestFit="1" customWidth="1"/>
    <col min="3112" max="3117" width="9.140625" style="456"/>
    <col min="3118" max="3118" width="38.7109375" style="456" customWidth="1"/>
    <col min="3119" max="3119" width="28" style="456" bestFit="1" customWidth="1"/>
    <col min="3120" max="3120" width="11.5703125" style="456" customWidth="1"/>
    <col min="3121" max="3339" width="9.140625" style="456"/>
    <col min="3340" max="3340" width="22.140625" style="456" bestFit="1" customWidth="1"/>
    <col min="3341" max="3341" width="6.85546875" style="456" customWidth="1"/>
    <col min="3342" max="3342" width="7.140625" style="456" customWidth="1"/>
    <col min="3343" max="3343" width="10.42578125" style="456" customWidth="1"/>
    <col min="3344" max="3348" width="9.140625" style="456"/>
    <col min="3349" max="3349" width="22.140625" style="456" bestFit="1" customWidth="1"/>
    <col min="3350" max="3350" width="5.140625" style="456" bestFit="1" customWidth="1"/>
    <col min="3351" max="3351" width="7.140625" style="456" customWidth="1"/>
    <col min="3352" max="3352" width="11.42578125" style="456" customWidth="1"/>
    <col min="3353" max="3355" width="9.140625" style="456"/>
    <col min="3356" max="3356" width="9.85546875" style="456" customWidth="1"/>
    <col min="3357" max="3357" width="9.140625" style="456"/>
    <col min="3358" max="3358" width="22.28515625" style="456" customWidth="1"/>
    <col min="3359" max="3359" width="5.140625" style="456" bestFit="1" customWidth="1"/>
    <col min="3360" max="3360" width="6.85546875" style="456" customWidth="1"/>
    <col min="3361" max="3361" width="8.140625" style="456" bestFit="1" customWidth="1"/>
    <col min="3362" max="3362" width="9.140625" style="456"/>
    <col min="3363" max="3363" width="9.42578125" style="456" bestFit="1" customWidth="1"/>
    <col min="3364" max="3364" width="9.140625" style="456"/>
    <col min="3365" max="3365" width="10.5703125" style="456" customWidth="1"/>
    <col min="3366" max="3366" width="9.140625" style="456"/>
    <col min="3367" max="3367" width="22.140625" style="456" bestFit="1" customWidth="1"/>
    <col min="3368" max="3373" width="9.140625" style="456"/>
    <col min="3374" max="3374" width="38.7109375" style="456" customWidth="1"/>
    <col min="3375" max="3375" width="28" style="456" bestFit="1" customWidth="1"/>
    <col min="3376" max="3376" width="11.5703125" style="456" customWidth="1"/>
    <col min="3377" max="3595" width="9.140625" style="456"/>
    <col min="3596" max="3596" width="22.140625" style="456" bestFit="1" customWidth="1"/>
    <col min="3597" max="3597" width="6.85546875" style="456" customWidth="1"/>
    <col min="3598" max="3598" width="7.140625" style="456" customWidth="1"/>
    <col min="3599" max="3599" width="10.42578125" style="456" customWidth="1"/>
    <col min="3600" max="3604" width="9.140625" style="456"/>
    <col min="3605" max="3605" width="22.140625" style="456" bestFit="1" customWidth="1"/>
    <col min="3606" max="3606" width="5.140625" style="456" bestFit="1" customWidth="1"/>
    <col min="3607" max="3607" width="7.140625" style="456" customWidth="1"/>
    <col min="3608" max="3608" width="11.42578125" style="456" customWidth="1"/>
    <col min="3609" max="3611" width="9.140625" style="456"/>
    <col min="3612" max="3612" width="9.85546875" style="456" customWidth="1"/>
    <col min="3613" max="3613" width="9.140625" style="456"/>
    <col min="3614" max="3614" width="22.28515625" style="456" customWidth="1"/>
    <col min="3615" max="3615" width="5.140625" style="456" bestFit="1" customWidth="1"/>
    <col min="3616" max="3616" width="6.85546875" style="456" customWidth="1"/>
    <col min="3617" max="3617" width="8.140625" style="456" bestFit="1" customWidth="1"/>
    <col min="3618" max="3618" width="9.140625" style="456"/>
    <col min="3619" max="3619" width="9.42578125" style="456" bestFit="1" customWidth="1"/>
    <col min="3620" max="3620" width="9.140625" style="456"/>
    <col min="3621" max="3621" width="10.5703125" style="456" customWidth="1"/>
    <col min="3622" max="3622" width="9.140625" style="456"/>
    <col min="3623" max="3623" width="22.140625" style="456" bestFit="1" customWidth="1"/>
    <col min="3624" max="3629" width="9.140625" style="456"/>
    <col min="3630" max="3630" width="38.7109375" style="456" customWidth="1"/>
    <col min="3631" max="3631" width="28" style="456" bestFit="1" customWidth="1"/>
    <col min="3632" max="3632" width="11.5703125" style="456" customWidth="1"/>
    <col min="3633" max="3851" width="9.140625" style="456"/>
    <col min="3852" max="3852" width="22.140625" style="456" bestFit="1" customWidth="1"/>
    <col min="3853" max="3853" width="6.85546875" style="456" customWidth="1"/>
    <col min="3854" max="3854" width="7.140625" style="456" customWidth="1"/>
    <col min="3855" max="3855" width="10.42578125" style="456" customWidth="1"/>
    <col min="3856" max="3860" width="9.140625" style="456"/>
    <col min="3861" max="3861" width="22.140625" style="456" bestFit="1" customWidth="1"/>
    <col min="3862" max="3862" width="5.140625" style="456" bestFit="1" customWidth="1"/>
    <col min="3863" max="3863" width="7.140625" style="456" customWidth="1"/>
    <col min="3864" max="3864" width="11.42578125" style="456" customWidth="1"/>
    <col min="3865" max="3867" width="9.140625" style="456"/>
    <col min="3868" max="3868" width="9.85546875" style="456" customWidth="1"/>
    <col min="3869" max="3869" width="9.140625" style="456"/>
    <col min="3870" max="3870" width="22.28515625" style="456" customWidth="1"/>
    <col min="3871" max="3871" width="5.140625" style="456" bestFit="1" customWidth="1"/>
    <col min="3872" max="3872" width="6.85546875" style="456" customWidth="1"/>
    <col min="3873" max="3873" width="8.140625" style="456" bestFit="1" customWidth="1"/>
    <col min="3874" max="3874" width="9.140625" style="456"/>
    <col min="3875" max="3875" width="9.42578125" style="456" bestFit="1" customWidth="1"/>
    <col min="3876" max="3876" width="9.140625" style="456"/>
    <col min="3877" max="3877" width="10.5703125" style="456" customWidth="1"/>
    <col min="3878" max="3878" width="9.140625" style="456"/>
    <col min="3879" max="3879" width="22.140625" style="456" bestFit="1" customWidth="1"/>
    <col min="3880" max="3885" width="9.140625" style="456"/>
    <col min="3886" max="3886" width="38.7109375" style="456" customWidth="1"/>
    <col min="3887" max="3887" width="28" style="456" bestFit="1" customWidth="1"/>
    <col min="3888" max="3888" width="11.5703125" style="456" customWidth="1"/>
    <col min="3889" max="4107" width="9.140625" style="456"/>
    <col min="4108" max="4108" width="22.140625" style="456" bestFit="1" customWidth="1"/>
    <col min="4109" max="4109" width="6.85546875" style="456" customWidth="1"/>
    <col min="4110" max="4110" width="7.140625" style="456" customWidth="1"/>
    <col min="4111" max="4111" width="10.42578125" style="456" customWidth="1"/>
    <col min="4112" max="4116" width="9.140625" style="456"/>
    <col min="4117" max="4117" width="22.140625" style="456" bestFit="1" customWidth="1"/>
    <col min="4118" max="4118" width="5.140625" style="456" bestFit="1" customWidth="1"/>
    <col min="4119" max="4119" width="7.140625" style="456" customWidth="1"/>
    <col min="4120" max="4120" width="11.42578125" style="456" customWidth="1"/>
    <col min="4121" max="4123" width="9.140625" style="456"/>
    <col min="4124" max="4124" width="9.85546875" style="456" customWidth="1"/>
    <col min="4125" max="4125" width="9.140625" style="456"/>
    <col min="4126" max="4126" width="22.28515625" style="456" customWidth="1"/>
    <col min="4127" max="4127" width="5.140625" style="456" bestFit="1" customWidth="1"/>
    <col min="4128" max="4128" width="6.85546875" style="456" customWidth="1"/>
    <col min="4129" max="4129" width="8.140625" style="456" bestFit="1" customWidth="1"/>
    <col min="4130" max="4130" width="9.140625" style="456"/>
    <col min="4131" max="4131" width="9.42578125" style="456" bestFit="1" customWidth="1"/>
    <col min="4132" max="4132" width="9.140625" style="456"/>
    <col min="4133" max="4133" width="10.5703125" style="456" customWidth="1"/>
    <col min="4134" max="4134" width="9.140625" style="456"/>
    <col min="4135" max="4135" width="22.140625" style="456" bestFit="1" customWidth="1"/>
    <col min="4136" max="4141" width="9.140625" style="456"/>
    <col min="4142" max="4142" width="38.7109375" style="456" customWidth="1"/>
    <col min="4143" max="4143" width="28" style="456" bestFit="1" customWidth="1"/>
    <col min="4144" max="4144" width="11.5703125" style="456" customWidth="1"/>
    <col min="4145" max="4363" width="9.140625" style="456"/>
    <col min="4364" max="4364" width="22.140625" style="456" bestFit="1" customWidth="1"/>
    <col min="4365" max="4365" width="6.85546875" style="456" customWidth="1"/>
    <col min="4366" max="4366" width="7.140625" style="456" customWidth="1"/>
    <col min="4367" max="4367" width="10.42578125" style="456" customWidth="1"/>
    <col min="4368" max="4372" width="9.140625" style="456"/>
    <col min="4373" max="4373" width="22.140625" style="456" bestFit="1" customWidth="1"/>
    <col min="4374" max="4374" width="5.140625" style="456" bestFit="1" customWidth="1"/>
    <col min="4375" max="4375" width="7.140625" style="456" customWidth="1"/>
    <col min="4376" max="4376" width="11.42578125" style="456" customWidth="1"/>
    <col min="4377" max="4379" width="9.140625" style="456"/>
    <col min="4380" max="4380" width="9.85546875" style="456" customWidth="1"/>
    <col min="4381" max="4381" width="9.140625" style="456"/>
    <col min="4382" max="4382" width="22.28515625" style="456" customWidth="1"/>
    <col min="4383" max="4383" width="5.140625" style="456" bestFit="1" customWidth="1"/>
    <col min="4384" max="4384" width="6.85546875" style="456" customWidth="1"/>
    <col min="4385" max="4385" width="8.140625" style="456" bestFit="1" customWidth="1"/>
    <col min="4386" max="4386" width="9.140625" style="456"/>
    <col min="4387" max="4387" width="9.42578125" style="456" bestFit="1" customWidth="1"/>
    <col min="4388" max="4388" width="9.140625" style="456"/>
    <col min="4389" max="4389" width="10.5703125" style="456" customWidth="1"/>
    <col min="4390" max="4390" width="9.140625" style="456"/>
    <col min="4391" max="4391" width="22.140625" style="456" bestFit="1" customWidth="1"/>
    <col min="4392" max="4397" width="9.140625" style="456"/>
    <col min="4398" max="4398" width="38.7109375" style="456" customWidth="1"/>
    <col min="4399" max="4399" width="28" style="456" bestFit="1" customWidth="1"/>
    <col min="4400" max="4400" width="11.5703125" style="456" customWidth="1"/>
    <col min="4401" max="4619" width="9.140625" style="456"/>
    <col min="4620" max="4620" width="22.140625" style="456" bestFit="1" customWidth="1"/>
    <col min="4621" max="4621" width="6.85546875" style="456" customWidth="1"/>
    <col min="4622" max="4622" width="7.140625" style="456" customWidth="1"/>
    <col min="4623" max="4623" width="10.42578125" style="456" customWidth="1"/>
    <col min="4624" max="4628" width="9.140625" style="456"/>
    <col min="4629" max="4629" width="22.140625" style="456" bestFit="1" customWidth="1"/>
    <col min="4630" max="4630" width="5.140625" style="456" bestFit="1" customWidth="1"/>
    <col min="4631" max="4631" width="7.140625" style="456" customWidth="1"/>
    <col min="4632" max="4632" width="11.42578125" style="456" customWidth="1"/>
    <col min="4633" max="4635" width="9.140625" style="456"/>
    <col min="4636" max="4636" width="9.85546875" style="456" customWidth="1"/>
    <col min="4637" max="4637" width="9.140625" style="456"/>
    <col min="4638" max="4638" width="22.28515625" style="456" customWidth="1"/>
    <col min="4639" max="4639" width="5.140625" style="456" bestFit="1" customWidth="1"/>
    <col min="4640" max="4640" width="6.85546875" style="456" customWidth="1"/>
    <col min="4641" max="4641" width="8.140625" style="456" bestFit="1" customWidth="1"/>
    <col min="4642" max="4642" width="9.140625" style="456"/>
    <col min="4643" max="4643" width="9.42578125" style="456" bestFit="1" customWidth="1"/>
    <col min="4644" max="4644" width="9.140625" style="456"/>
    <col min="4645" max="4645" width="10.5703125" style="456" customWidth="1"/>
    <col min="4646" max="4646" width="9.140625" style="456"/>
    <col min="4647" max="4647" width="22.140625" style="456" bestFit="1" customWidth="1"/>
    <col min="4648" max="4653" width="9.140625" style="456"/>
    <col min="4654" max="4654" width="38.7109375" style="456" customWidth="1"/>
    <col min="4655" max="4655" width="28" style="456" bestFit="1" customWidth="1"/>
    <col min="4656" max="4656" width="11.5703125" style="456" customWidth="1"/>
    <col min="4657" max="4875" width="9.140625" style="456"/>
    <col min="4876" max="4876" width="22.140625" style="456" bestFit="1" customWidth="1"/>
    <col min="4877" max="4877" width="6.85546875" style="456" customWidth="1"/>
    <col min="4878" max="4878" width="7.140625" style="456" customWidth="1"/>
    <col min="4879" max="4879" width="10.42578125" style="456" customWidth="1"/>
    <col min="4880" max="4884" width="9.140625" style="456"/>
    <col min="4885" max="4885" width="22.140625" style="456" bestFit="1" customWidth="1"/>
    <col min="4886" max="4886" width="5.140625" style="456" bestFit="1" customWidth="1"/>
    <col min="4887" max="4887" width="7.140625" style="456" customWidth="1"/>
    <col min="4888" max="4888" width="11.42578125" style="456" customWidth="1"/>
    <col min="4889" max="4891" width="9.140625" style="456"/>
    <col min="4892" max="4892" width="9.85546875" style="456" customWidth="1"/>
    <col min="4893" max="4893" width="9.140625" style="456"/>
    <col min="4894" max="4894" width="22.28515625" style="456" customWidth="1"/>
    <col min="4895" max="4895" width="5.140625" style="456" bestFit="1" customWidth="1"/>
    <col min="4896" max="4896" width="6.85546875" style="456" customWidth="1"/>
    <col min="4897" max="4897" width="8.140625" style="456" bestFit="1" customWidth="1"/>
    <col min="4898" max="4898" width="9.140625" style="456"/>
    <col min="4899" max="4899" width="9.42578125" style="456" bestFit="1" customWidth="1"/>
    <col min="4900" max="4900" width="9.140625" style="456"/>
    <col min="4901" max="4901" width="10.5703125" style="456" customWidth="1"/>
    <col min="4902" max="4902" width="9.140625" style="456"/>
    <col min="4903" max="4903" width="22.140625" style="456" bestFit="1" customWidth="1"/>
    <col min="4904" max="4909" width="9.140625" style="456"/>
    <col min="4910" max="4910" width="38.7109375" style="456" customWidth="1"/>
    <col min="4911" max="4911" width="28" style="456" bestFit="1" customWidth="1"/>
    <col min="4912" max="4912" width="11.5703125" style="456" customWidth="1"/>
    <col min="4913" max="5131" width="9.140625" style="456"/>
    <col min="5132" max="5132" width="22.140625" style="456" bestFit="1" customWidth="1"/>
    <col min="5133" max="5133" width="6.85546875" style="456" customWidth="1"/>
    <col min="5134" max="5134" width="7.140625" style="456" customWidth="1"/>
    <col min="5135" max="5135" width="10.42578125" style="456" customWidth="1"/>
    <col min="5136" max="5140" width="9.140625" style="456"/>
    <col min="5141" max="5141" width="22.140625" style="456" bestFit="1" customWidth="1"/>
    <col min="5142" max="5142" width="5.140625" style="456" bestFit="1" customWidth="1"/>
    <col min="5143" max="5143" width="7.140625" style="456" customWidth="1"/>
    <col min="5144" max="5144" width="11.42578125" style="456" customWidth="1"/>
    <col min="5145" max="5147" width="9.140625" style="456"/>
    <col min="5148" max="5148" width="9.85546875" style="456" customWidth="1"/>
    <col min="5149" max="5149" width="9.140625" style="456"/>
    <col min="5150" max="5150" width="22.28515625" style="456" customWidth="1"/>
    <col min="5151" max="5151" width="5.140625" style="456" bestFit="1" customWidth="1"/>
    <col min="5152" max="5152" width="6.85546875" style="456" customWidth="1"/>
    <col min="5153" max="5153" width="8.140625" style="456" bestFit="1" customWidth="1"/>
    <col min="5154" max="5154" width="9.140625" style="456"/>
    <col min="5155" max="5155" width="9.42578125" style="456" bestFit="1" customWidth="1"/>
    <col min="5156" max="5156" width="9.140625" style="456"/>
    <col min="5157" max="5157" width="10.5703125" style="456" customWidth="1"/>
    <col min="5158" max="5158" width="9.140625" style="456"/>
    <col min="5159" max="5159" width="22.140625" style="456" bestFit="1" customWidth="1"/>
    <col min="5160" max="5165" width="9.140625" style="456"/>
    <col min="5166" max="5166" width="38.7109375" style="456" customWidth="1"/>
    <col min="5167" max="5167" width="28" style="456" bestFit="1" customWidth="1"/>
    <col min="5168" max="5168" width="11.5703125" style="456" customWidth="1"/>
    <col min="5169" max="5387" width="9.140625" style="456"/>
    <col min="5388" max="5388" width="22.140625" style="456" bestFit="1" customWidth="1"/>
    <col min="5389" max="5389" width="6.85546875" style="456" customWidth="1"/>
    <col min="5390" max="5390" width="7.140625" style="456" customWidth="1"/>
    <col min="5391" max="5391" width="10.42578125" style="456" customWidth="1"/>
    <col min="5392" max="5396" width="9.140625" style="456"/>
    <col min="5397" max="5397" width="22.140625" style="456" bestFit="1" customWidth="1"/>
    <col min="5398" max="5398" width="5.140625" style="456" bestFit="1" customWidth="1"/>
    <col min="5399" max="5399" width="7.140625" style="456" customWidth="1"/>
    <col min="5400" max="5400" width="11.42578125" style="456" customWidth="1"/>
    <col min="5401" max="5403" width="9.140625" style="456"/>
    <col min="5404" max="5404" width="9.85546875" style="456" customWidth="1"/>
    <col min="5405" max="5405" width="9.140625" style="456"/>
    <col min="5406" max="5406" width="22.28515625" style="456" customWidth="1"/>
    <col min="5407" max="5407" width="5.140625" style="456" bestFit="1" customWidth="1"/>
    <col min="5408" max="5408" width="6.85546875" style="456" customWidth="1"/>
    <col min="5409" max="5409" width="8.140625" style="456" bestFit="1" customWidth="1"/>
    <col min="5410" max="5410" width="9.140625" style="456"/>
    <col min="5411" max="5411" width="9.42578125" style="456" bestFit="1" customWidth="1"/>
    <col min="5412" max="5412" width="9.140625" style="456"/>
    <col min="5413" max="5413" width="10.5703125" style="456" customWidth="1"/>
    <col min="5414" max="5414" width="9.140625" style="456"/>
    <col min="5415" max="5415" width="22.140625" style="456" bestFit="1" customWidth="1"/>
    <col min="5416" max="5421" width="9.140625" style="456"/>
    <col min="5422" max="5422" width="38.7109375" style="456" customWidth="1"/>
    <col min="5423" max="5423" width="28" style="456" bestFit="1" customWidth="1"/>
    <col min="5424" max="5424" width="11.5703125" style="456" customWidth="1"/>
    <col min="5425" max="5643" width="9.140625" style="456"/>
    <col min="5644" max="5644" width="22.140625" style="456" bestFit="1" customWidth="1"/>
    <col min="5645" max="5645" width="6.85546875" style="456" customWidth="1"/>
    <col min="5646" max="5646" width="7.140625" style="456" customWidth="1"/>
    <col min="5647" max="5647" width="10.42578125" style="456" customWidth="1"/>
    <col min="5648" max="5652" width="9.140625" style="456"/>
    <col min="5653" max="5653" width="22.140625" style="456" bestFit="1" customWidth="1"/>
    <col min="5654" max="5654" width="5.140625" style="456" bestFit="1" customWidth="1"/>
    <col min="5655" max="5655" width="7.140625" style="456" customWidth="1"/>
    <col min="5656" max="5656" width="11.42578125" style="456" customWidth="1"/>
    <col min="5657" max="5659" width="9.140625" style="456"/>
    <col min="5660" max="5660" width="9.85546875" style="456" customWidth="1"/>
    <col min="5661" max="5661" width="9.140625" style="456"/>
    <col min="5662" max="5662" width="22.28515625" style="456" customWidth="1"/>
    <col min="5663" max="5663" width="5.140625" style="456" bestFit="1" customWidth="1"/>
    <col min="5664" max="5664" width="6.85546875" style="456" customWidth="1"/>
    <col min="5665" max="5665" width="8.140625" style="456" bestFit="1" customWidth="1"/>
    <col min="5666" max="5666" width="9.140625" style="456"/>
    <col min="5667" max="5667" width="9.42578125" style="456" bestFit="1" customWidth="1"/>
    <col min="5668" max="5668" width="9.140625" style="456"/>
    <col min="5669" max="5669" width="10.5703125" style="456" customWidth="1"/>
    <col min="5670" max="5670" width="9.140625" style="456"/>
    <col min="5671" max="5671" width="22.140625" style="456" bestFit="1" customWidth="1"/>
    <col min="5672" max="5677" width="9.140625" style="456"/>
    <col min="5678" max="5678" width="38.7109375" style="456" customWidth="1"/>
    <col min="5679" max="5679" width="28" style="456" bestFit="1" customWidth="1"/>
    <col min="5680" max="5680" width="11.5703125" style="456" customWidth="1"/>
    <col min="5681" max="5899" width="9.140625" style="456"/>
    <col min="5900" max="5900" width="22.140625" style="456" bestFit="1" customWidth="1"/>
    <col min="5901" max="5901" width="6.85546875" style="456" customWidth="1"/>
    <col min="5902" max="5902" width="7.140625" style="456" customWidth="1"/>
    <col min="5903" max="5903" width="10.42578125" style="456" customWidth="1"/>
    <col min="5904" max="5908" width="9.140625" style="456"/>
    <col min="5909" max="5909" width="22.140625" style="456" bestFit="1" customWidth="1"/>
    <col min="5910" max="5910" width="5.140625" style="456" bestFit="1" customWidth="1"/>
    <col min="5911" max="5911" width="7.140625" style="456" customWidth="1"/>
    <col min="5912" max="5912" width="11.42578125" style="456" customWidth="1"/>
    <col min="5913" max="5915" width="9.140625" style="456"/>
    <col min="5916" max="5916" width="9.85546875" style="456" customWidth="1"/>
    <col min="5917" max="5917" width="9.140625" style="456"/>
    <col min="5918" max="5918" width="22.28515625" style="456" customWidth="1"/>
    <col min="5919" max="5919" width="5.140625" style="456" bestFit="1" customWidth="1"/>
    <col min="5920" max="5920" width="6.85546875" style="456" customWidth="1"/>
    <col min="5921" max="5921" width="8.140625" style="456" bestFit="1" customWidth="1"/>
    <col min="5922" max="5922" width="9.140625" style="456"/>
    <col min="5923" max="5923" width="9.42578125" style="456" bestFit="1" customWidth="1"/>
    <col min="5924" max="5924" width="9.140625" style="456"/>
    <col min="5925" max="5925" width="10.5703125" style="456" customWidth="1"/>
    <col min="5926" max="5926" width="9.140625" style="456"/>
    <col min="5927" max="5927" width="22.140625" style="456" bestFit="1" customWidth="1"/>
    <col min="5928" max="5933" width="9.140625" style="456"/>
    <col min="5934" max="5934" width="38.7109375" style="456" customWidth="1"/>
    <col min="5935" max="5935" width="28" style="456" bestFit="1" customWidth="1"/>
    <col min="5936" max="5936" width="11.5703125" style="456" customWidth="1"/>
    <col min="5937" max="6155" width="9.140625" style="456"/>
    <col min="6156" max="6156" width="22.140625" style="456" bestFit="1" customWidth="1"/>
    <col min="6157" max="6157" width="6.85546875" style="456" customWidth="1"/>
    <col min="6158" max="6158" width="7.140625" style="456" customWidth="1"/>
    <col min="6159" max="6159" width="10.42578125" style="456" customWidth="1"/>
    <col min="6160" max="6164" width="9.140625" style="456"/>
    <col min="6165" max="6165" width="22.140625" style="456" bestFit="1" customWidth="1"/>
    <col min="6166" max="6166" width="5.140625" style="456" bestFit="1" customWidth="1"/>
    <col min="6167" max="6167" width="7.140625" style="456" customWidth="1"/>
    <col min="6168" max="6168" width="11.42578125" style="456" customWidth="1"/>
    <col min="6169" max="6171" width="9.140625" style="456"/>
    <col min="6172" max="6172" width="9.85546875" style="456" customWidth="1"/>
    <col min="6173" max="6173" width="9.140625" style="456"/>
    <col min="6174" max="6174" width="22.28515625" style="456" customWidth="1"/>
    <col min="6175" max="6175" width="5.140625" style="456" bestFit="1" customWidth="1"/>
    <col min="6176" max="6176" width="6.85546875" style="456" customWidth="1"/>
    <col min="6177" max="6177" width="8.140625" style="456" bestFit="1" customWidth="1"/>
    <col min="6178" max="6178" width="9.140625" style="456"/>
    <col min="6179" max="6179" width="9.42578125" style="456" bestFit="1" customWidth="1"/>
    <col min="6180" max="6180" width="9.140625" style="456"/>
    <col min="6181" max="6181" width="10.5703125" style="456" customWidth="1"/>
    <col min="6182" max="6182" width="9.140625" style="456"/>
    <col min="6183" max="6183" width="22.140625" style="456" bestFit="1" customWidth="1"/>
    <col min="6184" max="6189" width="9.140625" style="456"/>
    <col min="6190" max="6190" width="38.7109375" style="456" customWidth="1"/>
    <col min="6191" max="6191" width="28" style="456" bestFit="1" customWidth="1"/>
    <col min="6192" max="6192" width="11.5703125" style="456" customWidth="1"/>
    <col min="6193" max="6411" width="9.140625" style="456"/>
    <col min="6412" max="6412" width="22.140625" style="456" bestFit="1" customWidth="1"/>
    <col min="6413" max="6413" width="6.85546875" style="456" customWidth="1"/>
    <col min="6414" max="6414" width="7.140625" style="456" customWidth="1"/>
    <col min="6415" max="6415" width="10.42578125" style="456" customWidth="1"/>
    <col min="6416" max="6420" width="9.140625" style="456"/>
    <col min="6421" max="6421" width="22.140625" style="456" bestFit="1" customWidth="1"/>
    <col min="6422" max="6422" width="5.140625" style="456" bestFit="1" customWidth="1"/>
    <col min="6423" max="6423" width="7.140625" style="456" customWidth="1"/>
    <col min="6424" max="6424" width="11.42578125" style="456" customWidth="1"/>
    <col min="6425" max="6427" width="9.140625" style="456"/>
    <col min="6428" max="6428" width="9.85546875" style="456" customWidth="1"/>
    <col min="6429" max="6429" width="9.140625" style="456"/>
    <col min="6430" max="6430" width="22.28515625" style="456" customWidth="1"/>
    <col min="6431" max="6431" width="5.140625" style="456" bestFit="1" customWidth="1"/>
    <col min="6432" max="6432" width="6.85546875" style="456" customWidth="1"/>
    <col min="6433" max="6433" width="8.140625" style="456" bestFit="1" customWidth="1"/>
    <col min="6434" max="6434" width="9.140625" style="456"/>
    <col min="6435" max="6435" width="9.42578125" style="456" bestFit="1" customWidth="1"/>
    <col min="6436" max="6436" width="9.140625" style="456"/>
    <col min="6437" max="6437" width="10.5703125" style="456" customWidth="1"/>
    <col min="6438" max="6438" width="9.140625" style="456"/>
    <col min="6439" max="6439" width="22.140625" style="456" bestFit="1" customWidth="1"/>
    <col min="6440" max="6445" width="9.140625" style="456"/>
    <col min="6446" max="6446" width="38.7109375" style="456" customWidth="1"/>
    <col min="6447" max="6447" width="28" style="456" bestFit="1" customWidth="1"/>
    <col min="6448" max="6448" width="11.5703125" style="456" customWidth="1"/>
    <col min="6449" max="6667" width="9.140625" style="456"/>
    <col min="6668" max="6668" width="22.140625" style="456" bestFit="1" customWidth="1"/>
    <col min="6669" max="6669" width="6.85546875" style="456" customWidth="1"/>
    <col min="6670" max="6670" width="7.140625" style="456" customWidth="1"/>
    <col min="6671" max="6671" width="10.42578125" style="456" customWidth="1"/>
    <col min="6672" max="6676" width="9.140625" style="456"/>
    <col min="6677" max="6677" width="22.140625" style="456" bestFit="1" customWidth="1"/>
    <col min="6678" max="6678" width="5.140625" style="456" bestFit="1" customWidth="1"/>
    <col min="6679" max="6679" width="7.140625" style="456" customWidth="1"/>
    <col min="6680" max="6680" width="11.42578125" style="456" customWidth="1"/>
    <col min="6681" max="6683" width="9.140625" style="456"/>
    <col min="6684" max="6684" width="9.85546875" style="456" customWidth="1"/>
    <col min="6685" max="6685" width="9.140625" style="456"/>
    <col min="6686" max="6686" width="22.28515625" style="456" customWidth="1"/>
    <col min="6687" max="6687" width="5.140625" style="456" bestFit="1" customWidth="1"/>
    <col min="6688" max="6688" width="6.85546875" style="456" customWidth="1"/>
    <col min="6689" max="6689" width="8.140625" style="456" bestFit="1" customWidth="1"/>
    <col min="6690" max="6690" width="9.140625" style="456"/>
    <col min="6691" max="6691" width="9.42578125" style="456" bestFit="1" customWidth="1"/>
    <col min="6692" max="6692" width="9.140625" style="456"/>
    <col min="6693" max="6693" width="10.5703125" style="456" customWidth="1"/>
    <col min="6694" max="6694" width="9.140625" style="456"/>
    <col min="6695" max="6695" width="22.140625" style="456" bestFit="1" customWidth="1"/>
    <col min="6696" max="6701" width="9.140625" style="456"/>
    <col min="6702" max="6702" width="38.7109375" style="456" customWidth="1"/>
    <col min="6703" max="6703" width="28" style="456" bestFit="1" customWidth="1"/>
    <col min="6704" max="6704" width="11.5703125" style="456" customWidth="1"/>
    <col min="6705" max="6923" width="9.140625" style="456"/>
    <col min="6924" max="6924" width="22.140625" style="456" bestFit="1" customWidth="1"/>
    <col min="6925" max="6925" width="6.85546875" style="456" customWidth="1"/>
    <col min="6926" max="6926" width="7.140625" style="456" customWidth="1"/>
    <col min="6927" max="6927" width="10.42578125" style="456" customWidth="1"/>
    <col min="6928" max="6932" width="9.140625" style="456"/>
    <col min="6933" max="6933" width="22.140625" style="456" bestFit="1" customWidth="1"/>
    <col min="6934" max="6934" width="5.140625" style="456" bestFit="1" customWidth="1"/>
    <col min="6935" max="6935" width="7.140625" style="456" customWidth="1"/>
    <col min="6936" max="6936" width="11.42578125" style="456" customWidth="1"/>
    <col min="6937" max="6939" width="9.140625" style="456"/>
    <col min="6940" max="6940" width="9.85546875" style="456" customWidth="1"/>
    <col min="6941" max="6941" width="9.140625" style="456"/>
    <col min="6942" max="6942" width="22.28515625" style="456" customWidth="1"/>
    <col min="6943" max="6943" width="5.140625" style="456" bestFit="1" customWidth="1"/>
    <col min="6944" max="6944" width="6.85546875" style="456" customWidth="1"/>
    <col min="6945" max="6945" width="8.140625" style="456" bestFit="1" customWidth="1"/>
    <col min="6946" max="6946" width="9.140625" style="456"/>
    <col min="6947" max="6947" width="9.42578125" style="456" bestFit="1" customWidth="1"/>
    <col min="6948" max="6948" width="9.140625" style="456"/>
    <col min="6949" max="6949" width="10.5703125" style="456" customWidth="1"/>
    <col min="6950" max="6950" width="9.140625" style="456"/>
    <col min="6951" max="6951" width="22.140625" style="456" bestFit="1" customWidth="1"/>
    <col min="6952" max="6957" width="9.140625" style="456"/>
    <col min="6958" max="6958" width="38.7109375" style="456" customWidth="1"/>
    <col min="6959" max="6959" width="28" style="456" bestFit="1" customWidth="1"/>
    <col min="6960" max="6960" width="11.5703125" style="456" customWidth="1"/>
    <col min="6961" max="7179" width="9.140625" style="456"/>
    <col min="7180" max="7180" width="22.140625" style="456" bestFit="1" customWidth="1"/>
    <col min="7181" max="7181" width="6.85546875" style="456" customWidth="1"/>
    <col min="7182" max="7182" width="7.140625" style="456" customWidth="1"/>
    <col min="7183" max="7183" width="10.42578125" style="456" customWidth="1"/>
    <col min="7184" max="7188" width="9.140625" style="456"/>
    <col min="7189" max="7189" width="22.140625" style="456" bestFit="1" customWidth="1"/>
    <col min="7190" max="7190" width="5.140625" style="456" bestFit="1" customWidth="1"/>
    <col min="7191" max="7191" width="7.140625" style="456" customWidth="1"/>
    <col min="7192" max="7192" width="11.42578125" style="456" customWidth="1"/>
    <col min="7193" max="7195" width="9.140625" style="456"/>
    <col min="7196" max="7196" width="9.85546875" style="456" customWidth="1"/>
    <col min="7197" max="7197" width="9.140625" style="456"/>
    <col min="7198" max="7198" width="22.28515625" style="456" customWidth="1"/>
    <col min="7199" max="7199" width="5.140625" style="456" bestFit="1" customWidth="1"/>
    <col min="7200" max="7200" width="6.85546875" style="456" customWidth="1"/>
    <col min="7201" max="7201" width="8.140625" style="456" bestFit="1" customWidth="1"/>
    <col min="7202" max="7202" width="9.140625" style="456"/>
    <col min="7203" max="7203" width="9.42578125" style="456" bestFit="1" customWidth="1"/>
    <col min="7204" max="7204" width="9.140625" style="456"/>
    <col min="7205" max="7205" width="10.5703125" style="456" customWidth="1"/>
    <col min="7206" max="7206" width="9.140625" style="456"/>
    <col min="7207" max="7207" width="22.140625" style="456" bestFit="1" customWidth="1"/>
    <col min="7208" max="7213" width="9.140625" style="456"/>
    <col min="7214" max="7214" width="38.7109375" style="456" customWidth="1"/>
    <col min="7215" max="7215" width="28" style="456" bestFit="1" customWidth="1"/>
    <col min="7216" max="7216" width="11.5703125" style="456" customWidth="1"/>
    <col min="7217" max="7435" width="9.140625" style="456"/>
    <col min="7436" max="7436" width="22.140625" style="456" bestFit="1" customWidth="1"/>
    <col min="7437" max="7437" width="6.85546875" style="456" customWidth="1"/>
    <col min="7438" max="7438" width="7.140625" style="456" customWidth="1"/>
    <col min="7439" max="7439" width="10.42578125" style="456" customWidth="1"/>
    <col min="7440" max="7444" width="9.140625" style="456"/>
    <col min="7445" max="7445" width="22.140625" style="456" bestFit="1" customWidth="1"/>
    <col min="7446" max="7446" width="5.140625" style="456" bestFit="1" customWidth="1"/>
    <col min="7447" max="7447" width="7.140625" style="456" customWidth="1"/>
    <col min="7448" max="7448" width="11.42578125" style="456" customWidth="1"/>
    <col min="7449" max="7451" width="9.140625" style="456"/>
    <col min="7452" max="7452" width="9.85546875" style="456" customWidth="1"/>
    <col min="7453" max="7453" width="9.140625" style="456"/>
    <col min="7454" max="7454" width="22.28515625" style="456" customWidth="1"/>
    <col min="7455" max="7455" width="5.140625" style="456" bestFit="1" customWidth="1"/>
    <col min="7456" max="7456" width="6.85546875" style="456" customWidth="1"/>
    <col min="7457" max="7457" width="8.140625" style="456" bestFit="1" customWidth="1"/>
    <col min="7458" max="7458" width="9.140625" style="456"/>
    <col min="7459" max="7459" width="9.42578125" style="456" bestFit="1" customWidth="1"/>
    <col min="7460" max="7460" width="9.140625" style="456"/>
    <col min="7461" max="7461" width="10.5703125" style="456" customWidth="1"/>
    <col min="7462" max="7462" width="9.140625" style="456"/>
    <col min="7463" max="7463" width="22.140625" style="456" bestFit="1" customWidth="1"/>
    <col min="7464" max="7469" width="9.140625" style="456"/>
    <col min="7470" max="7470" width="38.7109375" style="456" customWidth="1"/>
    <col min="7471" max="7471" width="28" style="456" bestFit="1" customWidth="1"/>
    <col min="7472" max="7472" width="11.5703125" style="456" customWidth="1"/>
    <col min="7473" max="7691" width="9.140625" style="456"/>
    <col min="7692" max="7692" width="22.140625" style="456" bestFit="1" customWidth="1"/>
    <col min="7693" max="7693" width="6.85546875" style="456" customWidth="1"/>
    <col min="7694" max="7694" width="7.140625" style="456" customWidth="1"/>
    <col min="7695" max="7695" width="10.42578125" style="456" customWidth="1"/>
    <col min="7696" max="7700" width="9.140625" style="456"/>
    <col min="7701" max="7701" width="22.140625" style="456" bestFit="1" customWidth="1"/>
    <col min="7702" max="7702" width="5.140625" style="456" bestFit="1" customWidth="1"/>
    <col min="7703" max="7703" width="7.140625" style="456" customWidth="1"/>
    <col min="7704" max="7704" width="11.42578125" style="456" customWidth="1"/>
    <col min="7705" max="7707" width="9.140625" style="456"/>
    <col min="7708" max="7708" width="9.85546875" style="456" customWidth="1"/>
    <col min="7709" max="7709" width="9.140625" style="456"/>
    <col min="7710" max="7710" width="22.28515625" style="456" customWidth="1"/>
    <col min="7711" max="7711" width="5.140625" style="456" bestFit="1" customWidth="1"/>
    <col min="7712" max="7712" width="6.85546875" style="456" customWidth="1"/>
    <col min="7713" max="7713" width="8.140625" style="456" bestFit="1" customWidth="1"/>
    <col min="7714" max="7714" width="9.140625" style="456"/>
    <col min="7715" max="7715" width="9.42578125" style="456" bestFit="1" customWidth="1"/>
    <col min="7716" max="7716" width="9.140625" style="456"/>
    <col min="7717" max="7717" width="10.5703125" style="456" customWidth="1"/>
    <col min="7718" max="7718" width="9.140625" style="456"/>
    <col min="7719" max="7719" width="22.140625" style="456" bestFit="1" customWidth="1"/>
    <col min="7720" max="7725" width="9.140625" style="456"/>
    <col min="7726" max="7726" width="38.7109375" style="456" customWidth="1"/>
    <col min="7727" max="7727" width="28" style="456" bestFit="1" customWidth="1"/>
    <col min="7728" max="7728" width="11.5703125" style="456" customWidth="1"/>
    <col min="7729" max="7947" width="9.140625" style="456"/>
    <col min="7948" max="7948" width="22.140625" style="456" bestFit="1" customWidth="1"/>
    <col min="7949" max="7949" width="6.85546875" style="456" customWidth="1"/>
    <col min="7950" max="7950" width="7.140625" style="456" customWidth="1"/>
    <col min="7951" max="7951" width="10.42578125" style="456" customWidth="1"/>
    <col min="7952" max="7956" width="9.140625" style="456"/>
    <col min="7957" max="7957" width="22.140625" style="456" bestFit="1" customWidth="1"/>
    <col min="7958" max="7958" width="5.140625" style="456" bestFit="1" customWidth="1"/>
    <col min="7959" max="7959" width="7.140625" style="456" customWidth="1"/>
    <col min="7960" max="7960" width="11.42578125" style="456" customWidth="1"/>
    <col min="7961" max="7963" width="9.140625" style="456"/>
    <col min="7964" max="7964" width="9.85546875" style="456" customWidth="1"/>
    <col min="7965" max="7965" width="9.140625" style="456"/>
    <col min="7966" max="7966" width="22.28515625" style="456" customWidth="1"/>
    <col min="7967" max="7967" width="5.140625" style="456" bestFit="1" customWidth="1"/>
    <col min="7968" max="7968" width="6.85546875" style="456" customWidth="1"/>
    <col min="7969" max="7969" width="8.140625" style="456" bestFit="1" customWidth="1"/>
    <col min="7970" max="7970" width="9.140625" style="456"/>
    <col min="7971" max="7971" width="9.42578125" style="456" bestFit="1" customWidth="1"/>
    <col min="7972" max="7972" width="9.140625" style="456"/>
    <col min="7973" max="7973" width="10.5703125" style="456" customWidth="1"/>
    <col min="7974" max="7974" width="9.140625" style="456"/>
    <col min="7975" max="7975" width="22.140625" style="456" bestFit="1" customWidth="1"/>
    <col min="7976" max="7981" width="9.140625" style="456"/>
    <col min="7982" max="7982" width="38.7109375" style="456" customWidth="1"/>
    <col min="7983" max="7983" width="28" style="456" bestFit="1" customWidth="1"/>
    <col min="7984" max="7984" width="11.5703125" style="456" customWidth="1"/>
    <col min="7985" max="8203" width="9.140625" style="456"/>
    <col min="8204" max="8204" width="22.140625" style="456" bestFit="1" customWidth="1"/>
    <col min="8205" max="8205" width="6.85546875" style="456" customWidth="1"/>
    <col min="8206" max="8206" width="7.140625" style="456" customWidth="1"/>
    <col min="8207" max="8207" width="10.42578125" style="456" customWidth="1"/>
    <col min="8208" max="8212" width="9.140625" style="456"/>
    <col min="8213" max="8213" width="22.140625" style="456" bestFit="1" customWidth="1"/>
    <col min="8214" max="8214" width="5.140625" style="456" bestFit="1" customWidth="1"/>
    <col min="8215" max="8215" width="7.140625" style="456" customWidth="1"/>
    <col min="8216" max="8216" width="11.42578125" style="456" customWidth="1"/>
    <col min="8217" max="8219" width="9.140625" style="456"/>
    <col min="8220" max="8220" width="9.85546875" style="456" customWidth="1"/>
    <col min="8221" max="8221" width="9.140625" style="456"/>
    <col min="8222" max="8222" width="22.28515625" style="456" customWidth="1"/>
    <col min="8223" max="8223" width="5.140625" style="456" bestFit="1" customWidth="1"/>
    <col min="8224" max="8224" width="6.85546875" style="456" customWidth="1"/>
    <col min="8225" max="8225" width="8.140625" style="456" bestFit="1" customWidth="1"/>
    <col min="8226" max="8226" width="9.140625" style="456"/>
    <col min="8227" max="8227" width="9.42578125" style="456" bestFit="1" customWidth="1"/>
    <col min="8228" max="8228" width="9.140625" style="456"/>
    <col min="8229" max="8229" width="10.5703125" style="456" customWidth="1"/>
    <col min="8230" max="8230" width="9.140625" style="456"/>
    <col min="8231" max="8231" width="22.140625" style="456" bestFit="1" customWidth="1"/>
    <col min="8232" max="8237" width="9.140625" style="456"/>
    <col min="8238" max="8238" width="38.7109375" style="456" customWidth="1"/>
    <col min="8239" max="8239" width="28" style="456" bestFit="1" customWidth="1"/>
    <col min="8240" max="8240" width="11.5703125" style="456" customWidth="1"/>
    <col min="8241" max="8459" width="9.140625" style="456"/>
    <col min="8460" max="8460" width="22.140625" style="456" bestFit="1" customWidth="1"/>
    <col min="8461" max="8461" width="6.85546875" style="456" customWidth="1"/>
    <col min="8462" max="8462" width="7.140625" style="456" customWidth="1"/>
    <col min="8463" max="8463" width="10.42578125" style="456" customWidth="1"/>
    <col min="8464" max="8468" width="9.140625" style="456"/>
    <col min="8469" max="8469" width="22.140625" style="456" bestFit="1" customWidth="1"/>
    <col min="8470" max="8470" width="5.140625" style="456" bestFit="1" customWidth="1"/>
    <col min="8471" max="8471" width="7.140625" style="456" customWidth="1"/>
    <col min="8472" max="8472" width="11.42578125" style="456" customWidth="1"/>
    <col min="8473" max="8475" width="9.140625" style="456"/>
    <col min="8476" max="8476" width="9.85546875" style="456" customWidth="1"/>
    <col min="8477" max="8477" width="9.140625" style="456"/>
    <col min="8478" max="8478" width="22.28515625" style="456" customWidth="1"/>
    <col min="8479" max="8479" width="5.140625" style="456" bestFit="1" customWidth="1"/>
    <col min="8480" max="8480" width="6.85546875" style="456" customWidth="1"/>
    <col min="8481" max="8481" width="8.140625" style="456" bestFit="1" customWidth="1"/>
    <col min="8482" max="8482" width="9.140625" style="456"/>
    <col min="8483" max="8483" width="9.42578125" style="456" bestFit="1" customWidth="1"/>
    <col min="8484" max="8484" width="9.140625" style="456"/>
    <col min="8485" max="8485" width="10.5703125" style="456" customWidth="1"/>
    <col min="8486" max="8486" width="9.140625" style="456"/>
    <col min="8487" max="8487" width="22.140625" style="456" bestFit="1" customWidth="1"/>
    <col min="8488" max="8493" width="9.140625" style="456"/>
    <col min="8494" max="8494" width="38.7109375" style="456" customWidth="1"/>
    <col min="8495" max="8495" width="28" style="456" bestFit="1" customWidth="1"/>
    <col min="8496" max="8496" width="11.5703125" style="456" customWidth="1"/>
    <col min="8497" max="8715" width="9.140625" style="456"/>
    <col min="8716" max="8716" width="22.140625" style="456" bestFit="1" customWidth="1"/>
    <col min="8717" max="8717" width="6.85546875" style="456" customWidth="1"/>
    <col min="8718" max="8718" width="7.140625" style="456" customWidth="1"/>
    <col min="8719" max="8719" width="10.42578125" style="456" customWidth="1"/>
    <col min="8720" max="8724" width="9.140625" style="456"/>
    <col min="8725" max="8725" width="22.140625" style="456" bestFit="1" customWidth="1"/>
    <col min="8726" max="8726" width="5.140625" style="456" bestFit="1" customWidth="1"/>
    <col min="8727" max="8727" width="7.140625" style="456" customWidth="1"/>
    <col min="8728" max="8728" width="11.42578125" style="456" customWidth="1"/>
    <col min="8729" max="8731" width="9.140625" style="456"/>
    <col min="8732" max="8732" width="9.85546875" style="456" customWidth="1"/>
    <col min="8733" max="8733" width="9.140625" style="456"/>
    <col min="8734" max="8734" width="22.28515625" style="456" customWidth="1"/>
    <col min="8735" max="8735" width="5.140625" style="456" bestFit="1" customWidth="1"/>
    <col min="8736" max="8736" width="6.85546875" style="456" customWidth="1"/>
    <col min="8737" max="8737" width="8.140625" style="456" bestFit="1" customWidth="1"/>
    <col min="8738" max="8738" width="9.140625" style="456"/>
    <col min="8739" max="8739" width="9.42578125" style="456" bestFit="1" customWidth="1"/>
    <col min="8740" max="8740" width="9.140625" style="456"/>
    <col min="8741" max="8741" width="10.5703125" style="456" customWidth="1"/>
    <col min="8742" max="8742" width="9.140625" style="456"/>
    <col min="8743" max="8743" width="22.140625" style="456" bestFit="1" customWidth="1"/>
    <col min="8744" max="8749" width="9.140625" style="456"/>
    <col min="8750" max="8750" width="38.7109375" style="456" customWidth="1"/>
    <col min="8751" max="8751" width="28" style="456" bestFit="1" customWidth="1"/>
    <col min="8752" max="8752" width="11.5703125" style="456" customWidth="1"/>
    <col min="8753" max="8971" width="9.140625" style="456"/>
    <col min="8972" max="8972" width="22.140625" style="456" bestFit="1" customWidth="1"/>
    <col min="8973" max="8973" width="6.85546875" style="456" customWidth="1"/>
    <col min="8974" max="8974" width="7.140625" style="456" customWidth="1"/>
    <col min="8975" max="8975" width="10.42578125" style="456" customWidth="1"/>
    <col min="8976" max="8980" width="9.140625" style="456"/>
    <col min="8981" max="8981" width="22.140625" style="456" bestFit="1" customWidth="1"/>
    <col min="8982" max="8982" width="5.140625" style="456" bestFit="1" customWidth="1"/>
    <col min="8983" max="8983" width="7.140625" style="456" customWidth="1"/>
    <col min="8984" max="8984" width="11.42578125" style="456" customWidth="1"/>
    <col min="8985" max="8987" width="9.140625" style="456"/>
    <col min="8988" max="8988" width="9.85546875" style="456" customWidth="1"/>
    <col min="8989" max="8989" width="9.140625" style="456"/>
    <col min="8990" max="8990" width="22.28515625" style="456" customWidth="1"/>
    <col min="8991" max="8991" width="5.140625" style="456" bestFit="1" customWidth="1"/>
    <col min="8992" max="8992" width="6.85546875" style="456" customWidth="1"/>
    <col min="8993" max="8993" width="8.140625" style="456" bestFit="1" customWidth="1"/>
    <col min="8994" max="8994" width="9.140625" style="456"/>
    <col min="8995" max="8995" width="9.42578125" style="456" bestFit="1" customWidth="1"/>
    <col min="8996" max="8996" width="9.140625" style="456"/>
    <col min="8997" max="8997" width="10.5703125" style="456" customWidth="1"/>
    <col min="8998" max="8998" width="9.140625" style="456"/>
    <col min="8999" max="8999" width="22.140625" style="456" bestFit="1" customWidth="1"/>
    <col min="9000" max="9005" width="9.140625" style="456"/>
    <col min="9006" max="9006" width="38.7109375" style="456" customWidth="1"/>
    <col min="9007" max="9007" width="28" style="456" bestFit="1" customWidth="1"/>
    <col min="9008" max="9008" width="11.5703125" style="456" customWidth="1"/>
    <col min="9009" max="9227" width="9.140625" style="456"/>
    <col min="9228" max="9228" width="22.140625" style="456" bestFit="1" customWidth="1"/>
    <col min="9229" max="9229" width="6.85546875" style="456" customWidth="1"/>
    <col min="9230" max="9230" width="7.140625" style="456" customWidth="1"/>
    <col min="9231" max="9231" width="10.42578125" style="456" customWidth="1"/>
    <col min="9232" max="9236" width="9.140625" style="456"/>
    <col min="9237" max="9237" width="22.140625" style="456" bestFit="1" customWidth="1"/>
    <col min="9238" max="9238" width="5.140625" style="456" bestFit="1" customWidth="1"/>
    <col min="9239" max="9239" width="7.140625" style="456" customWidth="1"/>
    <col min="9240" max="9240" width="11.42578125" style="456" customWidth="1"/>
    <col min="9241" max="9243" width="9.140625" style="456"/>
    <col min="9244" max="9244" width="9.85546875" style="456" customWidth="1"/>
    <col min="9245" max="9245" width="9.140625" style="456"/>
    <col min="9246" max="9246" width="22.28515625" style="456" customWidth="1"/>
    <col min="9247" max="9247" width="5.140625" style="456" bestFit="1" customWidth="1"/>
    <col min="9248" max="9248" width="6.85546875" style="456" customWidth="1"/>
    <col min="9249" max="9249" width="8.140625" style="456" bestFit="1" customWidth="1"/>
    <col min="9250" max="9250" width="9.140625" style="456"/>
    <col min="9251" max="9251" width="9.42578125" style="456" bestFit="1" customWidth="1"/>
    <col min="9252" max="9252" width="9.140625" style="456"/>
    <col min="9253" max="9253" width="10.5703125" style="456" customWidth="1"/>
    <col min="9254" max="9254" width="9.140625" style="456"/>
    <col min="9255" max="9255" width="22.140625" style="456" bestFit="1" customWidth="1"/>
    <col min="9256" max="9261" width="9.140625" style="456"/>
    <col min="9262" max="9262" width="38.7109375" style="456" customWidth="1"/>
    <col min="9263" max="9263" width="28" style="456" bestFit="1" customWidth="1"/>
    <col min="9264" max="9264" width="11.5703125" style="456" customWidth="1"/>
    <col min="9265" max="9483" width="9.140625" style="456"/>
    <col min="9484" max="9484" width="22.140625" style="456" bestFit="1" customWidth="1"/>
    <col min="9485" max="9485" width="6.85546875" style="456" customWidth="1"/>
    <col min="9486" max="9486" width="7.140625" style="456" customWidth="1"/>
    <col min="9487" max="9487" width="10.42578125" style="456" customWidth="1"/>
    <col min="9488" max="9492" width="9.140625" style="456"/>
    <col min="9493" max="9493" width="22.140625" style="456" bestFit="1" customWidth="1"/>
    <col min="9494" max="9494" width="5.140625" style="456" bestFit="1" customWidth="1"/>
    <col min="9495" max="9495" width="7.140625" style="456" customWidth="1"/>
    <col min="9496" max="9496" width="11.42578125" style="456" customWidth="1"/>
    <col min="9497" max="9499" width="9.140625" style="456"/>
    <col min="9500" max="9500" width="9.85546875" style="456" customWidth="1"/>
    <col min="9501" max="9501" width="9.140625" style="456"/>
    <col min="9502" max="9502" width="22.28515625" style="456" customWidth="1"/>
    <col min="9503" max="9503" width="5.140625" style="456" bestFit="1" customWidth="1"/>
    <col min="9504" max="9504" width="6.85546875" style="456" customWidth="1"/>
    <col min="9505" max="9505" width="8.140625" style="456" bestFit="1" customWidth="1"/>
    <col min="9506" max="9506" width="9.140625" style="456"/>
    <col min="9507" max="9507" width="9.42578125" style="456" bestFit="1" customWidth="1"/>
    <col min="9508" max="9508" width="9.140625" style="456"/>
    <col min="9509" max="9509" width="10.5703125" style="456" customWidth="1"/>
    <col min="9510" max="9510" width="9.140625" style="456"/>
    <col min="9511" max="9511" width="22.140625" style="456" bestFit="1" customWidth="1"/>
    <col min="9512" max="9517" width="9.140625" style="456"/>
    <col min="9518" max="9518" width="38.7109375" style="456" customWidth="1"/>
    <col min="9519" max="9519" width="28" style="456" bestFit="1" customWidth="1"/>
    <col min="9520" max="9520" width="11.5703125" style="456" customWidth="1"/>
    <col min="9521" max="9739" width="9.140625" style="456"/>
    <col min="9740" max="9740" width="22.140625" style="456" bestFit="1" customWidth="1"/>
    <col min="9741" max="9741" width="6.85546875" style="456" customWidth="1"/>
    <col min="9742" max="9742" width="7.140625" style="456" customWidth="1"/>
    <col min="9743" max="9743" width="10.42578125" style="456" customWidth="1"/>
    <col min="9744" max="9748" width="9.140625" style="456"/>
    <col min="9749" max="9749" width="22.140625" style="456" bestFit="1" customWidth="1"/>
    <col min="9750" max="9750" width="5.140625" style="456" bestFit="1" customWidth="1"/>
    <col min="9751" max="9751" width="7.140625" style="456" customWidth="1"/>
    <col min="9752" max="9752" width="11.42578125" style="456" customWidth="1"/>
    <col min="9753" max="9755" width="9.140625" style="456"/>
    <col min="9756" max="9756" width="9.85546875" style="456" customWidth="1"/>
    <col min="9757" max="9757" width="9.140625" style="456"/>
    <col min="9758" max="9758" width="22.28515625" style="456" customWidth="1"/>
    <col min="9759" max="9759" width="5.140625" style="456" bestFit="1" customWidth="1"/>
    <col min="9760" max="9760" width="6.85546875" style="456" customWidth="1"/>
    <col min="9761" max="9761" width="8.140625" style="456" bestFit="1" customWidth="1"/>
    <col min="9762" max="9762" width="9.140625" style="456"/>
    <col min="9763" max="9763" width="9.42578125" style="456" bestFit="1" customWidth="1"/>
    <col min="9764" max="9764" width="9.140625" style="456"/>
    <col min="9765" max="9765" width="10.5703125" style="456" customWidth="1"/>
    <col min="9766" max="9766" width="9.140625" style="456"/>
    <col min="9767" max="9767" width="22.140625" style="456" bestFit="1" customWidth="1"/>
    <col min="9768" max="9773" width="9.140625" style="456"/>
    <col min="9774" max="9774" width="38.7109375" style="456" customWidth="1"/>
    <col min="9775" max="9775" width="28" style="456" bestFit="1" customWidth="1"/>
    <col min="9776" max="9776" width="11.5703125" style="456" customWidth="1"/>
    <col min="9777" max="9995" width="9.140625" style="456"/>
    <col min="9996" max="9996" width="22.140625" style="456" bestFit="1" customWidth="1"/>
    <col min="9997" max="9997" width="6.85546875" style="456" customWidth="1"/>
    <col min="9998" max="9998" width="7.140625" style="456" customWidth="1"/>
    <col min="9999" max="9999" width="10.42578125" style="456" customWidth="1"/>
    <col min="10000" max="10004" width="9.140625" style="456"/>
    <col min="10005" max="10005" width="22.140625" style="456" bestFit="1" customWidth="1"/>
    <col min="10006" max="10006" width="5.140625" style="456" bestFit="1" customWidth="1"/>
    <col min="10007" max="10007" width="7.140625" style="456" customWidth="1"/>
    <col min="10008" max="10008" width="11.42578125" style="456" customWidth="1"/>
    <col min="10009" max="10011" width="9.140625" style="456"/>
    <col min="10012" max="10012" width="9.85546875" style="456" customWidth="1"/>
    <col min="10013" max="10013" width="9.140625" style="456"/>
    <col min="10014" max="10014" width="22.28515625" style="456" customWidth="1"/>
    <col min="10015" max="10015" width="5.140625" style="456" bestFit="1" customWidth="1"/>
    <col min="10016" max="10016" width="6.85546875" style="456" customWidth="1"/>
    <col min="10017" max="10017" width="8.140625" style="456" bestFit="1" customWidth="1"/>
    <col min="10018" max="10018" width="9.140625" style="456"/>
    <col min="10019" max="10019" width="9.42578125" style="456" bestFit="1" customWidth="1"/>
    <col min="10020" max="10020" width="9.140625" style="456"/>
    <col min="10021" max="10021" width="10.5703125" style="456" customWidth="1"/>
    <col min="10022" max="10022" width="9.140625" style="456"/>
    <col min="10023" max="10023" width="22.140625" style="456" bestFit="1" customWidth="1"/>
    <col min="10024" max="10029" width="9.140625" style="456"/>
    <col min="10030" max="10030" width="38.7109375" style="456" customWidth="1"/>
    <col min="10031" max="10031" width="28" style="456" bestFit="1" customWidth="1"/>
    <col min="10032" max="10032" width="11.5703125" style="456" customWidth="1"/>
    <col min="10033" max="10251" width="9.140625" style="456"/>
    <col min="10252" max="10252" width="22.140625" style="456" bestFit="1" customWidth="1"/>
    <col min="10253" max="10253" width="6.85546875" style="456" customWidth="1"/>
    <col min="10254" max="10254" width="7.140625" style="456" customWidth="1"/>
    <col min="10255" max="10255" width="10.42578125" style="456" customWidth="1"/>
    <col min="10256" max="10260" width="9.140625" style="456"/>
    <col min="10261" max="10261" width="22.140625" style="456" bestFit="1" customWidth="1"/>
    <col min="10262" max="10262" width="5.140625" style="456" bestFit="1" customWidth="1"/>
    <col min="10263" max="10263" width="7.140625" style="456" customWidth="1"/>
    <col min="10264" max="10264" width="11.42578125" style="456" customWidth="1"/>
    <col min="10265" max="10267" width="9.140625" style="456"/>
    <col min="10268" max="10268" width="9.85546875" style="456" customWidth="1"/>
    <col min="10269" max="10269" width="9.140625" style="456"/>
    <col min="10270" max="10270" width="22.28515625" style="456" customWidth="1"/>
    <col min="10271" max="10271" width="5.140625" style="456" bestFit="1" customWidth="1"/>
    <col min="10272" max="10272" width="6.85546875" style="456" customWidth="1"/>
    <col min="10273" max="10273" width="8.140625" style="456" bestFit="1" customWidth="1"/>
    <col min="10274" max="10274" width="9.140625" style="456"/>
    <col min="10275" max="10275" width="9.42578125" style="456" bestFit="1" customWidth="1"/>
    <col min="10276" max="10276" width="9.140625" style="456"/>
    <col min="10277" max="10277" width="10.5703125" style="456" customWidth="1"/>
    <col min="10278" max="10278" width="9.140625" style="456"/>
    <col min="10279" max="10279" width="22.140625" style="456" bestFit="1" customWidth="1"/>
    <col min="10280" max="10285" width="9.140625" style="456"/>
    <col min="10286" max="10286" width="38.7109375" style="456" customWidth="1"/>
    <col min="10287" max="10287" width="28" style="456" bestFit="1" customWidth="1"/>
    <col min="10288" max="10288" width="11.5703125" style="456" customWidth="1"/>
    <col min="10289" max="10507" width="9.140625" style="456"/>
    <col min="10508" max="10508" width="22.140625" style="456" bestFit="1" customWidth="1"/>
    <col min="10509" max="10509" width="6.85546875" style="456" customWidth="1"/>
    <col min="10510" max="10510" width="7.140625" style="456" customWidth="1"/>
    <col min="10511" max="10511" width="10.42578125" style="456" customWidth="1"/>
    <col min="10512" max="10516" width="9.140625" style="456"/>
    <col min="10517" max="10517" width="22.140625" style="456" bestFit="1" customWidth="1"/>
    <col min="10518" max="10518" width="5.140625" style="456" bestFit="1" customWidth="1"/>
    <col min="10519" max="10519" width="7.140625" style="456" customWidth="1"/>
    <col min="10520" max="10520" width="11.42578125" style="456" customWidth="1"/>
    <col min="10521" max="10523" width="9.140625" style="456"/>
    <col min="10524" max="10524" width="9.85546875" style="456" customWidth="1"/>
    <col min="10525" max="10525" width="9.140625" style="456"/>
    <col min="10526" max="10526" width="22.28515625" style="456" customWidth="1"/>
    <col min="10527" max="10527" width="5.140625" style="456" bestFit="1" customWidth="1"/>
    <col min="10528" max="10528" width="6.85546875" style="456" customWidth="1"/>
    <col min="10529" max="10529" width="8.140625" style="456" bestFit="1" customWidth="1"/>
    <col min="10530" max="10530" width="9.140625" style="456"/>
    <col min="10531" max="10531" width="9.42578125" style="456" bestFit="1" customWidth="1"/>
    <col min="10532" max="10532" width="9.140625" style="456"/>
    <col min="10533" max="10533" width="10.5703125" style="456" customWidth="1"/>
    <col min="10534" max="10534" width="9.140625" style="456"/>
    <col min="10535" max="10535" width="22.140625" style="456" bestFit="1" customWidth="1"/>
    <col min="10536" max="10541" width="9.140625" style="456"/>
    <col min="10542" max="10542" width="38.7109375" style="456" customWidth="1"/>
    <col min="10543" max="10543" width="28" style="456" bestFit="1" customWidth="1"/>
    <col min="10544" max="10544" width="11.5703125" style="456" customWidth="1"/>
    <col min="10545" max="10763" width="9.140625" style="456"/>
    <col min="10764" max="10764" width="22.140625" style="456" bestFit="1" customWidth="1"/>
    <col min="10765" max="10765" width="6.85546875" style="456" customWidth="1"/>
    <col min="10766" max="10766" width="7.140625" style="456" customWidth="1"/>
    <col min="10767" max="10767" width="10.42578125" style="456" customWidth="1"/>
    <col min="10768" max="10772" width="9.140625" style="456"/>
    <col min="10773" max="10773" width="22.140625" style="456" bestFit="1" customWidth="1"/>
    <col min="10774" max="10774" width="5.140625" style="456" bestFit="1" customWidth="1"/>
    <col min="10775" max="10775" width="7.140625" style="456" customWidth="1"/>
    <col min="10776" max="10776" width="11.42578125" style="456" customWidth="1"/>
    <col min="10777" max="10779" width="9.140625" style="456"/>
    <col min="10780" max="10780" width="9.85546875" style="456" customWidth="1"/>
    <col min="10781" max="10781" width="9.140625" style="456"/>
    <col min="10782" max="10782" width="22.28515625" style="456" customWidth="1"/>
    <col min="10783" max="10783" width="5.140625" style="456" bestFit="1" customWidth="1"/>
    <col min="10784" max="10784" width="6.85546875" style="456" customWidth="1"/>
    <col min="10785" max="10785" width="8.140625" style="456" bestFit="1" customWidth="1"/>
    <col min="10786" max="10786" width="9.140625" style="456"/>
    <col min="10787" max="10787" width="9.42578125" style="456" bestFit="1" customWidth="1"/>
    <col min="10788" max="10788" width="9.140625" style="456"/>
    <col min="10789" max="10789" width="10.5703125" style="456" customWidth="1"/>
    <col min="10790" max="10790" width="9.140625" style="456"/>
    <col min="10791" max="10791" width="22.140625" style="456" bestFit="1" customWidth="1"/>
    <col min="10792" max="10797" width="9.140625" style="456"/>
    <col min="10798" max="10798" width="38.7109375" style="456" customWidth="1"/>
    <col min="10799" max="10799" width="28" style="456" bestFit="1" customWidth="1"/>
    <col min="10800" max="10800" width="11.5703125" style="456" customWidth="1"/>
    <col min="10801" max="11019" width="9.140625" style="456"/>
    <col min="11020" max="11020" width="22.140625" style="456" bestFit="1" customWidth="1"/>
    <col min="11021" max="11021" width="6.85546875" style="456" customWidth="1"/>
    <col min="11022" max="11022" width="7.140625" style="456" customWidth="1"/>
    <col min="11023" max="11023" width="10.42578125" style="456" customWidth="1"/>
    <col min="11024" max="11028" width="9.140625" style="456"/>
    <col min="11029" max="11029" width="22.140625" style="456" bestFit="1" customWidth="1"/>
    <col min="11030" max="11030" width="5.140625" style="456" bestFit="1" customWidth="1"/>
    <col min="11031" max="11031" width="7.140625" style="456" customWidth="1"/>
    <col min="11032" max="11032" width="11.42578125" style="456" customWidth="1"/>
    <col min="11033" max="11035" width="9.140625" style="456"/>
    <col min="11036" max="11036" width="9.85546875" style="456" customWidth="1"/>
    <col min="11037" max="11037" width="9.140625" style="456"/>
    <col min="11038" max="11038" width="22.28515625" style="456" customWidth="1"/>
    <col min="11039" max="11039" width="5.140625" style="456" bestFit="1" customWidth="1"/>
    <col min="11040" max="11040" width="6.85546875" style="456" customWidth="1"/>
    <col min="11041" max="11041" width="8.140625" style="456" bestFit="1" customWidth="1"/>
    <col min="11042" max="11042" width="9.140625" style="456"/>
    <col min="11043" max="11043" width="9.42578125" style="456" bestFit="1" customWidth="1"/>
    <col min="11044" max="11044" width="9.140625" style="456"/>
    <col min="11045" max="11045" width="10.5703125" style="456" customWidth="1"/>
    <col min="11046" max="11046" width="9.140625" style="456"/>
    <col min="11047" max="11047" width="22.140625" style="456" bestFit="1" customWidth="1"/>
    <col min="11048" max="11053" width="9.140625" style="456"/>
    <col min="11054" max="11054" width="38.7109375" style="456" customWidth="1"/>
    <col min="11055" max="11055" width="28" style="456" bestFit="1" customWidth="1"/>
    <col min="11056" max="11056" width="11.5703125" style="456" customWidth="1"/>
    <col min="11057" max="11275" width="9.140625" style="456"/>
    <col min="11276" max="11276" width="22.140625" style="456" bestFit="1" customWidth="1"/>
    <col min="11277" max="11277" width="6.85546875" style="456" customWidth="1"/>
    <col min="11278" max="11278" width="7.140625" style="456" customWidth="1"/>
    <col min="11279" max="11279" width="10.42578125" style="456" customWidth="1"/>
    <col min="11280" max="11284" width="9.140625" style="456"/>
    <col min="11285" max="11285" width="22.140625" style="456" bestFit="1" customWidth="1"/>
    <col min="11286" max="11286" width="5.140625" style="456" bestFit="1" customWidth="1"/>
    <col min="11287" max="11287" width="7.140625" style="456" customWidth="1"/>
    <col min="11288" max="11288" width="11.42578125" style="456" customWidth="1"/>
    <col min="11289" max="11291" width="9.140625" style="456"/>
    <col min="11292" max="11292" width="9.85546875" style="456" customWidth="1"/>
    <col min="11293" max="11293" width="9.140625" style="456"/>
    <col min="11294" max="11294" width="22.28515625" style="456" customWidth="1"/>
    <col min="11295" max="11295" width="5.140625" style="456" bestFit="1" customWidth="1"/>
    <col min="11296" max="11296" width="6.85546875" style="456" customWidth="1"/>
    <col min="11297" max="11297" width="8.140625" style="456" bestFit="1" customWidth="1"/>
    <col min="11298" max="11298" width="9.140625" style="456"/>
    <col min="11299" max="11299" width="9.42578125" style="456" bestFit="1" customWidth="1"/>
    <col min="11300" max="11300" width="9.140625" style="456"/>
    <col min="11301" max="11301" width="10.5703125" style="456" customWidth="1"/>
    <col min="11302" max="11302" width="9.140625" style="456"/>
    <col min="11303" max="11303" width="22.140625" style="456" bestFit="1" customWidth="1"/>
    <col min="11304" max="11309" width="9.140625" style="456"/>
    <col min="11310" max="11310" width="38.7109375" style="456" customWidth="1"/>
    <col min="11311" max="11311" width="28" style="456" bestFit="1" customWidth="1"/>
    <col min="11312" max="11312" width="11.5703125" style="456" customWidth="1"/>
    <col min="11313" max="11531" width="9.140625" style="456"/>
    <col min="11532" max="11532" width="22.140625" style="456" bestFit="1" customWidth="1"/>
    <col min="11533" max="11533" width="6.85546875" style="456" customWidth="1"/>
    <col min="11534" max="11534" width="7.140625" style="456" customWidth="1"/>
    <col min="11535" max="11535" width="10.42578125" style="456" customWidth="1"/>
    <col min="11536" max="11540" width="9.140625" style="456"/>
    <col min="11541" max="11541" width="22.140625" style="456" bestFit="1" customWidth="1"/>
    <col min="11542" max="11542" width="5.140625" style="456" bestFit="1" customWidth="1"/>
    <col min="11543" max="11543" width="7.140625" style="456" customWidth="1"/>
    <col min="11544" max="11544" width="11.42578125" style="456" customWidth="1"/>
    <col min="11545" max="11547" width="9.140625" style="456"/>
    <col min="11548" max="11548" width="9.85546875" style="456" customWidth="1"/>
    <col min="11549" max="11549" width="9.140625" style="456"/>
    <col min="11550" max="11550" width="22.28515625" style="456" customWidth="1"/>
    <col min="11551" max="11551" width="5.140625" style="456" bestFit="1" customWidth="1"/>
    <col min="11552" max="11552" width="6.85546875" style="456" customWidth="1"/>
    <col min="11553" max="11553" width="8.140625" style="456" bestFit="1" customWidth="1"/>
    <col min="11554" max="11554" width="9.140625" style="456"/>
    <col min="11555" max="11555" width="9.42578125" style="456" bestFit="1" customWidth="1"/>
    <col min="11556" max="11556" width="9.140625" style="456"/>
    <col min="11557" max="11557" width="10.5703125" style="456" customWidth="1"/>
    <col min="11558" max="11558" width="9.140625" style="456"/>
    <col min="11559" max="11559" width="22.140625" style="456" bestFit="1" customWidth="1"/>
    <col min="11560" max="11565" width="9.140625" style="456"/>
    <col min="11566" max="11566" width="38.7109375" style="456" customWidth="1"/>
    <col min="11567" max="11567" width="28" style="456" bestFit="1" customWidth="1"/>
    <col min="11568" max="11568" width="11.5703125" style="456" customWidth="1"/>
    <col min="11569" max="11787" width="9.140625" style="456"/>
    <col min="11788" max="11788" width="22.140625" style="456" bestFit="1" customWidth="1"/>
    <col min="11789" max="11789" width="6.85546875" style="456" customWidth="1"/>
    <col min="11790" max="11790" width="7.140625" style="456" customWidth="1"/>
    <col min="11791" max="11791" width="10.42578125" style="456" customWidth="1"/>
    <col min="11792" max="11796" width="9.140625" style="456"/>
    <col min="11797" max="11797" width="22.140625" style="456" bestFit="1" customWidth="1"/>
    <col min="11798" max="11798" width="5.140625" style="456" bestFit="1" customWidth="1"/>
    <col min="11799" max="11799" width="7.140625" style="456" customWidth="1"/>
    <col min="11800" max="11800" width="11.42578125" style="456" customWidth="1"/>
    <col min="11801" max="11803" width="9.140625" style="456"/>
    <col min="11804" max="11804" width="9.85546875" style="456" customWidth="1"/>
    <col min="11805" max="11805" width="9.140625" style="456"/>
    <col min="11806" max="11806" width="22.28515625" style="456" customWidth="1"/>
    <col min="11807" max="11807" width="5.140625" style="456" bestFit="1" customWidth="1"/>
    <col min="11808" max="11808" width="6.85546875" style="456" customWidth="1"/>
    <col min="11809" max="11809" width="8.140625" style="456" bestFit="1" customWidth="1"/>
    <col min="11810" max="11810" width="9.140625" style="456"/>
    <col min="11811" max="11811" width="9.42578125" style="456" bestFit="1" customWidth="1"/>
    <col min="11812" max="11812" width="9.140625" style="456"/>
    <col min="11813" max="11813" width="10.5703125" style="456" customWidth="1"/>
    <col min="11814" max="11814" width="9.140625" style="456"/>
    <col min="11815" max="11815" width="22.140625" style="456" bestFit="1" customWidth="1"/>
    <col min="11816" max="11821" width="9.140625" style="456"/>
    <col min="11822" max="11822" width="38.7109375" style="456" customWidth="1"/>
    <col min="11823" max="11823" width="28" style="456" bestFit="1" customWidth="1"/>
    <col min="11824" max="11824" width="11.5703125" style="456" customWidth="1"/>
    <col min="11825" max="12043" width="9.140625" style="456"/>
    <col min="12044" max="12044" width="22.140625" style="456" bestFit="1" customWidth="1"/>
    <col min="12045" max="12045" width="6.85546875" style="456" customWidth="1"/>
    <col min="12046" max="12046" width="7.140625" style="456" customWidth="1"/>
    <col min="12047" max="12047" width="10.42578125" style="456" customWidth="1"/>
    <col min="12048" max="12052" width="9.140625" style="456"/>
    <col min="12053" max="12053" width="22.140625" style="456" bestFit="1" customWidth="1"/>
    <col min="12054" max="12054" width="5.140625" style="456" bestFit="1" customWidth="1"/>
    <col min="12055" max="12055" width="7.140625" style="456" customWidth="1"/>
    <col min="12056" max="12056" width="11.42578125" style="456" customWidth="1"/>
    <col min="12057" max="12059" width="9.140625" style="456"/>
    <col min="12060" max="12060" width="9.85546875" style="456" customWidth="1"/>
    <col min="12061" max="12061" width="9.140625" style="456"/>
    <col min="12062" max="12062" width="22.28515625" style="456" customWidth="1"/>
    <col min="12063" max="12063" width="5.140625" style="456" bestFit="1" customWidth="1"/>
    <col min="12064" max="12064" width="6.85546875" style="456" customWidth="1"/>
    <col min="12065" max="12065" width="8.140625" style="456" bestFit="1" customWidth="1"/>
    <col min="12066" max="12066" width="9.140625" style="456"/>
    <col min="12067" max="12067" width="9.42578125" style="456" bestFit="1" customWidth="1"/>
    <col min="12068" max="12068" width="9.140625" style="456"/>
    <col min="12069" max="12069" width="10.5703125" style="456" customWidth="1"/>
    <col min="12070" max="12070" width="9.140625" style="456"/>
    <col min="12071" max="12071" width="22.140625" style="456" bestFit="1" customWidth="1"/>
    <col min="12072" max="12077" width="9.140625" style="456"/>
    <col min="12078" max="12078" width="38.7109375" style="456" customWidth="1"/>
    <col min="12079" max="12079" width="28" style="456" bestFit="1" customWidth="1"/>
    <col min="12080" max="12080" width="11.5703125" style="456" customWidth="1"/>
    <col min="12081" max="12299" width="9.140625" style="456"/>
    <col min="12300" max="12300" width="22.140625" style="456" bestFit="1" customWidth="1"/>
    <col min="12301" max="12301" width="6.85546875" style="456" customWidth="1"/>
    <col min="12302" max="12302" width="7.140625" style="456" customWidth="1"/>
    <col min="12303" max="12303" width="10.42578125" style="456" customWidth="1"/>
    <col min="12304" max="12308" width="9.140625" style="456"/>
    <col min="12309" max="12309" width="22.140625" style="456" bestFit="1" customWidth="1"/>
    <col min="12310" max="12310" width="5.140625" style="456" bestFit="1" customWidth="1"/>
    <col min="12311" max="12311" width="7.140625" style="456" customWidth="1"/>
    <col min="12312" max="12312" width="11.42578125" style="456" customWidth="1"/>
    <col min="12313" max="12315" width="9.140625" style="456"/>
    <col min="12316" max="12316" width="9.85546875" style="456" customWidth="1"/>
    <col min="12317" max="12317" width="9.140625" style="456"/>
    <col min="12318" max="12318" width="22.28515625" style="456" customWidth="1"/>
    <col min="12319" max="12319" width="5.140625" style="456" bestFit="1" customWidth="1"/>
    <col min="12320" max="12320" width="6.85546875" style="456" customWidth="1"/>
    <col min="12321" max="12321" width="8.140625" style="456" bestFit="1" customWidth="1"/>
    <col min="12322" max="12322" width="9.140625" style="456"/>
    <col min="12323" max="12323" width="9.42578125" style="456" bestFit="1" customWidth="1"/>
    <col min="12324" max="12324" width="9.140625" style="456"/>
    <col min="12325" max="12325" width="10.5703125" style="456" customWidth="1"/>
    <col min="12326" max="12326" width="9.140625" style="456"/>
    <col min="12327" max="12327" width="22.140625" style="456" bestFit="1" customWidth="1"/>
    <col min="12328" max="12333" width="9.140625" style="456"/>
    <col min="12334" max="12334" width="38.7109375" style="456" customWidth="1"/>
    <col min="12335" max="12335" width="28" style="456" bestFit="1" customWidth="1"/>
    <col min="12336" max="12336" width="11.5703125" style="456" customWidth="1"/>
    <col min="12337" max="12555" width="9.140625" style="456"/>
    <col min="12556" max="12556" width="22.140625" style="456" bestFit="1" customWidth="1"/>
    <col min="12557" max="12557" width="6.85546875" style="456" customWidth="1"/>
    <col min="12558" max="12558" width="7.140625" style="456" customWidth="1"/>
    <col min="12559" max="12559" width="10.42578125" style="456" customWidth="1"/>
    <col min="12560" max="12564" width="9.140625" style="456"/>
    <col min="12565" max="12565" width="22.140625" style="456" bestFit="1" customWidth="1"/>
    <col min="12566" max="12566" width="5.140625" style="456" bestFit="1" customWidth="1"/>
    <col min="12567" max="12567" width="7.140625" style="456" customWidth="1"/>
    <col min="12568" max="12568" width="11.42578125" style="456" customWidth="1"/>
    <col min="12569" max="12571" width="9.140625" style="456"/>
    <col min="12572" max="12572" width="9.85546875" style="456" customWidth="1"/>
    <col min="12573" max="12573" width="9.140625" style="456"/>
    <col min="12574" max="12574" width="22.28515625" style="456" customWidth="1"/>
    <col min="12575" max="12575" width="5.140625" style="456" bestFit="1" customWidth="1"/>
    <col min="12576" max="12576" width="6.85546875" style="456" customWidth="1"/>
    <col min="12577" max="12577" width="8.140625" style="456" bestFit="1" customWidth="1"/>
    <col min="12578" max="12578" width="9.140625" style="456"/>
    <col min="12579" max="12579" width="9.42578125" style="456" bestFit="1" customWidth="1"/>
    <col min="12580" max="12580" width="9.140625" style="456"/>
    <col min="12581" max="12581" width="10.5703125" style="456" customWidth="1"/>
    <col min="12582" max="12582" width="9.140625" style="456"/>
    <col min="12583" max="12583" width="22.140625" style="456" bestFit="1" customWidth="1"/>
    <col min="12584" max="12589" width="9.140625" style="456"/>
    <col min="12590" max="12590" width="38.7109375" style="456" customWidth="1"/>
    <col min="12591" max="12591" width="28" style="456" bestFit="1" customWidth="1"/>
    <col min="12592" max="12592" width="11.5703125" style="456" customWidth="1"/>
    <col min="12593" max="12811" width="9.140625" style="456"/>
    <col min="12812" max="12812" width="22.140625" style="456" bestFit="1" customWidth="1"/>
    <col min="12813" max="12813" width="6.85546875" style="456" customWidth="1"/>
    <col min="12814" max="12814" width="7.140625" style="456" customWidth="1"/>
    <col min="12815" max="12815" width="10.42578125" style="456" customWidth="1"/>
    <col min="12816" max="12820" width="9.140625" style="456"/>
    <col min="12821" max="12821" width="22.140625" style="456" bestFit="1" customWidth="1"/>
    <col min="12822" max="12822" width="5.140625" style="456" bestFit="1" customWidth="1"/>
    <col min="12823" max="12823" width="7.140625" style="456" customWidth="1"/>
    <col min="12824" max="12824" width="11.42578125" style="456" customWidth="1"/>
    <col min="12825" max="12827" width="9.140625" style="456"/>
    <col min="12828" max="12828" width="9.85546875" style="456" customWidth="1"/>
    <col min="12829" max="12829" width="9.140625" style="456"/>
    <col min="12830" max="12830" width="22.28515625" style="456" customWidth="1"/>
    <col min="12831" max="12831" width="5.140625" style="456" bestFit="1" customWidth="1"/>
    <col min="12832" max="12832" width="6.85546875" style="456" customWidth="1"/>
    <col min="12833" max="12833" width="8.140625" style="456" bestFit="1" customWidth="1"/>
    <col min="12834" max="12834" width="9.140625" style="456"/>
    <col min="12835" max="12835" width="9.42578125" style="456" bestFit="1" customWidth="1"/>
    <col min="12836" max="12836" width="9.140625" style="456"/>
    <col min="12837" max="12837" width="10.5703125" style="456" customWidth="1"/>
    <col min="12838" max="12838" width="9.140625" style="456"/>
    <col min="12839" max="12839" width="22.140625" style="456" bestFit="1" customWidth="1"/>
    <col min="12840" max="12845" width="9.140625" style="456"/>
    <col min="12846" max="12846" width="38.7109375" style="456" customWidth="1"/>
    <col min="12847" max="12847" width="28" style="456" bestFit="1" customWidth="1"/>
    <col min="12848" max="12848" width="11.5703125" style="456" customWidth="1"/>
    <col min="12849" max="13067" width="9.140625" style="456"/>
    <col min="13068" max="13068" width="22.140625" style="456" bestFit="1" customWidth="1"/>
    <col min="13069" max="13069" width="6.85546875" style="456" customWidth="1"/>
    <col min="13070" max="13070" width="7.140625" style="456" customWidth="1"/>
    <col min="13071" max="13071" width="10.42578125" style="456" customWidth="1"/>
    <col min="13072" max="13076" width="9.140625" style="456"/>
    <col min="13077" max="13077" width="22.140625" style="456" bestFit="1" customWidth="1"/>
    <col min="13078" max="13078" width="5.140625" style="456" bestFit="1" customWidth="1"/>
    <col min="13079" max="13079" width="7.140625" style="456" customWidth="1"/>
    <col min="13080" max="13080" width="11.42578125" style="456" customWidth="1"/>
    <col min="13081" max="13083" width="9.140625" style="456"/>
    <col min="13084" max="13084" width="9.85546875" style="456" customWidth="1"/>
    <col min="13085" max="13085" width="9.140625" style="456"/>
    <col min="13086" max="13086" width="22.28515625" style="456" customWidth="1"/>
    <col min="13087" max="13087" width="5.140625" style="456" bestFit="1" customWidth="1"/>
    <col min="13088" max="13088" width="6.85546875" style="456" customWidth="1"/>
    <col min="13089" max="13089" width="8.140625" style="456" bestFit="1" customWidth="1"/>
    <col min="13090" max="13090" width="9.140625" style="456"/>
    <col min="13091" max="13091" width="9.42578125" style="456" bestFit="1" customWidth="1"/>
    <col min="13092" max="13092" width="9.140625" style="456"/>
    <col min="13093" max="13093" width="10.5703125" style="456" customWidth="1"/>
    <col min="13094" max="13094" width="9.140625" style="456"/>
    <col min="13095" max="13095" width="22.140625" style="456" bestFit="1" customWidth="1"/>
    <col min="13096" max="13101" width="9.140625" style="456"/>
    <col min="13102" max="13102" width="38.7109375" style="456" customWidth="1"/>
    <col min="13103" max="13103" width="28" style="456" bestFit="1" customWidth="1"/>
    <col min="13104" max="13104" width="11.5703125" style="456" customWidth="1"/>
    <col min="13105" max="13323" width="9.140625" style="456"/>
    <col min="13324" max="13324" width="22.140625" style="456" bestFit="1" customWidth="1"/>
    <col min="13325" max="13325" width="6.85546875" style="456" customWidth="1"/>
    <col min="13326" max="13326" width="7.140625" style="456" customWidth="1"/>
    <col min="13327" max="13327" width="10.42578125" style="456" customWidth="1"/>
    <col min="13328" max="13332" width="9.140625" style="456"/>
    <col min="13333" max="13333" width="22.140625" style="456" bestFit="1" customWidth="1"/>
    <col min="13334" max="13334" width="5.140625" style="456" bestFit="1" customWidth="1"/>
    <col min="13335" max="13335" width="7.140625" style="456" customWidth="1"/>
    <col min="13336" max="13336" width="11.42578125" style="456" customWidth="1"/>
    <col min="13337" max="13339" width="9.140625" style="456"/>
    <col min="13340" max="13340" width="9.85546875" style="456" customWidth="1"/>
    <col min="13341" max="13341" width="9.140625" style="456"/>
    <col min="13342" max="13342" width="22.28515625" style="456" customWidth="1"/>
    <col min="13343" max="13343" width="5.140625" style="456" bestFit="1" customWidth="1"/>
    <col min="13344" max="13344" width="6.85546875" style="456" customWidth="1"/>
    <col min="13345" max="13345" width="8.140625" style="456" bestFit="1" customWidth="1"/>
    <col min="13346" max="13346" width="9.140625" style="456"/>
    <col min="13347" max="13347" width="9.42578125" style="456" bestFit="1" customWidth="1"/>
    <col min="13348" max="13348" width="9.140625" style="456"/>
    <col min="13349" max="13349" width="10.5703125" style="456" customWidth="1"/>
    <col min="13350" max="13350" width="9.140625" style="456"/>
    <col min="13351" max="13351" width="22.140625" style="456" bestFit="1" customWidth="1"/>
    <col min="13352" max="13357" width="9.140625" style="456"/>
    <col min="13358" max="13358" width="38.7109375" style="456" customWidth="1"/>
    <col min="13359" max="13359" width="28" style="456" bestFit="1" customWidth="1"/>
    <col min="13360" max="13360" width="11.5703125" style="456" customWidth="1"/>
    <col min="13361" max="13579" width="9.140625" style="456"/>
    <col min="13580" max="13580" width="22.140625" style="456" bestFit="1" customWidth="1"/>
    <col min="13581" max="13581" width="6.85546875" style="456" customWidth="1"/>
    <col min="13582" max="13582" width="7.140625" style="456" customWidth="1"/>
    <col min="13583" max="13583" width="10.42578125" style="456" customWidth="1"/>
    <col min="13584" max="13588" width="9.140625" style="456"/>
    <col min="13589" max="13589" width="22.140625" style="456" bestFit="1" customWidth="1"/>
    <col min="13590" max="13590" width="5.140625" style="456" bestFit="1" customWidth="1"/>
    <col min="13591" max="13591" width="7.140625" style="456" customWidth="1"/>
    <col min="13592" max="13592" width="11.42578125" style="456" customWidth="1"/>
    <col min="13593" max="13595" width="9.140625" style="456"/>
    <col min="13596" max="13596" width="9.85546875" style="456" customWidth="1"/>
    <col min="13597" max="13597" width="9.140625" style="456"/>
    <col min="13598" max="13598" width="22.28515625" style="456" customWidth="1"/>
    <col min="13599" max="13599" width="5.140625" style="456" bestFit="1" customWidth="1"/>
    <col min="13600" max="13600" width="6.85546875" style="456" customWidth="1"/>
    <col min="13601" max="13601" width="8.140625" style="456" bestFit="1" customWidth="1"/>
    <col min="13602" max="13602" width="9.140625" style="456"/>
    <col min="13603" max="13603" width="9.42578125" style="456" bestFit="1" customWidth="1"/>
    <col min="13604" max="13604" width="9.140625" style="456"/>
    <col min="13605" max="13605" width="10.5703125" style="456" customWidth="1"/>
    <col min="13606" max="13606" width="9.140625" style="456"/>
    <col min="13607" max="13607" width="22.140625" style="456" bestFit="1" customWidth="1"/>
    <col min="13608" max="13613" width="9.140625" style="456"/>
    <col min="13614" max="13614" width="38.7109375" style="456" customWidth="1"/>
    <col min="13615" max="13615" width="28" style="456" bestFit="1" customWidth="1"/>
    <col min="13616" max="13616" width="11.5703125" style="456" customWidth="1"/>
    <col min="13617" max="13835" width="9.140625" style="456"/>
    <col min="13836" max="13836" width="22.140625" style="456" bestFit="1" customWidth="1"/>
    <col min="13837" max="13837" width="6.85546875" style="456" customWidth="1"/>
    <col min="13838" max="13838" width="7.140625" style="456" customWidth="1"/>
    <col min="13839" max="13839" width="10.42578125" style="456" customWidth="1"/>
    <col min="13840" max="13844" width="9.140625" style="456"/>
    <col min="13845" max="13845" width="22.140625" style="456" bestFit="1" customWidth="1"/>
    <col min="13846" max="13846" width="5.140625" style="456" bestFit="1" customWidth="1"/>
    <col min="13847" max="13847" width="7.140625" style="456" customWidth="1"/>
    <col min="13848" max="13848" width="11.42578125" style="456" customWidth="1"/>
    <col min="13849" max="13851" width="9.140625" style="456"/>
    <col min="13852" max="13852" width="9.85546875" style="456" customWidth="1"/>
    <col min="13853" max="13853" width="9.140625" style="456"/>
    <col min="13854" max="13854" width="22.28515625" style="456" customWidth="1"/>
    <col min="13855" max="13855" width="5.140625" style="456" bestFit="1" customWidth="1"/>
    <col min="13856" max="13856" width="6.85546875" style="456" customWidth="1"/>
    <col min="13857" max="13857" width="8.140625" style="456" bestFit="1" customWidth="1"/>
    <col min="13858" max="13858" width="9.140625" style="456"/>
    <col min="13859" max="13859" width="9.42578125" style="456" bestFit="1" customWidth="1"/>
    <col min="13860" max="13860" width="9.140625" style="456"/>
    <col min="13861" max="13861" width="10.5703125" style="456" customWidth="1"/>
    <col min="13862" max="13862" width="9.140625" style="456"/>
    <col min="13863" max="13863" width="22.140625" style="456" bestFit="1" customWidth="1"/>
    <col min="13864" max="13869" width="9.140625" style="456"/>
    <col min="13870" max="13870" width="38.7109375" style="456" customWidth="1"/>
    <col min="13871" max="13871" width="28" style="456" bestFit="1" customWidth="1"/>
    <col min="13872" max="13872" width="11.5703125" style="456" customWidth="1"/>
    <col min="13873" max="14091" width="9.140625" style="456"/>
    <col min="14092" max="14092" width="22.140625" style="456" bestFit="1" customWidth="1"/>
    <col min="14093" max="14093" width="6.85546875" style="456" customWidth="1"/>
    <col min="14094" max="14094" width="7.140625" style="456" customWidth="1"/>
    <col min="14095" max="14095" width="10.42578125" style="456" customWidth="1"/>
    <col min="14096" max="14100" width="9.140625" style="456"/>
    <col min="14101" max="14101" width="22.140625" style="456" bestFit="1" customWidth="1"/>
    <col min="14102" max="14102" width="5.140625" style="456" bestFit="1" customWidth="1"/>
    <col min="14103" max="14103" width="7.140625" style="456" customWidth="1"/>
    <col min="14104" max="14104" width="11.42578125" style="456" customWidth="1"/>
    <col min="14105" max="14107" width="9.140625" style="456"/>
    <col min="14108" max="14108" width="9.85546875" style="456" customWidth="1"/>
    <col min="14109" max="14109" width="9.140625" style="456"/>
    <col min="14110" max="14110" width="22.28515625" style="456" customWidth="1"/>
    <col min="14111" max="14111" width="5.140625" style="456" bestFit="1" customWidth="1"/>
    <col min="14112" max="14112" width="6.85546875" style="456" customWidth="1"/>
    <col min="14113" max="14113" width="8.140625" style="456" bestFit="1" customWidth="1"/>
    <col min="14114" max="14114" width="9.140625" style="456"/>
    <col min="14115" max="14115" width="9.42578125" style="456" bestFit="1" customWidth="1"/>
    <col min="14116" max="14116" width="9.140625" style="456"/>
    <col min="14117" max="14117" width="10.5703125" style="456" customWidth="1"/>
    <col min="14118" max="14118" width="9.140625" style="456"/>
    <col min="14119" max="14119" width="22.140625" style="456" bestFit="1" customWidth="1"/>
    <col min="14120" max="14125" width="9.140625" style="456"/>
    <col min="14126" max="14126" width="38.7109375" style="456" customWidth="1"/>
    <col min="14127" max="14127" width="28" style="456" bestFit="1" customWidth="1"/>
    <col min="14128" max="14128" width="11.5703125" style="456" customWidth="1"/>
    <col min="14129" max="14347" width="9.140625" style="456"/>
    <col min="14348" max="14348" width="22.140625" style="456" bestFit="1" customWidth="1"/>
    <col min="14349" max="14349" width="6.85546875" style="456" customWidth="1"/>
    <col min="14350" max="14350" width="7.140625" style="456" customWidth="1"/>
    <col min="14351" max="14351" width="10.42578125" style="456" customWidth="1"/>
    <col min="14352" max="14356" width="9.140625" style="456"/>
    <col min="14357" max="14357" width="22.140625" style="456" bestFit="1" customWidth="1"/>
    <col min="14358" max="14358" width="5.140625" style="456" bestFit="1" customWidth="1"/>
    <col min="14359" max="14359" width="7.140625" style="456" customWidth="1"/>
    <col min="14360" max="14360" width="11.42578125" style="456" customWidth="1"/>
    <col min="14361" max="14363" width="9.140625" style="456"/>
    <col min="14364" max="14364" width="9.85546875" style="456" customWidth="1"/>
    <col min="14365" max="14365" width="9.140625" style="456"/>
    <col min="14366" max="14366" width="22.28515625" style="456" customWidth="1"/>
    <col min="14367" max="14367" width="5.140625" style="456" bestFit="1" customWidth="1"/>
    <col min="14368" max="14368" width="6.85546875" style="456" customWidth="1"/>
    <col min="14369" max="14369" width="8.140625" style="456" bestFit="1" customWidth="1"/>
    <col min="14370" max="14370" width="9.140625" style="456"/>
    <col min="14371" max="14371" width="9.42578125" style="456" bestFit="1" customWidth="1"/>
    <col min="14372" max="14372" width="9.140625" style="456"/>
    <col min="14373" max="14373" width="10.5703125" style="456" customWidth="1"/>
    <col min="14374" max="14374" width="9.140625" style="456"/>
    <col min="14375" max="14375" width="22.140625" style="456" bestFit="1" customWidth="1"/>
    <col min="14376" max="14381" width="9.140625" style="456"/>
    <col min="14382" max="14382" width="38.7109375" style="456" customWidth="1"/>
    <col min="14383" max="14383" width="28" style="456" bestFit="1" customWidth="1"/>
    <col min="14384" max="14384" width="11.5703125" style="456" customWidth="1"/>
    <col min="14385" max="14603" width="9.140625" style="456"/>
    <col min="14604" max="14604" width="22.140625" style="456" bestFit="1" customWidth="1"/>
    <col min="14605" max="14605" width="6.85546875" style="456" customWidth="1"/>
    <col min="14606" max="14606" width="7.140625" style="456" customWidth="1"/>
    <col min="14607" max="14607" width="10.42578125" style="456" customWidth="1"/>
    <col min="14608" max="14612" width="9.140625" style="456"/>
    <col min="14613" max="14613" width="22.140625" style="456" bestFit="1" customWidth="1"/>
    <col min="14614" max="14614" width="5.140625" style="456" bestFit="1" customWidth="1"/>
    <col min="14615" max="14615" width="7.140625" style="456" customWidth="1"/>
    <col min="14616" max="14616" width="11.42578125" style="456" customWidth="1"/>
    <col min="14617" max="14619" width="9.140625" style="456"/>
    <col min="14620" max="14620" width="9.85546875" style="456" customWidth="1"/>
    <col min="14621" max="14621" width="9.140625" style="456"/>
    <col min="14622" max="14622" width="22.28515625" style="456" customWidth="1"/>
    <col min="14623" max="14623" width="5.140625" style="456" bestFit="1" customWidth="1"/>
    <col min="14624" max="14624" width="6.85546875" style="456" customWidth="1"/>
    <col min="14625" max="14625" width="8.140625" style="456" bestFit="1" customWidth="1"/>
    <col min="14626" max="14626" width="9.140625" style="456"/>
    <col min="14627" max="14627" width="9.42578125" style="456" bestFit="1" customWidth="1"/>
    <col min="14628" max="14628" width="9.140625" style="456"/>
    <col min="14629" max="14629" width="10.5703125" style="456" customWidth="1"/>
    <col min="14630" max="14630" width="9.140625" style="456"/>
    <col min="14631" max="14631" width="22.140625" style="456" bestFit="1" customWidth="1"/>
    <col min="14632" max="14637" width="9.140625" style="456"/>
    <col min="14638" max="14638" width="38.7109375" style="456" customWidth="1"/>
    <col min="14639" max="14639" width="28" style="456" bestFit="1" customWidth="1"/>
    <col min="14640" max="14640" width="11.5703125" style="456" customWidth="1"/>
    <col min="14641" max="14859" width="9.140625" style="456"/>
    <col min="14860" max="14860" width="22.140625" style="456" bestFit="1" customWidth="1"/>
    <col min="14861" max="14861" width="6.85546875" style="456" customWidth="1"/>
    <col min="14862" max="14862" width="7.140625" style="456" customWidth="1"/>
    <col min="14863" max="14863" width="10.42578125" style="456" customWidth="1"/>
    <col min="14864" max="14868" width="9.140625" style="456"/>
    <col min="14869" max="14869" width="22.140625" style="456" bestFit="1" customWidth="1"/>
    <col min="14870" max="14870" width="5.140625" style="456" bestFit="1" customWidth="1"/>
    <col min="14871" max="14871" width="7.140625" style="456" customWidth="1"/>
    <col min="14872" max="14872" width="11.42578125" style="456" customWidth="1"/>
    <col min="14873" max="14875" width="9.140625" style="456"/>
    <col min="14876" max="14876" width="9.85546875" style="456" customWidth="1"/>
    <col min="14877" max="14877" width="9.140625" style="456"/>
    <col min="14878" max="14878" width="22.28515625" style="456" customWidth="1"/>
    <col min="14879" max="14879" width="5.140625" style="456" bestFit="1" customWidth="1"/>
    <col min="14880" max="14880" width="6.85546875" style="456" customWidth="1"/>
    <col min="14881" max="14881" width="8.140625" style="456" bestFit="1" customWidth="1"/>
    <col min="14882" max="14882" width="9.140625" style="456"/>
    <col min="14883" max="14883" width="9.42578125" style="456" bestFit="1" customWidth="1"/>
    <col min="14884" max="14884" width="9.140625" style="456"/>
    <col min="14885" max="14885" width="10.5703125" style="456" customWidth="1"/>
    <col min="14886" max="14886" width="9.140625" style="456"/>
    <col min="14887" max="14887" width="22.140625" style="456" bestFit="1" customWidth="1"/>
    <col min="14888" max="14893" width="9.140625" style="456"/>
    <col min="14894" max="14894" width="38.7109375" style="456" customWidth="1"/>
    <col min="14895" max="14895" width="28" style="456" bestFit="1" customWidth="1"/>
    <col min="14896" max="14896" width="11.5703125" style="456" customWidth="1"/>
    <col min="14897" max="15115" width="9.140625" style="456"/>
    <col min="15116" max="15116" width="22.140625" style="456" bestFit="1" customWidth="1"/>
    <col min="15117" max="15117" width="6.85546875" style="456" customWidth="1"/>
    <col min="15118" max="15118" width="7.140625" style="456" customWidth="1"/>
    <col min="15119" max="15119" width="10.42578125" style="456" customWidth="1"/>
    <col min="15120" max="15124" width="9.140625" style="456"/>
    <col min="15125" max="15125" width="22.140625" style="456" bestFit="1" customWidth="1"/>
    <col min="15126" max="15126" width="5.140625" style="456" bestFit="1" customWidth="1"/>
    <col min="15127" max="15127" width="7.140625" style="456" customWidth="1"/>
    <col min="15128" max="15128" width="11.42578125" style="456" customWidth="1"/>
    <col min="15129" max="15131" width="9.140625" style="456"/>
    <col min="15132" max="15132" width="9.85546875" style="456" customWidth="1"/>
    <col min="15133" max="15133" width="9.140625" style="456"/>
    <col min="15134" max="15134" width="22.28515625" style="456" customWidth="1"/>
    <col min="15135" max="15135" width="5.140625" style="456" bestFit="1" customWidth="1"/>
    <col min="15136" max="15136" width="6.85546875" style="456" customWidth="1"/>
    <col min="15137" max="15137" width="8.140625" style="456" bestFit="1" customWidth="1"/>
    <col min="15138" max="15138" width="9.140625" style="456"/>
    <col min="15139" max="15139" width="9.42578125" style="456" bestFit="1" customWidth="1"/>
    <col min="15140" max="15140" width="9.140625" style="456"/>
    <col min="15141" max="15141" width="10.5703125" style="456" customWidth="1"/>
    <col min="15142" max="15142" width="9.140625" style="456"/>
    <col min="15143" max="15143" width="22.140625" style="456" bestFit="1" customWidth="1"/>
    <col min="15144" max="15149" width="9.140625" style="456"/>
    <col min="15150" max="15150" width="38.7109375" style="456" customWidth="1"/>
    <col min="15151" max="15151" width="28" style="456" bestFit="1" customWidth="1"/>
    <col min="15152" max="15152" width="11.5703125" style="456" customWidth="1"/>
    <col min="15153" max="15371" width="9.140625" style="456"/>
    <col min="15372" max="15372" width="22.140625" style="456" bestFit="1" customWidth="1"/>
    <col min="15373" max="15373" width="6.85546875" style="456" customWidth="1"/>
    <col min="15374" max="15374" width="7.140625" style="456" customWidth="1"/>
    <col min="15375" max="15375" width="10.42578125" style="456" customWidth="1"/>
    <col min="15376" max="15380" width="9.140625" style="456"/>
    <col min="15381" max="15381" width="22.140625" style="456" bestFit="1" customWidth="1"/>
    <col min="15382" max="15382" width="5.140625" style="456" bestFit="1" customWidth="1"/>
    <col min="15383" max="15383" width="7.140625" style="456" customWidth="1"/>
    <col min="15384" max="15384" width="11.42578125" style="456" customWidth="1"/>
    <col min="15385" max="15387" width="9.140625" style="456"/>
    <col min="15388" max="15388" width="9.85546875" style="456" customWidth="1"/>
    <col min="15389" max="15389" width="9.140625" style="456"/>
    <col min="15390" max="15390" width="22.28515625" style="456" customWidth="1"/>
    <col min="15391" max="15391" width="5.140625" style="456" bestFit="1" customWidth="1"/>
    <col min="15392" max="15392" width="6.85546875" style="456" customWidth="1"/>
    <col min="15393" max="15393" width="8.140625" style="456" bestFit="1" customWidth="1"/>
    <col min="15394" max="15394" width="9.140625" style="456"/>
    <col min="15395" max="15395" width="9.42578125" style="456" bestFit="1" customWidth="1"/>
    <col min="15396" max="15396" width="9.140625" style="456"/>
    <col min="15397" max="15397" width="10.5703125" style="456" customWidth="1"/>
    <col min="15398" max="15398" width="9.140625" style="456"/>
    <col min="15399" max="15399" width="22.140625" style="456" bestFit="1" customWidth="1"/>
    <col min="15400" max="15405" width="9.140625" style="456"/>
    <col min="15406" max="15406" width="38.7109375" style="456" customWidth="1"/>
    <col min="15407" max="15407" width="28" style="456" bestFit="1" customWidth="1"/>
    <col min="15408" max="15408" width="11.5703125" style="456" customWidth="1"/>
    <col min="15409" max="15627" width="9.140625" style="456"/>
    <col min="15628" max="15628" width="22.140625" style="456" bestFit="1" customWidth="1"/>
    <col min="15629" max="15629" width="6.85546875" style="456" customWidth="1"/>
    <col min="15630" max="15630" width="7.140625" style="456" customWidth="1"/>
    <col min="15631" max="15631" width="10.42578125" style="456" customWidth="1"/>
    <col min="15632" max="15636" width="9.140625" style="456"/>
    <col min="15637" max="15637" width="22.140625" style="456" bestFit="1" customWidth="1"/>
    <col min="15638" max="15638" width="5.140625" style="456" bestFit="1" customWidth="1"/>
    <col min="15639" max="15639" width="7.140625" style="456" customWidth="1"/>
    <col min="15640" max="15640" width="11.42578125" style="456" customWidth="1"/>
    <col min="15641" max="15643" width="9.140625" style="456"/>
    <col min="15644" max="15644" width="9.85546875" style="456" customWidth="1"/>
    <col min="15645" max="15645" width="9.140625" style="456"/>
    <col min="15646" max="15646" width="22.28515625" style="456" customWidth="1"/>
    <col min="15647" max="15647" width="5.140625" style="456" bestFit="1" customWidth="1"/>
    <col min="15648" max="15648" width="6.85546875" style="456" customWidth="1"/>
    <col min="15649" max="15649" width="8.140625" style="456" bestFit="1" customWidth="1"/>
    <col min="15650" max="15650" width="9.140625" style="456"/>
    <col min="15651" max="15651" width="9.42578125" style="456" bestFit="1" customWidth="1"/>
    <col min="15652" max="15652" width="9.140625" style="456"/>
    <col min="15653" max="15653" width="10.5703125" style="456" customWidth="1"/>
    <col min="15654" max="15654" width="9.140625" style="456"/>
    <col min="15655" max="15655" width="22.140625" style="456" bestFit="1" customWidth="1"/>
    <col min="15656" max="15661" width="9.140625" style="456"/>
    <col min="15662" max="15662" width="38.7109375" style="456" customWidth="1"/>
    <col min="15663" max="15663" width="28" style="456" bestFit="1" customWidth="1"/>
    <col min="15664" max="15664" width="11.5703125" style="456" customWidth="1"/>
    <col min="15665" max="15883" width="9.140625" style="456"/>
    <col min="15884" max="15884" width="22.140625" style="456" bestFit="1" customWidth="1"/>
    <col min="15885" max="15885" width="6.85546875" style="456" customWidth="1"/>
    <col min="15886" max="15886" width="7.140625" style="456" customWidth="1"/>
    <col min="15887" max="15887" width="10.42578125" style="456" customWidth="1"/>
    <col min="15888" max="15892" width="9.140625" style="456"/>
    <col min="15893" max="15893" width="22.140625" style="456" bestFit="1" customWidth="1"/>
    <col min="15894" max="15894" width="5.140625" style="456" bestFit="1" customWidth="1"/>
    <col min="15895" max="15895" width="7.140625" style="456" customWidth="1"/>
    <col min="15896" max="15896" width="11.42578125" style="456" customWidth="1"/>
    <col min="15897" max="15899" width="9.140625" style="456"/>
    <col min="15900" max="15900" width="9.85546875" style="456" customWidth="1"/>
    <col min="15901" max="15901" width="9.140625" style="456"/>
    <col min="15902" max="15902" width="22.28515625" style="456" customWidth="1"/>
    <col min="15903" max="15903" width="5.140625" style="456" bestFit="1" customWidth="1"/>
    <col min="15904" max="15904" width="6.85546875" style="456" customWidth="1"/>
    <col min="15905" max="15905" width="8.140625" style="456" bestFit="1" customWidth="1"/>
    <col min="15906" max="15906" width="9.140625" style="456"/>
    <col min="15907" max="15907" width="9.42578125" style="456" bestFit="1" customWidth="1"/>
    <col min="15908" max="15908" width="9.140625" style="456"/>
    <col min="15909" max="15909" width="10.5703125" style="456" customWidth="1"/>
    <col min="15910" max="15910" width="9.140625" style="456"/>
    <col min="15911" max="15911" width="22.140625" style="456" bestFit="1" customWidth="1"/>
    <col min="15912" max="15917" width="9.140625" style="456"/>
    <col min="15918" max="15918" width="38.7109375" style="456" customWidth="1"/>
    <col min="15919" max="15919" width="28" style="456" bestFit="1" customWidth="1"/>
    <col min="15920" max="15920" width="11.5703125" style="456" customWidth="1"/>
    <col min="15921" max="16139" width="9.140625" style="456"/>
    <col min="16140" max="16140" width="22.140625" style="456" bestFit="1" customWidth="1"/>
    <col min="16141" max="16141" width="6.85546875" style="456" customWidth="1"/>
    <col min="16142" max="16142" width="7.140625" style="456" customWidth="1"/>
    <col min="16143" max="16143" width="10.42578125" style="456" customWidth="1"/>
    <col min="16144" max="16148" width="9.140625" style="456"/>
    <col min="16149" max="16149" width="22.140625" style="456" bestFit="1" customWidth="1"/>
    <col min="16150" max="16150" width="5.140625" style="456" bestFit="1" customWidth="1"/>
    <col min="16151" max="16151" width="7.140625" style="456" customWidth="1"/>
    <col min="16152" max="16152" width="11.42578125" style="456" customWidth="1"/>
    <col min="16153" max="16155" width="9.140625" style="456"/>
    <col min="16156" max="16156" width="9.85546875" style="456" customWidth="1"/>
    <col min="16157" max="16157" width="9.140625" style="456"/>
    <col min="16158" max="16158" width="22.28515625" style="456" customWidth="1"/>
    <col min="16159" max="16159" width="5.140625" style="456" bestFit="1" customWidth="1"/>
    <col min="16160" max="16160" width="6.85546875" style="456" customWidth="1"/>
    <col min="16161" max="16161" width="8.140625" style="456" bestFit="1" customWidth="1"/>
    <col min="16162" max="16162" width="9.140625" style="456"/>
    <col min="16163" max="16163" width="9.42578125" style="456" bestFit="1" customWidth="1"/>
    <col min="16164" max="16164" width="9.140625" style="456"/>
    <col min="16165" max="16165" width="10.5703125" style="456" customWidth="1"/>
    <col min="16166" max="16166" width="9.140625" style="456"/>
    <col min="16167" max="16167" width="22.140625" style="456" bestFit="1" customWidth="1"/>
    <col min="16168" max="16173" width="9.140625" style="456"/>
    <col min="16174" max="16174" width="38.7109375" style="456" customWidth="1"/>
    <col min="16175" max="16175" width="28" style="456" bestFit="1" customWidth="1"/>
    <col min="16176" max="16176" width="11.5703125" style="456" customWidth="1"/>
    <col min="16177" max="16384" width="9.140625" style="456"/>
  </cols>
  <sheetData>
    <row r="2" spans="2:46" ht="13.5" thickBot="1" x14ac:dyDescent="0.25"/>
    <row r="3" spans="2:46" ht="15.75" customHeight="1" thickBot="1" x14ac:dyDescent="0.3">
      <c r="E3" s="1164" t="s">
        <v>582</v>
      </c>
      <c r="H3" s="1169" t="s">
        <v>411</v>
      </c>
      <c r="I3" s="1168"/>
      <c r="J3" s="1168"/>
      <c r="K3" s="1167"/>
      <c r="L3" s="433"/>
      <c r="M3" s="1169" t="s">
        <v>410</v>
      </c>
      <c r="N3" s="1168"/>
      <c r="O3" s="1168"/>
      <c r="P3" s="1167"/>
      <c r="Q3" s="433"/>
      <c r="R3" s="1169" t="s">
        <v>409</v>
      </c>
      <c r="S3" s="1168"/>
      <c r="T3" s="1168"/>
      <c r="U3" s="1167"/>
      <c r="V3" s="433"/>
      <c r="W3" s="1169" t="s">
        <v>408</v>
      </c>
      <c r="X3" s="1168"/>
      <c r="Y3" s="1168"/>
      <c r="Z3" s="1167"/>
      <c r="AA3" s="433"/>
      <c r="AB3" s="1169" t="s">
        <v>407</v>
      </c>
      <c r="AC3" s="1168"/>
      <c r="AD3" s="1168"/>
      <c r="AE3" s="1167"/>
      <c r="AF3" s="433"/>
      <c r="AG3" s="1169" t="s">
        <v>406</v>
      </c>
      <c r="AH3" s="1171"/>
      <c r="AI3" s="1171"/>
      <c r="AJ3" s="1170"/>
      <c r="AK3" s="433"/>
      <c r="AL3" s="1169" t="s">
        <v>405</v>
      </c>
      <c r="AM3" s="1168"/>
      <c r="AN3" s="1168"/>
      <c r="AO3" s="1167"/>
      <c r="AP3" s="433"/>
      <c r="AQ3" s="1169" t="s">
        <v>404</v>
      </c>
      <c r="AR3" s="1168"/>
      <c r="AS3" s="1168"/>
      <c r="AT3" s="1167"/>
    </row>
    <row r="4" spans="2:46" ht="15.75" customHeight="1" x14ac:dyDescent="0.25">
      <c r="B4" s="1166"/>
      <c r="C4" s="1165" t="s">
        <v>310</v>
      </c>
      <c r="D4" s="1164" t="s">
        <v>583</v>
      </c>
      <c r="E4" s="707">
        <f>(D5-C5)/C5</f>
        <v>0.22610283081842841</v>
      </c>
      <c r="H4" s="409"/>
      <c r="I4" s="433" t="s">
        <v>377</v>
      </c>
      <c r="J4" s="419" t="s">
        <v>380</v>
      </c>
      <c r="K4" s="1163" t="s">
        <v>625</v>
      </c>
      <c r="L4" s="1097"/>
      <c r="M4" s="409"/>
      <c r="N4" s="433" t="s">
        <v>377</v>
      </c>
      <c r="O4" s="419" t="s">
        <v>380</v>
      </c>
      <c r="P4" s="1163" t="s">
        <v>625</v>
      </c>
      <c r="Q4" s="420"/>
      <c r="R4" s="409"/>
      <c r="S4" s="433" t="s">
        <v>377</v>
      </c>
      <c r="T4" s="419" t="s">
        <v>380</v>
      </c>
      <c r="U4" s="1163" t="s">
        <v>625</v>
      </c>
      <c r="V4" s="420"/>
      <c r="W4" s="409"/>
      <c r="X4" s="433" t="s">
        <v>377</v>
      </c>
      <c r="Y4" s="419" t="s">
        <v>380</v>
      </c>
      <c r="Z4" s="1163" t="s">
        <v>625</v>
      </c>
      <c r="AA4" s="420"/>
      <c r="AB4" s="409"/>
      <c r="AC4" s="433" t="s">
        <v>377</v>
      </c>
      <c r="AD4" s="419" t="s">
        <v>380</v>
      </c>
      <c r="AE4" s="1163" t="s">
        <v>625</v>
      </c>
      <c r="AF4" s="420"/>
      <c r="AG4" s="409"/>
      <c r="AH4" s="433" t="s">
        <v>377</v>
      </c>
      <c r="AI4" s="419" t="s">
        <v>380</v>
      </c>
      <c r="AJ4" s="1163" t="s">
        <v>625</v>
      </c>
      <c r="AK4" s="420"/>
      <c r="AL4" s="409"/>
      <c r="AM4" s="433" t="s">
        <v>377</v>
      </c>
      <c r="AN4" s="419" t="s">
        <v>380</v>
      </c>
      <c r="AO4" s="1163" t="s">
        <v>625</v>
      </c>
      <c r="AP4" s="420"/>
      <c r="AQ4" s="167"/>
      <c r="AR4" s="433" t="s">
        <v>377</v>
      </c>
      <c r="AS4" s="419" t="s">
        <v>380</v>
      </c>
      <c r="AT4" s="1163" t="s">
        <v>625</v>
      </c>
    </row>
    <row r="5" spans="2:46" ht="15" x14ac:dyDescent="0.25">
      <c r="B5" s="953" t="s">
        <v>624</v>
      </c>
      <c r="C5" s="1162">
        <v>39.135602236627847</v>
      </c>
      <c r="D5" s="1160">
        <f>K30</f>
        <v>47.984272688113421</v>
      </c>
      <c r="E5" s="707">
        <f>(D6-C6)/C6</f>
        <v>0.22757302290893222</v>
      </c>
      <c r="G5" s="456">
        <v>1</v>
      </c>
      <c r="H5" s="1120" t="str">
        <f>IF(INDEX('Master Lookup'!$B$300:$B$307,G5)=0,"",INDEX('Master Lookup'!$B$300:$B$307,G5))</f>
        <v>Management</v>
      </c>
      <c r="I5" s="1158">
        <f>IFERROR(INDEX('Master Lookup'!$D$354:$D$358,MATCH(H5,'Master Lookup'!$B$354:$B$358,0)),"")</f>
        <v>79415.232000000018</v>
      </c>
      <c r="J5" s="1157">
        <f>IFERROR(INDEX('Master Lookup'!$E$354:$E$358,MATCH(H5,'Master Lookup'!$B$354:$B$358,0)),"")</f>
        <v>0.20793500000000001</v>
      </c>
      <c r="K5" s="759">
        <f>I5*J5</f>
        <v>16513.206265920006</v>
      </c>
      <c r="L5" s="761"/>
      <c r="M5" s="1120" t="str">
        <f>IF(INDEX('Master Lookup'!$B$300:$B$307,G5)=0,"",INDEX('Master Lookup'!$B$300:$B$307,G5))</f>
        <v>Management</v>
      </c>
      <c r="N5" s="1158">
        <f>IFERROR(INDEX('Master Lookup'!$D$354:$D$358,MATCH(M5,'Master Lookup'!$B$354:$B$358,0)),"")</f>
        <v>79415.232000000018</v>
      </c>
      <c r="O5" s="1157">
        <f>IFERROR(INDEX('Master Lookup'!$F$354:$F$358,MATCH(M5,'Master Lookup'!$B$354:$B$358,0)),"")</f>
        <v>0.20793500000000001</v>
      </c>
      <c r="P5" s="759">
        <f>N5*O5</f>
        <v>16513.206265920006</v>
      </c>
      <c r="Q5" s="761"/>
      <c r="R5" s="1120" t="str">
        <f>IF(INDEX('Master Lookup'!$B$300:$B$307,G5)=0,"",INDEX('Master Lookup'!$B$300:$B$307,G5))</f>
        <v>Management</v>
      </c>
      <c r="S5" s="1158">
        <f>IFERROR(INDEX('Master Lookup'!$D$354:$D$358,MATCH(R5,'Master Lookup'!$B$354:$B$358,0)),"")</f>
        <v>79415.232000000018</v>
      </c>
      <c r="T5" s="1157">
        <f>IFERROR(INDEX('Master Lookup'!$G$354:$G$358,MATCH(R5,'Master Lookup'!$B$354:$B$358,0)),"")</f>
        <v>0.45454499999999998</v>
      </c>
      <c r="U5" s="759">
        <f>S5*T5</f>
        <v>36097.796629440003</v>
      </c>
      <c r="V5" s="761"/>
      <c r="W5" s="1161" t="s">
        <v>376</v>
      </c>
      <c r="X5" s="1158">
        <f>IFERROR(INDEX('Master Lookup'!$D$354:$D$358,MATCH(W5,'Master Lookup'!$B$354:$B$358,0)),"")</f>
        <v>79415.232000000018</v>
      </c>
      <c r="Y5" s="1157">
        <f>IFERROR(INDEX('Master Lookup'!$H$354:$H$358,MATCH(W5,'Master Lookup'!$B$354:$B$358,0)),"")</f>
        <v>0.17141010000000001</v>
      </c>
      <c r="Z5" s="759">
        <f>X5*Y5</f>
        <v>13612.572858643203</v>
      </c>
      <c r="AA5" s="761"/>
      <c r="AB5" s="1161" t="s">
        <v>376</v>
      </c>
      <c r="AC5" s="1158">
        <f>IFERROR(INDEX('Master Lookup'!$D$354:$D$358,MATCH(AB5,'Master Lookup'!$B$354:$B$358,0)),"")</f>
        <v>79415.232000000018</v>
      </c>
      <c r="AD5" s="1157">
        <f>IFERROR(INDEX('Master Lookup'!$I$354:$I$358,MATCH(AB5,'Master Lookup'!$B$354:$B$358,0)),"")</f>
        <v>0.57834859999999999</v>
      </c>
      <c r="AE5" s="759">
        <f>AC5*AD5</f>
        <v>45929.688245875208</v>
      </c>
      <c r="AF5" s="761"/>
      <c r="AG5" s="1161" t="s">
        <v>376</v>
      </c>
      <c r="AH5" s="1158">
        <f>IFERROR(INDEX('Master Lookup'!$D$354:$D$358,MATCH(AG5,'Master Lookup'!$B$354:$B$358,0)),"")</f>
        <v>79415.232000000018</v>
      </c>
      <c r="AI5" s="1157">
        <f>IFERROR(INDEX('Master Lookup'!$J$354:$J$358,MATCH(AG5,'Master Lookup'!$B$354:$B$358,0)),"")</f>
        <v>0.69090910000000005</v>
      </c>
      <c r="AJ5" s="759">
        <f>AH5*AI5</f>
        <v>54868.706467411219</v>
      </c>
      <c r="AK5" s="761"/>
      <c r="AL5" s="1161" t="s">
        <v>376</v>
      </c>
      <c r="AM5" s="1158">
        <f>IFERROR(INDEX('Master Lookup'!$D$354:$D$358,MATCH(AL5,'Master Lookup'!$B$354:$B$358,0)),"")</f>
        <v>79415.232000000018</v>
      </c>
      <c r="AN5" s="1157">
        <f>IFERROR(INDEX('Master Lookup'!$K$354:$K$358,MATCH(AL5,'Master Lookup'!$B$354:$B$358,0)),"")</f>
        <v>0.54186582999999999</v>
      </c>
      <c r="AO5" s="759">
        <f>AM5*AN5</f>
        <v>43032.400602322567</v>
      </c>
      <c r="AP5" s="761"/>
      <c r="AQ5" s="1161" t="s">
        <v>376</v>
      </c>
      <c r="AR5" s="1158">
        <f>IFERROR(INDEX('Master Lookup'!$D$354:$D$358,MATCH(AQ5,'Master Lookup'!$B$354:$B$358,0)),"")</f>
        <v>79415.232000000018</v>
      </c>
      <c r="AS5" s="1157">
        <f>IFERROR(INDEX('Master Lookup'!$L$354:$L$358,MATCH(AQ5,'Master Lookup'!$B$354:$B$358,0)),"")</f>
        <v>0.56619470000000005</v>
      </c>
      <c r="AT5" s="759">
        <f>AR5*AS5</f>
        <v>44964.483457670416</v>
      </c>
    </row>
    <row r="6" spans="2:46" ht="15" x14ac:dyDescent="0.25">
      <c r="B6" s="953" t="s">
        <v>623</v>
      </c>
      <c r="C6" s="1162">
        <v>59.093055402935136</v>
      </c>
      <c r="D6" s="1160">
        <f>P30</f>
        <v>72.541040653906094</v>
      </c>
      <c r="E6" s="707">
        <f>(D7-C7)/C7</f>
        <v>0.24609475056621108</v>
      </c>
      <c r="G6" s="456">
        <v>2</v>
      </c>
      <c r="H6" s="1161" t="s">
        <v>391</v>
      </c>
      <c r="I6" s="1158">
        <f>IFERROR(INDEX('Master Lookup'!$D$354:$D$358,MATCH(H6,'Master Lookup'!$B$354:$B$358,0)),"")</f>
        <v>64330.864000000001</v>
      </c>
      <c r="J6" s="1157">
        <f>IFERROR(INDEX('Master Lookup'!$E$354:$E$358,MATCH(H6,'Master Lookup'!$B$354:$B$358,0)),"")</f>
        <v>0.45</v>
      </c>
      <c r="K6" s="759">
        <f>I6*J6</f>
        <v>28948.888800000001</v>
      </c>
      <c r="L6" s="761"/>
      <c r="M6" s="1161" t="s">
        <v>391</v>
      </c>
      <c r="N6" s="1158">
        <f>IFERROR(INDEX('Master Lookup'!$D$354:$D$358,MATCH(M6,'Master Lookup'!$B$354:$B$358,0)),"")</f>
        <v>64330.864000000001</v>
      </c>
      <c r="O6" s="1157">
        <f>IFERROR(INDEX('Master Lookup'!$F$354:$F$358,MATCH(M6,'Master Lookup'!$B$354:$B$358,0)),"")</f>
        <v>0.7</v>
      </c>
      <c r="P6" s="759">
        <f>N6*O6</f>
        <v>45031.604800000001</v>
      </c>
      <c r="Q6" s="761"/>
      <c r="R6" s="1120" t="s">
        <v>403</v>
      </c>
      <c r="S6" s="1158">
        <f>IFERROR(INDEX('Master Lookup'!$D$354:$D$358,MATCH(R6,'Master Lookup'!$B$354:$B$358,0)),"")</f>
        <v>80606.448000000004</v>
      </c>
      <c r="T6" s="1157">
        <f>IFERROR(INDEX('Master Lookup'!$G$354:$G$358,MATCH(R6,'Master Lookup'!$B$354:$B$358,0)),"")</f>
        <v>0.65</v>
      </c>
      <c r="U6" s="759">
        <f>S6*T6</f>
        <v>52394.191200000001</v>
      </c>
      <c r="V6" s="761"/>
      <c r="W6" s="1161" t="s">
        <v>403</v>
      </c>
      <c r="X6" s="1158">
        <f>IFERROR(INDEX('Master Lookup'!$D$354:$D$358,MATCH(W6,'Master Lookup'!$B$354:$B$358,0)),"")</f>
        <v>80606.448000000004</v>
      </c>
      <c r="Y6" s="1157">
        <f>IFERROR(INDEX('Master Lookup'!$H$354:$H$358,MATCH(W6,'Master Lookup'!$B$354:$B$358,0)),"")</f>
        <v>0.52</v>
      </c>
      <c r="Z6" s="759">
        <f>X6*Y6</f>
        <v>41915.352960000004</v>
      </c>
      <c r="AA6" s="761"/>
      <c r="AB6" s="1161" t="s">
        <v>403</v>
      </c>
      <c r="AC6" s="1158">
        <f>IFERROR(INDEX('Master Lookup'!$D$354:$D$358,MATCH(AB6,'Master Lookup'!$B$354:$B$358,0)),"")</f>
        <v>80606.448000000004</v>
      </c>
      <c r="AD6" s="1157">
        <f>IFERROR(INDEX('Master Lookup'!$I$354:$I$358,MATCH(AB6,'Master Lookup'!$B$354:$B$358,0)),"")</f>
        <v>1.02</v>
      </c>
      <c r="AE6" s="759">
        <f>AC6*AD6</f>
        <v>82218.576960000006</v>
      </c>
      <c r="AF6" s="761"/>
      <c r="AG6" s="1161" t="s">
        <v>403</v>
      </c>
      <c r="AH6" s="1158">
        <f>IFERROR(INDEX('Master Lookup'!$D$354:$D$358,MATCH(AG6,'Master Lookup'!$B$354:$B$358,0)),"")</f>
        <v>80606.448000000004</v>
      </c>
      <c r="AI6" s="1157">
        <f>IFERROR(INDEX('Master Lookup'!$J$354:$J$358,MATCH(AG6,'Master Lookup'!$B$354:$B$358,0)),"")</f>
        <v>1.0900000000000001</v>
      </c>
      <c r="AJ6" s="759">
        <f>AH6*AI6</f>
        <v>87861.028320000012</v>
      </c>
      <c r="AK6" s="761"/>
      <c r="AL6" s="1161" t="s">
        <v>403</v>
      </c>
      <c r="AM6" s="1158">
        <f>IFERROR(INDEX('Master Lookup'!$D$354:$D$358,MATCH(AL6,'Master Lookup'!$B$354:$B$358,0)),"")</f>
        <v>80606.448000000004</v>
      </c>
      <c r="AN6" s="1157">
        <f>IFERROR(INDEX('Master Lookup'!$K$354:$K$358,MATCH(AL6,'Master Lookup'!$B$354:$B$358,0)),"")</f>
        <v>1.47</v>
      </c>
      <c r="AO6" s="759">
        <f>AM6*AN6</f>
        <v>118491.47856</v>
      </c>
      <c r="AP6" s="761"/>
      <c r="AQ6" s="1161" t="s">
        <v>403</v>
      </c>
      <c r="AR6" s="1158">
        <f>IFERROR(INDEX('Master Lookup'!$D$354:$D$358,MATCH(AQ6,'Master Lookup'!$B$354:$B$358,0)),"")</f>
        <v>80606.448000000004</v>
      </c>
      <c r="AS6" s="1157">
        <f>IFERROR(INDEX('Master Lookup'!$L$354:$L$358,MATCH(AQ6,'Master Lookup'!$B$354:$B$358,0)),"")</f>
        <v>1.0900000000000001</v>
      </c>
      <c r="AT6" s="759">
        <f>AR6*AS6</f>
        <v>87861.028320000012</v>
      </c>
    </row>
    <row r="7" spans="2:46" ht="15" x14ac:dyDescent="0.25">
      <c r="B7" s="953" t="s">
        <v>622</v>
      </c>
      <c r="C7" s="709">
        <v>73.185812217629731</v>
      </c>
      <c r="D7" s="1160">
        <f>U31</f>
        <v>91.196456420312884</v>
      </c>
      <c r="E7" s="707">
        <f>(D8-C8)/C8</f>
        <v>0.24454501829012892</v>
      </c>
      <c r="G7" s="456">
        <v>3</v>
      </c>
      <c r="H7" s="1159" t="s">
        <v>390</v>
      </c>
      <c r="I7" s="1158">
        <f>IFERROR(INDEX('Master Lookup'!$D$354:$D$358,MATCH(H7,'Master Lookup'!$B$354:$B$358,0)),"")</f>
        <v>53206.566400000003</v>
      </c>
      <c r="J7" s="1157">
        <f>IFERROR(INDEX('Master Lookup'!$E$354:$E$358,MATCH(H7,'Master Lookup'!$B$354:$B$358,0)),"")</f>
        <v>0.95</v>
      </c>
      <c r="K7" s="759">
        <f>I7*J7</f>
        <v>50546.238080000003</v>
      </c>
      <c r="L7" s="761"/>
      <c r="M7" s="1159" t="s">
        <v>390</v>
      </c>
      <c r="N7" s="1158">
        <f>IFERROR(INDEX('Master Lookup'!$D$354:$D$358,MATCH(M7,'Master Lookup'!$B$354:$B$358,0)),"")</f>
        <v>53206.566400000003</v>
      </c>
      <c r="O7" s="1157">
        <f>IFERROR(INDEX('Master Lookup'!$F$354:$F$358,MATCH(M7,'Master Lookup'!$B$354:$B$358,0)),"")</f>
        <v>1.62</v>
      </c>
      <c r="P7" s="759">
        <f>N7*O7</f>
        <v>86194.637568000006</v>
      </c>
      <c r="Q7" s="761"/>
      <c r="R7" s="1161" t="s">
        <v>391</v>
      </c>
      <c r="S7" s="1158">
        <f>IFERROR(INDEX('Master Lookup'!$D$354:$D$358,MATCH(R7,'Master Lookup'!$B$354:$B$358,0)),"")</f>
        <v>64330.864000000001</v>
      </c>
      <c r="T7" s="1157">
        <f>IFERROR(INDEX('Master Lookup'!$G$354:$G$358,MATCH(R7,'Master Lookup'!$B$354:$B$358,0)),"")</f>
        <v>0.64</v>
      </c>
      <c r="U7" s="759">
        <f>S7*T7</f>
        <v>41171.752960000005</v>
      </c>
      <c r="V7" s="761"/>
      <c r="W7" s="1161" t="s">
        <v>391</v>
      </c>
      <c r="X7" s="1158">
        <f>IFERROR(INDEX('Master Lookup'!$D$354:$D$358,MATCH(W7,'Master Lookup'!$B$354:$B$358,0)),"")</f>
        <v>64330.864000000001</v>
      </c>
      <c r="Y7" s="1157">
        <f>IFERROR(INDEX('Master Lookup'!$H$354:$H$358,MATCH(W7,'Master Lookup'!$B$354:$B$358,0)),"")</f>
        <v>0.51</v>
      </c>
      <c r="Z7" s="759">
        <f>X7*Y7</f>
        <v>32808.740640000004</v>
      </c>
      <c r="AA7" s="761"/>
      <c r="AB7" s="1161" t="s">
        <v>391</v>
      </c>
      <c r="AC7" s="1158">
        <f>IFERROR(INDEX('Master Lookup'!$D$354:$D$358,MATCH(AB7,'Master Lookup'!$B$354:$B$358,0)),"")</f>
        <v>64330.864000000001</v>
      </c>
      <c r="AD7" s="1157">
        <f>IFERROR(INDEX('Master Lookup'!$I$354:$I$358,MATCH(AB7,'Master Lookup'!$B$354:$B$358,0)),"")</f>
        <v>1.02</v>
      </c>
      <c r="AE7" s="759">
        <f>AC7*AD7</f>
        <v>65617.481280000007</v>
      </c>
      <c r="AF7" s="761"/>
      <c r="AG7" s="1161" t="s">
        <v>391</v>
      </c>
      <c r="AH7" s="1158">
        <f>IFERROR(INDEX('Master Lookup'!$D$354:$D$358,MATCH(AG7,'Master Lookup'!$B$354:$B$358,0)),"")</f>
        <v>64330.864000000001</v>
      </c>
      <c r="AI7" s="1157">
        <f>IFERROR(INDEX('Master Lookup'!$J$354:$J$358,MATCH(AG7,'Master Lookup'!$B$354:$B$358,0)),"")</f>
        <v>1.0900000000000001</v>
      </c>
      <c r="AJ7" s="759">
        <f>AH7*AI7</f>
        <v>70120.641760000013</v>
      </c>
      <c r="AK7" s="761"/>
      <c r="AL7" s="1161" t="s">
        <v>391</v>
      </c>
      <c r="AM7" s="1158">
        <f>IFERROR(INDEX('Master Lookup'!$D$354:$D$358,MATCH(AL7,'Master Lookup'!$B$354:$B$358,0)),"")</f>
        <v>64330.864000000001</v>
      </c>
      <c r="AN7" s="1157">
        <f>IFERROR(INDEX('Master Lookup'!$K$354:$K$358,MATCH(AL7,'Master Lookup'!$B$354:$B$358,0)),"")</f>
        <v>1.48</v>
      </c>
      <c r="AO7" s="759">
        <f>AM7*AN7</f>
        <v>95209.678719999996</v>
      </c>
      <c r="AP7" s="761"/>
      <c r="AQ7" s="1161" t="s">
        <v>391</v>
      </c>
      <c r="AR7" s="1158">
        <f>IFERROR(INDEX('Master Lookup'!$D$354:$D$358,MATCH(AQ7,'Master Lookup'!$B$354:$B$358,0)),"")</f>
        <v>64330.864000000001</v>
      </c>
      <c r="AS7" s="1157">
        <f>IFERROR(INDEX('Master Lookup'!$L$354:$L$358,MATCH(AQ7,'Master Lookup'!$B$354:$B$358,0)),"")</f>
        <v>1.0900000000000001</v>
      </c>
      <c r="AT7" s="759">
        <f>AR7*AS7</f>
        <v>70120.641760000013</v>
      </c>
    </row>
    <row r="8" spans="2:46" ht="15" x14ac:dyDescent="0.25">
      <c r="B8" s="953" t="s">
        <v>621</v>
      </c>
      <c r="C8" s="709">
        <v>74.342827898616093</v>
      </c>
      <c r="D8" s="1160">
        <f>Z31</f>
        <v>92.522996106823072</v>
      </c>
      <c r="E8" s="707">
        <f>(D9-C9)/C9</f>
        <v>0.25751627551132139</v>
      </c>
      <c r="G8" s="456">
        <v>4</v>
      </c>
      <c r="H8" s="1159" t="s">
        <v>401</v>
      </c>
      <c r="I8" s="1158">
        <f>IFERROR(INDEX('Master Lookup'!$D$354:$D$358,MATCH(H8,'Master Lookup'!$B$354:$B$358,0)),"")</f>
        <v>41600</v>
      </c>
      <c r="J8" s="1157">
        <f>IFERROR(INDEX('Master Lookup'!$E$354:$E$358,MATCH(H8,'Master Lookup'!$B$354:$B$358,0)),"")</f>
        <v>0.13539999999999999</v>
      </c>
      <c r="K8" s="759">
        <f>I8*J8</f>
        <v>5632.6399999999994</v>
      </c>
      <c r="L8" s="761"/>
      <c r="M8" s="1159" t="s">
        <v>401</v>
      </c>
      <c r="N8" s="1158">
        <f>IFERROR(INDEX('Master Lookup'!$D$354:$D$358,MATCH(M8,'Master Lookup'!$B$354:$B$358,0)),"")</f>
        <v>41600</v>
      </c>
      <c r="O8" s="1157">
        <f>IFERROR(INDEX('Master Lookup'!$F$354:$F$358,MATCH(M8,'Master Lookup'!$B$354:$B$358,0)),"")</f>
        <v>0.13539999999999999</v>
      </c>
      <c r="P8" s="759">
        <f>N8*O8</f>
        <v>5632.6399999999994</v>
      </c>
      <c r="Q8" s="761"/>
      <c r="R8" s="1159" t="s">
        <v>390</v>
      </c>
      <c r="S8" s="1158">
        <f>IFERROR(INDEX('Master Lookup'!$D$354:$D$358,MATCH(R8,'Master Lookup'!$B$354:$B$358,0)),"")</f>
        <v>53206.566400000003</v>
      </c>
      <c r="T8" s="1157">
        <f>IFERROR(INDEX('Master Lookup'!$G$354:$G$358,MATCH(R8,'Master Lookup'!$B$354:$B$358,0)),"")</f>
        <v>1.05</v>
      </c>
      <c r="U8" s="759">
        <f>S8*T8</f>
        <v>55866.894720000004</v>
      </c>
      <c r="V8" s="761"/>
      <c r="W8" s="1159" t="s">
        <v>390</v>
      </c>
      <c r="X8" s="1158">
        <f>IFERROR(INDEX('Master Lookup'!$D$354:$D$358,MATCH(W8,'Master Lookup'!$B$354:$B$358,0)),"")</f>
        <v>53206.566400000003</v>
      </c>
      <c r="Y8" s="1157">
        <f>IFERROR(INDEX('Master Lookup'!$H$354:$H$358,MATCH(W8,'Master Lookup'!$B$354:$B$358,0)),"")</f>
        <v>1.91</v>
      </c>
      <c r="Z8" s="759">
        <f>X8*Y8</f>
        <v>101624.541824</v>
      </c>
      <c r="AA8" s="761"/>
      <c r="AB8" s="1159" t="s">
        <v>390</v>
      </c>
      <c r="AC8" s="1158"/>
      <c r="AD8" s="1157"/>
      <c r="AE8" s="759"/>
      <c r="AF8" s="761"/>
      <c r="AG8" s="1159" t="s">
        <v>390</v>
      </c>
      <c r="AH8" s="1158">
        <f>IFERROR(INDEX('Master Lookup'!$D$354:$D$358,MATCH(AG8,'Master Lookup'!$B$354:$B$358,0)),"")</f>
        <v>53206.566400000003</v>
      </c>
      <c r="AI8" s="1157">
        <f>IFERROR(INDEX('Master Lookup'!$J$354:$J$358,MATCH(AG8,'Master Lookup'!$B$354:$B$358,0)),"")</f>
        <v>1.21</v>
      </c>
      <c r="AJ8" s="759">
        <f>AH8*AI8</f>
        <v>64379.945344</v>
      </c>
      <c r="AK8" s="761"/>
      <c r="AL8" s="1159" t="s">
        <v>390</v>
      </c>
      <c r="AM8" s="1158">
        <f>IFERROR(INDEX('Master Lookup'!$D$354:$D$358,MATCH(AL8,'Master Lookup'!$B$354:$B$358,0)),"")</f>
        <v>53206.566400000003</v>
      </c>
      <c r="AN8" s="1157">
        <f>IFERROR(INDEX('Master Lookup'!$K$354:$K$358,MATCH(AL8,'Master Lookup'!$B$354:$B$358,0)),"")</f>
        <v>3.79</v>
      </c>
      <c r="AO8" s="759">
        <f>AM8*AN8</f>
        <v>201652.88665600002</v>
      </c>
      <c r="AP8" s="761"/>
      <c r="AQ8" s="1159" t="s">
        <v>390</v>
      </c>
      <c r="AR8" s="1158">
        <f>IFERROR(INDEX('Master Lookup'!$D$354:$D$358,MATCH(AQ8,'Master Lookup'!$B$354:$B$358,0)),"")</f>
        <v>53206.566400000003</v>
      </c>
      <c r="AS8" s="1157">
        <f>IFERROR(INDEX('Master Lookup'!$L$354:$L$358,MATCH(AQ8,'Master Lookup'!$B$354:$B$358,0)),"")</f>
        <v>2.39</v>
      </c>
      <c r="AT8" s="759">
        <f>AR8*AS8</f>
        <v>127163.69369600002</v>
      </c>
    </row>
    <row r="9" spans="2:46" ht="15" hidden="1" x14ac:dyDescent="0.25">
      <c r="B9" s="482" t="s">
        <v>620</v>
      </c>
      <c r="C9" s="837">
        <v>72.596324809030975</v>
      </c>
      <c r="D9" s="1155">
        <f>AE31</f>
        <v>91.29105998966277</v>
      </c>
      <c r="E9" s="707">
        <f>(D10-C10)/C10</f>
        <v>0.24921377464139449</v>
      </c>
      <c r="G9" s="456">
        <v>5</v>
      </c>
      <c r="H9" s="1151"/>
      <c r="I9" s="1156"/>
      <c r="J9" s="1149"/>
      <c r="K9" s="1148"/>
      <c r="L9" s="761"/>
      <c r="M9" s="1151"/>
      <c r="N9" s="1150"/>
      <c r="O9" s="1149"/>
      <c r="P9" s="1148"/>
      <c r="Q9" s="761"/>
      <c r="R9" s="1159" t="s">
        <v>401</v>
      </c>
      <c r="S9" s="1158">
        <f>IFERROR(INDEX('Master Lookup'!$D$354:$D$358,MATCH(R9,'Master Lookup'!$B$354:$B$358,0)),"")</f>
        <v>41600</v>
      </c>
      <c r="T9" s="1157">
        <f>IFERROR(INDEX('Master Lookup'!$G$354:$G$358,MATCH(R9,'Master Lookup'!$B$354:$B$358,0)),"")</f>
        <v>0.25</v>
      </c>
      <c r="U9" s="759">
        <f>S9*T9</f>
        <v>10400</v>
      </c>
      <c r="V9" s="761"/>
      <c r="W9" s="1159" t="s">
        <v>401</v>
      </c>
      <c r="X9" s="1158">
        <f>IFERROR(INDEX('Master Lookup'!$D$354:$D$358,MATCH(W9,'Master Lookup'!$B$354:$B$358,0)),"")</f>
        <v>41600</v>
      </c>
      <c r="Y9" s="1157">
        <f>IFERROR(INDEX('Master Lookup'!$H$354:$H$358,MATCH(W9,'Master Lookup'!$B$354:$B$358,0)),"")</f>
        <v>0.1656</v>
      </c>
      <c r="Z9" s="759">
        <f>X9*Y9</f>
        <v>6888.96</v>
      </c>
      <c r="AA9" s="761"/>
      <c r="AB9" s="1159" t="s">
        <v>401</v>
      </c>
      <c r="AC9" s="1158">
        <f>IFERROR(INDEX('Master Lookup'!$D$354:$D$358,MATCH(AB9,'Master Lookup'!$B$354:$B$358,0)),"")</f>
        <v>41600</v>
      </c>
      <c r="AD9" s="1157">
        <f>IFERROR(INDEX('Master Lookup'!$I$354:$I$358,MATCH(AB9,'Master Lookup'!$B$354:$B$358,0)),"")</f>
        <v>0.13059999999999999</v>
      </c>
      <c r="AE9" s="759">
        <f>AC9*AD9</f>
        <v>5432.96</v>
      </c>
      <c r="AF9" s="761"/>
      <c r="AG9" s="1159" t="s">
        <v>401</v>
      </c>
      <c r="AH9" s="1158">
        <f>IFERROR(INDEX('Master Lookup'!$D$354:$D$358,MATCH(AG9,'Master Lookup'!$B$354:$B$358,0)),"")</f>
        <v>41600</v>
      </c>
      <c r="AI9" s="1157">
        <f>IFERROR(INDEX('Master Lookup'!$J$354:$J$358,MATCH(AG9,'Master Lookup'!$B$354:$B$358,0)),"")</f>
        <v>0.2049</v>
      </c>
      <c r="AJ9" s="759">
        <f>AI9*AH9</f>
        <v>8523.84</v>
      </c>
      <c r="AK9" s="761"/>
      <c r="AL9" s="1159" t="s">
        <v>401</v>
      </c>
      <c r="AM9" s="1158">
        <f>IFERROR(INDEX('Master Lookup'!$D$354:$D$358,MATCH(AL9,'Master Lookup'!$B$354:$B$358,0)),"")</f>
        <v>41600</v>
      </c>
      <c r="AN9" s="1157">
        <f>IFERROR(INDEX('Master Lookup'!$K$354:$K$358,MATCH(AL9,'Master Lookup'!$B$354:$B$358,0)),"")</f>
        <v>0.33460000000000001</v>
      </c>
      <c r="AO9" s="759">
        <f>AN9*AM9</f>
        <v>13919.36</v>
      </c>
      <c r="AP9" s="761"/>
      <c r="AQ9" s="1159" t="s">
        <v>401</v>
      </c>
      <c r="AR9" s="1158">
        <f>IFERROR(INDEX('Master Lookup'!$D$354:$D$358,MATCH(AQ9,'Master Lookup'!$B$354:$B$358,0)),"")</f>
        <v>41600</v>
      </c>
      <c r="AS9" s="1157">
        <f>IFERROR(INDEX('Master Lookup'!$L$354:$L$358,MATCH(AQ9,'Master Lookup'!$B$354:$B$358,0)),"")</f>
        <v>0.47349999999999998</v>
      </c>
      <c r="AT9" s="759">
        <f>AS9*AR9</f>
        <v>19697.599999999999</v>
      </c>
    </row>
    <row r="10" spans="2:46" ht="15" hidden="1" x14ac:dyDescent="0.25">
      <c r="B10" s="482" t="s">
        <v>619</v>
      </c>
      <c r="C10" s="837">
        <v>105.96168440373984</v>
      </c>
      <c r="D10" s="1155">
        <f>AJ31</f>
        <v>132.36879574135602</v>
      </c>
      <c r="E10" s="707">
        <f>(D11-C11)/C11</f>
        <v>0.24718867786970058</v>
      </c>
      <c r="G10" s="456">
        <v>6</v>
      </c>
      <c r="H10" s="1151"/>
      <c r="I10" s="1156"/>
      <c r="J10" s="1149"/>
      <c r="K10" s="1148"/>
      <c r="L10" s="761"/>
      <c r="M10" s="1151"/>
      <c r="N10" s="1150"/>
      <c r="O10" s="1149"/>
      <c r="P10" s="1148"/>
      <c r="Q10" s="761"/>
      <c r="R10" s="1151"/>
      <c r="S10" s="1150"/>
      <c r="T10" s="1149"/>
      <c r="U10" s="1148"/>
      <c r="V10" s="761"/>
      <c r="W10" s="1151"/>
      <c r="X10" s="1150"/>
      <c r="Y10" s="1149"/>
      <c r="Z10" s="1148"/>
      <c r="AA10" s="761"/>
      <c r="AB10" s="1151"/>
      <c r="AC10" s="1150"/>
      <c r="AD10" s="1149"/>
      <c r="AE10" s="1148"/>
      <c r="AF10" s="761"/>
      <c r="AG10" s="1151"/>
      <c r="AH10" s="1150"/>
      <c r="AI10" s="1149"/>
      <c r="AJ10" s="1148"/>
      <c r="AK10" s="761"/>
      <c r="AL10" s="1151"/>
      <c r="AM10" s="1150"/>
      <c r="AN10" s="1149"/>
      <c r="AO10" s="1148"/>
      <c r="AP10" s="761"/>
      <c r="AQ10" s="1151"/>
      <c r="AR10" s="1150"/>
      <c r="AS10" s="1149"/>
      <c r="AT10" s="1148"/>
    </row>
    <row r="11" spans="2:46" ht="15.75" thickBot="1" x14ac:dyDescent="0.3">
      <c r="B11" s="482" t="s">
        <v>618</v>
      </c>
      <c r="C11" s="837">
        <v>177.18114101875116</v>
      </c>
      <c r="D11" s="1155">
        <f>AO31</f>
        <v>220.97831301062124</v>
      </c>
      <c r="E11" s="1154">
        <f>(D12-C12)/C12</f>
        <v>0.24634259430145466</v>
      </c>
      <c r="H11" s="1139" t="s">
        <v>503</v>
      </c>
      <c r="I11" s="1130"/>
      <c r="J11" s="1152">
        <f>SUM(J5:J8)</f>
        <v>1.7433349999999999</v>
      </c>
      <c r="K11" s="1153">
        <f>SUM(K5:K10)</f>
        <v>101640.97314592001</v>
      </c>
      <c r="L11" s="1122"/>
      <c r="M11" s="1139" t="s">
        <v>503</v>
      </c>
      <c r="N11" s="1130"/>
      <c r="O11" s="1152">
        <f>SUM(O5:O8)</f>
        <v>2.6633350000000005</v>
      </c>
      <c r="P11" s="1132">
        <f>SUM(P5:P10)</f>
        <v>153372.08863392001</v>
      </c>
      <c r="Q11" s="362"/>
      <c r="R11" s="1151"/>
      <c r="S11" s="1150"/>
      <c r="T11" s="1149"/>
      <c r="U11" s="1148"/>
      <c r="V11" s="362"/>
      <c r="W11" s="1151"/>
      <c r="X11" s="1150"/>
      <c r="Y11" s="1149"/>
      <c r="Z11" s="1148"/>
      <c r="AA11" s="761"/>
      <c r="AB11" s="1151"/>
      <c r="AC11" s="1150"/>
      <c r="AD11" s="1149"/>
      <c r="AE11" s="1148"/>
      <c r="AF11" s="761"/>
      <c r="AG11" s="1151"/>
      <c r="AH11" s="1150"/>
      <c r="AI11" s="1149"/>
      <c r="AJ11" s="1148"/>
      <c r="AK11" s="761"/>
      <c r="AL11" s="1151"/>
      <c r="AM11" s="1150"/>
      <c r="AN11" s="1149"/>
      <c r="AO11" s="1148"/>
      <c r="AP11" s="761"/>
      <c r="AQ11" s="1151"/>
      <c r="AR11" s="1150"/>
      <c r="AS11" s="1149"/>
      <c r="AT11" s="1148"/>
    </row>
    <row r="12" spans="2:46" ht="15.75" thickBot="1" x14ac:dyDescent="0.3">
      <c r="B12" s="1147" t="s">
        <v>617</v>
      </c>
      <c r="C12" s="1017">
        <v>131.21252152939218</v>
      </c>
      <c r="D12" s="1146">
        <f>AT31</f>
        <v>163.53575448777812</v>
      </c>
      <c r="H12" s="1145" t="s">
        <v>368</v>
      </c>
      <c r="I12" s="1144"/>
      <c r="J12" s="543">
        <f>INDEX('Master Lookup'!$C$372:$C$374,MATCH(H12,'Master Lookup'!$B$372:$B$374,0))</f>
        <v>0.27379999999999999</v>
      </c>
      <c r="K12" s="1143">
        <f>K11*J12</f>
        <v>27829.2984473529</v>
      </c>
      <c r="L12" s="1122"/>
      <c r="M12" s="1142" t="s">
        <v>368</v>
      </c>
      <c r="N12" s="1141"/>
      <c r="O12" s="620">
        <f>INDEX('Master Lookup'!$C$372:$C$374,MATCH(M12,'Master Lookup'!$B$372:$B$374,0))</f>
        <v>0.27379999999999999</v>
      </c>
      <c r="P12" s="1140">
        <f>P11*O12</f>
        <v>41993.277867967299</v>
      </c>
      <c r="Q12" s="362"/>
      <c r="R12" s="1139" t="s">
        <v>503</v>
      </c>
      <c r="S12" s="1130"/>
      <c r="T12" s="1137">
        <f>SUM(T5:T9)</f>
        <v>3.0445450000000003</v>
      </c>
      <c r="U12" s="1132">
        <f>SUM(U5:U11)</f>
        <v>195930.63550944004</v>
      </c>
      <c r="V12" s="362"/>
      <c r="W12" s="1138" t="s">
        <v>503</v>
      </c>
      <c r="X12" s="1130"/>
      <c r="Y12" s="1137">
        <f>SUM(Y5:Y9)</f>
        <v>3.2770100999999996</v>
      </c>
      <c r="Z12" s="1129">
        <f>SUM(Z5:Z11)</f>
        <v>196850.16828264322</v>
      </c>
      <c r="AA12" s="362"/>
      <c r="AB12" s="1138" t="s">
        <v>503</v>
      </c>
      <c r="AC12" s="1130"/>
      <c r="AD12" s="1137">
        <f>SUM(AD5:AD9)</f>
        <v>2.7489485999999999</v>
      </c>
      <c r="AE12" s="1129">
        <f>SUM(AE5:AE11)</f>
        <v>199198.70648587521</v>
      </c>
      <c r="AF12" s="761"/>
      <c r="AG12" s="1138" t="s">
        <v>503</v>
      </c>
      <c r="AH12" s="1130"/>
      <c r="AI12" s="1137">
        <f>SUM(AI5:AI11)</f>
        <v>4.2858091000000007</v>
      </c>
      <c r="AJ12" s="1129">
        <f>SUM(AJ5:AJ11)</f>
        <v>285754.16189141129</v>
      </c>
      <c r="AK12" s="761"/>
      <c r="AL12" s="1138" t="s">
        <v>503</v>
      </c>
      <c r="AM12" s="1130"/>
      <c r="AN12" s="1137">
        <f>SUM(AN5:AN11)</f>
        <v>7.6164658300000001</v>
      </c>
      <c r="AO12" s="398">
        <f>SUM(AO5:AO11)</f>
        <v>472305.80453832255</v>
      </c>
      <c r="AP12" s="761"/>
      <c r="AQ12" s="1138" t="s">
        <v>503</v>
      </c>
      <c r="AR12" s="1130"/>
      <c r="AS12" s="1137">
        <f>SUM(AS5:AS11)</f>
        <v>5.6096947000000004</v>
      </c>
      <c r="AT12" s="1129">
        <f>SUM(AT5:AT11)</f>
        <v>349807.44723367045</v>
      </c>
    </row>
    <row r="13" spans="2:46" ht="15.75" thickBot="1" x14ac:dyDescent="0.3">
      <c r="H13" s="1118" t="s">
        <v>596</v>
      </c>
      <c r="I13" s="1125"/>
      <c r="J13" s="1124"/>
      <c r="K13" s="1102">
        <f>SUM(K11:K12)</f>
        <v>129470.27159327292</v>
      </c>
      <c r="L13" s="1128"/>
      <c r="M13" s="1118" t="s">
        <v>596</v>
      </c>
      <c r="N13" s="1136"/>
      <c r="O13" s="1135"/>
      <c r="P13" s="1134">
        <f>SUM(P11:P12)</f>
        <v>195365.3665018873</v>
      </c>
      <c r="Q13" s="363"/>
      <c r="R13" s="1133" t="s">
        <v>368</v>
      </c>
      <c r="S13" s="1130"/>
      <c r="T13" s="620">
        <f>INDEX('Master Lookup'!$C$372:$C$374,MATCH(R13,'Master Lookup'!$B$372:$B$374,0))</f>
        <v>0.27379999999999999</v>
      </c>
      <c r="U13" s="1132">
        <f>U12*T13</f>
        <v>53645.808002484679</v>
      </c>
      <c r="V13" s="363"/>
      <c r="W13" s="1131" t="s">
        <v>368</v>
      </c>
      <c r="X13" s="1130"/>
      <c r="Y13" s="620">
        <f>INDEX('Master Lookup'!$C$372:$C$374,MATCH(W13,'Master Lookup'!$B$372:$B$374,0))</f>
        <v>0.27379999999999999</v>
      </c>
      <c r="Z13" s="1129">
        <f>Z12*Y13</f>
        <v>53897.576075787714</v>
      </c>
      <c r="AA13" s="362"/>
      <c r="AB13" s="1131" t="s">
        <v>368</v>
      </c>
      <c r="AC13" s="1130"/>
      <c r="AD13" s="620">
        <f>INDEX('Master Lookup'!$C$372:$C$374,MATCH(AB13,'Master Lookup'!$B$372:$B$374,0))</f>
        <v>0.27379999999999999</v>
      </c>
      <c r="AE13" s="1129">
        <f>AE12*AD13</f>
        <v>54540.605835832634</v>
      </c>
      <c r="AF13" s="362"/>
      <c r="AG13" s="1131" t="s">
        <v>368</v>
      </c>
      <c r="AH13" s="1130"/>
      <c r="AI13" s="620">
        <f>INDEX('Master Lookup'!$C$372:$C$374,MATCH(AG13,'Master Lookup'!$B$372:$B$374,0))</f>
        <v>0.27379999999999999</v>
      </c>
      <c r="AJ13" s="1129">
        <f>AJ12*AI13</f>
        <v>78239.489525868412</v>
      </c>
      <c r="AK13" s="362"/>
      <c r="AL13" s="1131" t="s">
        <v>368</v>
      </c>
      <c r="AM13" s="1130"/>
      <c r="AN13" s="620">
        <f>INDEX('Master Lookup'!$C$372:$C$374,MATCH(AL13,'Master Lookup'!$B$372:$B$374,0))</f>
        <v>0.27379999999999999</v>
      </c>
      <c r="AO13" s="398">
        <f>AO12*AN13</f>
        <v>129317.32928259271</v>
      </c>
      <c r="AP13" s="362"/>
      <c r="AQ13" s="1131" t="s">
        <v>368</v>
      </c>
      <c r="AR13" s="1130"/>
      <c r="AS13" s="620">
        <f>INDEX('Master Lookup'!$C$372:$C$374,MATCH(AQ13,'Master Lookup'!$B$372:$B$374,0))</f>
        <v>0.27379999999999999</v>
      </c>
      <c r="AT13" s="1129">
        <f>AT12*AS13</f>
        <v>95777.279052578961</v>
      </c>
    </row>
    <row r="14" spans="2:46" ht="16.5" thickTop="1" thickBot="1" x14ac:dyDescent="0.3">
      <c r="H14" s="817"/>
      <c r="I14" s="412"/>
      <c r="J14" s="1126"/>
      <c r="K14" s="410"/>
      <c r="L14" s="1128"/>
      <c r="M14" s="1127"/>
      <c r="N14" s="412"/>
      <c r="O14" s="1126"/>
      <c r="P14" s="410"/>
      <c r="Q14" s="363"/>
      <c r="R14" s="1118" t="s">
        <v>596</v>
      </c>
      <c r="S14" s="1125"/>
      <c r="T14" s="1124"/>
      <c r="U14" s="1102">
        <f>SUM(U12:U13)</f>
        <v>249576.44351192471</v>
      </c>
      <c r="V14" s="363"/>
      <c r="W14" s="1118" t="s">
        <v>596</v>
      </c>
      <c r="X14" s="1125"/>
      <c r="Y14" s="1124"/>
      <c r="Z14" s="1102">
        <f>SUM(Z12:Z13)</f>
        <v>250747.74435843094</v>
      </c>
      <c r="AA14" s="362"/>
      <c r="AB14" s="1118" t="s">
        <v>596</v>
      </c>
      <c r="AC14" s="1125"/>
      <c r="AD14" s="1124"/>
      <c r="AE14" s="1102">
        <f>SUM(AE12:AE13)</f>
        <v>253739.31232170784</v>
      </c>
      <c r="AF14" s="362"/>
      <c r="AG14" s="1118" t="s">
        <v>596</v>
      </c>
      <c r="AH14" s="1125"/>
      <c r="AI14" s="1124"/>
      <c r="AJ14" s="1102">
        <f>SUM(AJ12:AJ13)</f>
        <v>363993.65141727973</v>
      </c>
      <c r="AK14" s="362"/>
      <c r="AL14" s="1118" t="s">
        <v>596</v>
      </c>
      <c r="AM14" s="1125"/>
      <c r="AN14" s="1124"/>
      <c r="AO14" s="1102">
        <f>SUM(AO12:AO13)</f>
        <v>601623.13382091525</v>
      </c>
      <c r="AP14" s="362"/>
      <c r="AQ14" s="1118" t="s">
        <v>596</v>
      </c>
      <c r="AR14" s="1125"/>
      <c r="AS14" s="1124"/>
      <c r="AT14" s="1102">
        <f>SUM(AT12:AT13)</f>
        <v>445584.72628624941</v>
      </c>
    </row>
    <row r="15" spans="2:46" ht="15.75" thickTop="1" x14ac:dyDescent="0.25">
      <c r="H15" s="817" t="s">
        <v>372</v>
      </c>
      <c r="I15" s="361"/>
      <c r="J15" s="361"/>
      <c r="K15" s="1123"/>
      <c r="L15" s="1122"/>
      <c r="M15" s="817" t="s">
        <v>372</v>
      </c>
      <c r="N15" s="1097"/>
      <c r="O15" s="1121"/>
      <c r="P15" s="914"/>
      <c r="Q15" s="1097"/>
      <c r="R15" s="1111"/>
      <c r="S15" s="1110"/>
      <c r="T15" s="1110"/>
      <c r="U15" s="398"/>
      <c r="V15" s="1097"/>
      <c r="W15" s="1111"/>
      <c r="X15" s="1110"/>
      <c r="Y15" s="1110"/>
      <c r="Z15" s="398"/>
      <c r="AA15" s="363"/>
      <c r="AB15" s="1111"/>
      <c r="AC15" s="1110"/>
      <c r="AD15" s="1110"/>
      <c r="AE15" s="398"/>
      <c r="AF15" s="362"/>
      <c r="AG15" s="1111"/>
      <c r="AH15" s="1110"/>
      <c r="AI15" s="1110"/>
      <c r="AJ15" s="398"/>
      <c r="AK15" s="362"/>
      <c r="AL15" s="1111"/>
      <c r="AM15" s="1110"/>
      <c r="AN15" s="1110"/>
      <c r="AO15" s="398"/>
      <c r="AP15" s="362"/>
      <c r="AQ15" s="1111"/>
      <c r="AR15" s="1110"/>
      <c r="AS15" s="1110"/>
      <c r="AT15" s="398"/>
    </row>
    <row r="16" spans="2:46" ht="15" x14ac:dyDescent="0.25">
      <c r="G16" s="456">
        <v>1</v>
      </c>
      <c r="H16" s="1120" t="str">
        <f>IF(INDEX('Master Lookup'!$B$364:$B$373,G16)=0,"",INDEX('Master Lookup'!$B$364:$B$373,G16))</f>
        <v>Total Occupancy</v>
      </c>
      <c r="I16" s="761"/>
      <c r="J16" s="496">
        <f>IFERROR(INDEX('Master Lookup'!$C$364:$C$370,MATCH(H16,'Master Lookup'!$B$311:$B$316,0)),"")</f>
        <v>6221.9259542286536</v>
      </c>
      <c r="K16" s="759">
        <f>J11*J16</f>
        <v>10846.901283415209</v>
      </c>
      <c r="L16" s="1097"/>
      <c r="M16" s="1120" t="str">
        <f>IF(INDEX('Master Lookup'!$B$311:$B$316,G16)=0,"",INDEX('Master Lookup'!$B$311:$B$316,G16))</f>
        <v>Total Occupancy</v>
      </c>
      <c r="N16" s="761"/>
      <c r="O16" s="496">
        <f>IFERROR(INDEX('Master Lookup'!$C$364:$C$370,MATCH(M16,'Master Lookup'!$B$311:$B$316,0)),"")</f>
        <v>6221.9259542286536</v>
      </c>
      <c r="P16" s="759">
        <f>O16*O11</f>
        <v>16571.073161305572</v>
      </c>
      <c r="Q16" s="761"/>
      <c r="R16" s="817" t="s">
        <v>372</v>
      </c>
      <c r="S16" s="1097"/>
      <c r="T16" s="1121"/>
      <c r="U16" s="914"/>
      <c r="V16" s="761"/>
      <c r="W16" s="817" t="s">
        <v>372</v>
      </c>
      <c r="X16" s="1097"/>
      <c r="Y16" s="1121"/>
      <c r="Z16" s="914"/>
      <c r="AA16" s="1097"/>
      <c r="AB16" s="817" t="s">
        <v>372</v>
      </c>
      <c r="AC16" s="1097"/>
      <c r="AD16" s="1121"/>
      <c r="AE16" s="914"/>
      <c r="AF16" s="363"/>
      <c r="AG16" s="817" t="s">
        <v>372</v>
      </c>
      <c r="AH16" s="1097"/>
      <c r="AI16" s="1121"/>
      <c r="AJ16" s="914"/>
      <c r="AK16" s="363"/>
      <c r="AL16" s="817" t="s">
        <v>372</v>
      </c>
      <c r="AM16" s="1097"/>
      <c r="AN16" s="1121"/>
      <c r="AO16" s="914"/>
      <c r="AP16" s="363"/>
      <c r="AQ16" s="817" t="s">
        <v>372</v>
      </c>
      <c r="AR16" s="1097"/>
      <c r="AS16" s="1121"/>
      <c r="AT16" s="914"/>
    </row>
    <row r="17" spans="7:46" ht="15" x14ac:dyDescent="0.25">
      <c r="G17" s="456">
        <v>2</v>
      </c>
      <c r="H17" s="1120" t="str">
        <f>IF(INDEX('Master Lookup'!$B$364:$B$373,G17)=0,"",INDEX('Master Lookup'!$B$364:$B$373,G17))</f>
        <v>Staff Training 204</v>
      </c>
      <c r="I17" s="761"/>
      <c r="J17" s="496">
        <f>IFERROR(INDEX('Master Lookup'!$C$364:$C$370,MATCH(H17,'Master Lookup'!$B$364:$B$370,0)),"")</f>
        <v>202.39734163733908</v>
      </c>
      <c r="K17" s="759">
        <f>J11*J17</f>
        <v>352.8463695833305</v>
      </c>
      <c r="L17" s="1097"/>
      <c r="M17" s="1120" t="str">
        <f>IF(INDEX('Master Lookup'!$B$364:$B$370,G17)=0,"",INDEX('Master Lookup'!$B$364:$B$370,G17))</f>
        <v>Staff Training 204</v>
      </c>
      <c r="N17" s="761"/>
      <c r="O17" s="496">
        <f>IFERROR(INDEX('Master Lookup'!$C$364:$C$370,MATCH(M17,'Master Lookup'!$B$364:$B$370,0)),"")</f>
        <v>202.39734163733908</v>
      </c>
      <c r="P17" s="759">
        <f>O11*O17</f>
        <v>539.0519238896826</v>
      </c>
      <c r="Q17" s="761"/>
      <c r="R17" s="1120" t="str">
        <f>IF(INDEX('Master Lookup'!$B$311:$B$316,G16)=0,"",INDEX('Master Lookup'!$B$311:$B$316,G16))</f>
        <v>Total Occupancy</v>
      </c>
      <c r="S17" s="1097"/>
      <c r="T17" s="496">
        <f>IFERROR(INDEX('Master Lookup'!$C$364:$C$370,MATCH(R17,'Master Lookup'!$B$311:$B$316,0)),"")</f>
        <v>6221.9259542286536</v>
      </c>
      <c r="U17" s="759">
        <f>T12*T17</f>
        <v>18942.933554317078</v>
      </c>
      <c r="V17" s="761"/>
      <c r="W17" s="167" t="s">
        <v>360</v>
      </c>
      <c r="X17" s="761"/>
      <c r="Y17" s="496">
        <f>IFERROR(INDEX('Master Lookup'!$C$364:$C$370,MATCH(W17,'Master Lookup'!$B$311:$B$316,0)),"")</f>
        <v>6221.9259542286536</v>
      </c>
      <c r="Z17" s="759">
        <f>Y17*Y12</f>
        <v>20389.314193459431</v>
      </c>
      <c r="AA17" s="761"/>
      <c r="AB17" s="167" t="s">
        <v>360</v>
      </c>
      <c r="AC17" s="761"/>
      <c r="AD17" s="496">
        <f>IFERROR(INDEX('Master Lookup'!$C$364:$C$370,MATCH(AB17,'Master Lookup'!$B$311:$B$316,0)),"")</f>
        <v>6221.9259542286536</v>
      </c>
      <c r="AE17" s="759">
        <f>AD17*AD12</f>
        <v>17103.75464118052</v>
      </c>
      <c r="AF17" s="761"/>
      <c r="AG17" s="167" t="s">
        <v>360</v>
      </c>
      <c r="AH17" s="761"/>
      <c r="AI17" s="496">
        <f>IFERROR(INDEX('Master Lookup'!$C$364:$C$370,MATCH(AG17,'Master Lookup'!$B$311:$B$316,0)),"")</f>
        <v>6221.9259542286536</v>
      </c>
      <c r="AJ17" s="759">
        <f>AI17*AI12</f>
        <v>26665.986874159353</v>
      </c>
      <c r="AK17" s="761"/>
      <c r="AL17" s="167" t="s">
        <v>360</v>
      </c>
      <c r="AM17" s="761"/>
      <c r="AN17" s="496">
        <f>IFERROR(INDEX('Master Lookup'!$C$364:$C$370,MATCH(AL17,'Master Lookup'!$B$311:$B$316,0)),"")</f>
        <v>6221.9259542286536</v>
      </c>
      <c r="AO17" s="759">
        <f>AN17*AN12</f>
        <v>47389.086427172682</v>
      </c>
      <c r="AP17" s="761"/>
      <c r="AQ17" s="167" t="s">
        <v>360</v>
      </c>
      <c r="AR17" s="761"/>
      <c r="AS17" s="496">
        <f>IFERROR(INDEX('Master Lookup'!$C$364:$C$370,MATCH(AQ17,'Master Lookup'!$B$311:$B$316,0)),"")</f>
        <v>6221.9259542286536</v>
      </c>
      <c r="AT17" s="759">
        <f>AS17*AS12</f>
        <v>34903.105049228921</v>
      </c>
    </row>
    <row r="18" spans="7:46" ht="15.75" customHeight="1" x14ac:dyDescent="0.25">
      <c r="G18" s="456">
        <v>3</v>
      </c>
      <c r="H18" s="1120" t="str">
        <f>IF(INDEX('Master Lookup'!$B$364:$B$373,G18)=0,"",INDEX('Master Lookup'!$B$364:$B$373,G18))</f>
        <v>Staff Mileage / Travel 205</v>
      </c>
      <c r="I18" s="761"/>
      <c r="J18" s="496">
        <f>IFERROR(INDEX('Master Lookup'!$C$364:$C$370,MATCH(H18,'Master Lookup'!$B$364:$B$370,0)),"")</f>
        <v>823.75132959083601</v>
      </c>
      <c r="K18" s="759">
        <f>J11*J18</f>
        <v>1436.07452417224</v>
      </c>
      <c r="L18" s="1097"/>
      <c r="M18" s="1120" t="str">
        <f>IF(INDEX('Master Lookup'!$B$364:$B$370,G18)=0,"",INDEX('Master Lookup'!$B$364:$B$370,G18))</f>
        <v>Staff Mileage / Travel 205</v>
      </c>
      <c r="N18" s="761"/>
      <c r="O18" s="496">
        <f>IFERROR(INDEX('Master Lookup'!$C$364:$C$370,MATCH(M18,'Master Lookup'!$B$364:$B$370,0)),"")</f>
        <v>823.75132959083601</v>
      </c>
      <c r="P18" s="759">
        <f>O18*O11</f>
        <v>2193.9257473958096</v>
      </c>
      <c r="Q18" s="761"/>
      <c r="R18" s="1120" t="str">
        <f>IF(INDEX('Master Lookup'!$B$364:$B$370,G17)=0,"",INDEX('Master Lookup'!$B$364:$B$370,G17))</f>
        <v>Staff Training 204</v>
      </c>
      <c r="S18" s="761"/>
      <c r="T18" s="496">
        <f>IFERROR(INDEX('Master Lookup'!$C$364:$C$370,MATCH(R18,'Master Lookup'!$B$364:$B$370,0)),"")</f>
        <v>202.39734163733908</v>
      </c>
      <c r="U18" s="759">
        <f>T12*T18</f>
        <v>616.20781449525259</v>
      </c>
      <c r="V18" s="761"/>
      <c r="W18" s="167" t="s">
        <v>356</v>
      </c>
      <c r="X18" s="761"/>
      <c r="Y18" s="496">
        <f>IFERROR(INDEX('Master Lookup'!$C$364:$C$370,MATCH(W18,'Master Lookup'!$B$364:$B$370,0)),"")</f>
        <v>202.39734163733908</v>
      </c>
      <c r="Z18" s="759">
        <f>Y18*Y12</f>
        <v>663.25813275871064</v>
      </c>
      <c r="AA18" s="761"/>
      <c r="AB18" s="167" t="s">
        <v>356</v>
      </c>
      <c r="AC18" s="761"/>
      <c r="AD18" s="496">
        <f>IFERROR(INDEX('Master Lookup'!$C$364:$C$370,MATCH(AB18,'Master Lookup'!$B$364:$B$370,0)),"")</f>
        <v>202.39734163733908</v>
      </c>
      <c r="AE18" s="759">
        <f>AD18*AD12</f>
        <v>556.379888937685</v>
      </c>
      <c r="AF18" s="761"/>
      <c r="AG18" s="167" t="s">
        <v>356</v>
      </c>
      <c r="AH18" s="761"/>
      <c r="AI18" s="496">
        <f>IFERROR(INDEX('Master Lookup'!$C$364:$C$370,MATCH(AG18,'Master Lookup'!$B$364:$B$370,0)),"")</f>
        <v>202.39734163733908</v>
      </c>
      <c r="AJ18" s="759">
        <f>AI18*AI12</f>
        <v>867.43636860511685</v>
      </c>
      <c r="AK18" s="761"/>
      <c r="AL18" s="167" t="s">
        <v>356</v>
      </c>
      <c r="AM18" s="761"/>
      <c r="AN18" s="496">
        <f>IFERROR(INDEX('Master Lookup'!$C$364:$C$370,MATCH(AL18,'Master Lookup'!$B$364:$B$370,0)),"")</f>
        <v>202.39734163733908</v>
      </c>
      <c r="AO18" s="759">
        <f>AN18*AN12</f>
        <v>1541.5524366636294</v>
      </c>
      <c r="AP18" s="761"/>
      <c r="AQ18" s="167" t="s">
        <v>356</v>
      </c>
      <c r="AR18" s="761"/>
      <c r="AS18" s="496">
        <f>IFERROR(INDEX('Master Lookup'!$C$364:$C$370,MATCH(AQ18,'Master Lookup'!$B$364:$B$370,0)),"")</f>
        <v>202.39734163733908</v>
      </c>
      <c r="AT18" s="759">
        <f>AS18*AS12</f>
        <v>1135.3872946770705</v>
      </c>
    </row>
    <row r="19" spans="7:46" ht="15" x14ac:dyDescent="0.25">
      <c r="G19" s="456">
        <v>4</v>
      </c>
      <c r="H19" s="1120" t="str">
        <f>IF(INDEX('Master Lookup'!$B$364:$B$373,G19)=0,"",INDEX('Master Lookup'!$B$364:$B$373,G19))</f>
        <v>Meals 207</v>
      </c>
      <c r="I19" s="761"/>
      <c r="J19" s="496">
        <f>IFERROR(INDEX('Master Lookup'!$C$364:$C$370,MATCH(H19,'Master Lookup'!$B$364:$B$370,0)),"")</f>
        <v>726.26821565114597</v>
      </c>
      <c r="K19" s="759">
        <f>J11*J19</f>
        <v>1266.1287997321904</v>
      </c>
      <c r="L19" s="1097"/>
      <c r="M19" s="1120" t="str">
        <f>IF(INDEX('Master Lookup'!$B$364:$B$370,G19)=0,"",INDEX('Master Lookup'!$B$364:$B$370,G19))</f>
        <v>Meals 207</v>
      </c>
      <c r="N19" s="761"/>
      <c r="O19" s="496">
        <f>IFERROR(INDEX('Master Lookup'!$C$364:$C$370,MATCH(M19,'Master Lookup'!$B$364:$B$370,0)),"")</f>
        <v>726.26821565114597</v>
      </c>
      <c r="P19" s="759">
        <f>O11*O19</f>
        <v>1934.2955581312451</v>
      </c>
      <c r="Q19" s="761"/>
      <c r="R19" s="1120" t="str">
        <f>IF(INDEX('Master Lookup'!$B$364:$B$370,G18)=0,"",INDEX('Master Lookup'!$B$364:$B$370,G18))</f>
        <v>Staff Mileage / Travel 205</v>
      </c>
      <c r="S19" s="761"/>
      <c r="T19" s="496">
        <f>IFERROR(INDEX('Master Lookup'!$C$364:$C$370,MATCH(R19,'Master Lookup'!$B$364:$B$370,0)),"")</f>
        <v>823.75132959083601</v>
      </c>
      <c r="U19" s="759">
        <f>T12*T19</f>
        <v>2507.9479917491321</v>
      </c>
      <c r="V19" s="761"/>
      <c r="W19" s="167" t="s">
        <v>354</v>
      </c>
      <c r="X19" s="761"/>
      <c r="Y19" s="496">
        <f>IFERROR(INDEX('Master Lookup'!$C$364:$C$370,MATCH(W19,'Master Lookup'!$B$364:$B$370,0)),"")</f>
        <v>823.75132959083601</v>
      </c>
      <c r="Z19" s="759">
        <f>Y19*Y12</f>
        <v>2699.4414269575982</v>
      </c>
      <c r="AA19" s="761"/>
      <c r="AB19" s="167" t="s">
        <v>354</v>
      </c>
      <c r="AC19" s="761"/>
      <c r="AD19" s="496">
        <f>IFERROR(INDEX('Master Lookup'!$C$364:$C$370,MATCH(AB19,'Master Lookup'!$B$364:$B$370,0)),"")</f>
        <v>823.75132959083601</v>
      </c>
      <c r="AE19" s="759">
        <f>AD19*AD12</f>
        <v>2264.4500642268672</v>
      </c>
      <c r="AF19" s="761"/>
      <c r="AG19" s="167" t="s">
        <v>354</v>
      </c>
      <c r="AH19" s="761"/>
      <c r="AI19" s="496">
        <f>IFERROR(INDEX('Master Lookup'!$C$364:$C$370,MATCH(AG19,'Master Lookup'!$B$364:$B$370,0)),"")</f>
        <v>823.75132959083601</v>
      </c>
      <c r="AJ19" s="759">
        <f>AI19*AI12</f>
        <v>3530.4409444975049</v>
      </c>
      <c r="AK19" s="761"/>
      <c r="AL19" s="167" t="s">
        <v>354</v>
      </c>
      <c r="AM19" s="761"/>
      <c r="AN19" s="496">
        <f>IFERROR(INDEX('Master Lookup'!$C$364:$C$370,MATCH(AL19,'Master Lookup'!$B$364:$B$370,0)),"")</f>
        <v>823.75132959083601</v>
      </c>
      <c r="AO19" s="759">
        <f>AN19*AN12</f>
        <v>6274.0738542456702</v>
      </c>
      <c r="AP19" s="761"/>
      <c r="AQ19" s="167" t="s">
        <v>354</v>
      </c>
      <c r="AR19" s="761"/>
      <c r="AS19" s="496">
        <f>IFERROR(INDEX('Master Lookup'!$C$364:$C$370,MATCH(AQ19,'Master Lookup'!$B$364:$B$370,0)),"")</f>
        <v>823.75132959083601</v>
      </c>
      <c r="AT19" s="759">
        <f>AS19*AS12</f>
        <v>4620.9934677236661</v>
      </c>
    </row>
    <row r="20" spans="7:46" ht="15" x14ac:dyDescent="0.25">
      <c r="G20" s="456">
        <v>5</v>
      </c>
      <c r="H20" s="1120" t="str">
        <f>IF(INDEX('Master Lookup'!$B$364:$B$373,G20)=0,"",INDEX('Master Lookup'!$B$364:$B$373,G20))</f>
        <v>Client Transportation 208</v>
      </c>
      <c r="I20" s="761"/>
      <c r="J20" s="496">
        <f>IFERROR(INDEX('Master Lookup'!$C$364:$C$370,MATCH(H20,'Master Lookup'!$B$364:$B$370,0)),"")</f>
        <v>1741.693522928565</v>
      </c>
      <c r="K20" s="759">
        <f>J11*J20</f>
        <v>3036.3552777946697</v>
      </c>
      <c r="L20" s="1097"/>
      <c r="M20" s="1120" t="str">
        <f>IF(INDEX('Master Lookup'!$B$364:$B$370,G20)=0,"",INDEX('Master Lookup'!$B$364:$B$370,G20))</f>
        <v>Client Transportation 208</v>
      </c>
      <c r="N20" s="761"/>
      <c r="O20" s="496">
        <f>IFERROR(INDEX('Master Lookup'!$C$364:$C$370,MATCH(M20,'Master Lookup'!$B$364:$B$370,0)),"")</f>
        <v>1741.693522928565</v>
      </c>
      <c r="P20" s="759">
        <f>O11*O20</f>
        <v>4638.7133188889502</v>
      </c>
      <c r="Q20" s="761"/>
      <c r="R20" s="1120" t="str">
        <f>IF(INDEX('Master Lookup'!$B$364:$B$370,G19)=0,"",INDEX('Master Lookup'!$B$364:$B$370,G19))</f>
        <v>Meals 207</v>
      </c>
      <c r="S20" s="761"/>
      <c r="T20" s="496">
        <f>IFERROR(INDEX('Master Lookup'!$C$364:$C$370,MATCH(R20,'Master Lookup'!$B$364:$B$370,0)),"")</f>
        <v>726.26821565114597</v>
      </c>
      <c r="U20" s="759">
        <f>T12*T20</f>
        <v>2211.1562646196185</v>
      </c>
      <c r="V20" s="761"/>
      <c r="W20" s="167" t="s">
        <v>352</v>
      </c>
      <c r="X20" s="761"/>
      <c r="Y20" s="496">
        <f>IFERROR(INDEX('Master Lookup'!$C$364:$C$370,MATCH(W20,'Master Lookup'!$B$364:$B$370,0)),"")</f>
        <v>726.26821565114597</v>
      </c>
      <c r="Z20" s="759">
        <f>Y20*Y12</f>
        <v>2379.9882779977829</v>
      </c>
      <c r="AA20" s="761"/>
      <c r="AB20" s="167" t="s">
        <v>352</v>
      </c>
      <c r="AC20" s="761"/>
      <c r="AD20" s="496">
        <f>IFERROR(INDEX('Master Lookup'!$C$364:$C$370,MATCH(AB20,'Master Lookup'!$B$364:$B$370,0)),"")</f>
        <v>726.26821565114597</v>
      </c>
      <c r="AE20" s="759">
        <f>AD20*AD12</f>
        <v>1996.4739946387158</v>
      </c>
      <c r="AF20" s="761"/>
      <c r="AG20" s="167" t="s">
        <v>352</v>
      </c>
      <c r="AH20" s="761"/>
      <c r="AI20" s="496">
        <f>IFERROR(INDEX('Master Lookup'!$C$364:$C$370,MATCH(AG20,'Master Lookup'!$B$364:$B$370,0)),"")</f>
        <v>726.26821565114597</v>
      </c>
      <c r="AJ20" s="759">
        <f>AI20*AI12</f>
        <v>3112.6469276784442</v>
      </c>
      <c r="AK20" s="761"/>
      <c r="AL20" s="167" t="s">
        <v>352</v>
      </c>
      <c r="AM20" s="761"/>
      <c r="AN20" s="496">
        <f>IFERROR(INDEX('Master Lookup'!$C$364:$C$370,MATCH(AL20,'Master Lookup'!$B$364:$B$370,0)),"")</f>
        <v>726.26821565114597</v>
      </c>
      <c r="AO20" s="759">
        <f>AN20*AN12</f>
        <v>5531.5970479220241</v>
      </c>
      <c r="AP20" s="761"/>
      <c r="AQ20" s="167" t="s">
        <v>352</v>
      </c>
      <c r="AR20" s="761"/>
      <c r="AS20" s="496">
        <f>IFERROR(INDEX('Master Lookup'!$C$364:$C$370,MATCH(AQ20,'Master Lookup'!$B$364:$B$370,0)),"")</f>
        <v>726.26821565114597</v>
      </c>
      <c r="AT20" s="759">
        <f>AS20*AS12</f>
        <v>4074.142960116691</v>
      </c>
    </row>
    <row r="21" spans="7:46" ht="15" x14ac:dyDescent="0.25">
      <c r="G21" s="456">
        <v>6</v>
      </c>
      <c r="H21" s="1120" t="str">
        <f>IF(INDEX('Master Lookup'!$B$364:$B$373,G21)=0,"",INDEX('Master Lookup'!$B$364:$B$373,G21))</f>
        <v>Client Personal Allowances 211</v>
      </c>
      <c r="I21" s="761"/>
      <c r="J21" s="496">
        <f>IFERROR(INDEX('Master Lookup'!$C$364:$C$370,MATCH(H21,'Master Lookup'!$B$364:$B$370,0)),"")</f>
        <v>1858.2779275952644</v>
      </c>
      <c r="K21" s="759">
        <f>J11*J21</f>
        <v>3239.6009509042901</v>
      </c>
      <c r="L21" s="1097"/>
      <c r="M21" s="1120" t="str">
        <f>IF(INDEX('Master Lookup'!$B$364:$B$370,G21)=0,"",INDEX('Master Lookup'!$B$364:$B$370,G21))</f>
        <v>Client Personal Allowances 211</v>
      </c>
      <c r="N21" s="761"/>
      <c r="O21" s="496">
        <f>IFERROR(INDEX('Master Lookup'!$C$364:$C$370,MATCH(M21,'Master Lookup'!$B$364:$B$370,0)),"")</f>
        <v>1858.2779275952644</v>
      </c>
      <c r="P21" s="759">
        <f>O11*O21</f>
        <v>4949.2166442919342</v>
      </c>
      <c r="Q21" s="761"/>
      <c r="R21" s="1120" t="str">
        <f>IF(INDEX('Master Lookup'!$B$364:$B$370,G20)=0,"",INDEX('Master Lookup'!$B$364:$B$370,G20))</f>
        <v>Client Transportation 208</v>
      </c>
      <c r="S21" s="761"/>
      <c r="T21" s="496">
        <f>IFERROR(INDEX('Master Lookup'!$C$364:$C$370,MATCH(R21,'Master Lookup'!$B$364:$B$370,0)),"")</f>
        <v>1741.693522928565</v>
      </c>
      <c r="U21" s="759">
        <f>T12*T21</f>
        <v>5302.6643067645482</v>
      </c>
      <c r="V21" s="761"/>
      <c r="W21" s="167" t="s">
        <v>350</v>
      </c>
      <c r="X21" s="761"/>
      <c r="Y21" s="496">
        <f>IFERROR(INDEX('Master Lookup'!$C$364:$C$370,MATCH(W21,'Master Lookup'!$B$364:$B$370,0)),"")</f>
        <v>1741.693522928565</v>
      </c>
      <c r="Z21" s="759">
        <f>Y21*Y12</f>
        <v>5707.5472657414884</v>
      </c>
      <c r="AA21" s="761"/>
      <c r="AB21" s="167" t="s">
        <v>350</v>
      </c>
      <c r="AC21" s="761"/>
      <c r="AD21" s="496">
        <f>IFERROR(INDEX('Master Lookup'!$C$364:$C$370,MATCH(AB21,'Master Lookup'!$B$364:$B$370,0)),"")</f>
        <v>1741.693522928565</v>
      </c>
      <c r="AE21" s="759">
        <f>AD21*AD12</f>
        <v>4787.8259714835467</v>
      </c>
      <c r="AF21" s="761"/>
      <c r="AG21" s="167" t="s">
        <v>350</v>
      </c>
      <c r="AH21" s="761"/>
      <c r="AI21" s="496">
        <f>IFERROR(INDEX('Master Lookup'!$C$364:$C$370,MATCH(AG21,'Master Lookup'!$B$364:$B$370,0)),"")</f>
        <v>1741.693522928565</v>
      </c>
      <c r="AJ21" s="759">
        <f>AI21*AI12</f>
        <v>7464.5659499783042</v>
      </c>
      <c r="AK21" s="761"/>
      <c r="AL21" s="167" t="s">
        <v>350</v>
      </c>
      <c r="AM21" s="761"/>
      <c r="AN21" s="496">
        <f>IFERROR(INDEX('Master Lookup'!$C$364:$C$370,MATCH(AL21,'Master Lookup'!$B$364:$B$370,0)),"")</f>
        <v>1741.693522928565</v>
      </c>
      <c r="AO21" s="759">
        <f>AN21*AN12</f>
        <v>13265.549203717737</v>
      </c>
      <c r="AP21" s="761"/>
      <c r="AQ21" s="167" t="s">
        <v>350</v>
      </c>
      <c r="AR21" s="761"/>
      <c r="AS21" s="496">
        <f>IFERROR(INDEX('Master Lookup'!$C$364:$C$370,MATCH(AQ21,'Master Lookup'!$B$364:$B$370,0)),"")</f>
        <v>1741.693522928565</v>
      </c>
      <c r="AT21" s="759">
        <f>AS21*AS12</f>
        <v>9770.3689245966998</v>
      </c>
    </row>
    <row r="22" spans="7:46" ht="15" x14ac:dyDescent="0.25">
      <c r="G22" s="456">
        <v>7</v>
      </c>
      <c r="H22" s="1120" t="str">
        <f>IF(INDEX('Master Lookup'!$B$364:$B$373,G22)=0,"",INDEX('Master Lookup'!$B$364:$B$373,G22))</f>
        <v>Program Supplies &amp; Materials 215</v>
      </c>
      <c r="I22" s="761"/>
      <c r="J22" s="496">
        <f>IFERROR(INDEX('Master Lookup'!$C$364:$C$370,MATCH(H22,'Master Lookup'!$B$364:$B$370,0)),"")</f>
        <v>1493.1564099112707</v>
      </c>
      <c r="K22" s="759">
        <f>J11*J22</f>
        <v>2603.0718298726647</v>
      </c>
      <c r="L22" s="1097"/>
      <c r="M22" s="1120" t="str">
        <f>IF(INDEX('Master Lookup'!$B$364:$B$370,G22)=0,"",INDEX('Master Lookup'!$B$364:$B$370,G22))</f>
        <v>Program Supplies &amp; Materials 215</v>
      </c>
      <c r="N22" s="761"/>
      <c r="O22" s="496">
        <f>IFERROR(INDEX('Master Lookup'!$C$364:$C$370,MATCH(M22,'Master Lookup'!$B$364:$B$370,0)),"")</f>
        <v>1493.1564099112707</v>
      </c>
      <c r="P22" s="759">
        <f>O22*O11</f>
        <v>3976.7757269910348</v>
      </c>
      <c r="Q22" s="761"/>
      <c r="R22" s="1120" t="str">
        <f>IF(INDEX('Master Lookup'!$B$364:$B$370,G21)=0,"",INDEX('Master Lookup'!$B$364:$B$370,G21))</f>
        <v>Client Personal Allowances 211</v>
      </c>
      <c r="S22" s="761"/>
      <c r="T22" s="496">
        <f>IFERROR(INDEX('Master Lookup'!$C$364:$C$370,MATCH(R22,'Master Lookup'!$B$364:$B$370,0)),"")</f>
        <v>1858.2779275952644</v>
      </c>
      <c r="U22" s="759">
        <f>T12*T22</f>
        <v>5657.6107730705244</v>
      </c>
      <c r="V22" s="761"/>
      <c r="W22" s="167" t="s">
        <v>342</v>
      </c>
      <c r="X22" s="761"/>
      <c r="Y22" s="496">
        <f>IFERROR(INDEX('Master Lookup'!$C$364:$C$370,MATCH(W22,'Master Lookup'!$B$364:$B$370,0)),"")</f>
        <v>1858.2779275952644</v>
      </c>
      <c r="Z22" s="759">
        <f>Y22*Y12</f>
        <v>6089.5955373367497</v>
      </c>
      <c r="AA22" s="761"/>
      <c r="AB22" s="167" t="s">
        <v>342</v>
      </c>
      <c r="AC22" s="761"/>
      <c r="AD22" s="496">
        <f>IFERROR(INDEX('Master Lookup'!$C$364:$C$370,MATCH(AB22,'Master Lookup'!$B$364:$B$370,0)),"")</f>
        <v>1858.2779275952644</v>
      </c>
      <c r="AE22" s="759">
        <f>AD22*AD12</f>
        <v>5108.3105074739033</v>
      </c>
      <c r="AF22" s="761"/>
      <c r="AG22" s="167" t="s">
        <v>342</v>
      </c>
      <c r="AH22" s="761"/>
      <c r="AI22" s="496">
        <f>IFERROR(INDEX('Master Lookup'!$C$364:$C$370,MATCH(AG22,'Master Lookup'!$B$364:$B$370,0)),"")</f>
        <v>1858.2779275952644</v>
      </c>
      <c r="AJ22" s="759">
        <f>AI22*AI12</f>
        <v>7964.2244524169264</v>
      </c>
      <c r="AK22" s="761"/>
      <c r="AL22" s="167" t="s">
        <v>342</v>
      </c>
      <c r="AM22" s="761"/>
      <c r="AN22" s="496">
        <f>IFERROR(INDEX('Master Lookup'!$C$364:$C$370,MATCH(AL22,'Master Lookup'!$B$364:$B$370,0)),"")</f>
        <v>1858.2779275952644</v>
      </c>
      <c r="AO22" s="759">
        <f>AN22*AN12</f>
        <v>14153.510338172546</v>
      </c>
      <c r="AP22" s="761"/>
      <c r="AQ22" s="167" t="s">
        <v>342</v>
      </c>
      <c r="AR22" s="761"/>
      <c r="AS22" s="496">
        <f>IFERROR(INDEX('Master Lookup'!$C$364:$C$370,MATCH(AQ22,'Master Lookup'!$B$364:$B$370,0)),"")</f>
        <v>1858.2779275952644</v>
      </c>
      <c r="AT22" s="759">
        <f>AS22*AS12</f>
        <v>10424.371841558139</v>
      </c>
    </row>
    <row r="23" spans="7:46" ht="15.75" thickBot="1" x14ac:dyDescent="0.3">
      <c r="H23" s="1118" t="s">
        <v>538</v>
      </c>
      <c r="I23" s="1117"/>
      <c r="J23" s="1117"/>
      <c r="K23" s="1102">
        <f>SUM(K16:K22)</f>
        <v>22780.979035474593</v>
      </c>
      <c r="L23" s="1097"/>
      <c r="M23" s="1118" t="s">
        <v>538</v>
      </c>
      <c r="N23" s="1117"/>
      <c r="O23" s="1117"/>
      <c r="P23" s="1102">
        <f>SUM(P16:P22)</f>
        <v>34803.052080894224</v>
      </c>
      <c r="Q23" s="363"/>
      <c r="R23" s="1120" t="str">
        <f>IF(INDEX('Master Lookup'!$B$364:$B$370,G22)=0,"",INDEX('Master Lookup'!$B$364:$B$370,G22))</f>
        <v>Program Supplies &amp; Materials 215</v>
      </c>
      <c r="S23" s="761"/>
      <c r="T23" s="496">
        <f>IFERROR(INDEX('Master Lookup'!$C$364:$C$370,MATCH(R23,'Master Lookup'!$B$364:$B$370,0)),"")</f>
        <v>1493.1564099112707</v>
      </c>
      <c r="U23" s="759">
        <f>T12*T23</f>
        <v>4545.9818820133096</v>
      </c>
      <c r="V23" s="363"/>
      <c r="W23" s="1120" t="str">
        <f>IF(INDEX('Master Lookup'!$B$364:$B$370,G22)=0,"",INDEX('Master Lookup'!$B$364:$B$370,G22))</f>
        <v>Program Supplies &amp; Materials 215</v>
      </c>
      <c r="X23" s="761"/>
      <c r="Y23" s="496">
        <f>IFERROR(INDEX('Master Lookup'!$C$364:$C$370,MATCH(W23,'Master Lookup'!$B$364:$B$370,0)),"")</f>
        <v>1493.1564099112707</v>
      </c>
      <c r="Z23" s="759">
        <f>Y23*Y12</f>
        <v>4893.0886361589737</v>
      </c>
      <c r="AA23" s="761"/>
      <c r="AB23" s="1120" t="str">
        <f>IF(INDEX('Master Lookup'!$B$364:$B$370,G22)=0,"",INDEX('Master Lookup'!$B$364:$B$370,G22))</f>
        <v>Program Supplies &amp; Materials 215</v>
      </c>
      <c r="AC23" s="761"/>
      <c r="AD23" s="496">
        <f>IFERROR(INDEX('Master Lookup'!$C$364:$C$370,MATCH(AB23,'Master Lookup'!$B$364:$B$370,0)),"")</f>
        <v>1493.1564099112707</v>
      </c>
      <c r="AE23" s="759">
        <f>AD23*AD12</f>
        <v>4104.6102226066132</v>
      </c>
      <c r="AF23" s="761"/>
      <c r="AG23" s="1120" t="str">
        <f>IF(INDEX('Master Lookup'!$B$364:$B$370,G22)=0,"",INDEX('Master Lookup'!$B$364:$B$370,G22))</f>
        <v>Program Supplies &amp; Materials 215</v>
      </c>
      <c r="AH23" s="761"/>
      <c r="AI23" s="496">
        <f>IFERROR(INDEX('Master Lookup'!$C$364:$C$370,MATCH(AG23,'Master Lookup'!$B$364:$B$370,0)),"")</f>
        <v>1493.1564099112707</v>
      </c>
      <c r="AJ23" s="759">
        <f>AI23*AI12</f>
        <v>6399.3833293210546</v>
      </c>
      <c r="AK23" s="761"/>
      <c r="AL23" s="1120" t="str">
        <f>IF(INDEX('Master Lookup'!$B$364:$B$370,G22)=0,"",INDEX('Master Lookup'!$B$364:$B$370,G22))</f>
        <v>Program Supplies &amp; Materials 215</v>
      </c>
      <c r="AM23" s="761"/>
      <c r="AN23" s="496">
        <f>IFERROR(INDEX('Master Lookup'!$C$364:$C$370,MATCH(AL23,'Master Lookup'!$B$364:$B$370,0)),"")</f>
        <v>1493.1564099112707</v>
      </c>
      <c r="AO23" s="759">
        <f>AN23*AN12</f>
        <v>11372.574774934666</v>
      </c>
      <c r="AP23" s="761"/>
      <c r="AQ23" s="1120" t="str">
        <f>IF(INDEX('Master Lookup'!$B$364:$B$370,G22)=0,"",INDEX('Master Lookup'!$B$364:$B$370,G22))</f>
        <v>Program Supplies &amp; Materials 215</v>
      </c>
      <c r="AR23" s="761"/>
      <c r="AS23" s="496">
        <f>IFERROR(INDEX('Master Lookup'!$C$364:$C$370,MATCH(AQ23,'Master Lookup'!$B$364:$B$370,0)),"")</f>
        <v>1493.1564099112707</v>
      </c>
      <c r="AT23" s="759">
        <f>AS23*AS12</f>
        <v>8376.1515989502823</v>
      </c>
    </row>
    <row r="24" spans="7:46" ht="16.5" thickTop="1" thickBot="1" x14ac:dyDescent="0.3">
      <c r="H24" s="817"/>
      <c r="I24" s="361"/>
      <c r="J24" s="361"/>
      <c r="K24" s="410"/>
      <c r="L24" s="1097"/>
      <c r="M24" s="817"/>
      <c r="N24" s="361"/>
      <c r="O24" s="361"/>
      <c r="P24" s="410"/>
      <c r="Q24" s="363"/>
      <c r="R24" s="1118" t="s">
        <v>538</v>
      </c>
      <c r="S24" s="1117"/>
      <c r="T24" s="1119" t="str">
        <f>IFERROR(INDEX('Master Lookup'!$C$364:$C$370,MATCH(R24,'Master Lookup'!$B$364:$B$370,0)),"")</f>
        <v/>
      </c>
      <c r="U24" s="1102">
        <f>SUM(U17:U23)</f>
        <v>39784.502587029463</v>
      </c>
      <c r="V24" s="363"/>
      <c r="W24" s="1118" t="s">
        <v>538</v>
      </c>
      <c r="X24" s="1117"/>
      <c r="Y24" s="1119" t="str">
        <f>IFERROR(INDEX('Master Lookup'!$C$364:$C$370,MATCH(W24,'Master Lookup'!$B$364:$B$370,0)),"")</f>
        <v/>
      </c>
      <c r="Z24" s="1102">
        <f>SUM(Z17:Z23)</f>
        <v>42822.233470410727</v>
      </c>
      <c r="AA24" s="761"/>
      <c r="AB24" s="1118" t="s">
        <v>538</v>
      </c>
      <c r="AC24" s="1117"/>
      <c r="AD24" s="1119" t="str">
        <f>IFERROR(INDEX('Master Lookup'!$C$364:$C$370,MATCH(AB24,'Master Lookup'!$B$364:$B$370,0)),"")</f>
        <v/>
      </c>
      <c r="AE24" s="1102">
        <f>SUM(AE17:AE23)</f>
        <v>35921.805290547854</v>
      </c>
      <c r="AF24" s="761"/>
      <c r="AG24" s="1118" t="s">
        <v>538</v>
      </c>
      <c r="AH24" s="1117"/>
      <c r="AI24" s="1117"/>
      <c r="AJ24" s="1102">
        <f>SUM(AJ17:AJ23)</f>
        <v>56004.68484665671</v>
      </c>
      <c r="AK24" s="761"/>
      <c r="AL24" s="1118" t="s">
        <v>538</v>
      </c>
      <c r="AM24" s="1117"/>
      <c r="AN24" s="1117"/>
      <c r="AO24" s="1102">
        <f>SUM(AO17:AO23)</f>
        <v>99527.944082828952</v>
      </c>
      <c r="AP24" s="761"/>
      <c r="AQ24" s="1118" t="s">
        <v>538</v>
      </c>
      <c r="AR24" s="1117"/>
      <c r="AS24" s="1117"/>
      <c r="AT24" s="1102">
        <f>SUM(AT17:AT23)</f>
        <v>73304.521136851472</v>
      </c>
    </row>
    <row r="25" spans="7:46" ht="15" customHeight="1" thickTop="1" x14ac:dyDescent="0.25">
      <c r="H25" s="489" t="s">
        <v>537</v>
      </c>
      <c r="I25" s="400"/>
      <c r="J25" s="400"/>
      <c r="K25" s="399">
        <f>K13+K23</f>
        <v>152251.25062874751</v>
      </c>
      <c r="L25" s="1097"/>
      <c r="M25" s="489" t="s">
        <v>537</v>
      </c>
      <c r="N25" s="400"/>
      <c r="O25" s="400"/>
      <c r="P25" s="399">
        <f>P23+P13</f>
        <v>230168.41858278151</v>
      </c>
      <c r="Q25" s="363"/>
      <c r="R25" s="817"/>
      <c r="S25" s="361"/>
      <c r="T25" s="361"/>
      <c r="U25" s="410"/>
      <c r="V25" s="363"/>
      <c r="W25" s="817"/>
      <c r="X25" s="361"/>
      <c r="Y25" s="361"/>
      <c r="Z25" s="410"/>
      <c r="AA25" s="761"/>
      <c r="AB25" s="817"/>
      <c r="AC25" s="361"/>
      <c r="AD25" s="361"/>
      <c r="AE25" s="410"/>
      <c r="AF25" s="761"/>
      <c r="AG25" s="817"/>
      <c r="AH25" s="361"/>
      <c r="AI25" s="361"/>
      <c r="AJ25" s="410"/>
      <c r="AK25" s="761"/>
      <c r="AL25" s="817"/>
      <c r="AM25" s="1115"/>
      <c r="AN25" s="1115"/>
      <c r="AO25" s="1114"/>
      <c r="AP25" s="761"/>
      <c r="AQ25" s="1116"/>
      <c r="AR25" s="1115"/>
      <c r="AS25" s="1115"/>
      <c r="AT25" s="1114"/>
    </row>
    <row r="26" spans="7:46" ht="21" customHeight="1" x14ac:dyDescent="0.25">
      <c r="H26" s="167" t="s">
        <v>616</v>
      </c>
      <c r="I26" s="1110"/>
      <c r="J26" s="543">
        <f>'Master Lookup'!C374</f>
        <v>0.12</v>
      </c>
      <c r="K26" s="398">
        <f>J26*K25</f>
        <v>18270.150075449699</v>
      </c>
      <c r="L26" s="1097"/>
      <c r="M26" s="167" t="s">
        <v>616</v>
      </c>
      <c r="N26" s="1110"/>
      <c r="O26" s="1110">
        <f>'Master Lookup'!C374</f>
        <v>0.12</v>
      </c>
      <c r="P26" s="398">
        <f>P25*O26</f>
        <v>27620.210229933778</v>
      </c>
      <c r="Q26" s="362"/>
      <c r="R26" s="489" t="s">
        <v>537</v>
      </c>
      <c r="S26" s="400"/>
      <c r="T26" s="400"/>
      <c r="U26" s="399">
        <f>U24+U14</f>
        <v>289360.94609895418</v>
      </c>
      <c r="V26" s="362"/>
      <c r="W26" s="1113" t="s">
        <v>537</v>
      </c>
      <c r="X26" s="400"/>
      <c r="Y26" s="400"/>
      <c r="Z26" s="1112">
        <f>Z24+Z14</f>
        <v>293569.97782884166</v>
      </c>
      <c r="AA26" s="363"/>
      <c r="AB26" s="1113" t="s">
        <v>537</v>
      </c>
      <c r="AC26" s="400"/>
      <c r="AD26" s="400"/>
      <c r="AE26" s="1112">
        <f>AE24+AE14</f>
        <v>289661.11761225568</v>
      </c>
      <c r="AF26" s="761"/>
      <c r="AG26" s="1113" t="s">
        <v>537</v>
      </c>
      <c r="AH26" s="400"/>
      <c r="AI26" s="400"/>
      <c r="AJ26" s="1112">
        <f>AJ24+AJ14</f>
        <v>419998.33626393642</v>
      </c>
      <c r="AK26" s="761"/>
      <c r="AL26" s="1113" t="s">
        <v>537</v>
      </c>
      <c r="AM26" s="400"/>
      <c r="AN26" s="400"/>
      <c r="AO26" s="1112">
        <f>AO24+AO14</f>
        <v>701151.07790374418</v>
      </c>
      <c r="AP26" s="761"/>
      <c r="AQ26" s="1113" t="s">
        <v>537</v>
      </c>
      <c r="AR26" s="400"/>
      <c r="AS26" s="400"/>
      <c r="AT26" s="1112">
        <f>AT14+AT24</f>
        <v>518889.24742310087</v>
      </c>
    </row>
    <row r="27" spans="7:46" ht="15" x14ac:dyDescent="0.25">
      <c r="H27" s="1111" t="s">
        <v>615</v>
      </c>
      <c r="I27" s="1110"/>
      <c r="J27" s="543">
        <f>'Master Lookup'!C373</f>
        <v>2.7100379121522307E-2</v>
      </c>
      <c r="K27" s="398">
        <f>J27*(K25+K26)</f>
        <v>4621.1946074167654</v>
      </c>
      <c r="L27" s="1097"/>
      <c r="M27" s="1111" t="s">
        <v>615</v>
      </c>
      <c r="N27" s="1110"/>
      <c r="O27" s="1110">
        <f>'Master Lookup'!C373</f>
        <v>2.7100379121522307E-2</v>
      </c>
      <c r="P27" s="398">
        <f>O27*(P25+P26)</f>
        <v>6986.1695740419736</v>
      </c>
      <c r="Q27" s="362"/>
      <c r="R27" s="167" t="s">
        <v>616</v>
      </c>
      <c r="T27" s="1110">
        <f>'Master Lookup'!C374</f>
        <v>0.12</v>
      </c>
      <c r="U27" s="398">
        <f>U26*T27</f>
        <v>34723.313531874504</v>
      </c>
      <c r="V27" s="362"/>
      <c r="W27" s="167" t="s">
        <v>616</v>
      </c>
      <c r="X27" s="1110"/>
      <c r="Y27" s="1110">
        <f>'Master Lookup'!C374</f>
        <v>0.12</v>
      </c>
      <c r="Z27" s="398">
        <f>Z26*Y27</f>
        <v>35228.397339461</v>
      </c>
      <c r="AA27" s="362"/>
      <c r="AB27" s="167" t="s">
        <v>616</v>
      </c>
      <c r="AC27" s="1110"/>
      <c r="AD27" s="1110">
        <f>'Master Lookup'!C374</f>
        <v>0.12</v>
      </c>
      <c r="AE27" s="398">
        <f>AE26*AD27</f>
        <v>34759.334113470679</v>
      </c>
      <c r="AF27" s="363"/>
      <c r="AG27" s="167" t="s">
        <v>616</v>
      </c>
      <c r="AH27" s="1110"/>
      <c r="AI27" s="1110">
        <f>'Master Lookup'!C374</f>
        <v>0.12</v>
      </c>
      <c r="AJ27" s="398">
        <f>AJ26*AI27</f>
        <v>50399.800351672369</v>
      </c>
      <c r="AK27" s="363"/>
      <c r="AL27" s="167" t="s">
        <v>616</v>
      </c>
      <c r="AM27" s="1110"/>
      <c r="AN27" s="1110">
        <f>'Master Lookup'!C374</f>
        <v>0.12</v>
      </c>
      <c r="AO27" s="398">
        <f>AO26*AN27</f>
        <v>84138.129348449293</v>
      </c>
      <c r="AP27" s="363"/>
      <c r="AQ27" s="167" t="s">
        <v>616</v>
      </c>
      <c r="AR27" s="1110"/>
      <c r="AS27" s="1110">
        <f>'Master Lookup'!C374</f>
        <v>0.12</v>
      </c>
      <c r="AT27" s="398">
        <f>AT26*AS27</f>
        <v>62266.709690772099</v>
      </c>
    </row>
    <row r="28" spans="7:46" ht="15.75" thickBot="1" x14ac:dyDescent="0.3">
      <c r="H28" s="1105" t="s">
        <v>614</v>
      </c>
      <c r="I28" s="1104"/>
      <c r="J28" s="1103"/>
      <c r="K28" s="1102">
        <f>SUM(K25:K27)</f>
        <v>175142.59531161399</v>
      </c>
      <c r="L28" s="1097"/>
      <c r="M28" s="1105" t="s">
        <v>614</v>
      </c>
      <c r="N28" s="1104"/>
      <c r="O28" s="1103"/>
      <c r="P28" s="1102">
        <f>SUM(P25:P27)</f>
        <v>264774.79838675726</v>
      </c>
      <c r="Q28" s="363"/>
      <c r="R28" s="1111" t="s">
        <v>615</v>
      </c>
      <c r="T28" s="1110">
        <f>'Master Lookup'!C373</f>
        <v>2.7100379121522307E-2</v>
      </c>
      <c r="U28" s="398">
        <f>T28*(U26+U27)</f>
        <v>8782.806303313324</v>
      </c>
      <c r="V28" s="363"/>
      <c r="W28" s="1111" t="s">
        <v>615</v>
      </c>
      <c r="X28" s="1110"/>
      <c r="Y28" s="1110">
        <f>'Master Lookup'!C373</f>
        <v>2.7100379121522307E-2</v>
      </c>
      <c r="Z28" s="398">
        <f>Y28*(Z26+Z27)</f>
        <v>8910.5606216015276</v>
      </c>
      <c r="AA28" s="362"/>
      <c r="AB28" s="1111" t="s">
        <v>615</v>
      </c>
      <c r="AC28" s="1110"/>
      <c r="AD28" s="1110">
        <f>'Master Lookup'!C373</f>
        <v>2.7100379121522307E-2</v>
      </c>
      <c r="AE28" s="398">
        <f>AD28*(AE26+AE27)</f>
        <v>8791.9172365427094</v>
      </c>
      <c r="AF28" s="362"/>
      <c r="AG28" s="1111" t="s">
        <v>615</v>
      </c>
      <c r="AH28" s="1110"/>
      <c r="AI28" s="1110">
        <f>'Master Lookup'!C373</f>
        <v>2.7100379121522307E-2</v>
      </c>
      <c r="AJ28" s="398">
        <f>AI28*(AJ26+AJ27)</f>
        <v>12747.967840340643</v>
      </c>
      <c r="AK28" s="362"/>
      <c r="AL28" s="1111" t="s">
        <v>615</v>
      </c>
      <c r="AM28" s="1110"/>
      <c r="AN28" s="1110">
        <f>'Master Lookup'!C373</f>
        <v>2.7100379121522307E-2</v>
      </c>
      <c r="AO28" s="398">
        <f>AN28*(AO26+AO27)</f>
        <v>21281.635236574148</v>
      </c>
      <c r="AP28" s="362"/>
      <c r="AQ28" s="1111" t="s">
        <v>615</v>
      </c>
      <c r="AR28" s="1110"/>
      <c r="AS28" s="1110">
        <f>'Master Lookup'!C373</f>
        <v>2.7100379121522307E-2</v>
      </c>
      <c r="AT28" s="398">
        <f>AS28*(AT26+AT27)</f>
        <v>15749.546766517116</v>
      </c>
    </row>
    <row r="29" spans="7:46" ht="15.75" customHeight="1" thickTop="1" thickBot="1" x14ac:dyDescent="0.3">
      <c r="H29" s="1100" t="s">
        <v>394</v>
      </c>
      <c r="I29" s="369"/>
      <c r="J29" s="1099"/>
      <c r="K29" s="1098">
        <v>10</v>
      </c>
      <c r="L29" s="1097"/>
      <c r="M29" s="1109" t="s">
        <v>394</v>
      </c>
      <c r="N29" s="1108"/>
      <c r="O29" s="1107"/>
      <c r="P29" s="1106">
        <v>10</v>
      </c>
      <c r="Q29" s="1101"/>
      <c r="R29" s="1105" t="s">
        <v>614</v>
      </c>
      <c r="S29" s="1104"/>
      <c r="T29" s="1103"/>
      <c r="U29" s="1102">
        <f>SUM(U26:U28)</f>
        <v>332867.06593414204</v>
      </c>
      <c r="V29" s="1094"/>
      <c r="W29" s="1105" t="s">
        <v>614</v>
      </c>
      <c r="X29" s="1104"/>
      <c r="Y29" s="1103"/>
      <c r="Z29" s="1102">
        <f>SUM(Z26:Z28)</f>
        <v>337708.93578990421</v>
      </c>
      <c r="AA29" s="1101"/>
      <c r="AB29" s="1105" t="s">
        <v>614</v>
      </c>
      <c r="AC29" s="1104"/>
      <c r="AD29" s="1103"/>
      <c r="AE29" s="1102">
        <f>SUM(AE26:AE28)</f>
        <v>333212.3689622691</v>
      </c>
      <c r="AF29" s="362"/>
      <c r="AG29" s="1105" t="s">
        <v>614</v>
      </c>
      <c r="AH29" s="1104"/>
      <c r="AI29" s="1103"/>
      <c r="AJ29" s="1102">
        <f>SUM(AJ26:AJ28)</f>
        <v>483146.10445594945</v>
      </c>
      <c r="AK29" s="362"/>
      <c r="AL29" s="1105" t="s">
        <v>614</v>
      </c>
      <c r="AM29" s="1104"/>
      <c r="AN29" s="1103"/>
      <c r="AO29" s="1102">
        <f>SUM(AO26:AO28)</f>
        <v>806570.84248876758</v>
      </c>
      <c r="AP29" s="362"/>
      <c r="AQ29" s="1105" t="s">
        <v>614</v>
      </c>
      <c r="AR29" s="1104"/>
      <c r="AS29" s="1103"/>
      <c r="AT29" s="1102">
        <f>SUM(AT26:AT28)</f>
        <v>596905.50388039008</v>
      </c>
    </row>
    <row r="30" spans="7:46" ht="15.75" customHeight="1" thickBot="1" x14ac:dyDescent="0.3">
      <c r="H30" s="384" t="s">
        <v>597</v>
      </c>
      <c r="I30" s="1093"/>
      <c r="J30" s="1092"/>
      <c r="K30" s="1091">
        <f>K28/K29/365</f>
        <v>47.984272688113421</v>
      </c>
      <c r="L30" s="371"/>
      <c r="M30" s="384" t="s">
        <v>597</v>
      </c>
      <c r="N30" s="1093"/>
      <c r="O30" s="1092"/>
      <c r="P30" s="1091">
        <f>P28/P29/365</f>
        <v>72.541040653906094</v>
      </c>
      <c r="Q30" s="1094"/>
      <c r="R30" s="1100" t="s">
        <v>394</v>
      </c>
      <c r="S30" s="369"/>
      <c r="T30" s="1099"/>
      <c r="U30" s="1098">
        <v>10</v>
      </c>
      <c r="V30" s="1094"/>
      <c r="W30" s="1100" t="s">
        <v>394</v>
      </c>
      <c r="X30" s="369"/>
      <c r="Y30" s="1099"/>
      <c r="Z30" s="1098">
        <v>10</v>
      </c>
      <c r="AA30" s="1094"/>
      <c r="AB30" s="1100" t="s">
        <v>394</v>
      </c>
      <c r="AC30" s="369"/>
      <c r="AD30" s="1099"/>
      <c r="AE30" s="1098">
        <v>10</v>
      </c>
      <c r="AF30" s="1101"/>
      <c r="AG30" s="1100" t="s">
        <v>394</v>
      </c>
      <c r="AH30" s="369"/>
      <c r="AI30" s="1099"/>
      <c r="AJ30" s="1098">
        <v>10</v>
      </c>
      <c r="AK30" s="1101"/>
      <c r="AL30" s="1100" t="s">
        <v>394</v>
      </c>
      <c r="AM30" s="369"/>
      <c r="AN30" s="1099"/>
      <c r="AO30" s="1098">
        <v>10</v>
      </c>
      <c r="AP30" s="1101"/>
      <c r="AQ30" s="1100" t="s">
        <v>394</v>
      </c>
      <c r="AR30" s="369"/>
      <c r="AS30" s="1099"/>
      <c r="AT30" s="1098">
        <v>10</v>
      </c>
    </row>
    <row r="31" spans="7:46" ht="15.75" thickBot="1" x14ac:dyDescent="0.3">
      <c r="H31" s="412"/>
      <c r="I31" s="1097"/>
      <c r="J31" s="1095"/>
      <c r="K31" s="361"/>
      <c r="L31" s="1096"/>
      <c r="M31" s="412"/>
      <c r="N31" s="412"/>
      <c r="O31" s="1095"/>
      <c r="P31" s="1094"/>
      <c r="Q31" s="1094"/>
      <c r="R31" s="384" t="s">
        <v>597</v>
      </c>
      <c r="S31" s="1093"/>
      <c r="T31" s="1092"/>
      <c r="U31" s="1091">
        <f>U29/U30/365</f>
        <v>91.196456420312884</v>
      </c>
      <c r="V31" s="596"/>
      <c r="W31" s="384" t="s">
        <v>597</v>
      </c>
      <c r="X31" s="1093"/>
      <c r="Y31" s="1092"/>
      <c r="Z31" s="1091">
        <f>Z29/Z30/365</f>
        <v>92.522996106823072</v>
      </c>
      <c r="AA31" s="596"/>
      <c r="AB31" s="384" t="s">
        <v>597</v>
      </c>
      <c r="AC31" s="1093"/>
      <c r="AD31" s="1092"/>
      <c r="AE31" s="1091">
        <f>AE29/AE30/365</f>
        <v>91.29105998966277</v>
      </c>
      <c r="AF31" s="1094"/>
      <c r="AG31" s="384" t="s">
        <v>597</v>
      </c>
      <c r="AH31" s="1093"/>
      <c r="AI31" s="1092"/>
      <c r="AJ31" s="1091">
        <f>AJ29/AJ30/365</f>
        <v>132.36879574135602</v>
      </c>
      <c r="AK31" s="1094"/>
      <c r="AL31" s="384" t="s">
        <v>597</v>
      </c>
      <c r="AM31" s="1093"/>
      <c r="AN31" s="1092"/>
      <c r="AO31" s="1091">
        <f>AO29/AO30/365</f>
        <v>220.97831301062124</v>
      </c>
      <c r="AP31" s="1094"/>
      <c r="AQ31" s="384" t="s">
        <v>597</v>
      </c>
      <c r="AR31" s="1093"/>
      <c r="AS31" s="1092"/>
      <c r="AT31" s="1091">
        <f>AT29/AT30/365</f>
        <v>163.53575448777812</v>
      </c>
    </row>
    <row r="32" spans="7:46" x14ac:dyDescent="0.2">
      <c r="Q32" s="596"/>
      <c r="R32" s="596"/>
      <c r="S32" s="596"/>
      <c r="T32" s="596"/>
      <c r="U32" s="596"/>
      <c r="V32" s="1089"/>
      <c r="W32" s="596"/>
      <c r="X32" s="596"/>
      <c r="Y32" s="596"/>
      <c r="Z32" s="596"/>
      <c r="AA32" s="1089"/>
      <c r="AB32" s="596"/>
      <c r="AC32" s="596"/>
      <c r="AD32" s="596"/>
      <c r="AE32" s="596"/>
      <c r="AF32" s="596"/>
      <c r="AG32" s="596"/>
      <c r="AH32" s="596"/>
      <c r="AI32" s="596"/>
      <c r="AJ32" s="596"/>
      <c r="AK32" s="596"/>
      <c r="AL32" s="596"/>
      <c r="AM32" s="596"/>
      <c r="AN32" s="596"/>
      <c r="AO32" s="596"/>
      <c r="AP32" s="596"/>
      <c r="AQ32" s="596"/>
      <c r="AR32" s="596"/>
      <c r="AS32" s="596"/>
      <c r="AT32" s="596"/>
    </row>
    <row r="33" spans="17:47" x14ac:dyDescent="0.2">
      <c r="Q33" s="1089"/>
      <c r="R33" s="1089"/>
      <c r="S33" s="1089"/>
      <c r="T33" s="1089"/>
      <c r="U33" s="1089"/>
      <c r="V33" s="1071"/>
      <c r="W33" s="1089"/>
      <c r="X33" s="1089"/>
      <c r="Y33" s="1089"/>
      <c r="Z33" s="1089"/>
      <c r="AA33" s="1071"/>
      <c r="AB33" s="1089"/>
      <c r="AC33" s="1089"/>
      <c r="AD33" s="1089"/>
      <c r="AE33" s="1089"/>
      <c r="AF33" s="1089"/>
      <c r="AG33" s="1089"/>
      <c r="AH33" s="1089"/>
      <c r="AI33" s="1089"/>
      <c r="AJ33" s="1089"/>
      <c r="AK33" s="1089"/>
      <c r="AL33" s="1089"/>
      <c r="AM33" s="1089"/>
      <c r="AN33" s="1089"/>
      <c r="AO33" s="1089"/>
      <c r="AP33" s="1089"/>
      <c r="AQ33" s="1089"/>
      <c r="AR33" s="1089"/>
      <c r="AS33" s="1089"/>
      <c r="AT33" s="1089"/>
    </row>
    <row r="34" spans="17:47" x14ac:dyDescent="0.2">
      <c r="Q34" s="1071"/>
      <c r="R34" s="1071"/>
      <c r="S34" s="1071"/>
      <c r="T34" s="1071"/>
      <c r="U34" s="1071"/>
      <c r="V34" s="1071"/>
      <c r="W34" s="1071"/>
      <c r="X34" s="1071"/>
      <c r="Y34" s="1071"/>
      <c r="Z34" s="1071"/>
      <c r="AA34" s="1071"/>
      <c r="AB34" s="1071"/>
      <c r="AC34" s="1071"/>
      <c r="AD34" s="1071"/>
      <c r="AE34" s="1071"/>
      <c r="AF34" s="1071"/>
      <c r="AG34" s="1071"/>
      <c r="AH34" s="1071"/>
      <c r="AI34" s="1071"/>
      <c r="AJ34" s="1071"/>
      <c r="AK34" s="1071"/>
      <c r="AL34" s="1071"/>
      <c r="AM34" s="1071"/>
      <c r="AN34" s="1071"/>
      <c r="AO34" s="1071"/>
      <c r="AP34" s="1071"/>
      <c r="AQ34" s="1071"/>
      <c r="AR34" s="1071"/>
      <c r="AS34" s="1071"/>
      <c r="AT34" s="1071"/>
    </row>
    <row r="35" spans="17:47" x14ac:dyDescent="0.2">
      <c r="Q35" s="1071"/>
      <c r="R35" s="1071"/>
      <c r="S35" s="1071"/>
      <c r="T35" s="1071"/>
      <c r="U35" s="1071"/>
      <c r="V35" s="1071"/>
      <c r="W35" s="1071"/>
      <c r="X35" s="1071"/>
      <c r="Y35" s="1071"/>
      <c r="Z35" s="1071"/>
      <c r="AA35" s="1071"/>
      <c r="AB35" s="1071"/>
      <c r="AC35" s="1071"/>
      <c r="AD35" s="1071"/>
      <c r="AE35" s="1071"/>
      <c r="AF35" s="1071"/>
      <c r="AG35" s="1071"/>
      <c r="AH35" s="1071"/>
      <c r="AI35" s="1071"/>
      <c r="AJ35" s="1071"/>
      <c r="AK35" s="1071"/>
      <c r="AL35" s="1071"/>
      <c r="AM35" s="1071"/>
      <c r="AN35" s="1071"/>
      <c r="AO35" s="1071"/>
      <c r="AP35" s="1071"/>
      <c r="AQ35" s="1071"/>
      <c r="AR35" s="1071"/>
      <c r="AS35" s="1071"/>
      <c r="AT35" s="1071"/>
    </row>
    <row r="36" spans="17:47" x14ac:dyDescent="0.2">
      <c r="Q36" s="1071"/>
      <c r="R36" s="1071"/>
      <c r="S36" s="1071"/>
      <c r="T36" s="1071"/>
      <c r="U36" s="1071"/>
      <c r="V36" s="1071"/>
      <c r="W36" s="1071"/>
      <c r="X36" s="1071"/>
      <c r="Y36" s="1071"/>
      <c r="Z36" s="1071"/>
      <c r="AA36" s="1071"/>
      <c r="AB36" s="1071"/>
      <c r="AC36" s="1071"/>
      <c r="AD36" s="1071"/>
      <c r="AE36" s="1071"/>
      <c r="AF36" s="1071"/>
      <c r="AG36" s="1071"/>
      <c r="AH36" s="1071"/>
      <c r="AI36" s="1071"/>
      <c r="AJ36" s="1071"/>
      <c r="AK36" s="1071"/>
      <c r="AL36" s="1071"/>
      <c r="AM36" s="1071"/>
      <c r="AN36" s="1071"/>
      <c r="AO36" s="1071"/>
      <c r="AP36" s="1071"/>
      <c r="AQ36" s="1071"/>
      <c r="AR36" s="1071"/>
      <c r="AS36" s="1071"/>
      <c r="AT36" s="1071"/>
    </row>
    <row r="37" spans="17:47" x14ac:dyDescent="0.2">
      <c r="Q37" s="1071"/>
      <c r="R37" s="1071"/>
      <c r="S37" s="1071"/>
      <c r="T37" s="1071"/>
      <c r="U37" s="1071"/>
      <c r="V37" s="1071"/>
      <c r="W37" s="1071"/>
      <c r="X37" s="1071"/>
      <c r="Y37" s="1071"/>
      <c r="Z37" s="1071"/>
      <c r="AA37" s="1071"/>
      <c r="AB37" s="1071"/>
      <c r="AC37" s="1071"/>
      <c r="AD37" s="1071"/>
      <c r="AE37" s="1071"/>
      <c r="AF37" s="1071"/>
      <c r="AG37" s="1071"/>
      <c r="AH37" s="1071"/>
      <c r="AI37" s="1071"/>
      <c r="AJ37" s="1071"/>
      <c r="AK37" s="1071"/>
      <c r="AL37" s="1071"/>
      <c r="AM37" s="1071"/>
      <c r="AN37" s="1071"/>
      <c r="AO37" s="1071"/>
      <c r="AP37" s="1071"/>
      <c r="AQ37" s="1071"/>
      <c r="AR37" s="1071"/>
      <c r="AS37" s="1071"/>
      <c r="AT37" s="1071"/>
    </row>
    <row r="38" spans="17:47" ht="16.5" customHeight="1" x14ac:dyDescent="0.2">
      <c r="Q38" s="1071"/>
      <c r="R38" s="1071"/>
      <c r="S38" s="1071"/>
      <c r="T38" s="1071"/>
      <c r="U38" s="1071"/>
      <c r="V38" s="1088"/>
      <c r="W38" s="1071"/>
      <c r="X38" s="1071"/>
      <c r="Y38" s="1071"/>
      <c r="Z38" s="1071"/>
      <c r="AA38" s="1088"/>
      <c r="AB38" s="1071"/>
      <c r="AC38" s="1071"/>
      <c r="AD38" s="1071"/>
      <c r="AE38" s="1071"/>
      <c r="AF38" s="1071"/>
      <c r="AG38" s="1071"/>
      <c r="AH38" s="1071"/>
      <c r="AI38" s="1071"/>
      <c r="AJ38" s="1071"/>
      <c r="AK38" s="1071"/>
      <c r="AL38" s="1071"/>
      <c r="AM38" s="1071"/>
      <c r="AN38" s="1071"/>
      <c r="AO38" s="1071"/>
      <c r="AP38" s="1071"/>
      <c r="AQ38" s="1071"/>
      <c r="AR38" s="1071"/>
      <c r="AS38" s="1071"/>
      <c r="AT38" s="1071"/>
      <c r="AU38" s="460"/>
    </row>
    <row r="39" spans="17:47" x14ac:dyDescent="0.2">
      <c r="Q39" s="1088"/>
      <c r="R39" s="1088"/>
      <c r="S39" s="1088"/>
      <c r="T39" s="1088"/>
      <c r="U39" s="1088"/>
      <c r="V39" s="1088"/>
      <c r="W39" s="1088"/>
      <c r="X39" s="1088"/>
      <c r="Y39" s="1088"/>
      <c r="Z39" s="1088"/>
      <c r="AA39" s="1088"/>
      <c r="AB39" s="1088"/>
      <c r="AC39" s="1088"/>
      <c r="AD39" s="1088"/>
      <c r="AE39" s="1088"/>
      <c r="AF39" s="1088"/>
      <c r="AG39" s="1088"/>
      <c r="AH39" s="1088"/>
      <c r="AI39" s="1088"/>
      <c r="AJ39" s="1088"/>
      <c r="AK39" s="1088"/>
      <c r="AL39" s="1088"/>
      <c r="AM39" s="1088"/>
      <c r="AN39" s="1088"/>
      <c r="AO39" s="1088"/>
      <c r="AP39" s="1088"/>
      <c r="AQ39" s="1088"/>
      <c r="AR39" s="1088"/>
      <c r="AS39" s="1088"/>
      <c r="AT39" s="1088"/>
      <c r="AU39" s="1090"/>
    </row>
    <row r="40" spans="17:47" x14ac:dyDescent="0.2">
      <c r="Q40" s="1088"/>
      <c r="R40" s="1088"/>
      <c r="S40" s="1088"/>
      <c r="T40" s="1088"/>
      <c r="U40" s="1088"/>
      <c r="V40" s="1087"/>
      <c r="W40" s="1088"/>
      <c r="X40" s="1088"/>
      <c r="Y40" s="1088"/>
      <c r="Z40" s="1088"/>
      <c r="AA40" s="1087"/>
      <c r="AB40" s="1088"/>
      <c r="AC40" s="1088"/>
      <c r="AD40" s="1088"/>
      <c r="AE40" s="1088"/>
      <c r="AF40" s="1088"/>
      <c r="AG40" s="1088"/>
      <c r="AH40" s="1088"/>
      <c r="AI40" s="1088"/>
      <c r="AJ40" s="1088"/>
      <c r="AK40" s="1088"/>
      <c r="AL40" s="1088"/>
      <c r="AM40" s="1088"/>
      <c r="AN40" s="1088"/>
      <c r="AO40" s="1088"/>
      <c r="AP40" s="1088"/>
      <c r="AQ40" s="1088"/>
      <c r="AR40" s="1088"/>
      <c r="AS40" s="1088"/>
      <c r="AT40" s="1088"/>
    </row>
    <row r="41" spans="17:47" x14ac:dyDescent="0.2">
      <c r="Q41" s="1087"/>
      <c r="R41" s="1087"/>
      <c r="S41" s="1087"/>
      <c r="T41" s="1087"/>
      <c r="U41" s="1087"/>
      <c r="V41" s="1072"/>
      <c r="W41" s="1087"/>
      <c r="X41" s="1087"/>
      <c r="Y41" s="1087"/>
      <c r="Z41" s="1087"/>
      <c r="AA41" s="1072"/>
      <c r="AB41" s="1087"/>
      <c r="AC41" s="1087"/>
      <c r="AD41" s="1087"/>
      <c r="AE41" s="1087"/>
      <c r="AF41" s="1087"/>
      <c r="AG41" s="1087"/>
      <c r="AH41" s="1087"/>
      <c r="AI41" s="1087"/>
      <c r="AJ41" s="1087"/>
      <c r="AK41" s="1087"/>
      <c r="AL41" s="1087"/>
      <c r="AM41" s="1087"/>
      <c r="AN41" s="1087"/>
      <c r="AO41" s="1087"/>
      <c r="AP41" s="1087"/>
      <c r="AQ41" s="1087"/>
      <c r="AR41" s="1087"/>
      <c r="AS41" s="1087"/>
      <c r="AT41" s="1087"/>
    </row>
    <row r="42" spans="17:47" x14ac:dyDescent="0.2">
      <c r="Q42" s="1072"/>
      <c r="R42" s="1072"/>
      <c r="S42" s="1072"/>
      <c r="T42" s="1072"/>
      <c r="U42" s="1072"/>
      <c r="V42" s="1071"/>
      <c r="W42" s="1072"/>
      <c r="X42" s="1072"/>
      <c r="Y42" s="1072"/>
      <c r="Z42" s="1072"/>
      <c r="AA42" s="1071"/>
      <c r="AB42" s="1072"/>
      <c r="AC42" s="1072"/>
      <c r="AD42" s="1072"/>
      <c r="AE42" s="1072"/>
      <c r="AF42" s="1072"/>
      <c r="AG42" s="1072"/>
      <c r="AH42" s="1072"/>
      <c r="AI42" s="1072"/>
      <c r="AJ42" s="1072"/>
      <c r="AK42" s="1072"/>
      <c r="AL42" s="1072"/>
      <c r="AM42" s="1072"/>
      <c r="AN42" s="1072"/>
      <c r="AO42" s="1072"/>
      <c r="AP42" s="1072"/>
      <c r="AQ42" s="1072"/>
      <c r="AR42" s="1072"/>
      <c r="AS42" s="1072"/>
      <c r="AT42" s="1072"/>
    </row>
    <row r="43" spans="17:47" x14ac:dyDescent="0.2">
      <c r="Q43" s="1071"/>
      <c r="R43" s="1071"/>
      <c r="S43" s="1071"/>
      <c r="T43" s="1071"/>
      <c r="U43" s="1071"/>
      <c r="V43" s="1071"/>
      <c r="W43" s="1071"/>
      <c r="X43" s="1071"/>
      <c r="Y43" s="1071"/>
      <c r="Z43" s="1071"/>
      <c r="AA43" s="1071"/>
      <c r="AB43" s="1071"/>
      <c r="AC43" s="1071"/>
      <c r="AD43" s="1071"/>
      <c r="AE43" s="1071"/>
      <c r="AF43" s="1071"/>
      <c r="AG43" s="1071"/>
      <c r="AH43" s="1071"/>
      <c r="AI43" s="1071"/>
      <c r="AJ43" s="1071"/>
      <c r="AK43" s="1071"/>
      <c r="AL43" s="1071"/>
      <c r="AM43" s="1071"/>
      <c r="AN43" s="1071"/>
      <c r="AO43" s="1071"/>
      <c r="AP43" s="1071"/>
      <c r="AQ43" s="1071"/>
      <c r="AR43" s="1071"/>
      <c r="AS43" s="1071"/>
      <c r="AT43" s="1071"/>
    </row>
    <row r="44" spans="17:47" x14ac:dyDescent="0.2">
      <c r="Q44" s="1071"/>
      <c r="R44" s="1071"/>
      <c r="S44" s="1071"/>
      <c r="T44" s="1071"/>
      <c r="U44" s="1071"/>
      <c r="V44" s="1071"/>
      <c r="W44" s="1071"/>
      <c r="X44" s="1071"/>
      <c r="Y44" s="1071"/>
      <c r="Z44" s="1071"/>
      <c r="AA44" s="1071"/>
      <c r="AB44" s="1071"/>
      <c r="AC44" s="1071"/>
      <c r="AD44" s="1071"/>
      <c r="AE44" s="1071"/>
      <c r="AF44" s="1071"/>
      <c r="AG44" s="1071"/>
      <c r="AH44" s="1071"/>
      <c r="AI44" s="1071"/>
      <c r="AJ44" s="1071"/>
      <c r="AK44" s="1071"/>
      <c r="AL44" s="1071"/>
      <c r="AM44" s="1071"/>
      <c r="AN44" s="1071"/>
      <c r="AO44" s="1071"/>
      <c r="AP44" s="1071"/>
      <c r="AQ44" s="1071"/>
      <c r="AR44" s="1071"/>
      <c r="AS44" s="1071"/>
      <c r="AT44" s="1071"/>
    </row>
    <row r="45" spans="17:47" x14ac:dyDescent="0.2">
      <c r="Q45" s="1071"/>
      <c r="R45" s="1071"/>
      <c r="S45" s="1071"/>
      <c r="T45" s="1071"/>
      <c r="U45" s="1071"/>
      <c r="V45" s="1071"/>
      <c r="W45" s="1071"/>
      <c r="X45" s="1071"/>
      <c r="Y45" s="1071"/>
      <c r="Z45" s="1071"/>
      <c r="AA45" s="1071"/>
      <c r="AB45" s="1071"/>
      <c r="AC45" s="1071"/>
      <c r="AD45" s="1071"/>
      <c r="AE45" s="1071"/>
      <c r="AF45" s="1071"/>
      <c r="AG45" s="1071"/>
      <c r="AH45" s="1071"/>
      <c r="AI45" s="1071"/>
      <c r="AJ45" s="1071"/>
      <c r="AK45" s="1071"/>
      <c r="AL45" s="1071"/>
      <c r="AM45" s="1071"/>
      <c r="AN45" s="1071"/>
      <c r="AO45" s="1071"/>
      <c r="AP45" s="1071"/>
      <c r="AQ45" s="1071"/>
      <c r="AR45" s="1071"/>
      <c r="AS45" s="1071"/>
      <c r="AT45" s="1071"/>
    </row>
    <row r="46" spans="17:47" x14ac:dyDescent="0.2">
      <c r="Q46" s="1071"/>
      <c r="R46" s="1071"/>
      <c r="S46" s="1071"/>
      <c r="T46" s="1071"/>
      <c r="U46" s="1071"/>
      <c r="V46" s="1071"/>
      <c r="W46" s="1071"/>
      <c r="X46" s="1071"/>
      <c r="Y46" s="1071"/>
      <c r="Z46" s="1071"/>
      <c r="AA46" s="1071"/>
      <c r="AB46" s="1071"/>
      <c r="AC46" s="1071"/>
      <c r="AD46" s="1071"/>
      <c r="AE46" s="1071"/>
      <c r="AF46" s="1071"/>
      <c r="AG46" s="1071"/>
      <c r="AH46" s="1071"/>
      <c r="AI46" s="1071"/>
      <c r="AJ46" s="1071"/>
      <c r="AK46" s="1071"/>
      <c r="AL46" s="1071"/>
      <c r="AM46" s="1071"/>
      <c r="AN46" s="1071"/>
      <c r="AO46" s="1071"/>
      <c r="AP46" s="1071"/>
      <c r="AQ46" s="1071"/>
      <c r="AR46" s="1071"/>
      <c r="AS46" s="1071"/>
      <c r="AT46" s="1071"/>
    </row>
    <row r="47" spans="17:47" x14ac:dyDescent="0.2">
      <c r="Q47" s="1071"/>
      <c r="R47" s="1071"/>
      <c r="S47" s="1071"/>
      <c r="T47" s="1071"/>
      <c r="U47" s="1071"/>
      <c r="V47" s="1071"/>
      <c r="W47" s="1071"/>
      <c r="X47" s="1071"/>
      <c r="Y47" s="1071"/>
      <c r="Z47" s="1071"/>
      <c r="AA47" s="1071"/>
      <c r="AB47" s="1071"/>
      <c r="AC47" s="1071"/>
      <c r="AD47" s="1071"/>
      <c r="AE47" s="1071"/>
      <c r="AF47" s="1071"/>
      <c r="AG47" s="1071"/>
      <c r="AH47" s="1071"/>
      <c r="AI47" s="1071"/>
      <c r="AJ47" s="1071"/>
      <c r="AK47" s="1071"/>
      <c r="AL47" s="1071"/>
      <c r="AM47" s="1071"/>
      <c r="AN47" s="1071"/>
      <c r="AO47" s="1071"/>
      <c r="AP47" s="1071"/>
      <c r="AQ47" s="1071"/>
      <c r="AR47" s="1071"/>
      <c r="AS47" s="1071"/>
      <c r="AT47" s="1071"/>
    </row>
    <row r="48" spans="17:47" x14ac:dyDescent="0.2">
      <c r="Q48" s="1071"/>
      <c r="R48" s="1071"/>
      <c r="S48" s="1071"/>
      <c r="T48" s="1071"/>
      <c r="U48" s="1071"/>
      <c r="V48" s="1071"/>
      <c r="W48" s="1071"/>
      <c r="X48" s="1071"/>
      <c r="Y48" s="1071"/>
      <c r="Z48" s="1071"/>
      <c r="AA48" s="1071"/>
      <c r="AB48" s="1071"/>
      <c r="AC48" s="1071"/>
      <c r="AD48" s="1071"/>
      <c r="AE48" s="1071"/>
      <c r="AF48" s="1071"/>
      <c r="AG48" s="1071"/>
      <c r="AH48" s="1071"/>
      <c r="AI48" s="1071"/>
      <c r="AJ48" s="1071"/>
      <c r="AK48" s="1071"/>
      <c r="AL48" s="1071"/>
      <c r="AM48" s="1071"/>
      <c r="AN48" s="1071"/>
      <c r="AO48" s="1071"/>
      <c r="AP48" s="1071"/>
      <c r="AQ48" s="1071"/>
      <c r="AR48" s="1071"/>
      <c r="AS48" s="1071"/>
      <c r="AT48" s="1071"/>
    </row>
    <row r="49" spans="12:46" x14ac:dyDescent="0.2">
      <c r="Q49" s="1071"/>
      <c r="R49" s="1071"/>
      <c r="S49" s="1071"/>
      <c r="T49" s="1071"/>
      <c r="U49" s="1071"/>
      <c r="V49" s="1087"/>
      <c r="W49" s="1071"/>
      <c r="X49" s="1071"/>
      <c r="Y49" s="1071"/>
      <c r="Z49" s="1071"/>
      <c r="AA49" s="1087"/>
      <c r="AB49" s="1071"/>
      <c r="AC49" s="1071"/>
      <c r="AD49" s="1071"/>
      <c r="AE49" s="1071"/>
      <c r="AF49" s="1071"/>
      <c r="AG49" s="1071"/>
      <c r="AH49" s="1071"/>
      <c r="AI49" s="1071"/>
      <c r="AJ49" s="1071"/>
      <c r="AK49" s="1071"/>
      <c r="AL49" s="1071"/>
      <c r="AM49" s="1071"/>
      <c r="AN49" s="1071"/>
      <c r="AO49" s="1071"/>
      <c r="AP49" s="1071"/>
      <c r="AQ49" s="1071"/>
      <c r="AR49" s="1071"/>
      <c r="AS49" s="1071"/>
      <c r="AT49" s="1071"/>
    </row>
    <row r="50" spans="12:46" x14ac:dyDescent="0.2">
      <c r="Q50" s="1087"/>
      <c r="R50" s="1087"/>
      <c r="S50" s="1087"/>
      <c r="T50" s="1087"/>
      <c r="U50" s="1087"/>
      <c r="V50" s="1088"/>
      <c r="W50" s="1087"/>
      <c r="X50" s="1087"/>
      <c r="Y50" s="1087"/>
      <c r="Z50" s="1087"/>
      <c r="AA50" s="1088"/>
      <c r="AB50" s="1087"/>
      <c r="AC50" s="1087"/>
      <c r="AD50" s="1087"/>
      <c r="AE50" s="1087"/>
      <c r="AF50" s="1087"/>
      <c r="AG50" s="1087"/>
      <c r="AH50" s="1087"/>
      <c r="AI50" s="1087"/>
      <c r="AJ50" s="1087"/>
      <c r="AK50" s="1087"/>
      <c r="AL50" s="1087"/>
      <c r="AM50" s="1087"/>
      <c r="AN50" s="1087"/>
      <c r="AO50" s="1087"/>
      <c r="AP50" s="1087"/>
      <c r="AQ50" s="1087"/>
      <c r="AR50" s="1087"/>
      <c r="AS50" s="1087"/>
      <c r="AT50" s="1087"/>
    </row>
    <row r="51" spans="12:46" x14ac:dyDescent="0.2">
      <c r="Q51" s="1088"/>
      <c r="R51" s="1088"/>
      <c r="S51" s="1088"/>
      <c r="T51" s="1088"/>
      <c r="U51" s="1088"/>
      <c r="V51" s="1088"/>
      <c r="W51" s="1088"/>
      <c r="X51" s="1088"/>
      <c r="Y51" s="1088"/>
      <c r="Z51" s="1088"/>
      <c r="AA51" s="1088"/>
      <c r="AB51" s="1088"/>
      <c r="AC51" s="1088"/>
      <c r="AD51" s="1088"/>
      <c r="AE51" s="1088"/>
      <c r="AF51" s="1088"/>
      <c r="AG51" s="1088"/>
      <c r="AH51" s="1088"/>
      <c r="AI51" s="1088"/>
      <c r="AJ51" s="1088"/>
      <c r="AK51" s="1088"/>
      <c r="AL51" s="1088"/>
      <c r="AM51" s="1088"/>
      <c r="AN51" s="1088"/>
      <c r="AO51" s="1088"/>
      <c r="AP51" s="1088"/>
      <c r="AQ51" s="1088"/>
      <c r="AR51" s="1088"/>
      <c r="AS51" s="1088"/>
      <c r="AT51" s="1088"/>
    </row>
    <row r="52" spans="12:46" x14ac:dyDescent="0.2">
      <c r="Q52" s="1088"/>
      <c r="R52" s="1088"/>
      <c r="S52" s="1088"/>
      <c r="T52" s="1088"/>
      <c r="U52" s="1088"/>
      <c r="V52" s="1087"/>
      <c r="W52" s="1088"/>
      <c r="X52" s="1088"/>
      <c r="Y52" s="1088"/>
      <c r="Z52" s="1088"/>
      <c r="AA52" s="1087"/>
      <c r="AB52" s="1088"/>
      <c r="AC52" s="1088"/>
      <c r="AD52" s="1088"/>
      <c r="AE52" s="1088"/>
      <c r="AF52" s="1088"/>
      <c r="AG52" s="1088"/>
      <c r="AH52" s="1088"/>
      <c r="AI52" s="1088"/>
      <c r="AJ52" s="1088"/>
      <c r="AK52" s="1088"/>
      <c r="AL52" s="1088"/>
      <c r="AM52" s="1088"/>
      <c r="AN52" s="1088"/>
      <c r="AO52" s="1088"/>
      <c r="AP52" s="1088"/>
      <c r="AQ52" s="1088"/>
      <c r="AR52" s="1088"/>
      <c r="AS52" s="1088"/>
      <c r="AT52" s="1088"/>
    </row>
    <row r="53" spans="12:46" x14ac:dyDescent="0.2">
      <c r="Q53" s="1087"/>
      <c r="R53" s="1087"/>
      <c r="S53" s="1087"/>
      <c r="T53" s="1087"/>
      <c r="U53" s="1087"/>
      <c r="V53" s="1086"/>
      <c r="W53" s="1087"/>
      <c r="X53" s="1087"/>
      <c r="Y53" s="1087"/>
      <c r="Z53" s="1087"/>
      <c r="AA53" s="1086"/>
      <c r="AB53" s="1087"/>
      <c r="AC53" s="1087"/>
      <c r="AD53" s="1087"/>
      <c r="AE53" s="1087"/>
      <c r="AF53" s="1087"/>
      <c r="AG53" s="1087"/>
      <c r="AH53" s="1087"/>
      <c r="AI53" s="1087"/>
      <c r="AJ53" s="1087"/>
      <c r="AK53" s="1087"/>
      <c r="AL53" s="1087"/>
      <c r="AM53" s="1087"/>
      <c r="AN53" s="1087"/>
      <c r="AO53" s="1087"/>
      <c r="AP53" s="1087"/>
      <c r="AQ53" s="1087"/>
      <c r="AR53" s="1087"/>
      <c r="AS53" s="1087"/>
      <c r="AT53" s="1087"/>
    </row>
    <row r="54" spans="12:46" x14ac:dyDescent="0.2">
      <c r="Q54" s="1086"/>
      <c r="R54" s="1086"/>
      <c r="S54" s="1086"/>
      <c r="T54" s="1086"/>
      <c r="U54" s="1086"/>
      <c r="V54" s="1085"/>
      <c r="W54" s="1086"/>
      <c r="X54" s="1086"/>
      <c r="Y54" s="1086"/>
      <c r="Z54" s="1086"/>
      <c r="AA54" s="1085"/>
      <c r="AB54" s="1086"/>
      <c r="AC54" s="1086"/>
      <c r="AD54" s="1086"/>
      <c r="AE54" s="1086"/>
      <c r="AF54" s="1086"/>
      <c r="AG54" s="1086"/>
      <c r="AH54" s="1086"/>
      <c r="AI54" s="1086"/>
      <c r="AJ54" s="1086"/>
      <c r="AK54" s="1086"/>
      <c r="AL54" s="1086"/>
      <c r="AM54" s="1086"/>
      <c r="AN54" s="1086"/>
      <c r="AO54" s="1086"/>
      <c r="AP54" s="1086"/>
      <c r="AQ54" s="1086"/>
      <c r="AR54" s="1086"/>
      <c r="AS54" s="1086"/>
      <c r="AT54" s="1086"/>
    </row>
    <row r="55" spans="12:46" x14ac:dyDescent="0.2">
      <c r="Q55" s="1085"/>
      <c r="R55" s="1085"/>
      <c r="S55" s="1085"/>
      <c r="T55" s="1085"/>
      <c r="U55" s="1085"/>
      <c r="W55" s="1085"/>
      <c r="X55" s="1085"/>
      <c r="Y55" s="1085"/>
      <c r="Z55" s="1085"/>
      <c r="AB55" s="1085"/>
      <c r="AC55" s="1085"/>
      <c r="AD55" s="1085"/>
      <c r="AE55" s="1085"/>
      <c r="AF55" s="1085"/>
      <c r="AG55" s="1085"/>
      <c r="AH55" s="1085"/>
      <c r="AI55" s="1085"/>
      <c r="AJ55" s="1085"/>
      <c r="AK55" s="1085"/>
      <c r="AL55" s="1085"/>
      <c r="AM55" s="1085"/>
      <c r="AN55" s="1085"/>
      <c r="AO55" s="1085"/>
      <c r="AP55" s="1085"/>
      <c r="AQ55" s="1085"/>
      <c r="AR55" s="1085"/>
      <c r="AS55" s="1085"/>
      <c r="AT55" s="1085"/>
    </row>
    <row r="56" spans="12:46" x14ac:dyDescent="0.2">
      <c r="L56" s="585"/>
      <c r="V56" s="596"/>
      <c r="AA56" s="596"/>
    </row>
    <row r="57" spans="12:46" x14ac:dyDescent="0.2">
      <c r="Q57" s="596"/>
      <c r="R57" s="596"/>
      <c r="S57" s="596"/>
      <c r="T57" s="596"/>
      <c r="U57" s="596"/>
      <c r="V57" s="1089"/>
      <c r="W57" s="596"/>
      <c r="X57" s="596"/>
      <c r="Y57" s="596"/>
      <c r="Z57" s="596"/>
      <c r="AA57" s="1089"/>
      <c r="AB57" s="596"/>
      <c r="AC57" s="596"/>
      <c r="AD57" s="596"/>
      <c r="AE57" s="596"/>
      <c r="AF57" s="596"/>
      <c r="AG57" s="596"/>
      <c r="AH57" s="596"/>
      <c r="AI57" s="596"/>
      <c r="AJ57" s="596"/>
      <c r="AK57" s="596"/>
      <c r="AL57" s="596"/>
      <c r="AM57" s="596"/>
      <c r="AN57" s="596"/>
      <c r="AO57" s="596"/>
      <c r="AP57" s="596"/>
      <c r="AQ57" s="596"/>
      <c r="AR57" s="596"/>
      <c r="AS57" s="596"/>
      <c r="AT57" s="596"/>
    </row>
    <row r="58" spans="12:46" x14ac:dyDescent="0.2">
      <c r="Q58" s="1089"/>
      <c r="R58" s="1089"/>
      <c r="S58" s="1089"/>
      <c r="T58" s="1089"/>
      <c r="U58" s="1089"/>
      <c r="V58" s="1071"/>
      <c r="W58" s="1089"/>
      <c r="X58" s="1089"/>
      <c r="Y58" s="1089"/>
      <c r="Z58" s="1089"/>
      <c r="AA58" s="1071"/>
      <c r="AB58" s="1089"/>
      <c r="AC58" s="1089"/>
      <c r="AD58" s="1089"/>
      <c r="AE58" s="1089"/>
      <c r="AF58" s="1089"/>
      <c r="AG58" s="1089"/>
      <c r="AH58" s="1089"/>
      <c r="AI58" s="1089"/>
      <c r="AJ58" s="1089"/>
      <c r="AK58" s="1089"/>
      <c r="AL58" s="1089"/>
      <c r="AM58" s="1089"/>
      <c r="AN58" s="1089"/>
      <c r="AO58" s="1089"/>
      <c r="AP58" s="1089"/>
      <c r="AQ58" s="1089"/>
      <c r="AR58" s="1089"/>
      <c r="AS58" s="1089"/>
      <c r="AT58" s="1089"/>
    </row>
    <row r="59" spans="12:46" x14ac:dyDescent="0.2">
      <c r="Q59" s="1071"/>
      <c r="R59" s="1071"/>
      <c r="S59" s="1071"/>
      <c r="T59" s="1071"/>
      <c r="U59" s="1071"/>
      <c r="V59" s="1071"/>
      <c r="W59" s="1071"/>
      <c r="X59" s="1071"/>
      <c r="Y59" s="1071"/>
      <c r="Z59" s="1071"/>
      <c r="AA59" s="1071"/>
      <c r="AB59" s="1071"/>
      <c r="AC59" s="1071"/>
      <c r="AD59" s="1071"/>
      <c r="AE59" s="1071"/>
      <c r="AF59" s="1071"/>
      <c r="AG59" s="1071"/>
      <c r="AH59" s="1071"/>
      <c r="AI59" s="1071"/>
      <c r="AJ59" s="1071"/>
      <c r="AK59" s="1071"/>
      <c r="AL59" s="1071"/>
      <c r="AM59" s="1071"/>
      <c r="AN59" s="1071"/>
      <c r="AO59" s="1071"/>
      <c r="AP59" s="1071"/>
      <c r="AQ59" s="1071"/>
      <c r="AR59" s="1071"/>
      <c r="AS59" s="1071"/>
      <c r="AT59" s="1071"/>
    </row>
    <row r="60" spans="12:46" ht="15" customHeight="1" x14ac:dyDescent="0.2">
      <c r="Q60" s="1071"/>
      <c r="R60" s="1071"/>
      <c r="S60" s="1071"/>
      <c r="T60" s="1071"/>
      <c r="U60" s="1071"/>
      <c r="V60" s="1071"/>
      <c r="W60" s="1071"/>
      <c r="X60" s="1071"/>
      <c r="Y60" s="1071"/>
      <c r="Z60" s="1071"/>
      <c r="AA60" s="1071"/>
      <c r="AB60" s="1071"/>
      <c r="AC60" s="1071"/>
      <c r="AD60" s="1071"/>
      <c r="AE60" s="1071"/>
      <c r="AF60" s="1071"/>
      <c r="AG60" s="1071"/>
      <c r="AH60" s="1071"/>
      <c r="AI60" s="1071"/>
      <c r="AJ60" s="1071"/>
      <c r="AK60" s="1071"/>
      <c r="AL60" s="1071"/>
      <c r="AM60" s="1071"/>
      <c r="AN60" s="1071"/>
      <c r="AO60" s="1071"/>
      <c r="AP60" s="1071"/>
      <c r="AQ60" s="1071"/>
      <c r="AR60" s="1071"/>
      <c r="AS60" s="1071"/>
      <c r="AT60" s="1071"/>
    </row>
    <row r="61" spans="12:46" ht="15.75" customHeight="1" x14ac:dyDescent="0.2">
      <c r="Q61" s="1071"/>
      <c r="R61" s="1071"/>
      <c r="S61" s="1071"/>
      <c r="T61" s="1071"/>
      <c r="U61" s="1071"/>
      <c r="V61" s="1071"/>
      <c r="W61" s="1071"/>
      <c r="X61" s="1071"/>
      <c r="Y61" s="1071"/>
      <c r="Z61" s="1071"/>
      <c r="AA61" s="1071"/>
      <c r="AB61" s="1071"/>
      <c r="AC61" s="1071"/>
      <c r="AD61" s="1071"/>
      <c r="AE61" s="1071"/>
      <c r="AF61" s="1071"/>
      <c r="AG61" s="1071"/>
      <c r="AH61" s="1071"/>
      <c r="AI61" s="1071"/>
      <c r="AJ61" s="1071"/>
      <c r="AK61" s="1071"/>
      <c r="AL61" s="1071"/>
      <c r="AM61" s="1071"/>
      <c r="AN61" s="1071"/>
      <c r="AO61" s="1071"/>
      <c r="AP61" s="1071"/>
      <c r="AQ61" s="1071"/>
      <c r="AR61" s="1071"/>
      <c r="AS61" s="1071"/>
      <c r="AT61" s="1071"/>
    </row>
    <row r="62" spans="12:46" x14ac:dyDescent="0.2">
      <c r="Q62" s="1071"/>
      <c r="R62" s="1071"/>
      <c r="S62" s="1071"/>
      <c r="T62" s="1071"/>
      <c r="U62" s="1071"/>
      <c r="V62" s="1071"/>
      <c r="W62" s="1071"/>
      <c r="X62" s="1071"/>
      <c r="Y62" s="1071"/>
      <c r="Z62" s="1071"/>
      <c r="AA62" s="1071"/>
      <c r="AB62" s="1071"/>
      <c r="AC62" s="1071"/>
      <c r="AD62" s="1071"/>
      <c r="AE62" s="1071"/>
      <c r="AF62" s="1071"/>
      <c r="AG62" s="1071"/>
      <c r="AH62" s="1071"/>
      <c r="AI62" s="1071"/>
      <c r="AJ62" s="1071"/>
      <c r="AK62" s="1071"/>
      <c r="AL62" s="1071"/>
      <c r="AM62" s="1071"/>
      <c r="AN62" s="1071"/>
      <c r="AO62" s="1071"/>
      <c r="AP62" s="1071"/>
      <c r="AQ62" s="1071"/>
      <c r="AR62" s="1071"/>
      <c r="AS62" s="1071"/>
      <c r="AT62" s="1071"/>
    </row>
    <row r="63" spans="12:46" x14ac:dyDescent="0.2">
      <c r="Q63" s="1071"/>
      <c r="R63" s="1071"/>
      <c r="S63" s="1071"/>
      <c r="T63" s="1071"/>
      <c r="U63" s="1071"/>
      <c r="V63" s="1088"/>
      <c r="W63" s="1071"/>
      <c r="X63" s="1071"/>
      <c r="Y63" s="1071"/>
      <c r="Z63" s="1071"/>
      <c r="AA63" s="1088"/>
      <c r="AB63" s="1071"/>
      <c r="AC63" s="1071"/>
      <c r="AD63" s="1071"/>
      <c r="AE63" s="1071"/>
      <c r="AF63" s="1071"/>
      <c r="AG63" s="1071"/>
      <c r="AH63" s="1071"/>
      <c r="AI63" s="1071"/>
      <c r="AJ63" s="1071"/>
      <c r="AK63" s="1071"/>
      <c r="AL63" s="1071"/>
      <c r="AM63" s="1071"/>
      <c r="AN63" s="1071"/>
      <c r="AO63" s="1071"/>
      <c r="AP63" s="1071"/>
      <c r="AQ63" s="1071"/>
      <c r="AR63" s="1071"/>
      <c r="AS63" s="1071"/>
      <c r="AT63" s="1071"/>
    </row>
    <row r="64" spans="12:46" x14ac:dyDescent="0.2">
      <c r="Q64" s="1088"/>
      <c r="R64" s="1088"/>
      <c r="S64" s="1088"/>
      <c r="T64" s="1088"/>
      <c r="U64" s="1088"/>
      <c r="V64" s="1088"/>
      <c r="W64" s="1088"/>
      <c r="X64" s="1088"/>
      <c r="Y64" s="1088"/>
      <c r="Z64" s="1088"/>
      <c r="AA64" s="1088"/>
      <c r="AB64" s="1088"/>
      <c r="AC64" s="1088"/>
      <c r="AD64" s="1088"/>
      <c r="AE64" s="1088"/>
      <c r="AF64" s="1088"/>
      <c r="AG64" s="1088"/>
      <c r="AH64" s="1088"/>
      <c r="AI64" s="1088"/>
      <c r="AJ64" s="1088"/>
      <c r="AK64" s="1088"/>
      <c r="AL64" s="1088"/>
      <c r="AM64" s="1088"/>
      <c r="AN64" s="1088"/>
      <c r="AO64" s="1088"/>
      <c r="AP64" s="1088"/>
      <c r="AQ64" s="1088"/>
      <c r="AR64" s="1088"/>
      <c r="AS64" s="1088"/>
      <c r="AT64" s="1088"/>
    </row>
    <row r="65" spans="17:47" x14ac:dyDescent="0.2">
      <c r="Q65" s="1088"/>
      <c r="R65" s="1088"/>
      <c r="S65" s="1088"/>
      <c r="T65" s="1088"/>
      <c r="U65" s="1088"/>
      <c r="V65" s="1087"/>
      <c r="W65" s="1088"/>
      <c r="X65" s="1088"/>
      <c r="Y65" s="1088"/>
      <c r="Z65" s="1088"/>
      <c r="AA65" s="1087"/>
      <c r="AB65" s="1088"/>
      <c r="AC65" s="1088"/>
      <c r="AD65" s="1088"/>
      <c r="AE65" s="1088"/>
      <c r="AF65" s="1088"/>
      <c r="AG65" s="1088"/>
      <c r="AH65" s="1088"/>
      <c r="AI65" s="1088"/>
      <c r="AJ65" s="1088"/>
      <c r="AK65" s="1088"/>
      <c r="AL65" s="1088"/>
      <c r="AM65" s="1088"/>
      <c r="AN65" s="1088"/>
      <c r="AO65" s="1088"/>
      <c r="AP65" s="1088"/>
      <c r="AQ65" s="1088"/>
      <c r="AR65" s="1088"/>
      <c r="AS65" s="1088"/>
      <c r="AT65" s="1088"/>
    </row>
    <row r="66" spans="17:47" x14ac:dyDescent="0.2">
      <c r="Q66" s="1087"/>
      <c r="R66" s="1087"/>
      <c r="S66" s="1087"/>
      <c r="T66" s="1087"/>
      <c r="U66" s="1087"/>
      <c r="V66" s="1072"/>
      <c r="W66" s="1087"/>
      <c r="X66" s="1087"/>
      <c r="Y66" s="1087"/>
      <c r="Z66" s="1087"/>
      <c r="AA66" s="1072"/>
      <c r="AB66" s="1087"/>
      <c r="AC66" s="1087"/>
      <c r="AD66" s="1087"/>
      <c r="AE66" s="1087"/>
      <c r="AF66" s="1087"/>
      <c r="AG66" s="1087"/>
      <c r="AH66" s="1087"/>
      <c r="AI66" s="1087"/>
      <c r="AJ66" s="1087"/>
      <c r="AK66" s="1087"/>
      <c r="AL66" s="1087"/>
      <c r="AM66" s="1087"/>
      <c r="AN66" s="1087"/>
      <c r="AO66" s="1087"/>
      <c r="AP66" s="1087"/>
      <c r="AQ66" s="1087"/>
      <c r="AR66" s="1087"/>
      <c r="AS66" s="1087"/>
      <c r="AT66" s="1087"/>
    </row>
    <row r="67" spans="17:47" x14ac:dyDescent="0.2">
      <c r="Q67" s="1072"/>
      <c r="R67" s="1072"/>
      <c r="S67" s="1072"/>
      <c r="T67" s="1072"/>
      <c r="U67" s="1072"/>
      <c r="V67" s="1071"/>
      <c r="W67" s="1072"/>
      <c r="X67" s="1072"/>
      <c r="Y67" s="1072"/>
      <c r="Z67" s="1072"/>
      <c r="AA67" s="1071"/>
      <c r="AB67" s="1072"/>
      <c r="AC67" s="1072"/>
      <c r="AD67" s="1072"/>
      <c r="AE67" s="1072"/>
      <c r="AF67" s="1072"/>
      <c r="AG67" s="1072"/>
      <c r="AH67" s="1072"/>
      <c r="AI67" s="1072"/>
      <c r="AJ67" s="1072"/>
      <c r="AK67" s="1072"/>
      <c r="AL67" s="1072"/>
      <c r="AM67" s="1072"/>
      <c r="AN67" s="1072"/>
      <c r="AO67" s="1072"/>
      <c r="AP67" s="1072"/>
      <c r="AQ67" s="1072"/>
      <c r="AR67" s="1072"/>
      <c r="AS67" s="1072"/>
      <c r="AT67" s="1072"/>
    </row>
    <row r="68" spans="17:47" x14ac:dyDescent="0.2">
      <c r="Q68" s="1071"/>
      <c r="R68" s="1071"/>
      <c r="S68" s="1071"/>
      <c r="T68" s="1071"/>
      <c r="U68" s="1071"/>
      <c r="V68" s="1071"/>
      <c r="W68" s="1071"/>
      <c r="X68" s="1071"/>
      <c r="Y68" s="1071"/>
      <c r="Z68" s="1071"/>
      <c r="AA68" s="1071"/>
      <c r="AB68" s="1071"/>
      <c r="AC68" s="1071"/>
      <c r="AD68" s="1071"/>
      <c r="AE68" s="1071"/>
      <c r="AF68" s="1071"/>
      <c r="AG68" s="1071"/>
      <c r="AH68" s="1071"/>
      <c r="AI68" s="1071"/>
      <c r="AJ68" s="1071"/>
      <c r="AK68" s="1071"/>
      <c r="AL68" s="1071"/>
      <c r="AM68" s="1071"/>
      <c r="AN68" s="1071"/>
      <c r="AO68" s="1071"/>
      <c r="AP68" s="1071"/>
      <c r="AQ68" s="1071"/>
      <c r="AR68" s="1071"/>
      <c r="AS68" s="1071"/>
      <c r="AT68" s="1071"/>
      <c r="AU68" s="460"/>
    </row>
    <row r="69" spans="17:47" x14ac:dyDescent="0.2">
      <c r="Q69" s="1071"/>
      <c r="R69" s="1071"/>
      <c r="S69" s="1071"/>
      <c r="T69" s="1071"/>
      <c r="U69" s="1071"/>
      <c r="V69" s="1071"/>
      <c r="W69" s="1071"/>
      <c r="X69" s="1071"/>
      <c r="Y69" s="1071"/>
      <c r="Z69" s="1071"/>
      <c r="AA69" s="1071"/>
      <c r="AB69" s="1071"/>
      <c r="AC69" s="1071"/>
      <c r="AD69" s="1071"/>
      <c r="AE69" s="1071"/>
      <c r="AF69" s="1071"/>
      <c r="AG69" s="1071"/>
      <c r="AH69" s="1071"/>
      <c r="AI69" s="1071"/>
      <c r="AJ69" s="1071"/>
      <c r="AK69" s="1071"/>
      <c r="AL69" s="1071"/>
      <c r="AM69" s="1071"/>
      <c r="AN69" s="1071"/>
      <c r="AO69" s="1071"/>
      <c r="AP69" s="1071"/>
      <c r="AQ69" s="1071"/>
      <c r="AR69" s="1071"/>
      <c r="AS69" s="1071"/>
      <c r="AT69" s="1071"/>
    </row>
    <row r="70" spans="17:47" x14ac:dyDescent="0.2">
      <c r="Q70" s="1071"/>
      <c r="R70" s="1071"/>
      <c r="S70" s="1071"/>
      <c r="T70" s="1071"/>
      <c r="U70" s="1071"/>
      <c r="V70" s="1071"/>
      <c r="W70" s="1071"/>
      <c r="X70" s="1071"/>
      <c r="Y70" s="1071"/>
      <c r="Z70" s="1071"/>
      <c r="AA70" s="1071"/>
      <c r="AB70" s="1071"/>
      <c r="AC70" s="1071"/>
      <c r="AD70" s="1071"/>
      <c r="AE70" s="1071"/>
      <c r="AF70" s="1071"/>
      <c r="AG70" s="1071"/>
      <c r="AH70" s="1071"/>
      <c r="AI70" s="1071"/>
      <c r="AJ70" s="1071"/>
      <c r="AK70" s="1071"/>
      <c r="AL70" s="1071"/>
      <c r="AM70" s="1071"/>
      <c r="AN70" s="1071"/>
      <c r="AO70" s="1071"/>
      <c r="AP70" s="1071"/>
      <c r="AQ70" s="1071"/>
      <c r="AR70" s="1071"/>
      <c r="AS70" s="1071"/>
      <c r="AT70" s="1071"/>
    </row>
    <row r="71" spans="17:47" x14ac:dyDescent="0.2">
      <c r="Q71" s="1071"/>
      <c r="R71" s="1071"/>
      <c r="S71" s="1071"/>
      <c r="T71" s="1071"/>
      <c r="U71" s="1071"/>
      <c r="V71" s="1071"/>
      <c r="W71" s="1071"/>
      <c r="X71" s="1071"/>
      <c r="Y71" s="1071"/>
      <c r="Z71" s="1071"/>
      <c r="AA71" s="1071"/>
      <c r="AB71" s="1071"/>
      <c r="AC71" s="1071"/>
      <c r="AD71" s="1071"/>
      <c r="AE71" s="1071"/>
      <c r="AF71" s="1071"/>
      <c r="AG71" s="1071"/>
      <c r="AH71" s="1071"/>
      <c r="AI71" s="1071"/>
      <c r="AJ71" s="1071"/>
      <c r="AK71" s="1071"/>
      <c r="AL71" s="1071"/>
      <c r="AM71" s="1071"/>
      <c r="AN71" s="1071"/>
      <c r="AO71" s="1071"/>
      <c r="AP71" s="1071"/>
      <c r="AQ71" s="1071"/>
      <c r="AR71" s="1071"/>
      <c r="AS71" s="1071"/>
      <c r="AT71" s="1071"/>
    </row>
    <row r="72" spans="17:47" x14ac:dyDescent="0.2">
      <c r="Q72" s="1071"/>
      <c r="R72" s="1071"/>
      <c r="S72" s="1071"/>
      <c r="T72" s="1071"/>
      <c r="U72" s="1071"/>
      <c r="V72" s="1071"/>
      <c r="W72" s="1071"/>
      <c r="X72" s="1071"/>
      <c r="Y72" s="1071"/>
      <c r="Z72" s="1071"/>
      <c r="AA72" s="1071"/>
      <c r="AB72" s="1071"/>
      <c r="AC72" s="1071"/>
      <c r="AD72" s="1071"/>
      <c r="AE72" s="1071"/>
      <c r="AF72" s="1071"/>
      <c r="AG72" s="1071"/>
      <c r="AH72" s="1071"/>
      <c r="AI72" s="1071"/>
      <c r="AJ72" s="1071"/>
      <c r="AK72" s="1071"/>
      <c r="AL72" s="1071"/>
      <c r="AM72" s="1071"/>
      <c r="AN72" s="1071"/>
      <c r="AO72" s="1071"/>
      <c r="AP72" s="1071"/>
      <c r="AQ72" s="1071"/>
      <c r="AR72" s="1071"/>
      <c r="AS72" s="1071"/>
      <c r="AT72" s="1071"/>
    </row>
    <row r="73" spans="17:47" x14ac:dyDescent="0.2">
      <c r="Q73" s="1071"/>
      <c r="R73" s="1071"/>
      <c r="S73" s="1071"/>
      <c r="T73" s="1071"/>
      <c r="U73" s="1071"/>
      <c r="V73" s="1071"/>
      <c r="W73" s="1071"/>
      <c r="X73" s="1071"/>
      <c r="Y73" s="1071"/>
      <c r="Z73" s="1071"/>
      <c r="AA73" s="1071"/>
      <c r="AB73" s="1071"/>
      <c r="AC73" s="1071"/>
      <c r="AD73" s="1071"/>
      <c r="AE73" s="1071"/>
      <c r="AF73" s="1071"/>
      <c r="AG73" s="1071"/>
      <c r="AH73" s="1071"/>
      <c r="AI73" s="1071"/>
      <c r="AJ73" s="1071"/>
      <c r="AK73" s="1071"/>
      <c r="AL73" s="1071"/>
      <c r="AM73" s="1071"/>
      <c r="AN73" s="1071"/>
      <c r="AO73" s="1071"/>
      <c r="AP73" s="1071"/>
      <c r="AQ73" s="1071"/>
      <c r="AR73" s="1071"/>
      <c r="AS73" s="1071"/>
      <c r="AT73" s="1071"/>
    </row>
    <row r="74" spans="17:47" x14ac:dyDescent="0.2">
      <c r="Q74" s="1071"/>
      <c r="R74" s="1071"/>
      <c r="S74" s="1071"/>
      <c r="T74" s="1071"/>
      <c r="U74" s="1071"/>
      <c r="V74" s="1087"/>
      <c r="W74" s="1071"/>
      <c r="X74" s="1071"/>
      <c r="Y74" s="1071"/>
      <c r="Z74" s="1071"/>
      <c r="AA74" s="1087"/>
      <c r="AB74" s="1071"/>
      <c r="AC74" s="1071"/>
      <c r="AD74" s="1071"/>
      <c r="AE74" s="1071"/>
      <c r="AF74" s="1071"/>
      <c r="AG74" s="1071"/>
      <c r="AH74" s="1071"/>
      <c r="AI74" s="1071"/>
      <c r="AJ74" s="1071"/>
      <c r="AK74" s="1071"/>
      <c r="AL74" s="1071"/>
      <c r="AM74" s="1071"/>
      <c r="AN74" s="1071"/>
      <c r="AO74" s="1071"/>
      <c r="AP74" s="1071"/>
      <c r="AQ74" s="1071"/>
      <c r="AR74" s="1071"/>
      <c r="AS74" s="1071"/>
      <c r="AT74" s="1071"/>
    </row>
    <row r="75" spans="17:47" x14ac:dyDescent="0.2">
      <c r="Q75" s="1087"/>
      <c r="R75" s="1087"/>
      <c r="S75" s="1087"/>
      <c r="T75" s="1087"/>
      <c r="U75" s="1087"/>
      <c r="V75" s="1088"/>
      <c r="W75" s="1087"/>
      <c r="X75" s="1087"/>
      <c r="Y75" s="1087"/>
      <c r="Z75" s="1087"/>
      <c r="AA75" s="1088"/>
      <c r="AB75" s="1087"/>
      <c r="AC75" s="1087"/>
      <c r="AD75" s="1087"/>
      <c r="AE75" s="1087"/>
      <c r="AF75" s="1087"/>
      <c r="AG75" s="1087"/>
      <c r="AH75" s="1087"/>
      <c r="AI75" s="1087"/>
      <c r="AJ75" s="1087"/>
      <c r="AK75" s="1087"/>
      <c r="AL75" s="1087"/>
      <c r="AM75" s="1087"/>
      <c r="AN75" s="1087"/>
      <c r="AO75" s="1087"/>
      <c r="AP75" s="1087"/>
      <c r="AQ75" s="1087"/>
      <c r="AR75" s="1087"/>
      <c r="AS75" s="1087"/>
      <c r="AT75" s="1087"/>
    </row>
    <row r="76" spans="17:47" x14ac:dyDescent="0.2">
      <c r="Q76" s="1088"/>
      <c r="R76" s="1088"/>
      <c r="S76" s="1088"/>
      <c r="T76" s="1088"/>
      <c r="U76" s="1088"/>
      <c r="V76" s="1088"/>
      <c r="W76" s="1088"/>
      <c r="X76" s="1088"/>
      <c r="Y76" s="1088"/>
      <c r="Z76" s="1088"/>
      <c r="AA76" s="1088"/>
      <c r="AB76" s="1088"/>
      <c r="AC76" s="1088"/>
      <c r="AD76" s="1088"/>
      <c r="AE76" s="1088"/>
      <c r="AF76" s="1088"/>
      <c r="AG76" s="1088"/>
      <c r="AH76" s="1088"/>
      <c r="AI76" s="1088"/>
      <c r="AJ76" s="1088"/>
      <c r="AK76" s="1088"/>
      <c r="AL76" s="1088"/>
      <c r="AM76" s="1088"/>
      <c r="AN76" s="1088"/>
      <c r="AO76" s="1088"/>
      <c r="AP76" s="1088"/>
      <c r="AQ76" s="1088"/>
      <c r="AR76" s="1088"/>
      <c r="AS76" s="1088"/>
      <c r="AT76" s="1088"/>
    </row>
    <row r="77" spans="17:47" x14ac:dyDescent="0.2">
      <c r="Q77" s="1088"/>
      <c r="R77" s="1088"/>
      <c r="S77" s="1088"/>
      <c r="T77" s="1088"/>
      <c r="U77" s="1088"/>
      <c r="V77" s="1087"/>
      <c r="W77" s="1088"/>
      <c r="X77" s="1088"/>
      <c r="Y77" s="1088"/>
      <c r="Z77" s="1088"/>
      <c r="AA77" s="1087"/>
      <c r="AB77" s="1088"/>
      <c r="AC77" s="1088"/>
      <c r="AD77" s="1088"/>
      <c r="AE77" s="1088"/>
      <c r="AF77" s="1088"/>
      <c r="AG77" s="1088"/>
      <c r="AH77" s="1088"/>
      <c r="AI77" s="1088"/>
      <c r="AJ77" s="1088"/>
      <c r="AK77" s="1088"/>
      <c r="AL77" s="1088"/>
      <c r="AM77" s="1088"/>
      <c r="AN77" s="1088"/>
      <c r="AO77" s="1088"/>
      <c r="AP77" s="1088"/>
      <c r="AQ77" s="1088"/>
      <c r="AR77" s="1088"/>
      <c r="AS77" s="1088"/>
      <c r="AT77" s="1088"/>
    </row>
    <row r="78" spans="17:47" x14ac:dyDescent="0.2">
      <c r="Q78" s="1087"/>
      <c r="R78" s="1087"/>
      <c r="S78" s="1087"/>
      <c r="T78" s="1087"/>
      <c r="U78" s="1087"/>
      <c r="V78" s="1086"/>
      <c r="W78" s="1087"/>
      <c r="X78" s="1087"/>
      <c r="Y78" s="1087"/>
      <c r="Z78" s="1087"/>
      <c r="AA78" s="1086"/>
      <c r="AB78" s="1087"/>
      <c r="AC78" s="1087"/>
      <c r="AD78" s="1087"/>
      <c r="AE78" s="1087"/>
      <c r="AF78" s="1087"/>
      <c r="AG78" s="1087"/>
      <c r="AH78" s="1087"/>
      <c r="AI78" s="1087"/>
      <c r="AJ78" s="1087"/>
      <c r="AK78" s="1087"/>
      <c r="AL78" s="1087"/>
      <c r="AM78" s="1087"/>
      <c r="AN78" s="1087"/>
      <c r="AO78" s="1087"/>
      <c r="AP78" s="1087"/>
      <c r="AQ78" s="1087"/>
      <c r="AR78" s="1087"/>
      <c r="AS78" s="1087"/>
      <c r="AT78" s="1087"/>
    </row>
    <row r="79" spans="17:47" x14ac:dyDescent="0.2">
      <c r="Q79" s="1086"/>
      <c r="R79" s="1086"/>
      <c r="S79" s="1086"/>
      <c r="T79" s="1086"/>
      <c r="U79" s="1086"/>
      <c r="V79" s="1085"/>
      <c r="W79" s="1086"/>
      <c r="X79" s="1086"/>
      <c r="Y79" s="1086"/>
      <c r="Z79" s="1086"/>
      <c r="AA79" s="1085"/>
      <c r="AB79" s="1086"/>
      <c r="AC79" s="1086"/>
      <c r="AD79" s="1086"/>
      <c r="AE79" s="1086"/>
      <c r="AF79" s="1086"/>
      <c r="AG79" s="1086"/>
      <c r="AH79" s="1086"/>
      <c r="AI79" s="1086"/>
      <c r="AJ79" s="1086"/>
      <c r="AK79" s="1086"/>
      <c r="AL79" s="1086"/>
      <c r="AM79" s="1086"/>
      <c r="AN79" s="1086"/>
      <c r="AO79" s="1086"/>
      <c r="AP79" s="1086"/>
      <c r="AQ79" s="1086"/>
      <c r="AR79" s="1086"/>
      <c r="AS79" s="1086"/>
      <c r="AT79" s="1086"/>
    </row>
    <row r="80" spans="17:47" x14ac:dyDescent="0.2">
      <c r="Q80" s="1085"/>
      <c r="R80" s="1084"/>
      <c r="S80" s="1084"/>
      <c r="T80" s="1084"/>
      <c r="U80" s="1084"/>
      <c r="W80" s="1084"/>
      <c r="X80" s="1084"/>
      <c r="Y80" s="1084"/>
      <c r="Z80" s="1084"/>
      <c r="AB80" s="1084"/>
      <c r="AC80" s="1084"/>
      <c r="AD80" s="1084"/>
      <c r="AE80" s="1084"/>
      <c r="AF80" s="1085"/>
      <c r="AG80" s="1084"/>
      <c r="AH80" s="1084"/>
      <c r="AI80" s="1084"/>
      <c r="AJ80" s="1084"/>
      <c r="AK80" s="1085"/>
      <c r="AL80" s="1084"/>
      <c r="AM80" s="1084"/>
      <c r="AN80" s="1084"/>
      <c r="AO80" s="1084"/>
      <c r="AP80" s="1085"/>
      <c r="AQ80" s="1084"/>
      <c r="AR80" s="1084"/>
      <c r="AS80" s="1084"/>
      <c r="AT80" s="1084"/>
    </row>
    <row r="85" spans="10:47" x14ac:dyDescent="0.2">
      <c r="K85" s="1071"/>
    </row>
    <row r="88" spans="10:47" x14ac:dyDescent="0.2">
      <c r="V88" s="1071"/>
      <c r="AA88" s="1071"/>
    </row>
    <row r="89" spans="10:47" x14ac:dyDescent="0.2">
      <c r="N89" s="1077"/>
      <c r="O89" s="1076"/>
      <c r="P89" s="1071"/>
      <c r="Q89" s="1071"/>
      <c r="R89" s="1071"/>
      <c r="S89" s="1071"/>
      <c r="T89" s="1071"/>
      <c r="U89" s="1071"/>
      <c r="V89" s="1072"/>
      <c r="W89" s="1071"/>
      <c r="X89" s="1071"/>
      <c r="Y89" s="1071"/>
      <c r="Z89" s="1071"/>
      <c r="AA89" s="1072"/>
      <c r="AB89" s="1071"/>
      <c r="AC89" s="1071"/>
      <c r="AD89" s="1071"/>
      <c r="AE89" s="1071"/>
      <c r="AF89" s="1071"/>
      <c r="AG89" s="1071"/>
      <c r="AH89" s="1071"/>
      <c r="AI89" s="1071"/>
      <c r="AJ89" s="1071"/>
      <c r="AK89" s="1071"/>
      <c r="AL89" s="1071"/>
      <c r="AM89" s="1071"/>
      <c r="AN89" s="1071"/>
      <c r="AO89" s="1071"/>
      <c r="AP89" s="1071"/>
      <c r="AQ89" s="1071"/>
      <c r="AR89" s="1071"/>
      <c r="AS89" s="1071"/>
      <c r="AT89" s="1071"/>
    </row>
    <row r="90" spans="10:47" x14ac:dyDescent="0.2">
      <c r="M90" s="604"/>
      <c r="N90" s="604"/>
      <c r="O90" s="1075"/>
      <c r="P90" s="1072"/>
      <c r="Q90" s="1072"/>
      <c r="R90" s="1072"/>
      <c r="S90" s="1072"/>
      <c r="T90" s="1072"/>
      <c r="U90" s="1072"/>
      <c r="V90" s="1072"/>
      <c r="W90" s="1072"/>
      <c r="X90" s="1072"/>
      <c r="Y90" s="1072"/>
      <c r="Z90" s="1072"/>
      <c r="AA90" s="1072"/>
      <c r="AB90" s="1072"/>
      <c r="AC90" s="1072"/>
      <c r="AD90" s="1072"/>
      <c r="AE90" s="1072"/>
      <c r="AF90" s="1072"/>
      <c r="AG90" s="1072"/>
      <c r="AH90" s="1072"/>
      <c r="AI90" s="1072"/>
      <c r="AJ90" s="1072"/>
      <c r="AK90" s="1072"/>
      <c r="AL90" s="1072"/>
      <c r="AM90" s="1072"/>
      <c r="AN90" s="1072"/>
      <c r="AO90" s="1072"/>
      <c r="AP90" s="1072"/>
      <c r="AQ90" s="1072"/>
      <c r="AR90" s="1072"/>
      <c r="AS90" s="1072"/>
      <c r="AT90" s="1072"/>
    </row>
    <row r="91" spans="10:47" x14ac:dyDescent="0.2">
      <c r="J91" s="1083"/>
      <c r="K91" s="319"/>
      <c r="M91" s="604"/>
      <c r="N91" s="604"/>
      <c r="O91" s="1074"/>
      <c r="P91" s="1072"/>
      <c r="Q91" s="1072"/>
      <c r="R91" s="1072"/>
      <c r="S91" s="1072"/>
      <c r="T91" s="1072"/>
      <c r="U91" s="1072"/>
      <c r="V91" s="1080"/>
      <c r="W91" s="1072"/>
      <c r="X91" s="1072"/>
      <c r="Y91" s="1072"/>
      <c r="Z91" s="1072"/>
      <c r="AA91" s="1080"/>
      <c r="AB91" s="1072"/>
      <c r="AC91" s="1072"/>
      <c r="AD91" s="1072"/>
      <c r="AE91" s="1072"/>
      <c r="AF91" s="1072"/>
      <c r="AG91" s="1072"/>
      <c r="AH91" s="1072"/>
      <c r="AI91" s="1072"/>
      <c r="AJ91" s="1072"/>
      <c r="AK91" s="1072"/>
      <c r="AL91" s="1072"/>
      <c r="AM91" s="1072"/>
      <c r="AN91" s="1072"/>
      <c r="AO91" s="1072"/>
      <c r="AP91" s="1072"/>
      <c r="AQ91" s="1072"/>
      <c r="AR91" s="1072"/>
      <c r="AS91" s="1072"/>
      <c r="AT91" s="1072"/>
    </row>
    <row r="92" spans="10:47" x14ac:dyDescent="0.2">
      <c r="M92" s="1071"/>
      <c r="N92" s="1071"/>
      <c r="O92" s="593"/>
      <c r="P92" s="1080"/>
      <c r="Q92" s="1080"/>
      <c r="R92" s="1080"/>
      <c r="S92" s="1080"/>
      <c r="T92" s="1080"/>
      <c r="U92" s="1080"/>
      <c r="V92" s="1080"/>
      <c r="W92" s="1080"/>
      <c r="X92" s="1080"/>
      <c r="Y92" s="1080"/>
      <c r="Z92" s="1080"/>
      <c r="AA92" s="1080"/>
      <c r="AB92" s="1080"/>
      <c r="AC92" s="1080"/>
      <c r="AD92" s="1080"/>
      <c r="AE92" s="1080"/>
      <c r="AF92" s="1080"/>
      <c r="AG92" s="1080"/>
      <c r="AH92" s="1080"/>
      <c r="AI92" s="1080"/>
      <c r="AJ92" s="1080"/>
      <c r="AK92" s="1080"/>
      <c r="AL92" s="1080"/>
      <c r="AM92" s="1080"/>
      <c r="AN92" s="1080"/>
      <c r="AO92" s="1080"/>
      <c r="AP92" s="1080"/>
      <c r="AQ92" s="1080"/>
      <c r="AR92" s="1080"/>
      <c r="AS92" s="1080"/>
      <c r="AT92" s="1080"/>
      <c r="AU92" s="460"/>
    </row>
    <row r="93" spans="10:47" x14ac:dyDescent="0.2">
      <c r="M93" s="1071"/>
      <c r="N93" s="1071"/>
      <c r="O93" s="593"/>
      <c r="P93" s="1080"/>
      <c r="Q93" s="1080"/>
      <c r="R93" s="1080"/>
      <c r="S93" s="1080"/>
      <c r="T93" s="1080"/>
      <c r="U93" s="1080"/>
      <c r="V93" s="1080"/>
      <c r="W93" s="1080"/>
      <c r="X93" s="1080"/>
      <c r="Y93" s="1080"/>
      <c r="Z93" s="1080"/>
      <c r="AA93" s="1080"/>
      <c r="AB93" s="1080"/>
      <c r="AC93" s="1080"/>
      <c r="AD93" s="1080"/>
      <c r="AE93" s="1080"/>
      <c r="AF93" s="1080"/>
      <c r="AG93" s="1080"/>
      <c r="AH93" s="1080"/>
      <c r="AI93" s="1080"/>
      <c r="AJ93" s="1080"/>
      <c r="AK93" s="1080"/>
      <c r="AL93" s="1080"/>
      <c r="AM93" s="1080"/>
      <c r="AN93" s="1080"/>
      <c r="AO93" s="1080"/>
      <c r="AP93" s="1080"/>
      <c r="AQ93" s="1080"/>
      <c r="AR93" s="1080"/>
      <c r="AS93" s="1080"/>
      <c r="AT93" s="1080"/>
    </row>
    <row r="94" spans="10:47" x14ac:dyDescent="0.2">
      <c r="M94" s="1081"/>
      <c r="N94" s="1081"/>
      <c r="O94" s="593"/>
      <c r="P94" s="1080"/>
      <c r="Q94" s="1080"/>
      <c r="R94" s="1080"/>
      <c r="S94" s="1080"/>
      <c r="T94" s="1080"/>
      <c r="U94" s="1080"/>
      <c r="V94" s="1080"/>
      <c r="W94" s="1080"/>
      <c r="X94" s="1080"/>
      <c r="Y94" s="1080"/>
      <c r="Z94" s="1080"/>
      <c r="AA94" s="1080"/>
      <c r="AB94" s="1080"/>
      <c r="AC94" s="1080"/>
      <c r="AD94" s="1080"/>
      <c r="AE94" s="1080"/>
      <c r="AF94" s="1080"/>
      <c r="AG94" s="1080"/>
      <c r="AH94" s="1080"/>
      <c r="AI94" s="1080"/>
      <c r="AJ94" s="1080"/>
      <c r="AK94" s="1080"/>
      <c r="AL94" s="1080"/>
      <c r="AM94" s="1080"/>
      <c r="AN94" s="1080"/>
      <c r="AO94" s="1080"/>
      <c r="AP94" s="1080"/>
      <c r="AQ94" s="1080"/>
      <c r="AR94" s="1080"/>
      <c r="AS94" s="1080"/>
      <c r="AT94" s="1080"/>
    </row>
    <row r="95" spans="10:47" x14ac:dyDescent="0.2">
      <c r="M95" s="1081"/>
      <c r="N95" s="1081"/>
      <c r="O95" s="593"/>
      <c r="P95" s="1080"/>
      <c r="Q95" s="1080"/>
      <c r="R95" s="1080"/>
      <c r="S95" s="1080"/>
      <c r="T95" s="1080"/>
      <c r="U95" s="1080"/>
      <c r="V95" s="1072"/>
      <c r="W95" s="1080"/>
      <c r="X95" s="1080"/>
      <c r="Y95" s="1080"/>
      <c r="Z95" s="1080"/>
      <c r="AA95" s="1072"/>
      <c r="AB95" s="1080"/>
      <c r="AC95" s="1080"/>
      <c r="AD95" s="1080"/>
      <c r="AE95" s="1080"/>
      <c r="AF95" s="1080"/>
      <c r="AG95" s="1080"/>
      <c r="AH95" s="1080"/>
      <c r="AI95" s="1080"/>
      <c r="AJ95" s="1080"/>
      <c r="AK95" s="1080"/>
      <c r="AL95" s="1080"/>
      <c r="AM95" s="1080"/>
      <c r="AN95" s="1080"/>
      <c r="AO95" s="1080"/>
      <c r="AP95" s="1080"/>
      <c r="AQ95" s="1080"/>
      <c r="AR95" s="1080"/>
      <c r="AS95" s="1080"/>
      <c r="AT95" s="1080"/>
    </row>
    <row r="96" spans="10:47" x14ac:dyDescent="0.2">
      <c r="M96" s="604"/>
      <c r="N96" s="604"/>
      <c r="O96" s="593"/>
      <c r="P96" s="1072"/>
      <c r="Q96" s="1072"/>
      <c r="R96" s="1072"/>
      <c r="S96" s="1072"/>
      <c r="T96" s="1072"/>
      <c r="U96" s="1072"/>
      <c r="V96" s="1072"/>
      <c r="W96" s="1072"/>
      <c r="X96" s="1072"/>
      <c r="Y96" s="1072"/>
      <c r="Z96" s="1072"/>
      <c r="AA96" s="1072"/>
      <c r="AB96" s="1072"/>
      <c r="AC96" s="1072"/>
      <c r="AD96" s="1072"/>
      <c r="AE96" s="1072"/>
      <c r="AF96" s="1072"/>
      <c r="AG96" s="1072"/>
      <c r="AH96" s="1072"/>
      <c r="AI96" s="1072"/>
      <c r="AJ96" s="1072"/>
      <c r="AK96" s="1072"/>
      <c r="AL96" s="1072"/>
      <c r="AM96" s="1072"/>
      <c r="AN96" s="1072"/>
      <c r="AO96" s="1072"/>
      <c r="AP96" s="1072"/>
      <c r="AQ96" s="1072"/>
      <c r="AR96" s="1072"/>
      <c r="AS96" s="1072"/>
      <c r="AT96" s="1072"/>
    </row>
    <row r="97" spans="13:47" x14ac:dyDescent="0.2">
      <c r="M97" s="604"/>
      <c r="N97" s="604"/>
      <c r="O97" s="604"/>
      <c r="P97" s="1072"/>
      <c r="Q97" s="1072"/>
      <c r="R97" s="1072"/>
      <c r="S97" s="1072"/>
      <c r="T97" s="1072"/>
      <c r="U97" s="1072"/>
      <c r="V97" s="1072"/>
      <c r="W97" s="1072"/>
      <c r="X97" s="1072"/>
      <c r="Y97" s="1072"/>
      <c r="Z97" s="1072"/>
      <c r="AA97" s="1072"/>
      <c r="AB97" s="1072"/>
      <c r="AC97" s="1072"/>
      <c r="AD97" s="1072"/>
      <c r="AE97" s="1072"/>
      <c r="AF97" s="1072"/>
      <c r="AG97" s="1072"/>
      <c r="AH97" s="1072"/>
      <c r="AI97" s="1072"/>
      <c r="AJ97" s="1072"/>
      <c r="AK97" s="1072"/>
      <c r="AL97" s="1072"/>
      <c r="AM97" s="1072"/>
      <c r="AN97" s="1072"/>
      <c r="AO97" s="1072"/>
      <c r="AP97" s="1072"/>
      <c r="AQ97" s="1072"/>
      <c r="AR97" s="1072"/>
      <c r="AS97" s="1072"/>
      <c r="AT97" s="1072"/>
    </row>
    <row r="98" spans="13:47" x14ac:dyDescent="0.2">
      <c r="M98" s="604"/>
      <c r="N98" s="604"/>
      <c r="O98" s="604"/>
      <c r="P98" s="1072"/>
      <c r="Q98" s="1072"/>
      <c r="R98" s="1072"/>
      <c r="S98" s="1072"/>
      <c r="T98" s="1072"/>
      <c r="U98" s="1072"/>
      <c r="W98" s="1072"/>
      <c r="X98" s="1072"/>
      <c r="Y98" s="1072"/>
      <c r="Z98" s="1072"/>
      <c r="AB98" s="1072"/>
      <c r="AC98" s="1072"/>
      <c r="AD98" s="1072"/>
      <c r="AE98" s="1072"/>
      <c r="AF98" s="1072"/>
      <c r="AG98" s="1072"/>
      <c r="AH98" s="1072"/>
      <c r="AI98" s="1072"/>
      <c r="AJ98" s="1072"/>
      <c r="AK98" s="1072"/>
      <c r="AL98" s="1072"/>
      <c r="AM98" s="1072"/>
      <c r="AN98" s="1072"/>
      <c r="AO98" s="1072"/>
      <c r="AP98" s="1072"/>
      <c r="AQ98" s="1072"/>
      <c r="AR98" s="1072"/>
      <c r="AS98" s="1072"/>
      <c r="AT98" s="1072"/>
    </row>
    <row r="99" spans="13:47" x14ac:dyDescent="0.2">
      <c r="N99" s="1079"/>
      <c r="V99" s="1071"/>
      <c r="AA99" s="1071"/>
    </row>
    <row r="100" spans="13:47" x14ac:dyDescent="0.2">
      <c r="O100" s="1076"/>
      <c r="P100" s="1071"/>
      <c r="Q100" s="1071"/>
      <c r="R100" s="1071"/>
      <c r="S100" s="1071"/>
      <c r="T100" s="1071"/>
      <c r="U100" s="1071"/>
      <c r="V100" s="1071"/>
      <c r="W100" s="1071"/>
      <c r="X100" s="1071"/>
      <c r="Y100" s="1071"/>
      <c r="Z100" s="1071"/>
      <c r="AA100" s="1071"/>
      <c r="AB100" s="1071"/>
      <c r="AC100" s="1071"/>
      <c r="AD100" s="1071"/>
      <c r="AE100" s="1071"/>
      <c r="AF100" s="1071"/>
      <c r="AG100" s="1071"/>
      <c r="AH100" s="1071"/>
      <c r="AI100" s="1071"/>
      <c r="AJ100" s="1071"/>
      <c r="AK100" s="1071"/>
      <c r="AL100" s="1071"/>
      <c r="AM100" s="1071"/>
      <c r="AN100" s="1071"/>
      <c r="AO100" s="1071"/>
      <c r="AP100" s="1071"/>
      <c r="AQ100" s="1071"/>
      <c r="AR100" s="1071"/>
      <c r="AS100" s="1071"/>
      <c r="AT100" s="1071"/>
    </row>
    <row r="101" spans="13:47" x14ac:dyDescent="0.2">
      <c r="O101" s="1078"/>
      <c r="P101" s="1071"/>
      <c r="Q101" s="1071"/>
      <c r="R101" s="1071"/>
      <c r="S101" s="1071"/>
      <c r="T101" s="1071"/>
      <c r="U101" s="1071"/>
      <c r="V101" s="1071"/>
      <c r="W101" s="1071"/>
      <c r="X101" s="1071"/>
      <c r="Y101" s="1071"/>
      <c r="Z101" s="1071"/>
      <c r="AA101" s="1071"/>
      <c r="AB101" s="1071"/>
      <c r="AC101" s="1071"/>
      <c r="AD101" s="1071"/>
      <c r="AE101" s="1071"/>
      <c r="AF101" s="1071"/>
      <c r="AG101" s="1071"/>
      <c r="AH101" s="1071"/>
      <c r="AI101" s="1071"/>
      <c r="AJ101" s="1071"/>
      <c r="AK101" s="1071"/>
      <c r="AL101" s="1071"/>
      <c r="AM101" s="1071"/>
      <c r="AN101" s="1071"/>
      <c r="AO101" s="1071"/>
      <c r="AP101" s="1071"/>
      <c r="AQ101" s="1071"/>
      <c r="AR101" s="1071"/>
      <c r="AS101" s="1071"/>
      <c r="AT101" s="1071"/>
    </row>
    <row r="102" spans="13:47" x14ac:dyDescent="0.2">
      <c r="O102" s="1076"/>
      <c r="P102" s="1071"/>
      <c r="Q102" s="1071"/>
      <c r="R102" s="1071"/>
      <c r="S102" s="1071"/>
      <c r="T102" s="1071"/>
      <c r="U102" s="1071"/>
      <c r="V102" s="1071"/>
      <c r="W102" s="1071"/>
      <c r="X102" s="1071"/>
      <c r="Y102" s="1071"/>
      <c r="Z102" s="1071"/>
      <c r="AA102" s="1071"/>
      <c r="AB102" s="1071"/>
      <c r="AC102" s="1071"/>
      <c r="AD102" s="1071"/>
      <c r="AE102" s="1071"/>
      <c r="AF102" s="1071"/>
      <c r="AG102" s="1071"/>
      <c r="AH102" s="1071"/>
      <c r="AI102" s="1071"/>
      <c r="AJ102" s="1071"/>
      <c r="AK102" s="1071"/>
      <c r="AL102" s="1071"/>
      <c r="AM102" s="1071"/>
      <c r="AN102" s="1071"/>
      <c r="AO102" s="1071"/>
      <c r="AP102" s="1071"/>
      <c r="AQ102" s="1071"/>
      <c r="AR102" s="1071"/>
      <c r="AS102" s="1071"/>
      <c r="AT102" s="1071"/>
      <c r="AU102" s="1071"/>
    </row>
    <row r="103" spans="13:47" x14ac:dyDescent="0.2">
      <c r="O103" s="1076"/>
      <c r="P103" s="1071"/>
      <c r="Q103" s="1071"/>
      <c r="R103" s="1071"/>
      <c r="S103" s="1071"/>
      <c r="T103" s="1071"/>
      <c r="U103" s="1071"/>
      <c r="V103" s="1071"/>
      <c r="W103" s="1071"/>
      <c r="X103" s="1071"/>
      <c r="Y103" s="1071"/>
      <c r="Z103" s="1071"/>
      <c r="AA103" s="1071"/>
      <c r="AB103" s="1071"/>
      <c r="AC103" s="1071"/>
      <c r="AD103" s="1071"/>
      <c r="AE103" s="1071"/>
      <c r="AF103" s="1071"/>
      <c r="AG103" s="1071"/>
      <c r="AH103" s="1071"/>
      <c r="AI103" s="1071"/>
      <c r="AJ103" s="1071"/>
      <c r="AK103" s="1071"/>
      <c r="AL103" s="1071"/>
      <c r="AM103" s="1071"/>
      <c r="AN103" s="1071"/>
      <c r="AO103" s="1071"/>
      <c r="AP103" s="1071"/>
      <c r="AQ103" s="1071"/>
      <c r="AR103" s="1071"/>
      <c r="AS103" s="1071"/>
      <c r="AT103" s="1071"/>
      <c r="AU103" s="1071"/>
    </row>
    <row r="104" spans="13:47" x14ac:dyDescent="0.2">
      <c r="N104" s="1077"/>
      <c r="O104" s="1076"/>
      <c r="P104" s="1071"/>
      <c r="Q104" s="1071"/>
      <c r="R104" s="1071"/>
      <c r="S104" s="1071"/>
      <c r="T104" s="1071"/>
      <c r="U104" s="1071"/>
      <c r="V104" s="1072"/>
      <c r="W104" s="1071"/>
      <c r="X104" s="1071"/>
      <c r="Y104" s="1071"/>
      <c r="Z104" s="1071"/>
      <c r="AA104" s="1072"/>
      <c r="AB104" s="1071"/>
      <c r="AC104" s="1071"/>
      <c r="AD104" s="1071"/>
      <c r="AE104" s="1071"/>
      <c r="AF104" s="1071"/>
      <c r="AG104" s="1071"/>
      <c r="AH104" s="1071"/>
      <c r="AI104" s="1071"/>
      <c r="AJ104" s="1071"/>
      <c r="AK104" s="1071"/>
      <c r="AL104" s="1071"/>
      <c r="AM104" s="1071"/>
      <c r="AN104" s="1071"/>
      <c r="AO104" s="1071"/>
      <c r="AP104" s="1071"/>
      <c r="AQ104" s="1071"/>
      <c r="AR104" s="1071"/>
      <c r="AS104" s="1071"/>
      <c r="AT104" s="1071"/>
      <c r="AU104" s="1072"/>
    </row>
    <row r="105" spans="13:47" x14ac:dyDescent="0.2">
      <c r="M105" s="604"/>
      <c r="N105" s="604"/>
      <c r="O105" s="1075"/>
      <c r="P105" s="1072"/>
      <c r="Q105" s="1072"/>
      <c r="R105" s="1072"/>
      <c r="S105" s="1072"/>
      <c r="T105" s="1072"/>
      <c r="U105" s="1072"/>
      <c r="V105" s="1072"/>
      <c r="W105" s="1072"/>
      <c r="X105" s="1072"/>
      <c r="Y105" s="1072"/>
      <c r="Z105" s="1072"/>
      <c r="AA105" s="1072"/>
      <c r="AB105" s="1072"/>
      <c r="AC105" s="1072"/>
      <c r="AD105" s="1072"/>
      <c r="AE105" s="1072"/>
      <c r="AF105" s="1072"/>
      <c r="AG105" s="1072"/>
      <c r="AH105" s="1072"/>
      <c r="AI105" s="1072"/>
      <c r="AJ105" s="1072"/>
      <c r="AK105" s="1072"/>
      <c r="AL105" s="1072"/>
      <c r="AM105" s="1072"/>
      <c r="AN105" s="1072"/>
      <c r="AO105" s="1072"/>
      <c r="AP105" s="1072"/>
      <c r="AQ105" s="1072"/>
      <c r="AR105" s="1072"/>
      <c r="AS105" s="1072"/>
      <c r="AT105" s="1072"/>
      <c r="AU105" s="1071"/>
    </row>
    <row r="106" spans="13:47" x14ac:dyDescent="0.2">
      <c r="M106" s="604"/>
      <c r="N106" s="604"/>
      <c r="O106" s="1074"/>
      <c r="P106" s="1072"/>
      <c r="Q106" s="1072"/>
      <c r="R106" s="1072"/>
      <c r="S106" s="1072"/>
      <c r="T106" s="1072"/>
      <c r="U106" s="1072"/>
      <c r="W106" s="1072"/>
      <c r="X106" s="1072"/>
      <c r="Y106" s="1072"/>
      <c r="Z106" s="1072"/>
      <c r="AB106" s="1072"/>
      <c r="AC106" s="1072"/>
      <c r="AD106" s="1072"/>
      <c r="AE106" s="1072"/>
      <c r="AF106" s="1072"/>
      <c r="AG106" s="1072"/>
      <c r="AH106" s="1072"/>
      <c r="AI106" s="1072"/>
      <c r="AJ106" s="1072"/>
      <c r="AK106" s="1072"/>
      <c r="AL106" s="1072"/>
      <c r="AM106" s="1072"/>
      <c r="AN106" s="1072"/>
      <c r="AO106" s="1072"/>
      <c r="AP106" s="1072"/>
      <c r="AQ106" s="1072"/>
      <c r="AR106" s="1072"/>
      <c r="AS106" s="1072"/>
      <c r="AT106" s="1072"/>
      <c r="AU106" s="1071"/>
    </row>
    <row r="107" spans="13:47" x14ac:dyDescent="0.2">
      <c r="V107" s="1072"/>
      <c r="AA107" s="1072"/>
      <c r="AU107" s="1071"/>
    </row>
    <row r="108" spans="13:47" x14ac:dyDescent="0.2">
      <c r="O108" s="604"/>
      <c r="P108" s="1072"/>
      <c r="Q108" s="1072"/>
      <c r="R108" s="1072"/>
      <c r="S108" s="1072"/>
      <c r="T108" s="1072"/>
      <c r="U108" s="1072"/>
      <c r="V108" s="1072"/>
      <c r="W108" s="1072"/>
      <c r="X108" s="1072"/>
      <c r="Y108" s="1072"/>
      <c r="Z108" s="1072"/>
      <c r="AA108" s="1072"/>
      <c r="AB108" s="1072"/>
      <c r="AC108" s="1072"/>
      <c r="AD108" s="1072"/>
      <c r="AE108" s="1072"/>
      <c r="AF108" s="1072"/>
      <c r="AG108" s="1072"/>
      <c r="AH108" s="1072"/>
      <c r="AI108" s="1072"/>
      <c r="AJ108" s="1072"/>
      <c r="AK108" s="1072"/>
      <c r="AL108" s="1072"/>
      <c r="AM108" s="1072"/>
      <c r="AN108" s="1072"/>
      <c r="AO108" s="1072"/>
      <c r="AP108" s="1072"/>
      <c r="AQ108" s="1072"/>
      <c r="AR108" s="1072"/>
      <c r="AS108" s="1072"/>
      <c r="AT108" s="1072"/>
      <c r="AU108" s="1071"/>
    </row>
    <row r="109" spans="13:47" x14ac:dyDescent="0.2">
      <c r="M109" s="604"/>
      <c r="N109" s="604"/>
      <c r="O109" s="1073"/>
      <c r="P109" s="1072"/>
      <c r="Q109" s="1072"/>
      <c r="R109" s="1072"/>
      <c r="S109" s="1072"/>
      <c r="T109" s="1072"/>
      <c r="U109" s="1072"/>
      <c r="W109" s="1072"/>
      <c r="X109" s="1072"/>
      <c r="Y109" s="1072"/>
      <c r="Z109" s="1072"/>
      <c r="AB109" s="1072"/>
      <c r="AC109" s="1072"/>
      <c r="AD109" s="1072"/>
      <c r="AE109" s="1072"/>
      <c r="AF109" s="1072"/>
      <c r="AG109" s="1072"/>
      <c r="AH109" s="1072"/>
      <c r="AI109" s="1072"/>
      <c r="AJ109" s="1072"/>
      <c r="AK109" s="1072"/>
      <c r="AL109" s="1072"/>
      <c r="AM109" s="1072"/>
      <c r="AN109" s="1072"/>
      <c r="AO109" s="1072"/>
      <c r="AP109" s="1072"/>
      <c r="AQ109" s="1072"/>
      <c r="AR109" s="1072"/>
      <c r="AS109" s="1072"/>
      <c r="AT109" s="1072"/>
      <c r="AU109" s="1072"/>
    </row>
    <row r="110" spans="13:47" x14ac:dyDescent="0.2">
      <c r="AU110" s="1072"/>
    </row>
    <row r="111" spans="13:47" x14ac:dyDescent="0.2">
      <c r="AU111" s="1072"/>
    </row>
    <row r="112" spans="13:47" x14ac:dyDescent="0.2">
      <c r="AU112" s="1071"/>
    </row>
    <row r="113" spans="10:47" x14ac:dyDescent="0.2">
      <c r="AU113" s="1072"/>
    </row>
    <row r="114" spans="10:47" x14ac:dyDescent="0.2">
      <c r="AU114" s="1072"/>
    </row>
    <row r="115" spans="10:47" x14ac:dyDescent="0.2">
      <c r="AU115" s="1071"/>
    </row>
    <row r="116" spans="10:47" x14ac:dyDescent="0.2">
      <c r="AU116" s="1072"/>
    </row>
    <row r="117" spans="10:47" x14ac:dyDescent="0.2">
      <c r="AU117" s="1071"/>
    </row>
    <row r="118" spans="10:47" x14ac:dyDescent="0.2">
      <c r="V118" s="1072"/>
      <c r="AA118" s="1072"/>
      <c r="AU118" s="1071"/>
    </row>
    <row r="119" spans="10:47" x14ac:dyDescent="0.2">
      <c r="J119" s="1083"/>
      <c r="K119" s="319"/>
      <c r="N119" s="604"/>
      <c r="O119" s="1082"/>
      <c r="P119" s="1072"/>
      <c r="Q119" s="1072"/>
      <c r="R119" s="1072"/>
      <c r="S119" s="1072"/>
      <c r="T119" s="1072"/>
      <c r="U119" s="1072"/>
      <c r="V119" s="1080"/>
      <c r="W119" s="1072"/>
      <c r="X119" s="1072"/>
      <c r="Y119" s="1072"/>
      <c r="Z119" s="1072"/>
      <c r="AA119" s="1080"/>
      <c r="AB119" s="1072"/>
      <c r="AC119" s="1072"/>
      <c r="AD119" s="1072"/>
      <c r="AE119" s="1072"/>
      <c r="AF119" s="1072"/>
      <c r="AG119" s="1072"/>
      <c r="AH119" s="1072"/>
      <c r="AI119" s="1072"/>
      <c r="AJ119" s="1072"/>
      <c r="AK119" s="1072"/>
      <c r="AL119" s="1072"/>
      <c r="AM119" s="1072"/>
      <c r="AN119" s="1072"/>
      <c r="AO119" s="1072"/>
      <c r="AP119" s="1072"/>
      <c r="AQ119" s="1072"/>
      <c r="AR119" s="1072"/>
      <c r="AS119" s="1072"/>
      <c r="AT119" s="1072"/>
      <c r="AU119" s="1072"/>
    </row>
    <row r="120" spans="10:47" ht="25.5" customHeight="1" x14ac:dyDescent="0.2">
      <c r="N120" s="1071"/>
      <c r="O120" s="593"/>
      <c r="P120" s="1080"/>
      <c r="Q120" s="1080"/>
      <c r="R120" s="1080"/>
      <c r="S120" s="1080"/>
      <c r="T120" s="1080"/>
      <c r="U120" s="1080"/>
      <c r="V120" s="1080"/>
      <c r="W120" s="1080"/>
      <c r="X120" s="1080"/>
      <c r="Y120" s="1080"/>
      <c r="Z120" s="1080"/>
      <c r="AA120" s="1080"/>
      <c r="AB120" s="1080"/>
      <c r="AC120" s="1080"/>
      <c r="AD120" s="1080"/>
      <c r="AE120" s="1080"/>
      <c r="AF120" s="1080"/>
      <c r="AG120" s="1080"/>
      <c r="AH120" s="1080"/>
      <c r="AI120" s="1080"/>
      <c r="AJ120" s="1080"/>
      <c r="AK120" s="1080"/>
      <c r="AL120" s="1080"/>
      <c r="AM120" s="1080"/>
      <c r="AN120" s="1080"/>
      <c r="AO120" s="1080"/>
      <c r="AP120" s="1080"/>
      <c r="AQ120" s="1080"/>
      <c r="AR120" s="1080"/>
      <c r="AS120" s="1080"/>
      <c r="AT120" s="1080"/>
      <c r="AU120" s="584"/>
    </row>
    <row r="121" spans="10:47" x14ac:dyDescent="0.2">
      <c r="M121" s="1071"/>
      <c r="N121" s="1071"/>
      <c r="O121" s="593"/>
      <c r="P121" s="1080"/>
      <c r="Q121" s="1080"/>
      <c r="R121" s="1080"/>
      <c r="S121" s="1080"/>
      <c r="T121" s="1080"/>
      <c r="U121" s="1080"/>
      <c r="V121" s="1080"/>
      <c r="W121" s="1080"/>
      <c r="X121" s="1080"/>
      <c r="Y121" s="1080"/>
      <c r="Z121" s="1080"/>
      <c r="AA121" s="1080"/>
      <c r="AB121" s="1080"/>
      <c r="AC121" s="1080"/>
      <c r="AD121" s="1080"/>
      <c r="AE121" s="1080"/>
      <c r="AF121" s="1080"/>
      <c r="AG121" s="1080"/>
      <c r="AH121" s="1080"/>
      <c r="AI121" s="1080"/>
      <c r="AJ121" s="1080"/>
      <c r="AK121" s="1080"/>
      <c r="AL121" s="1080"/>
      <c r="AM121" s="1080"/>
      <c r="AN121" s="1080"/>
      <c r="AO121" s="1080"/>
      <c r="AP121" s="1080"/>
      <c r="AQ121" s="1080"/>
      <c r="AR121" s="1080"/>
      <c r="AS121" s="1080"/>
      <c r="AT121" s="1080"/>
      <c r="AU121" s="1071"/>
    </row>
    <row r="122" spans="10:47" x14ac:dyDescent="0.2">
      <c r="M122" s="1081"/>
      <c r="N122" s="1081"/>
      <c r="O122" s="593"/>
      <c r="P122" s="1080"/>
      <c r="Q122" s="1080"/>
      <c r="R122" s="1080"/>
      <c r="S122" s="1080"/>
      <c r="T122" s="1080"/>
      <c r="U122" s="1080"/>
      <c r="V122" s="1080"/>
      <c r="W122" s="1080"/>
      <c r="X122" s="1080"/>
      <c r="Y122" s="1080"/>
      <c r="Z122" s="1080"/>
      <c r="AA122" s="1080"/>
      <c r="AB122" s="1080"/>
      <c r="AC122" s="1080"/>
      <c r="AD122" s="1080"/>
      <c r="AE122" s="1080"/>
      <c r="AF122" s="1080"/>
      <c r="AG122" s="1080"/>
      <c r="AH122" s="1080"/>
      <c r="AI122" s="1080"/>
      <c r="AJ122" s="1080"/>
      <c r="AK122" s="1080"/>
      <c r="AL122" s="1080"/>
      <c r="AM122" s="1080"/>
      <c r="AN122" s="1080"/>
      <c r="AO122" s="1080"/>
      <c r="AP122" s="1080"/>
      <c r="AQ122" s="1080"/>
      <c r="AR122" s="1080"/>
      <c r="AS122" s="1080"/>
      <c r="AT122" s="1080"/>
      <c r="AU122" s="1070"/>
    </row>
    <row r="123" spans="10:47" x14ac:dyDescent="0.2">
      <c r="M123" s="1081"/>
      <c r="N123" s="1081"/>
      <c r="O123" s="593"/>
      <c r="P123" s="1080"/>
      <c r="Q123" s="1080"/>
      <c r="R123" s="1080"/>
      <c r="S123" s="1080"/>
      <c r="T123" s="1080"/>
      <c r="U123" s="1080"/>
      <c r="V123" s="1072"/>
      <c r="W123" s="1080"/>
      <c r="X123" s="1080"/>
      <c r="Y123" s="1080"/>
      <c r="Z123" s="1080"/>
      <c r="AA123" s="1072"/>
      <c r="AB123" s="1080"/>
      <c r="AC123" s="1080"/>
      <c r="AD123" s="1080"/>
      <c r="AE123" s="1080"/>
      <c r="AF123" s="1080"/>
      <c r="AG123" s="1080"/>
      <c r="AH123" s="1080"/>
      <c r="AI123" s="1080"/>
      <c r="AJ123" s="1080"/>
      <c r="AK123" s="1080"/>
      <c r="AL123" s="1080"/>
      <c r="AM123" s="1080"/>
      <c r="AN123" s="1080"/>
      <c r="AO123" s="1080"/>
      <c r="AP123" s="1080"/>
      <c r="AQ123" s="1080"/>
      <c r="AR123" s="1080"/>
      <c r="AS123" s="1080"/>
      <c r="AT123" s="1080"/>
    </row>
    <row r="124" spans="10:47" x14ac:dyDescent="0.2">
      <c r="M124" s="604"/>
      <c r="N124" s="604"/>
      <c r="O124" s="593"/>
      <c r="P124" s="1072"/>
      <c r="Q124" s="1072"/>
      <c r="R124" s="1072"/>
      <c r="S124" s="1072"/>
      <c r="T124" s="1072"/>
      <c r="U124" s="1072"/>
      <c r="V124" s="1072"/>
      <c r="W124" s="1072"/>
      <c r="X124" s="1072"/>
      <c r="Y124" s="1072"/>
      <c r="Z124" s="1072"/>
      <c r="AA124" s="1072"/>
      <c r="AB124" s="1072"/>
      <c r="AC124" s="1072"/>
      <c r="AD124" s="1072"/>
      <c r="AE124" s="1072"/>
      <c r="AF124" s="1072"/>
      <c r="AG124" s="1072"/>
      <c r="AH124" s="1072"/>
      <c r="AI124" s="1072"/>
      <c r="AJ124" s="1072"/>
      <c r="AK124" s="1072"/>
      <c r="AL124" s="1072"/>
      <c r="AM124" s="1072"/>
      <c r="AN124" s="1072"/>
      <c r="AO124" s="1072"/>
      <c r="AP124" s="1072"/>
      <c r="AQ124" s="1072"/>
      <c r="AR124" s="1072"/>
      <c r="AS124" s="1072"/>
      <c r="AT124" s="1072"/>
    </row>
    <row r="125" spans="10:47" x14ac:dyDescent="0.2">
      <c r="M125" s="604"/>
      <c r="N125" s="604"/>
      <c r="O125" s="604"/>
      <c r="P125" s="1072"/>
      <c r="Q125" s="1072"/>
      <c r="R125" s="1072"/>
      <c r="S125" s="1072"/>
      <c r="T125" s="1072"/>
      <c r="U125" s="1072"/>
      <c r="V125" s="1072"/>
      <c r="W125" s="1072"/>
      <c r="X125" s="1072"/>
      <c r="Y125" s="1072"/>
      <c r="Z125" s="1072"/>
      <c r="AA125" s="1072"/>
      <c r="AB125" s="1072"/>
      <c r="AC125" s="1072"/>
      <c r="AD125" s="1072"/>
      <c r="AE125" s="1072"/>
      <c r="AF125" s="1072"/>
      <c r="AG125" s="1072"/>
      <c r="AH125" s="1072"/>
      <c r="AI125" s="1072"/>
      <c r="AJ125" s="1072"/>
      <c r="AK125" s="1072"/>
      <c r="AL125" s="1072"/>
      <c r="AM125" s="1072"/>
      <c r="AN125" s="1072"/>
      <c r="AO125" s="1072"/>
      <c r="AP125" s="1072"/>
      <c r="AQ125" s="1072"/>
      <c r="AR125" s="1072"/>
      <c r="AS125" s="1072"/>
      <c r="AT125" s="1072"/>
    </row>
    <row r="126" spans="10:47" x14ac:dyDescent="0.2">
      <c r="M126" s="604"/>
      <c r="N126" s="604"/>
      <c r="O126" s="604"/>
      <c r="P126" s="1072"/>
      <c r="Q126" s="1072"/>
      <c r="R126" s="1072"/>
      <c r="S126" s="1072"/>
      <c r="T126" s="1072"/>
      <c r="U126" s="1072"/>
      <c r="W126" s="1072"/>
      <c r="X126" s="1072"/>
      <c r="Y126" s="1072"/>
      <c r="Z126" s="1072"/>
      <c r="AB126" s="1072"/>
      <c r="AC126" s="1072"/>
      <c r="AD126" s="1072"/>
      <c r="AE126" s="1072"/>
      <c r="AF126" s="1072"/>
      <c r="AG126" s="1072"/>
      <c r="AH126" s="1072"/>
      <c r="AI126" s="1072"/>
      <c r="AJ126" s="1072"/>
      <c r="AK126" s="1072"/>
      <c r="AL126" s="1072"/>
      <c r="AM126" s="1072"/>
      <c r="AN126" s="1072"/>
      <c r="AO126" s="1072"/>
      <c r="AP126" s="1072"/>
      <c r="AQ126" s="1072"/>
      <c r="AR126" s="1072"/>
      <c r="AS126" s="1072"/>
      <c r="AT126" s="1072"/>
    </row>
    <row r="127" spans="10:47" x14ac:dyDescent="0.2">
      <c r="N127" s="1079"/>
      <c r="V127" s="1071"/>
      <c r="AA127" s="1071"/>
    </row>
    <row r="128" spans="10:47" x14ac:dyDescent="0.2">
      <c r="O128" s="1076"/>
      <c r="P128" s="1071"/>
      <c r="Q128" s="1071"/>
      <c r="R128" s="1071"/>
      <c r="S128" s="1071"/>
      <c r="T128" s="1071"/>
      <c r="U128" s="1071"/>
      <c r="V128" s="1071"/>
      <c r="W128" s="1071"/>
      <c r="X128" s="1071"/>
      <c r="Y128" s="1071"/>
      <c r="Z128" s="1071"/>
      <c r="AA128" s="1071"/>
      <c r="AB128" s="1071"/>
      <c r="AC128" s="1071"/>
      <c r="AD128" s="1071"/>
      <c r="AE128" s="1071"/>
      <c r="AF128" s="1071"/>
      <c r="AG128" s="1071"/>
      <c r="AH128" s="1071"/>
      <c r="AI128" s="1071"/>
      <c r="AJ128" s="1071"/>
      <c r="AK128" s="1071"/>
      <c r="AL128" s="1071"/>
      <c r="AM128" s="1071"/>
      <c r="AN128" s="1071"/>
      <c r="AO128" s="1071"/>
      <c r="AP128" s="1071"/>
      <c r="AQ128" s="1071"/>
      <c r="AR128" s="1071"/>
      <c r="AS128" s="1071"/>
      <c r="AT128" s="1071"/>
    </row>
    <row r="129" spans="10:47" x14ac:dyDescent="0.2">
      <c r="O129" s="1078"/>
      <c r="P129" s="1071"/>
      <c r="Q129" s="1071"/>
      <c r="R129" s="1071"/>
      <c r="S129" s="1071"/>
      <c r="T129" s="1071"/>
      <c r="U129" s="1071"/>
      <c r="V129" s="1071"/>
      <c r="W129" s="1071"/>
      <c r="X129" s="1071"/>
      <c r="Y129" s="1071"/>
      <c r="Z129" s="1071"/>
      <c r="AA129" s="1071"/>
      <c r="AB129" s="1071"/>
      <c r="AC129" s="1071"/>
      <c r="AD129" s="1071"/>
      <c r="AE129" s="1071"/>
      <c r="AF129" s="1071"/>
      <c r="AG129" s="1071"/>
      <c r="AH129" s="1071"/>
      <c r="AI129" s="1071"/>
      <c r="AJ129" s="1071"/>
      <c r="AK129" s="1071"/>
      <c r="AL129" s="1071"/>
      <c r="AM129" s="1071"/>
      <c r="AN129" s="1071"/>
      <c r="AO129" s="1071"/>
      <c r="AP129" s="1071"/>
      <c r="AQ129" s="1071"/>
      <c r="AR129" s="1071"/>
      <c r="AS129" s="1071"/>
      <c r="AT129" s="1071"/>
    </row>
    <row r="130" spans="10:47" x14ac:dyDescent="0.2">
      <c r="O130" s="1076"/>
      <c r="P130" s="1071"/>
      <c r="Q130" s="1071"/>
      <c r="R130" s="1071"/>
      <c r="S130" s="1071"/>
      <c r="T130" s="1071"/>
      <c r="U130" s="1071"/>
      <c r="V130" s="1071"/>
      <c r="W130" s="1071"/>
      <c r="X130" s="1071"/>
      <c r="Y130" s="1071"/>
      <c r="Z130" s="1071"/>
      <c r="AA130" s="1071"/>
      <c r="AB130" s="1071"/>
      <c r="AC130" s="1071"/>
      <c r="AD130" s="1071"/>
      <c r="AE130" s="1071"/>
      <c r="AF130" s="1071"/>
      <c r="AG130" s="1071"/>
      <c r="AH130" s="1071"/>
      <c r="AI130" s="1071"/>
      <c r="AJ130" s="1071"/>
      <c r="AK130" s="1071"/>
      <c r="AL130" s="1071"/>
      <c r="AM130" s="1071"/>
      <c r="AN130" s="1071"/>
      <c r="AO130" s="1071"/>
      <c r="AP130" s="1071"/>
      <c r="AQ130" s="1071"/>
      <c r="AR130" s="1071"/>
      <c r="AS130" s="1071"/>
      <c r="AT130" s="1071"/>
    </row>
    <row r="131" spans="10:47" x14ac:dyDescent="0.2">
      <c r="O131" s="1076"/>
      <c r="P131" s="1071"/>
      <c r="Q131" s="1071"/>
      <c r="R131" s="1071"/>
      <c r="S131" s="1071"/>
      <c r="T131" s="1071"/>
      <c r="U131" s="1071"/>
      <c r="V131" s="1071"/>
      <c r="W131" s="1071"/>
      <c r="X131" s="1071"/>
      <c r="Y131" s="1071"/>
      <c r="Z131" s="1071"/>
      <c r="AA131" s="1071"/>
      <c r="AB131" s="1071"/>
      <c r="AC131" s="1071"/>
      <c r="AD131" s="1071"/>
      <c r="AE131" s="1071"/>
      <c r="AF131" s="1071"/>
      <c r="AG131" s="1071"/>
      <c r="AH131" s="1071"/>
      <c r="AI131" s="1071"/>
      <c r="AJ131" s="1071"/>
      <c r="AK131" s="1071"/>
      <c r="AL131" s="1071"/>
      <c r="AM131" s="1071"/>
      <c r="AN131" s="1071"/>
      <c r="AO131" s="1071"/>
      <c r="AP131" s="1071"/>
      <c r="AQ131" s="1071"/>
      <c r="AR131" s="1071"/>
      <c r="AS131" s="1071"/>
      <c r="AT131" s="1071"/>
    </row>
    <row r="132" spans="10:47" x14ac:dyDescent="0.2">
      <c r="N132" s="1077"/>
      <c r="O132" s="1076"/>
      <c r="P132" s="1071"/>
      <c r="Q132" s="1071"/>
      <c r="R132" s="1071"/>
      <c r="S132" s="1071"/>
      <c r="T132" s="1071"/>
      <c r="U132" s="1071"/>
      <c r="V132" s="1072"/>
      <c r="W132" s="1071"/>
      <c r="X132" s="1071"/>
      <c r="Y132" s="1071"/>
      <c r="Z132" s="1071"/>
      <c r="AA132" s="1072"/>
      <c r="AB132" s="1071"/>
      <c r="AC132" s="1071"/>
      <c r="AD132" s="1071"/>
      <c r="AE132" s="1071"/>
      <c r="AF132" s="1071"/>
      <c r="AG132" s="1071"/>
      <c r="AH132" s="1071"/>
      <c r="AI132" s="1071"/>
      <c r="AJ132" s="1071"/>
      <c r="AK132" s="1071"/>
      <c r="AL132" s="1071"/>
      <c r="AM132" s="1071"/>
      <c r="AN132" s="1071"/>
      <c r="AO132" s="1071"/>
      <c r="AP132" s="1071"/>
      <c r="AQ132" s="1071"/>
      <c r="AR132" s="1071"/>
      <c r="AS132" s="1071"/>
      <c r="AT132" s="1071"/>
      <c r="AU132" s="1072"/>
    </row>
    <row r="133" spans="10:47" x14ac:dyDescent="0.2">
      <c r="M133" s="604"/>
      <c r="N133" s="604"/>
      <c r="O133" s="1075"/>
      <c r="P133" s="1072"/>
      <c r="Q133" s="1072"/>
      <c r="R133" s="1072"/>
      <c r="S133" s="1072"/>
      <c r="T133" s="1072"/>
      <c r="U133" s="1072"/>
      <c r="V133" s="1072"/>
      <c r="W133" s="1072"/>
      <c r="X133" s="1072"/>
      <c r="Y133" s="1072"/>
      <c r="Z133" s="1072"/>
      <c r="AA133" s="1072"/>
      <c r="AB133" s="1072"/>
      <c r="AC133" s="1072"/>
      <c r="AD133" s="1072"/>
      <c r="AE133" s="1072"/>
      <c r="AF133" s="1072"/>
      <c r="AG133" s="1072"/>
      <c r="AH133" s="1072"/>
      <c r="AI133" s="1072"/>
      <c r="AJ133" s="1072"/>
      <c r="AK133" s="1072"/>
      <c r="AL133" s="1072"/>
      <c r="AM133" s="1072"/>
      <c r="AN133" s="1072"/>
      <c r="AO133" s="1072"/>
      <c r="AP133" s="1072"/>
      <c r="AQ133" s="1072"/>
      <c r="AR133" s="1072"/>
      <c r="AS133" s="1072"/>
      <c r="AT133" s="1072"/>
      <c r="AU133" s="1071"/>
    </row>
    <row r="134" spans="10:47" x14ac:dyDescent="0.2">
      <c r="M134" s="604"/>
      <c r="N134" s="604"/>
      <c r="O134" s="1074"/>
      <c r="P134" s="1072"/>
      <c r="Q134" s="1072"/>
      <c r="R134" s="1072"/>
      <c r="S134" s="1072"/>
      <c r="T134" s="1072"/>
      <c r="U134" s="1072"/>
      <c r="W134" s="1072"/>
      <c r="X134" s="1072"/>
      <c r="Y134" s="1072"/>
      <c r="Z134" s="1072"/>
      <c r="AB134" s="1072"/>
      <c r="AC134" s="1072"/>
      <c r="AD134" s="1072"/>
      <c r="AE134" s="1072"/>
      <c r="AF134" s="1072"/>
      <c r="AG134" s="1072"/>
      <c r="AH134" s="1072"/>
      <c r="AI134" s="1072"/>
      <c r="AJ134" s="1072"/>
      <c r="AK134" s="1072"/>
      <c r="AL134" s="1072"/>
      <c r="AM134" s="1072"/>
      <c r="AN134" s="1072"/>
      <c r="AO134" s="1072"/>
      <c r="AP134" s="1072"/>
      <c r="AQ134" s="1072"/>
      <c r="AR134" s="1072"/>
      <c r="AS134" s="1072"/>
      <c r="AT134" s="1072"/>
      <c r="AU134" s="1071"/>
    </row>
    <row r="135" spans="10:47" x14ac:dyDescent="0.2">
      <c r="V135" s="1072"/>
      <c r="AA135" s="1072"/>
      <c r="AU135" s="1071"/>
    </row>
    <row r="136" spans="10:47" x14ac:dyDescent="0.2">
      <c r="O136" s="604"/>
      <c r="P136" s="1072"/>
      <c r="Q136" s="1072"/>
      <c r="R136" s="1072"/>
      <c r="S136" s="1072"/>
      <c r="T136" s="1072"/>
      <c r="U136" s="1072"/>
      <c r="V136" s="1072"/>
      <c r="W136" s="1072"/>
      <c r="X136" s="1072"/>
      <c r="Y136" s="1072"/>
      <c r="Z136" s="1072"/>
      <c r="AA136" s="1072"/>
      <c r="AB136" s="1072"/>
      <c r="AC136" s="1072"/>
      <c r="AD136" s="1072"/>
      <c r="AE136" s="1072"/>
      <c r="AF136" s="1072"/>
      <c r="AG136" s="1072"/>
      <c r="AH136" s="1072"/>
      <c r="AI136" s="1072"/>
      <c r="AJ136" s="1072"/>
      <c r="AK136" s="1072"/>
      <c r="AL136" s="1072"/>
      <c r="AM136" s="1072"/>
      <c r="AN136" s="1072"/>
      <c r="AO136" s="1072"/>
      <c r="AP136" s="1072"/>
      <c r="AQ136" s="1072"/>
      <c r="AR136" s="1072"/>
      <c r="AS136" s="1072"/>
      <c r="AT136" s="1072"/>
      <c r="AU136" s="1071"/>
    </row>
    <row r="137" spans="10:47" x14ac:dyDescent="0.2">
      <c r="M137" s="604"/>
      <c r="N137" s="604"/>
      <c r="O137" s="1073"/>
      <c r="P137" s="1072"/>
      <c r="Q137" s="1072"/>
      <c r="R137" s="1072"/>
      <c r="S137" s="1072"/>
      <c r="T137" s="1072"/>
      <c r="U137" s="1072"/>
      <c r="W137" s="1072"/>
      <c r="X137" s="1072"/>
      <c r="Y137" s="1072"/>
      <c r="Z137" s="1072"/>
      <c r="AB137" s="1072"/>
      <c r="AC137" s="1072"/>
      <c r="AD137" s="1072"/>
      <c r="AE137" s="1072"/>
      <c r="AF137" s="1072"/>
      <c r="AG137" s="1072"/>
      <c r="AH137" s="1072"/>
      <c r="AI137" s="1072"/>
      <c r="AJ137" s="1072"/>
      <c r="AK137" s="1072"/>
      <c r="AL137" s="1072"/>
      <c r="AM137" s="1072"/>
      <c r="AN137" s="1072"/>
      <c r="AO137" s="1072"/>
      <c r="AP137" s="1072"/>
      <c r="AQ137" s="1072"/>
      <c r="AR137" s="1072"/>
      <c r="AS137" s="1072"/>
      <c r="AT137" s="1072"/>
      <c r="AU137" s="1072"/>
    </row>
    <row r="138" spans="10:47" x14ac:dyDescent="0.2">
      <c r="AU138" s="1072"/>
    </row>
    <row r="139" spans="10:47" x14ac:dyDescent="0.2">
      <c r="AU139" s="1072"/>
    </row>
    <row r="140" spans="10:47" x14ac:dyDescent="0.2">
      <c r="AU140" s="1071"/>
    </row>
    <row r="141" spans="10:47" x14ac:dyDescent="0.2">
      <c r="AU141" s="1072"/>
    </row>
    <row r="142" spans="10:47" x14ac:dyDescent="0.2">
      <c r="V142" s="1072"/>
      <c r="AA142" s="1072"/>
      <c r="AU142" s="1072"/>
    </row>
    <row r="143" spans="10:47" x14ac:dyDescent="0.2">
      <c r="M143" s="604"/>
      <c r="N143" s="604"/>
      <c r="O143" s="1082"/>
      <c r="P143" s="1072"/>
      <c r="Q143" s="1072"/>
      <c r="R143" s="1072"/>
      <c r="S143" s="1072"/>
      <c r="T143" s="1072"/>
      <c r="U143" s="1072"/>
      <c r="V143" s="1072"/>
      <c r="W143" s="1072"/>
      <c r="X143" s="1072"/>
      <c r="Y143" s="1072"/>
      <c r="Z143" s="1072"/>
      <c r="AA143" s="1072"/>
      <c r="AB143" s="1072"/>
      <c r="AC143" s="1072"/>
      <c r="AD143" s="1072"/>
      <c r="AE143" s="1072"/>
      <c r="AF143" s="1072"/>
      <c r="AG143" s="1072"/>
      <c r="AH143" s="1072"/>
      <c r="AI143" s="1072"/>
      <c r="AJ143" s="1072"/>
      <c r="AK143" s="1072"/>
      <c r="AL143" s="1072"/>
      <c r="AM143" s="1072"/>
      <c r="AN143" s="1072"/>
      <c r="AO143" s="1072"/>
      <c r="AP143" s="1072"/>
      <c r="AQ143" s="1072"/>
      <c r="AR143" s="1072"/>
      <c r="AS143" s="1072"/>
      <c r="AT143" s="1072"/>
      <c r="AU143" s="1071"/>
    </row>
    <row r="144" spans="10:47" x14ac:dyDescent="0.2">
      <c r="J144" s="1083"/>
      <c r="K144" s="319"/>
      <c r="M144" s="604"/>
      <c r="N144" s="604"/>
      <c r="O144" s="1082"/>
      <c r="P144" s="1072"/>
      <c r="Q144" s="1072"/>
      <c r="R144" s="1072"/>
      <c r="S144" s="1072"/>
      <c r="T144" s="1072"/>
      <c r="U144" s="1072"/>
      <c r="V144" s="1080"/>
      <c r="W144" s="1072"/>
      <c r="X144" s="1072"/>
      <c r="Y144" s="1072"/>
      <c r="Z144" s="1072"/>
      <c r="AA144" s="1080"/>
      <c r="AB144" s="1072"/>
      <c r="AC144" s="1072"/>
      <c r="AD144" s="1072"/>
      <c r="AE144" s="1072"/>
      <c r="AF144" s="1072"/>
      <c r="AG144" s="1072"/>
      <c r="AH144" s="1072"/>
      <c r="AI144" s="1072"/>
      <c r="AJ144" s="1072"/>
      <c r="AK144" s="1072"/>
      <c r="AL144" s="1072"/>
      <c r="AM144" s="1072"/>
      <c r="AN144" s="1072"/>
      <c r="AO144" s="1072"/>
      <c r="AP144" s="1072"/>
      <c r="AQ144" s="1072"/>
      <c r="AR144" s="1072"/>
      <c r="AS144" s="1072"/>
      <c r="AT144" s="1072"/>
      <c r="AU144" s="1072"/>
    </row>
    <row r="145" spans="13:47" x14ac:dyDescent="0.2">
      <c r="M145" s="1071"/>
      <c r="N145" s="1071"/>
      <c r="O145" s="593"/>
      <c r="P145" s="1080"/>
      <c r="Q145" s="1080"/>
      <c r="R145" s="1080"/>
      <c r="S145" s="1080"/>
      <c r="T145" s="1080"/>
      <c r="U145" s="1080"/>
      <c r="V145" s="1080"/>
      <c r="W145" s="1080"/>
      <c r="X145" s="1080"/>
      <c r="Y145" s="1080"/>
      <c r="Z145" s="1080"/>
      <c r="AA145" s="1080"/>
      <c r="AB145" s="1080"/>
      <c r="AC145" s="1080"/>
      <c r="AD145" s="1080"/>
      <c r="AE145" s="1080"/>
      <c r="AF145" s="1080"/>
      <c r="AG145" s="1080"/>
      <c r="AH145" s="1080"/>
      <c r="AI145" s="1080"/>
      <c r="AJ145" s="1080"/>
      <c r="AK145" s="1080"/>
      <c r="AL145" s="1080"/>
      <c r="AM145" s="1080"/>
      <c r="AN145" s="1080"/>
      <c r="AO145" s="1080"/>
      <c r="AP145" s="1080"/>
      <c r="AQ145" s="1080"/>
      <c r="AR145" s="1080"/>
      <c r="AS145" s="1080"/>
      <c r="AT145" s="1080"/>
      <c r="AU145" s="1071"/>
    </row>
    <row r="146" spans="13:47" x14ac:dyDescent="0.2">
      <c r="M146" s="1071"/>
      <c r="N146" s="1071"/>
      <c r="O146" s="593"/>
      <c r="P146" s="1080"/>
      <c r="Q146" s="1080"/>
      <c r="R146" s="1080"/>
      <c r="S146" s="1080"/>
      <c r="T146" s="1080"/>
      <c r="U146" s="1080"/>
      <c r="V146" s="1080"/>
      <c r="W146" s="1080"/>
      <c r="X146" s="1080"/>
      <c r="Y146" s="1080"/>
      <c r="Z146" s="1080"/>
      <c r="AA146" s="1080"/>
      <c r="AB146" s="1080"/>
      <c r="AC146" s="1080"/>
      <c r="AD146" s="1080"/>
      <c r="AE146" s="1080"/>
      <c r="AF146" s="1080"/>
      <c r="AG146" s="1080"/>
      <c r="AH146" s="1080"/>
      <c r="AI146" s="1080"/>
      <c r="AJ146" s="1080"/>
      <c r="AK146" s="1080"/>
      <c r="AL146" s="1080"/>
      <c r="AM146" s="1080"/>
      <c r="AN146" s="1080"/>
      <c r="AO146" s="1080"/>
      <c r="AP146" s="1080"/>
      <c r="AQ146" s="1080"/>
      <c r="AR146" s="1080"/>
      <c r="AS146" s="1080"/>
      <c r="AT146" s="1080"/>
      <c r="AU146" s="1071"/>
    </row>
    <row r="147" spans="13:47" x14ac:dyDescent="0.2">
      <c r="M147" s="1081"/>
      <c r="N147" s="1081"/>
      <c r="O147" s="593"/>
      <c r="P147" s="1080"/>
      <c r="Q147" s="1080"/>
      <c r="R147" s="1080"/>
      <c r="S147" s="1080"/>
      <c r="T147" s="1080"/>
      <c r="U147" s="1080"/>
      <c r="V147" s="1080"/>
      <c r="W147" s="1080"/>
      <c r="X147" s="1080"/>
      <c r="Y147" s="1080"/>
      <c r="Z147" s="1080"/>
      <c r="AA147" s="1080"/>
      <c r="AB147" s="1080"/>
      <c r="AC147" s="1080"/>
      <c r="AD147" s="1080"/>
      <c r="AE147" s="1080"/>
      <c r="AF147" s="1080"/>
      <c r="AG147" s="1080"/>
      <c r="AH147" s="1080"/>
      <c r="AI147" s="1080"/>
      <c r="AJ147" s="1080"/>
      <c r="AK147" s="1080"/>
      <c r="AL147" s="1080"/>
      <c r="AM147" s="1080"/>
      <c r="AN147" s="1080"/>
      <c r="AO147" s="1080"/>
      <c r="AP147" s="1080"/>
      <c r="AQ147" s="1080"/>
      <c r="AR147" s="1080"/>
      <c r="AS147" s="1080"/>
      <c r="AT147" s="1080"/>
      <c r="AU147" s="1072"/>
    </row>
    <row r="148" spans="13:47" x14ac:dyDescent="0.2">
      <c r="M148" s="1081"/>
      <c r="N148" s="1081"/>
      <c r="O148" s="593"/>
      <c r="P148" s="1080"/>
      <c r="Q148" s="1080"/>
      <c r="R148" s="1080"/>
      <c r="S148" s="1080"/>
      <c r="T148" s="1080"/>
      <c r="U148" s="1080"/>
      <c r="V148" s="1072"/>
      <c r="W148" s="1080"/>
      <c r="X148" s="1080"/>
      <c r="Y148" s="1080"/>
      <c r="Z148" s="1080"/>
      <c r="AA148" s="1072"/>
      <c r="AB148" s="1080"/>
      <c r="AC148" s="1080"/>
      <c r="AD148" s="1080"/>
      <c r="AE148" s="1080"/>
      <c r="AF148" s="1080"/>
      <c r="AG148" s="1080"/>
      <c r="AH148" s="1080"/>
      <c r="AI148" s="1080"/>
      <c r="AJ148" s="1080"/>
      <c r="AK148" s="1080"/>
      <c r="AL148" s="1080"/>
      <c r="AM148" s="1080"/>
      <c r="AN148" s="1080"/>
      <c r="AO148" s="1080"/>
      <c r="AP148" s="1080"/>
      <c r="AQ148" s="1080"/>
      <c r="AR148" s="1080"/>
      <c r="AS148" s="1080"/>
      <c r="AT148" s="1080"/>
      <c r="AU148" s="584"/>
    </row>
    <row r="149" spans="13:47" x14ac:dyDescent="0.2">
      <c r="M149" s="604"/>
      <c r="N149" s="604"/>
      <c r="O149" s="593"/>
      <c r="P149" s="1072"/>
      <c r="Q149" s="1072"/>
      <c r="R149" s="1072"/>
      <c r="S149" s="1072"/>
      <c r="T149" s="1072"/>
      <c r="U149" s="1072"/>
      <c r="V149" s="1072"/>
      <c r="W149" s="1072"/>
      <c r="X149" s="1072"/>
      <c r="Y149" s="1072"/>
      <c r="Z149" s="1072"/>
      <c r="AA149" s="1072"/>
      <c r="AB149" s="1072"/>
      <c r="AC149" s="1072"/>
      <c r="AD149" s="1072"/>
      <c r="AE149" s="1072"/>
      <c r="AF149" s="1072"/>
      <c r="AG149" s="1072"/>
      <c r="AH149" s="1072"/>
      <c r="AI149" s="1072"/>
      <c r="AJ149" s="1072"/>
      <c r="AK149" s="1072"/>
      <c r="AL149" s="1072"/>
      <c r="AM149" s="1072"/>
      <c r="AN149" s="1072"/>
      <c r="AO149" s="1072"/>
      <c r="AP149" s="1072"/>
      <c r="AQ149" s="1072"/>
      <c r="AR149" s="1072"/>
      <c r="AS149" s="1072"/>
      <c r="AT149" s="1072"/>
      <c r="AU149" s="1071"/>
    </row>
    <row r="150" spans="13:47" x14ac:dyDescent="0.2">
      <c r="M150" s="604"/>
      <c r="N150" s="604"/>
      <c r="O150" s="604"/>
      <c r="P150" s="1072"/>
      <c r="Q150" s="1072"/>
      <c r="R150" s="1072"/>
      <c r="S150" s="1072"/>
      <c r="T150" s="1072"/>
      <c r="U150" s="1072"/>
      <c r="V150" s="1072"/>
      <c r="W150" s="1072"/>
      <c r="X150" s="1072"/>
      <c r="Y150" s="1072"/>
      <c r="Z150" s="1072"/>
      <c r="AA150" s="1072"/>
      <c r="AB150" s="1072"/>
      <c r="AC150" s="1072"/>
      <c r="AD150" s="1072"/>
      <c r="AE150" s="1072"/>
      <c r="AF150" s="1072"/>
      <c r="AG150" s="1072"/>
      <c r="AH150" s="1072"/>
      <c r="AI150" s="1072"/>
      <c r="AJ150" s="1072"/>
      <c r="AK150" s="1072"/>
      <c r="AL150" s="1072"/>
      <c r="AM150" s="1072"/>
      <c r="AN150" s="1072"/>
      <c r="AO150" s="1072"/>
      <c r="AP150" s="1072"/>
      <c r="AQ150" s="1072"/>
      <c r="AR150" s="1072"/>
      <c r="AS150" s="1072"/>
      <c r="AT150" s="1072"/>
      <c r="AU150" s="1070"/>
    </row>
    <row r="151" spans="13:47" x14ac:dyDescent="0.2">
      <c r="M151" s="604"/>
      <c r="N151" s="604"/>
      <c r="O151" s="604"/>
      <c r="P151" s="1072"/>
      <c r="Q151" s="1072"/>
      <c r="R151" s="1072"/>
      <c r="S151" s="1072"/>
      <c r="T151" s="1072"/>
      <c r="U151" s="1072"/>
      <c r="W151" s="1072"/>
      <c r="X151" s="1072"/>
      <c r="Y151" s="1072"/>
      <c r="Z151" s="1072"/>
      <c r="AB151" s="1072"/>
      <c r="AC151" s="1072"/>
      <c r="AD151" s="1072"/>
      <c r="AE151" s="1072"/>
      <c r="AF151" s="1072"/>
      <c r="AG151" s="1072"/>
      <c r="AH151" s="1072"/>
      <c r="AI151" s="1072"/>
      <c r="AJ151" s="1072"/>
      <c r="AK151" s="1072"/>
      <c r="AL151" s="1072"/>
      <c r="AM151" s="1072"/>
      <c r="AN151" s="1072"/>
      <c r="AO151" s="1072"/>
      <c r="AP151" s="1072"/>
      <c r="AQ151" s="1072"/>
      <c r="AR151" s="1072"/>
      <c r="AS151" s="1072"/>
      <c r="AT151" s="1072"/>
    </row>
    <row r="152" spans="13:47" x14ac:dyDescent="0.2">
      <c r="N152" s="1079"/>
      <c r="V152" s="1071"/>
      <c r="AA152" s="1071"/>
    </row>
    <row r="153" spans="13:47" x14ac:dyDescent="0.2">
      <c r="O153" s="1076"/>
      <c r="P153" s="1071"/>
      <c r="Q153" s="1071"/>
      <c r="R153" s="1071"/>
      <c r="S153" s="1071"/>
      <c r="T153" s="1071"/>
      <c r="U153" s="1071"/>
      <c r="V153" s="1071"/>
      <c r="W153" s="1071"/>
      <c r="X153" s="1071"/>
      <c r="Y153" s="1071"/>
      <c r="Z153" s="1071"/>
      <c r="AA153" s="1071"/>
      <c r="AB153" s="1071"/>
      <c r="AC153" s="1071"/>
      <c r="AD153" s="1071"/>
      <c r="AE153" s="1071"/>
      <c r="AF153" s="1071"/>
      <c r="AG153" s="1071"/>
      <c r="AH153" s="1071"/>
      <c r="AI153" s="1071"/>
      <c r="AJ153" s="1071"/>
      <c r="AK153" s="1071"/>
      <c r="AL153" s="1071"/>
      <c r="AM153" s="1071"/>
      <c r="AN153" s="1071"/>
      <c r="AO153" s="1071"/>
      <c r="AP153" s="1071"/>
      <c r="AQ153" s="1071"/>
      <c r="AR153" s="1071"/>
      <c r="AS153" s="1071"/>
      <c r="AT153" s="1071"/>
    </row>
    <row r="154" spans="13:47" x14ac:dyDescent="0.2">
      <c r="O154" s="1078"/>
      <c r="P154" s="1071"/>
      <c r="Q154" s="1071"/>
      <c r="R154" s="1071"/>
      <c r="S154" s="1071"/>
      <c r="T154" s="1071"/>
      <c r="U154" s="1071"/>
      <c r="V154" s="1071"/>
      <c r="W154" s="1071"/>
      <c r="X154" s="1071"/>
      <c r="Y154" s="1071"/>
      <c r="Z154" s="1071"/>
      <c r="AA154" s="1071"/>
      <c r="AB154" s="1071"/>
      <c r="AC154" s="1071"/>
      <c r="AD154" s="1071"/>
      <c r="AE154" s="1071"/>
      <c r="AF154" s="1071"/>
      <c r="AG154" s="1071"/>
      <c r="AH154" s="1071"/>
      <c r="AI154" s="1071"/>
      <c r="AJ154" s="1071"/>
      <c r="AK154" s="1071"/>
      <c r="AL154" s="1071"/>
      <c r="AM154" s="1071"/>
      <c r="AN154" s="1071"/>
      <c r="AO154" s="1071"/>
      <c r="AP154" s="1071"/>
      <c r="AQ154" s="1071"/>
      <c r="AR154" s="1071"/>
      <c r="AS154" s="1071"/>
      <c r="AT154" s="1071"/>
    </row>
    <row r="155" spans="13:47" x14ac:dyDescent="0.2">
      <c r="O155" s="1076"/>
      <c r="P155" s="1071"/>
      <c r="Q155" s="1071"/>
      <c r="R155" s="1071"/>
      <c r="S155" s="1071"/>
      <c r="T155" s="1071"/>
      <c r="U155" s="1071"/>
      <c r="V155" s="1071"/>
      <c r="W155" s="1071"/>
      <c r="X155" s="1071"/>
      <c r="Y155" s="1071"/>
      <c r="Z155" s="1071"/>
      <c r="AA155" s="1071"/>
      <c r="AB155" s="1071"/>
      <c r="AC155" s="1071"/>
      <c r="AD155" s="1071"/>
      <c r="AE155" s="1071"/>
      <c r="AF155" s="1071"/>
      <c r="AG155" s="1071"/>
      <c r="AH155" s="1071"/>
      <c r="AI155" s="1071"/>
      <c r="AJ155" s="1071"/>
      <c r="AK155" s="1071"/>
      <c r="AL155" s="1071"/>
      <c r="AM155" s="1071"/>
      <c r="AN155" s="1071"/>
      <c r="AO155" s="1071"/>
      <c r="AP155" s="1071"/>
      <c r="AQ155" s="1071"/>
      <c r="AR155" s="1071"/>
      <c r="AS155" s="1071"/>
      <c r="AT155" s="1071"/>
    </row>
    <row r="156" spans="13:47" x14ac:dyDescent="0.2">
      <c r="O156" s="1076"/>
      <c r="P156" s="1071"/>
      <c r="Q156" s="1071"/>
      <c r="R156" s="1071"/>
      <c r="S156" s="1071"/>
      <c r="T156" s="1071"/>
      <c r="U156" s="1071"/>
      <c r="V156" s="1071"/>
      <c r="W156" s="1071"/>
      <c r="X156" s="1071"/>
      <c r="Y156" s="1071"/>
      <c r="Z156" s="1071"/>
      <c r="AA156" s="1071"/>
      <c r="AB156" s="1071"/>
      <c r="AC156" s="1071"/>
      <c r="AD156" s="1071"/>
      <c r="AE156" s="1071"/>
      <c r="AF156" s="1071"/>
      <c r="AG156" s="1071"/>
      <c r="AH156" s="1071"/>
      <c r="AI156" s="1071"/>
      <c r="AJ156" s="1071"/>
      <c r="AK156" s="1071"/>
      <c r="AL156" s="1071"/>
      <c r="AM156" s="1071"/>
      <c r="AN156" s="1071"/>
      <c r="AO156" s="1071"/>
      <c r="AP156" s="1071"/>
      <c r="AQ156" s="1071"/>
      <c r="AR156" s="1071"/>
      <c r="AS156" s="1071"/>
      <c r="AT156" s="1071"/>
      <c r="AU156" s="1072"/>
    </row>
    <row r="157" spans="13:47" x14ac:dyDescent="0.2">
      <c r="N157" s="1077"/>
      <c r="O157" s="1076"/>
      <c r="P157" s="1071"/>
      <c r="Q157" s="1071"/>
      <c r="R157" s="1071"/>
      <c r="S157" s="1071"/>
      <c r="T157" s="1071"/>
      <c r="U157" s="1071"/>
      <c r="V157" s="1072"/>
      <c r="W157" s="1071"/>
      <c r="X157" s="1071"/>
      <c r="Y157" s="1071"/>
      <c r="Z157" s="1071"/>
      <c r="AA157" s="1072"/>
      <c r="AB157" s="1071"/>
      <c r="AC157" s="1071"/>
      <c r="AD157" s="1071"/>
      <c r="AE157" s="1071"/>
      <c r="AF157" s="1071"/>
      <c r="AG157" s="1071"/>
      <c r="AH157" s="1071"/>
      <c r="AI157" s="1071"/>
      <c r="AJ157" s="1071"/>
      <c r="AK157" s="1071"/>
      <c r="AL157" s="1071"/>
      <c r="AM157" s="1071"/>
      <c r="AN157" s="1071"/>
      <c r="AO157" s="1071"/>
      <c r="AP157" s="1071"/>
      <c r="AQ157" s="1071"/>
      <c r="AR157" s="1071"/>
      <c r="AS157" s="1071"/>
      <c r="AT157" s="1071"/>
      <c r="AU157" s="1072"/>
    </row>
    <row r="158" spans="13:47" x14ac:dyDescent="0.2">
      <c r="M158" s="604"/>
      <c r="N158" s="604"/>
      <c r="O158" s="1075"/>
      <c r="P158" s="1072"/>
      <c r="Q158" s="1072"/>
      <c r="R158" s="1072"/>
      <c r="S158" s="1072"/>
      <c r="T158" s="1072"/>
      <c r="U158" s="1072"/>
      <c r="V158" s="1072"/>
      <c r="W158" s="1072"/>
      <c r="X158" s="1072"/>
      <c r="Y158" s="1072"/>
      <c r="Z158" s="1072"/>
      <c r="AA158" s="1072"/>
      <c r="AB158" s="1072"/>
      <c r="AC158" s="1072"/>
      <c r="AD158" s="1072"/>
      <c r="AE158" s="1072"/>
      <c r="AF158" s="1072"/>
      <c r="AG158" s="1072"/>
      <c r="AH158" s="1072"/>
      <c r="AI158" s="1072"/>
      <c r="AJ158" s="1072"/>
      <c r="AK158" s="1072"/>
      <c r="AL158" s="1072"/>
      <c r="AM158" s="1072"/>
      <c r="AN158" s="1072"/>
      <c r="AO158" s="1072"/>
      <c r="AP158" s="1072"/>
      <c r="AQ158" s="1072"/>
      <c r="AR158" s="1072"/>
      <c r="AS158" s="1072"/>
      <c r="AT158" s="1072"/>
      <c r="AU158" s="1071"/>
    </row>
    <row r="159" spans="13:47" x14ac:dyDescent="0.2">
      <c r="M159" s="604"/>
      <c r="N159" s="604"/>
      <c r="O159" s="1074"/>
      <c r="P159" s="1072"/>
      <c r="Q159" s="1072"/>
      <c r="R159" s="1072"/>
      <c r="S159" s="1072"/>
      <c r="T159" s="1072"/>
      <c r="U159" s="1072"/>
      <c r="W159" s="1072"/>
      <c r="X159" s="1072"/>
      <c r="Y159" s="1072"/>
      <c r="Z159" s="1072"/>
      <c r="AB159" s="1072"/>
      <c r="AC159" s="1072"/>
      <c r="AD159" s="1072"/>
      <c r="AE159" s="1072"/>
      <c r="AF159" s="1072"/>
      <c r="AG159" s="1072"/>
      <c r="AH159" s="1072"/>
      <c r="AI159" s="1072"/>
      <c r="AJ159" s="1072"/>
      <c r="AK159" s="1072"/>
      <c r="AL159" s="1072"/>
      <c r="AM159" s="1072"/>
      <c r="AN159" s="1072"/>
      <c r="AO159" s="1072"/>
      <c r="AP159" s="1072"/>
      <c r="AQ159" s="1072"/>
      <c r="AR159" s="1072"/>
      <c r="AS159" s="1072"/>
      <c r="AT159" s="1072"/>
      <c r="AU159" s="1071"/>
    </row>
    <row r="160" spans="13:47" x14ac:dyDescent="0.2">
      <c r="V160" s="1072"/>
      <c r="AA160" s="1072"/>
      <c r="AU160" s="1071"/>
    </row>
    <row r="161" spans="13:47" x14ac:dyDescent="0.2">
      <c r="O161" s="604"/>
      <c r="P161" s="1072"/>
      <c r="Q161" s="1072"/>
      <c r="R161" s="1072"/>
      <c r="S161" s="1072"/>
      <c r="T161" s="1072"/>
      <c r="U161" s="1072"/>
      <c r="V161" s="1072"/>
      <c r="W161" s="1072"/>
      <c r="X161" s="1072"/>
      <c r="Y161" s="1072"/>
      <c r="Z161" s="1072"/>
      <c r="AA161" s="1072"/>
      <c r="AB161" s="1072"/>
      <c r="AC161" s="1072"/>
      <c r="AD161" s="1072"/>
      <c r="AE161" s="1072"/>
      <c r="AF161" s="1072"/>
      <c r="AG161" s="1072"/>
      <c r="AH161" s="1072"/>
      <c r="AI161" s="1072"/>
      <c r="AJ161" s="1072"/>
      <c r="AK161" s="1072"/>
      <c r="AL161" s="1072"/>
      <c r="AM161" s="1072"/>
      <c r="AN161" s="1072"/>
      <c r="AO161" s="1072"/>
      <c r="AP161" s="1072"/>
      <c r="AQ161" s="1072"/>
      <c r="AR161" s="1072"/>
      <c r="AS161" s="1072"/>
      <c r="AT161" s="1072"/>
      <c r="AU161" s="1071"/>
    </row>
    <row r="162" spans="13:47" x14ac:dyDescent="0.2">
      <c r="M162" s="604"/>
      <c r="N162" s="604"/>
      <c r="O162" s="1073"/>
      <c r="P162" s="1072"/>
      <c r="Q162" s="1072"/>
      <c r="R162" s="1072"/>
      <c r="S162" s="1072"/>
      <c r="T162" s="1072"/>
      <c r="U162" s="1072"/>
      <c r="W162" s="1072"/>
      <c r="X162" s="1072"/>
      <c r="Y162" s="1072"/>
      <c r="Z162" s="1072"/>
      <c r="AB162" s="1072"/>
      <c r="AC162" s="1072"/>
      <c r="AD162" s="1072"/>
      <c r="AE162" s="1072"/>
      <c r="AF162" s="1072"/>
      <c r="AG162" s="1072"/>
      <c r="AH162" s="1072"/>
      <c r="AI162" s="1072"/>
      <c r="AJ162" s="1072"/>
      <c r="AK162" s="1072"/>
      <c r="AL162" s="1072"/>
      <c r="AM162" s="1072"/>
      <c r="AN162" s="1072"/>
      <c r="AO162" s="1072"/>
      <c r="AP162" s="1072"/>
      <c r="AQ162" s="1072"/>
      <c r="AR162" s="1072"/>
      <c r="AS162" s="1072"/>
      <c r="AT162" s="1072"/>
      <c r="AU162" s="1072"/>
    </row>
    <row r="163" spans="13:47" x14ac:dyDescent="0.2">
      <c r="AU163" s="1072"/>
    </row>
    <row r="164" spans="13:47" x14ac:dyDescent="0.2">
      <c r="AU164" s="1072"/>
    </row>
    <row r="165" spans="13:47" x14ac:dyDescent="0.2">
      <c r="AU165" s="1071"/>
    </row>
    <row r="166" spans="13:47" x14ac:dyDescent="0.2">
      <c r="AU166" s="1072"/>
    </row>
    <row r="167" spans="13:47" x14ac:dyDescent="0.2">
      <c r="AU167" s="1072"/>
    </row>
    <row r="168" spans="13:47" x14ac:dyDescent="0.2">
      <c r="V168" s="1072"/>
      <c r="AA168" s="1072"/>
      <c r="AU168" s="1071"/>
    </row>
    <row r="169" spans="13:47" x14ac:dyDescent="0.2">
      <c r="M169" s="604"/>
      <c r="N169" s="604"/>
      <c r="O169" s="1082"/>
      <c r="P169" s="1072"/>
      <c r="Q169" s="1072"/>
      <c r="R169" s="1072"/>
      <c r="S169" s="1072"/>
      <c r="T169" s="1072"/>
      <c r="U169" s="1072"/>
      <c r="V169" s="1080"/>
      <c r="W169" s="1072"/>
      <c r="X169" s="1072"/>
      <c r="Y169" s="1072"/>
      <c r="Z169" s="1072"/>
      <c r="AA169" s="1080"/>
      <c r="AB169" s="1072"/>
      <c r="AC169" s="1072"/>
      <c r="AD169" s="1072"/>
      <c r="AE169" s="1072"/>
      <c r="AF169" s="1072"/>
      <c r="AG169" s="1072"/>
      <c r="AH169" s="1072"/>
      <c r="AI169" s="1072"/>
      <c r="AJ169" s="1072"/>
      <c r="AK169" s="1072"/>
      <c r="AL169" s="1072"/>
      <c r="AM169" s="1072"/>
      <c r="AN169" s="1072"/>
      <c r="AO169" s="1072"/>
      <c r="AP169" s="1072"/>
      <c r="AQ169" s="1072"/>
      <c r="AR169" s="1072"/>
      <c r="AS169" s="1072"/>
      <c r="AT169" s="1072"/>
      <c r="AU169" s="1072"/>
    </row>
    <row r="170" spans="13:47" x14ac:dyDescent="0.2">
      <c r="M170" s="1071"/>
      <c r="N170" s="1071"/>
      <c r="O170" s="593"/>
      <c r="P170" s="1080"/>
      <c r="Q170" s="1080"/>
      <c r="R170" s="1080"/>
      <c r="S170" s="1080"/>
      <c r="T170" s="1080"/>
      <c r="U170" s="1080"/>
      <c r="V170" s="1080"/>
      <c r="W170" s="1080"/>
      <c r="X170" s="1080"/>
      <c r="Y170" s="1080"/>
      <c r="Z170" s="1080"/>
      <c r="AA170" s="1080"/>
      <c r="AB170" s="1080"/>
      <c r="AC170" s="1080"/>
      <c r="AD170" s="1080"/>
      <c r="AE170" s="1080"/>
      <c r="AF170" s="1080"/>
      <c r="AG170" s="1080"/>
      <c r="AH170" s="1080"/>
      <c r="AI170" s="1080"/>
      <c r="AJ170" s="1080"/>
      <c r="AK170" s="1080"/>
      <c r="AL170" s="1080"/>
      <c r="AM170" s="1080"/>
      <c r="AN170" s="1080"/>
      <c r="AO170" s="1080"/>
      <c r="AP170" s="1080"/>
      <c r="AQ170" s="1080"/>
      <c r="AR170" s="1080"/>
      <c r="AS170" s="1080"/>
      <c r="AT170" s="1080"/>
      <c r="AU170" s="1071"/>
    </row>
    <row r="171" spans="13:47" x14ac:dyDescent="0.2">
      <c r="M171" s="1071"/>
      <c r="N171" s="1071"/>
      <c r="O171" s="593"/>
      <c r="P171" s="1080"/>
      <c r="Q171" s="1080"/>
      <c r="R171" s="1080"/>
      <c r="S171" s="1080"/>
      <c r="T171" s="1080"/>
      <c r="U171" s="1080"/>
      <c r="V171" s="1080"/>
      <c r="W171" s="1080"/>
      <c r="X171" s="1080"/>
      <c r="Y171" s="1080"/>
      <c r="Z171" s="1080"/>
      <c r="AA171" s="1080"/>
      <c r="AB171" s="1080"/>
      <c r="AC171" s="1080"/>
      <c r="AD171" s="1080"/>
      <c r="AE171" s="1080"/>
      <c r="AF171" s="1080"/>
      <c r="AG171" s="1080"/>
      <c r="AH171" s="1080"/>
      <c r="AI171" s="1080"/>
      <c r="AJ171" s="1080"/>
      <c r="AK171" s="1080"/>
      <c r="AL171" s="1080"/>
      <c r="AM171" s="1080"/>
      <c r="AN171" s="1080"/>
      <c r="AO171" s="1080"/>
      <c r="AP171" s="1080"/>
      <c r="AQ171" s="1080"/>
      <c r="AR171" s="1080"/>
      <c r="AS171" s="1080"/>
      <c r="AT171" s="1080"/>
      <c r="AU171" s="1071"/>
    </row>
    <row r="172" spans="13:47" x14ac:dyDescent="0.2">
      <c r="M172" s="1081"/>
      <c r="N172" s="1081"/>
      <c r="O172" s="593"/>
      <c r="P172" s="1080"/>
      <c r="Q172" s="1080"/>
      <c r="R172" s="1080"/>
      <c r="S172" s="1080"/>
      <c r="T172" s="1080"/>
      <c r="U172" s="1080"/>
      <c r="V172" s="1080"/>
      <c r="W172" s="1080"/>
      <c r="X172" s="1080"/>
      <c r="Y172" s="1080"/>
      <c r="Z172" s="1080"/>
      <c r="AA172" s="1080"/>
      <c r="AB172" s="1080"/>
      <c r="AC172" s="1080"/>
      <c r="AD172" s="1080"/>
      <c r="AE172" s="1080"/>
      <c r="AF172" s="1080"/>
      <c r="AG172" s="1080"/>
      <c r="AH172" s="1080"/>
      <c r="AI172" s="1080"/>
      <c r="AJ172" s="1080"/>
      <c r="AK172" s="1080"/>
      <c r="AL172" s="1080"/>
      <c r="AM172" s="1080"/>
      <c r="AN172" s="1080"/>
      <c r="AO172" s="1080"/>
      <c r="AP172" s="1080"/>
      <c r="AQ172" s="1080"/>
      <c r="AR172" s="1080"/>
      <c r="AS172" s="1080"/>
      <c r="AT172" s="1080"/>
      <c r="AU172" s="1072"/>
    </row>
    <row r="173" spans="13:47" x14ac:dyDescent="0.2">
      <c r="M173" s="1081"/>
      <c r="N173" s="1081"/>
      <c r="O173" s="593"/>
      <c r="P173" s="1080"/>
      <c r="Q173" s="1080"/>
      <c r="R173" s="1080"/>
      <c r="S173" s="1080"/>
      <c r="T173" s="1080"/>
      <c r="U173" s="1080"/>
      <c r="V173" s="1072"/>
      <c r="W173" s="1080"/>
      <c r="X173" s="1080"/>
      <c r="Y173" s="1080"/>
      <c r="Z173" s="1080"/>
      <c r="AA173" s="1072"/>
      <c r="AB173" s="1080"/>
      <c r="AC173" s="1080"/>
      <c r="AD173" s="1080"/>
      <c r="AE173" s="1080"/>
      <c r="AF173" s="1080"/>
      <c r="AG173" s="1080"/>
      <c r="AH173" s="1080"/>
      <c r="AI173" s="1080"/>
      <c r="AJ173" s="1080"/>
      <c r="AK173" s="1080"/>
      <c r="AL173" s="1080"/>
      <c r="AM173" s="1080"/>
      <c r="AN173" s="1080"/>
      <c r="AO173" s="1080"/>
      <c r="AP173" s="1080"/>
      <c r="AQ173" s="1080"/>
      <c r="AR173" s="1080"/>
      <c r="AS173" s="1080"/>
      <c r="AT173" s="1080"/>
      <c r="AU173" s="584"/>
    </row>
    <row r="174" spans="13:47" x14ac:dyDescent="0.2">
      <c r="M174" s="604"/>
      <c r="N174" s="604"/>
      <c r="O174" s="593"/>
      <c r="P174" s="1072"/>
      <c r="Q174" s="1072"/>
      <c r="R174" s="1072"/>
      <c r="S174" s="1072"/>
      <c r="T174" s="1072"/>
      <c r="U174" s="1072"/>
      <c r="V174" s="1072"/>
      <c r="W174" s="1072"/>
      <c r="X174" s="1072"/>
      <c r="Y174" s="1072"/>
      <c r="Z174" s="1072"/>
      <c r="AA174" s="1072"/>
      <c r="AB174" s="1072"/>
      <c r="AC174" s="1072"/>
      <c r="AD174" s="1072"/>
      <c r="AE174" s="1072"/>
      <c r="AF174" s="1072"/>
      <c r="AG174" s="1072"/>
      <c r="AH174" s="1072"/>
      <c r="AI174" s="1072"/>
      <c r="AJ174" s="1072"/>
      <c r="AK174" s="1072"/>
      <c r="AL174" s="1072"/>
      <c r="AM174" s="1072"/>
      <c r="AN174" s="1072"/>
      <c r="AO174" s="1072"/>
      <c r="AP174" s="1072"/>
      <c r="AQ174" s="1072"/>
      <c r="AR174" s="1072"/>
      <c r="AS174" s="1072"/>
      <c r="AT174" s="1072"/>
      <c r="AU174" s="1071"/>
    </row>
    <row r="175" spans="13:47" x14ac:dyDescent="0.2">
      <c r="M175" s="604"/>
      <c r="N175" s="604"/>
      <c r="O175" s="604"/>
      <c r="P175" s="1072"/>
      <c r="Q175" s="1072"/>
      <c r="R175" s="1072"/>
      <c r="S175" s="1072"/>
      <c r="T175" s="1072"/>
      <c r="U175" s="1072"/>
      <c r="V175" s="1072"/>
      <c r="W175" s="1072"/>
      <c r="X175" s="1072"/>
      <c r="Y175" s="1072"/>
      <c r="Z175" s="1072"/>
      <c r="AA175" s="1072"/>
      <c r="AB175" s="1072"/>
      <c r="AC175" s="1072"/>
      <c r="AD175" s="1072"/>
      <c r="AE175" s="1072"/>
      <c r="AF175" s="1072"/>
      <c r="AG175" s="1072"/>
      <c r="AH175" s="1072"/>
      <c r="AI175" s="1072"/>
      <c r="AJ175" s="1072"/>
      <c r="AK175" s="1072"/>
      <c r="AL175" s="1072"/>
      <c r="AM175" s="1072"/>
      <c r="AN175" s="1072"/>
      <c r="AO175" s="1072"/>
      <c r="AP175" s="1072"/>
      <c r="AQ175" s="1072"/>
      <c r="AR175" s="1072"/>
      <c r="AS175" s="1072"/>
      <c r="AT175" s="1072"/>
      <c r="AU175" s="1070"/>
    </row>
    <row r="176" spans="13:47" x14ac:dyDescent="0.2">
      <c r="M176" s="604"/>
      <c r="N176" s="604"/>
      <c r="O176" s="604"/>
      <c r="P176" s="1072"/>
      <c r="Q176" s="1072"/>
      <c r="R176" s="1072"/>
      <c r="S176" s="1072"/>
      <c r="T176" s="1072"/>
      <c r="U176" s="1072"/>
      <c r="W176" s="1072"/>
      <c r="X176" s="1072"/>
      <c r="Y176" s="1072"/>
      <c r="Z176" s="1072"/>
      <c r="AB176" s="1072"/>
      <c r="AC176" s="1072"/>
      <c r="AD176" s="1072"/>
      <c r="AE176" s="1072"/>
      <c r="AF176" s="1072"/>
      <c r="AG176" s="1072"/>
      <c r="AH176" s="1072"/>
      <c r="AI176" s="1072"/>
      <c r="AJ176" s="1072"/>
      <c r="AK176" s="1072"/>
      <c r="AL176" s="1072"/>
      <c r="AM176" s="1072"/>
      <c r="AN176" s="1072"/>
      <c r="AO176" s="1072"/>
      <c r="AP176" s="1072"/>
      <c r="AQ176" s="1072"/>
      <c r="AR176" s="1072"/>
      <c r="AS176" s="1072"/>
      <c r="AT176" s="1072"/>
    </row>
    <row r="177" spans="13:47" x14ac:dyDescent="0.2">
      <c r="N177" s="1079"/>
      <c r="V177" s="1071"/>
      <c r="AA177" s="1071"/>
    </row>
    <row r="178" spans="13:47" x14ac:dyDescent="0.2">
      <c r="O178" s="1076"/>
      <c r="P178" s="1071"/>
      <c r="Q178" s="1071"/>
      <c r="R178" s="1071"/>
      <c r="S178" s="1071"/>
      <c r="T178" s="1071"/>
      <c r="U178" s="1071"/>
      <c r="V178" s="1071"/>
      <c r="W178" s="1071"/>
      <c r="X178" s="1071"/>
      <c r="Y178" s="1071"/>
      <c r="Z178" s="1071"/>
      <c r="AA178" s="1071"/>
      <c r="AB178" s="1071"/>
      <c r="AC178" s="1071"/>
      <c r="AD178" s="1071"/>
      <c r="AE178" s="1071"/>
      <c r="AF178" s="1071"/>
      <c r="AG178" s="1071"/>
      <c r="AH178" s="1071"/>
      <c r="AI178" s="1071"/>
      <c r="AJ178" s="1071"/>
      <c r="AK178" s="1071"/>
      <c r="AL178" s="1071"/>
      <c r="AM178" s="1071"/>
      <c r="AN178" s="1071"/>
      <c r="AO178" s="1071"/>
      <c r="AP178" s="1071"/>
      <c r="AQ178" s="1071"/>
      <c r="AR178" s="1071"/>
      <c r="AS178" s="1071"/>
      <c r="AT178" s="1071"/>
    </row>
    <row r="179" spans="13:47" x14ac:dyDescent="0.2">
      <c r="O179" s="1078"/>
      <c r="P179" s="1071"/>
      <c r="Q179" s="1071"/>
      <c r="R179" s="1071"/>
      <c r="S179" s="1071"/>
      <c r="T179" s="1071"/>
      <c r="U179" s="1071"/>
      <c r="V179" s="1071"/>
      <c r="W179" s="1071"/>
      <c r="X179" s="1071"/>
      <c r="Y179" s="1071"/>
      <c r="Z179" s="1071"/>
      <c r="AA179" s="1071"/>
      <c r="AB179" s="1071"/>
      <c r="AC179" s="1071"/>
      <c r="AD179" s="1071"/>
      <c r="AE179" s="1071"/>
      <c r="AF179" s="1071"/>
      <c r="AG179" s="1071"/>
      <c r="AH179" s="1071"/>
      <c r="AI179" s="1071"/>
      <c r="AJ179" s="1071"/>
      <c r="AK179" s="1071"/>
      <c r="AL179" s="1071"/>
      <c r="AM179" s="1071"/>
      <c r="AN179" s="1071"/>
      <c r="AO179" s="1071"/>
      <c r="AP179" s="1071"/>
      <c r="AQ179" s="1071"/>
      <c r="AR179" s="1071"/>
      <c r="AS179" s="1071"/>
      <c r="AT179" s="1071"/>
    </row>
    <row r="180" spans="13:47" x14ac:dyDescent="0.2">
      <c r="O180" s="1076"/>
      <c r="P180" s="1071"/>
      <c r="Q180" s="1071"/>
      <c r="R180" s="1071"/>
      <c r="S180" s="1071"/>
      <c r="T180" s="1071"/>
      <c r="U180" s="1071"/>
      <c r="V180" s="1071"/>
      <c r="W180" s="1071"/>
      <c r="X180" s="1071"/>
      <c r="Y180" s="1071"/>
      <c r="Z180" s="1071"/>
      <c r="AA180" s="1071"/>
      <c r="AB180" s="1071"/>
      <c r="AC180" s="1071"/>
      <c r="AD180" s="1071"/>
      <c r="AE180" s="1071"/>
      <c r="AF180" s="1071"/>
      <c r="AG180" s="1071"/>
      <c r="AH180" s="1071"/>
      <c r="AI180" s="1071"/>
      <c r="AJ180" s="1071"/>
      <c r="AK180" s="1071"/>
      <c r="AL180" s="1071"/>
      <c r="AM180" s="1071"/>
      <c r="AN180" s="1071"/>
      <c r="AO180" s="1071"/>
      <c r="AP180" s="1071"/>
      <c r="AQ180" s="1071"/>
      <c r="AR180" s="1071"/>
      <c r="AS180" s="1071"/>
      <c r="AT180" s="1071"/>
    </row>
    <row r="181" spans="13:47" x14ac:dyDescent="0.2">
      <c r="O181" s="1076"/>
      <c r="P181" s="1071"/>
      <c r="Q181" s="1071"/>
      <c r="R181" s="1071"/>
      <c r="S181" s="1071"/>
      <c r="T181" s="1071"/>
      <c r="U181" s="1071"/>
      <c r="V181" s="1071"/>
      <c r="W181" s="1071"/>
      <c r="X181" s="1071"/>
      <c r="Y181" s="1071"/>
      <c r="Z181" s="1071"/>
      <c r="AA181" s="1071"/>
      <c r="AB181" s="1071"/>
      <c r="AC181" s="1071"/>
      <c r="AD181" s="1071"/>
      <c r="AE181" s="1071"/>
      <c r="AF181" s="1071"/>
      <c r="AG181" s="1071"/>
      <c r="AH181" s="1071"/>
      <c r="AI181" s="1071"/>
      <c r="AJ181" s="1071"/>
      <c r="AK181" s="1071"/>
      <c r="AL181" s="1071"/>
      <c r="AM181" s="1071"/>
      <c r="AN181" s="1071"/>
      <c r="AO181" s="1071"/>
      <c r="AP181" s="1071"/>
      <c r="AQ181" s="1071"/>
      <c r="AR181" s="1071"/>
      <c r="AS181" s="1071"/>
      <c r="AT181" s="1071"/>
    </row>
    <row r="182" spans="13:47" x14ac:dyDescent="0.2">
      <c r="N182" s="1077"/>
      <c r="O182" s="1076"/>
      <c r="P182" s="1071"/>
      <c r="Q182" s="1071"/>
      <c r="R182" s="1071"/>
      <c r="S182" s="1071"/>
      <c r="T182" s="1071"/>
      <c r="U182" s="1071"/>
      <c r="V182" s="1072"/>
      <c r="W182" s="1071"/>
      <c r="X182" s="1071"/>
      <c r="Y182" s="1071"/>
      <c r="Z182" s="1071"/>
      <c r="AA182" s="1072"/>
      <c r="AB182" s="1071"/>
      <c r="AC182" s="1071"/>
      <c r="AD182" s="1071"/>
      <c r="AE182" s="1071"/>
      <c r="AF182" s="1071"/>
      <c r="AG182" s="1071"/>
      <c r="AH182" s="1071"/>
      <c r="AI182" s="1071"/>
      <c r="AJ182" s="1071"/>
      <c r="AK182" s="1071"/>
      <c r="AL182" s="1071"/>
      <c r="AM182" s="1071"/>
      <c r="AN182" s="1071"/>
      <c r="AO182" s="1071"/>
      <c r="AP182" s="1071"/>
      <c r="AQ182" s="1071"/>
      <c r="AR182" s="1071"/>
      <c r="AS182" s="1071"/>
      <c r="AT182" s="1071"/>
      <c r="AU182" s="1072"/>
    </row>
    <row r="183" spans="13:47" x14ac:dyDescent="0.2">
      <c r="M183" s="604"/>
      <c r="N183" s="604"/>
      <c r="O183" s="1075"/>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1072"/>
      <c r="AK183" s="1072"/>
      <c r="AL183" s="1072"/>
      <c r="AM183" s="1072"/>
      <c r="AN183" s="1072"/>
      <c r="AO183" s="1072"/>
      <c r="AP183" s="1072"/>
      <c r="AQ183" s="1072"/>
      <c r="AR183" s="1072"/>
      <c r="AS183" s="1072"/>
      <c r="AT183" s="1072"/>
      <c r="AU183" s="1071"/>
    </row>
    <row r="184" spans="13:47" x14ac:dyDescent="0.2">
      <c r="M184" s="604"/>
      <c r="N184" s="604"/>
      <c r="O184" s="1074"/>
      <c r="P184" s="1072"/>
      <c r="Q184" s="1072"/>
      <c r="R184" s="1072"/>
      <c r="S184" s="1072"/>
      <c r="T184" s="1072"/>
      <c r="U184" s="1072"/>
      <c r="W184" s="1072"/>
      <c r="X184" s="1072"/>
      <c r="Y184" s="1072"/>
      <c r="Z184" s="1072"/>
      <c r="AB184" s="1072"/>
      <c r="AC184" s="1072"/>
      <c r="AD184" s="1072"/>
      <c r="AE184" s="1072"/>
      <c r="AF184" s="1072"/>
      <c r="AG184" s="1072"/>
      <c r="AH184" s="1072"/>
      <c r="AI184" s="1072"/>
      <c r="AJ184" s="1072"/>
      <c r="AK184" s="1072"/>
      <c r="AL184" s="1072"/>
      <c r="AM184" s="1072"/>
      <c r="AN184" s="1072"/>
      <c r="AO184" s="1072"/>
      <c r="AP184" s="1072"/>
      <c r="AQ184" s="1072"/>
      <c r="AR184" s="1072"/>
      <c r="AS184" s="1072"/>
      <c r="AT184" s="1072"/>
      <c r="AU184" s="1071"/>
    </row>
    <row r="185" spans="13:47" x14ac:dyDescent="0.2">
      <c r="V185" s="1072"/>
      <c r="AA185" s="1072"/>
      <c r="AU185" s="1071"/>
    </row>
    <row r="186" spans="13:47" x14ac:dyDescent="0.2">
      <c r="O186" s="604"/>
      <c r="P186" s="1072"/>
      <c r="Q186" s="1072"/>
      <c r="R186" s="1072"/>
      <c r="S186" s="1072"/>
      <c r="T186" s="1072"/>
      <c r="U186" s="1072"/>
      <c r="V186" s="1072"/>
      <c r="W186" s="1072"/>
      <c r="X186" s="1072"/>
      <c r="Y186" s="1072"/>
      <c r="Z186" s="1072"/>
      <c r="AA186" s="1072"/>
      <c r="AB186" s="1072"/>
      <c r="AC186" s="1072"/>
      <c r="AD186" s="1072"/>
      <c r="AE186" s="1072"/>
      <c r="AF186" s="1072"/>
      <c r="AG186" s="1072"/>
      <c r="AH186" s="1072"/>
      <c r="AI186" s="1072"/>
      <c r="AJ186" s="1072"/>
      <c r="AK186" s="1072"/>
      <c r="AL186" s="1072"/>
      <c r="AM186" s="1072"/>
      <c r="AN186" s="1072"/>
      <c r="AO186" s="1072"/>
      <c r="AP186" s="1072"/>
      <c r="AQ186" s="1072"/>
      <c r="AR186" s="1072"/>
      <c r="AS186" s="1072"/>
      <c r="AT186" s="1072"/>
      <c r="AU186" s="1071"/>
    </row>
    <row r="187" spans="13:47" x14ac:dyDescent="0.2">
      <c r="M187" s="604"/>
      <c r="N187" s="604"/>
      <c r="O187" s="1073"/>
      <c r="P187" s="1072"/>
      <c r="Q187" s="1072"/>
      <c r="R187" s="1072"/>
      <c r="S187" s="1072"/>
      <c r="T187" s="1072"/>
      <c r="U187" s="1072"/>
      <c r="W187" s="1072"/>
      <c r="X187" s="1072"/>
      <c r="Y187" s="1072"/>
      <c r="Z187" s="1072"/>
      <c r="AB187" s="1072"/>
      <c r="AC187" s="1072"/>
      <c r="AD187" s="1072"/>
      <c r="AE187" s="1072"/>
      <c r="AF187" s="1072"/>
      <c r="AG187" s="1072"/>
      <c r="AH187" s="1072"/>
      <c r="AI187" s="1072"/>
      <c r="AJ187" s="1072"/>
      <c r="AK187" s="1072"/>
      <c r="AL187" s="1072"/>
      <c r="AM187" s="1072"/>
      <c r="AN187" s="1072"/>
      <c r="AO187" s="1072"/>
      <c r="AP187" s="1072"/>
      <c r="AQ187" s="1072"/>
      <c r="AR187" s="1072"/>
      <c r="AS187" s="1072"/>
      <c r="AT187" s="1072"/>
      <c r="AU187" s="1072"/>
    </row>
    <row r="188" spans="13:47" x14ac:dyDescent="0.2">
      <c r="AU188" s="1072"/>
    </row>
    <row r="189" spans="13:47" x14ac:dyDescent="0.2">
      <c r="AU189" s="1072"/>
    </row>
    <row r="190" spans="13:47" x14ac:dyDescent="0.2">
      <c r="AU190" s="1071"/>
    </row>
    <row r="191" spans="13:47" x14ac:dyDescent="0.2">
      <c r="AU191" s="1072"/>
    </row>
    <row r="192" spans="13:47" x14ac:dyDescent="0.2">
      <c r="AU192" s="1072"/>
    </row>
    <row r="193" spans="47:47" x14ac:dyDescent="0.2">
      <c r="AU193" s="1071"/>
    </row>
    <row r="194" spans="47:47" x14ac:dyDescent="0.2">
      <c r="AU194" s="1072"/>
    </row>
    <row r="195" spans="47:47" x14ac:dyDescent="0.2">
      <c r="AU195" s="1071"/>
    </row>
    <row r="196" spans="47:47" x14ac:dyDescent="0.2">
      <c r="AU196" s="1071"/>
    </row>
    <row r="197" spans="47:47" x14ac:dyDescent="0.2">
      <c r="AU197" s="1072"/>
    </row>
    <row r="198" spans="47:47" x14ac:dyDescent="0.2">
      <c r="AU198" s="584"/>
    </row>
    <row r="199" spans="47:47" x14ac:dyDescent="0.2">
      <c r="AU199" s="1071"/>
    </row>
    <row r="200" spans="47:47" x14ac:dyDescent="0.2">
      <c r="AU200" s="1070"/>
    </row>
  </sheetData>
  <mergeCells count="8">
    <mergeCell ref="AG3:AJ3"/>
    <mergeCell ref="AL3:AO3"/>
    <mergeCell ref="AQ3:AT3"/>
    <mergeCell ref="H3:K3"/>
    <mergeCell ref="M3:P3"/>
    <mergeCell ref="R3:U3"/>
    <mergeCell ref="W3:Z3"/>
    <mergeCell ref="AB3:AE3"/>
  </mergeCells>
  <pageMargins left="0.25" right="0.25" top="0.75" bottom="0.75" header="0.3" footer="0.3"/>
  <pageSetup scale="4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BEDA9-8A85-4942-9CB7-79DA753E31D7}">
  <sheetPr>
    <pageSetUpPr fitToPage="1"/>
  </sheetPr>
  <dimension ref="B2:K53"/>
  <sheetViews>
    <sheetView zoomScale="90" zoomScaleNormal="90" workbookViewId="0">
      <selection activeCell="J13" sqref="J13"/>
    </sheetView>
  </sheetViews>
  <sheetFormatPr defaultRowHeight="12.75" x14ac:dyDescent="0.2"/>
  <cols>
    <col min="1" max="2" width="9.140625" style="456"/>
    <col min="3" max="3" width="0" style="456" hidden="1" customWidth="1"/>
    <col min="4" max="4" width="10" style="456" bestFit="1" customWidth="1"/>
    <col min="5" max="5" width="0" style="456" hidden="1" customWidth="1"/>
    <col min="6" max="6" width="9.140625" style="456"/>
    <col min="7" max="7" width="0" style="456" hidden="1" customWidth="1"/>
    <col min="8" max="8" width="40.28515625" style="456" bestFit="1" customWidth="1"/>
    <col min="9" max="10" width="9.140625" style="456"/>
    <col min="11" max="11" width="10.5703125" style="456" bestFit="1" customWidth="1"/>
    <col min="12" max="234" width="9.140625" style="456"/>
    <col min="235" max="235" width="25.5703125" style="456" customWidth="1"/>
    <col min="236" max="236" width="17.140625" style="456" customWidth="1"/>
    <col min="237" max="237" width="14" style="456" customWidth="1"/>
    <col min="238" max="238" width="13.7109375" style="456" customWidth="1"/>
    <col min="239" max="239" width="16.85546875" style="456" customWidth="1"/>
    <col min="240" max="490" width="9.140625" style="456"/>
    <col min="491" max="491" width="25.5703125" style="456" customWidth="1"/>
    <col min="492" max="492" width="17.140625" style="456" customWidth="1"/>
    <col min="493" max="493" width="14" style="456" customWidth="1"/>
    <col min="494" max="494" width="13.7109375" style="456" customWidth="1"/>
    <col min="495" max="495" width="16.85546875" style="456" customWidth="1"/>
    <col min="496" max="746" width="9.140625" style="456"/>
    <col min="747" max="747" width="25.5703125" style="456" customWidth="1"/>
    <col min="748" max="748" width="17.140625" style="456" customWidth="1"/>
    <col min="749" max="749" width="14" style="456" customWidth="1"/>
    <col min="750" max="750" width="13.7109375" style="456" customWidth="1"/>
    <col min="751" max="751" width="16.85546875" style="456" customWidth="1"/>
    <col min="752" max="1002" width="9.140625" style="456"/>
    <col min="1003" max="1003" width="25.5703125" style="456" customWidth="1"/>
    <col min="1004" max="1004" width="17.140625" style="456" customWidth="1"/>
    <col min="1005" max="1005" width="14" style="456" customWidth="1"/>
    <col min="1006" max="1006" width="13.7109375" style="456" customWidth="1"/>
    <col min="1007" max="1007" width="16.85546875" style="456" customWidth="1"/>
    <col min="1008" max="1258" width="9.140625" style="456"/>
    <col min="1259" max="1259" width="25.5703125" style="456" customWidth="1"/>
    <col min="1260" max="1260" width="17.140625" style="456" customWidth="1"/>
    <col min="1261" max="1261" width="14" style="456" customWidth="1"/>
    <col min="1262" max="1262" width="13.7109375" style="456" customWidth="1"/>
    <col min="1263" max="1263" width="16.85546875" style="456" customWidth="1"/>
    <col min="1264" max="1514" width="9.140625" style="456"/>
    <col min="1515" max="1515" width="25.5703125" style="456" customWidth="1"/>
    <col min="1516" max="1516" width="17.140625" style="456" customWidth="1"/>
    <col min="1517" max="1517" width="14" style="456" customWidth="1"/>
    <col min="1518" max="1518" width="13.7109375" style="456" customWidth="1"/>
    <col min="1519" max="1519" width="16.85546875" style="456" customWidth="1"/>
    <col min="1520" max="1770" width="9.140625" style="456"/>
    <col min="1771" max="1771" width="25.5703125" style="456" customWidth="1"/>
    <col min="1772" max="1772" width="17.140625" style="456" customWidth="1"/>
    <col min="1773" max="1773" width="14" style="456" customWidth="1"/>
    <col min="1774" max="1774" width="13.7109375" style="456" customWidth="1"/>
    <col min="1775" max="1775" width="16.85546875" style="456" customWidth="1"/>
    <col min="1776" max="2026" width="9.140625" style="456"/>
    <col min="2027" max="2027" width="25.5703125" style="456" customWidth="1"/>
    <col min="2028" max="2028" width="17.140625" style="456" customWidth="1"/>
    <col min="2029" max="2029" width="14" style="456" customWidth="1"/>
    <col min="2030" max="2030" width="13.7109375" style="456" customWidth="1"/>
    <col min="2031" max="2031" width="16.85546875" style="456" customWidth="1"/>
    <col min="2032" max="2282" width="9.140625" style="456"/>
    <col min="2283" max="2283" width="25.5703125" style="456" customWidth="1"/>
    <col min="2284" max="2284" width="17.140625" style="456" customWidth="1"/>
    <col min="2285" max="2285" width="14" style="456" customWidth="1"/>
    <col min="2286" max="2286" width="13.7109375" style="456" customWidth="1"/>
    <col min="2287" max="2287" width="16.85546875" style="456" customWidth="1"/>
    <col min="2288" max="2538" width="9.140625" style="456"/>
    <col min="2539" max="2539" width="25.5703125" style="456" customWidth="1"/>
    <col min="2540" max="2540" width="17.140625" style="456" customWidth="1"/>
    <col min="2541" max="2541" width="14" style="456" customWidth="1"/>
    <col min="2542" max="2542" width="13.7109375" style="456" customWidth="1"/>
    <col min="2543" max="2543" width="16.85546875" style="456" customWidth="1"/>
    <col min="2544" max="2794" width="9.140625" style="456"/>
    <col min="2795" max="2795" width="25.5703125" style="456" customWidth="1"/>
    <col min="2796" max="2796" width="17.140625" style="456" customWidth="1"/>
    <col min="2797" max="2797" width="14" style="456" customWidth="1"/>
    <col min="2798" max="2798" width="13.7109375" style="456" customWidth="1"/>
    <col min="2799" max="2799" width="16.85546875" style="456" customWidth="1"/>
    <col min="2800" max="3050" width="9.140625" style="456"/>
    <col min="3051" max="3051" width="25.5703125" style="456" customWidth="1"/>
    <col min="3052" max="3052" width="17.140625" style="456" customWidth="1"/>
    <col min="3053" max="3053" width="14" style="456" customWidth="1"/>
    <col min="3054" max="3054" width="13.7109375" style="456" customWidth="1"/>
    <col min="3055" max="3055" width="16.85546875" style="456" customWidth="1"/>
    <col min="3056" max="3306" width="9.140625" style="456"/>
    <col min="3307" max="3307" width="25.5703125" style="456" customWidth="1"/>
    <col min="3308" max="3308" width="17.140625" style="456" customWidth="1"/>
    <col min="3309" max="3309" width="14" style="456" customWidth="1"/>
    <col min="3310" max="3310" width="13.7109375" style="456" customWidth="1"/>
    <col min="3311" max="3311" width="16.85546875" style="456" customWidth="1"/>
    <col min="3312" max="3562" width="9.140625" style="456"/>
    <col min="3563" max="3563" width="25.5703125" style="456" customWidth="1"/>
    <col min="3564" max="3564" width="17.140625" style="456" customWidth="1"/>
    <col min="3565" max="3565" width="14" style="456" customWidth="1"/>
    <col min="3566" max="3566" width="13.7109375" style="456" customWidth="1"/>
    <col min="3567" max="3567" width="16.85546875" style="456" customWidth="1"/>
    <col min="3568" max="3818" width="9.140625" style="456"/>
    <col min="3819" max="3819" width="25.5703125" style="456" customWidth="1"/>
    <col min="3820" max="3820" width="17.140625" style="456" customWidth="1"/>
    <col min="3821" max="3821" width="14" style="456" customWidth="1"/>
    <col min="3822" max="3822" width="13.7109375" style="456" customWidth="1"/>
    <col min="3823" max="3823" width="16.85546875" style="456" customWidth="1"/>
    <col min="3824" max="4074" width="9.140625" style="456"/>
    <col min="4075" max="4075" width="25.5703125" style="456" customWidth="1"/>
    <col min="4076" max="4076" width="17.140625" style="456" customWidth="1"/>
    <col min="4077" max="4077" width="14" style="456" customWidth="1"/>
    <col min="4078" max="4078" width="13.7109375" style="456" customWidth="1"/>
    <col min="4079" max="4079" width="16.85546875" style="456" customWidth="1"/>
    <col min="4080" max="4330" width="9.140625" style="456"/>
    <col min="4331" max="4331" width="25.5703125" style="456" customWidth="1"/>
    <col min="4332" max="4332" width="17.140625" style="456" customWidth="1"/>
    <col min="4333" max="4333" width="14" style="456" customWidth="1"/>
    <col min="4334" max="4334" width="13.7109375" style="456" customWidth="1"/>
    <col min="4335" max="4335" width="16.85546875" style="456" customWidth="1"/>
    <col min="4336" max="4586" width="9.140625" style="456"/>
    <col min="4587" max="4587" width="25.5703125" style="456" customWidth="1"/>
    <col min="4588" max="4588" width="17.140625" style="456" customWidth="1"/>
    <col min="4589" max="4589" width="14" style="456" customWidth="1"/>
    <col min="4590" max="4590" width="13.7109375" style="456" customWidth="1"/>
    <col min="4591" max="4591" width="16.85546875" style="456" customWidth="1"/>
    <col min="4592" max="4842" width="9.140625" style="456"/>
    <col min="4843" max="4843" width="25.5703125" style="456" customWidth="1"/>
    <col min="4844" max="4844" width="17.140625" style="456" customWidth="1"/>
    <col min="4845" max="4845" width="14" style="456" customWidth="1"/>
    <col min="4846" max="4846" width="13.7109375" style="456" customWidth="1"/>
    <col min="4847" max="4847" width="16.85546875" style="456" customWidth="1"/>
    <col min="4848" max="5098" width="9.140625" style="456"/>
    <col min="5099" max="5099" width="25.5703125" style="456" customWidth="1"/>
    <col min="5100" max="5100" width="17.140625" style="456" customWidth="1"/>
    <col min="5101" max="5101" width="14" style="456" customWidth="1"/>
    <col min="5102" max="5102" width="13.7109375" style="456" customWidth="1"/>
    <col min="5103" max="5103" width="16.85546875" style="456" customWidth="1"/>
    <col min="5104" max="5354" width="9.140625" style="456"/>
    <col min="5355" max="5355" width="25.5703125" style="456" customWidth="1"/>
    <col min="5356" max="5356" width="17.140625" style="456" customWidth="1"/>
    <col min="5357" max="5357" width="14" style="456" customWidth="1"/>
    <col min="5358" max="5358" width="13.7109375" style="456" customWidth="1"/>
    <col min="5359" max="5359" width="16.85546875" style="456" customWidth="1"/>
    <col min="5360" max="5610" width="9.140625" style="456"/>
    <col min="5611" max="5611" width="25.5703125" style="456" customWidth="1"/>
    <col min="5612" max="5612" width="17.140625" style="456" customWidth="1"/>
    <col min="5613" max="5613" width="14" style="456" customWidth="1"/>
    <col min="5614" max="5614" width="13.7109375" style="456" customWidth="1"/>
    <col min="5615" max="5615" width="16.85546875" style="456" customWidth="1"/>
    <col min="5616" max="5866" width="9.140625" style="456"/>
    <col min="5867" max="5867" width="25.5703125" style="456" customWidth="1"/>
    <col min="5868" max="5868" width="17.140625" style="456" customWidth="1"/>
    <col min="5869" max="5869" width="14" style="456" customWidth="1"/>
    <col min="5870" max="5870" width="13.7109375" style="456" customWidth="1"/>
    <col min="5871" max="5871" width="16.85546875" style="456" customWidth="1"/>
    <col min="5872" max="6122" width="9.140625" style="456"/>
    <col min="6123" max="6123" width="25.5703125" style="456" customWidth="1"/>
    <col min="6124" max="6124" width="17.140625" style="456" customWidth="1"/>
    <col min="6125" max="6125" width="14" style="456" customWidth="1"/>
    <col min="6126" max="6126" width="13.7109375" style="456" customWidth="1"/>
    <col min="6127" max="6127" width="16.85546875" style="456" customWidth="1"/>
    <col min="6128" max="6378" width="9.140625" style="456"/>
    <col min="6379" max="6379" width="25.5703125" style="456" customWidth="1"/>
    <col min="6380" max="6380" width="17.140625" style="456" customWidth="1"/>
    <col min="6381" max="6381" width="14" style="456" customWidth="1"/>
    <col min="6382" max="6382" width="13.7109375" style="456" customWidth="1"/>
    <col min="6383" max="6383" width="16.85546875" style="456" customWidth="1"/>
    <col min="6384" max="6634" width="9.140625" style="456"/>
    <col min="6635" max="6635" width="25.5703125" style="456" customWidth="1"/>
    <col min="6636" max="6636" width="17.140625" style="456" customWidth="1"/>
    <col min="6637" max="6637" width="14" style="456" customWidth="1"/>
    <col min="6638" max="6638" width="13.7109375" style="456" customWidth="1"/>
    <col min="6639" max="6639" width="16.85546875" style="456" customWidth="1"/>
    <col min="6640" max="6890" width="9.140625" style="456"/>
    <col min="6891" max="6891" width="25.5703125" style="456" customWidth="1"/>
    <col min="6892" max="6892" width="17.140625" style="456" customWidth="1"/>
    <col min="6893" max="6893" width="14" style="456" customWidth="1"/>
    <col min="6894" max="6894" width="13.7109375" style="456" customWidth="1"/>
    <col min="6895" max="6895" width="16.85546875" style="456" customWidth="1"/>
    <col min="6896" max="7146" width="9.140625" style="456"/>
    <col min="7147" max="7147" width="25.5703125" style="456" customWidth="1"/>
    <col min="7148" max="7148" width="17.140625" style="456" customWidth="1"/>
    <col min="7149" max="7149" width="14" style="456" customWidth="1"/>
    <col min="7150" max="7150" width="13.7109375" style="456" customWidth="1"/>
    <col min="7151" max="7151" width="16.85546875" style="456" customWidth="1"/>
    <col min="7152" max="7402" width="9.140625" style="456"/>
    <col min="7403" max="7403" width="25.5703125" style="456" customWidth="1"/>
    <col min="7404" max="7404" width="17.140625" style="456" customWidth="1"/>
    <col min="7405" max="7405" width="14" style="456" customWidth="1"/>
    <col min="7406" max="7406" width="13.7109375" style="456" customWidth="1"/>
    <col min="7407" max="7407" width="16.85546875" style="456" customWidth="1"/>
    <col min="7408" max="7658" width="9.140625" style="456"/>
    <col min="7659" max="7659" width="25.5703125" style="456" customWidth="1"/>
    <col min="7660" max="7660" width="17.140625" style="456" customWidth="1"/>
    <col min="7661" max="7661" width="14" style="456" customWidth="1"/>
    <col min="7662" max="7662" width="13.7109375" style="456" customWidth="1"/>
    <col min="7663" max="7663" width="16.85546875" style="456" customWidth="1"/>
    <col min="7664" max="7914" width="9.140625" style="456"/>
    <col min="7915" max="7915" width="25.5703125" style="456" customWidth="1"/>
    <col min="7916" max="7916" width="17.140625" style="456" customWidth="1"/>
    <col min="7917" max="7917" width="14" style="456" customWidth="1"/>
    <col min="7918" max="7918" width="13.7109375" style="456" customWidth="1"/>
    <col min="7919" max="7919" width="16.85546875" style="456" customWidth="1"/>
    <col min="7920" max="8170" width="9.140625" style="456"/>
    <col min="8171" max="8171" width="25.5703125" style="456" customWidth="1"/>
    <col min="8172" max="8172" width="17.140625" style="456" customWidth="1"/>
    <col min="8173" max="8173" width="14" style="456" customWidth="1"/>
    <col min="8174" max="8174" width="13.7109375" style="456" customWidth="1"/>
    <col min="8175" max="8175" width="16.85546875" style="456" customWidth="1"/>
    <col min="8176" max="8426" width="9.140625" style="456"/>
    <col min="8427" max="8427" width="25.5703125" style="456" customWidth="1"/>
    <col min="8428" max="8428" width="17.140625" style="456" customWidth="1"/>
    <col min="8429" max="8429" width="14" style="456" customWidth="1"/>
    <col min="8430" max="8430" width="13.7109375" style="456" customWidth="1"/>
    <col min="8431" max="8431" width="16.85546875" style="456" customWidth="1"/>
    <col min="8432" max="8682" width="9.140625" style="456"/>
    <col min="8683" max="8683" width="25.5703125" style="456" customWidth="1"/>
    <col min="8684" max="8684" width="17.140625" style="456" customWidth="1"/>
    <col min="8685" max="8685" width="14" style="456" customWidth="1"/>
    <col min="8686" max="8686" width="13.7109375" style="456" customWidth="1"/>
    <col min="8687" max="8687" width="16.85546875" style="456" customWidth="1"/>
    <col min="8688" max="8938" width="9.140625" style="456"/>
    <col min="8939" max="8939" width="25.5703125" style="456" customWidth="1"/>
    <col min="8940" max="8940" width="17.140625" style="456" customWidth="1"/>
    <col min="8941" max="8941" width="14" style="456" customWidth="1"/>
    <col min="8942" max="8942" width="13.7109375" style="456" customWidth="1"/>
    <col min="8943" max="8943" width="16.85546875" style="456" customWidth="1"/>
    <col min="8944" max="9194" width="9.140625" style="456"/>
    <col min="9195" max="9195" width="25.5703125" style="456" customWidth="1"/>
    <col min="9196" max="9196" width="17.140625" style="456" customWidth="1"/>
    <col min="9197" max="9197" width="14" style="456" customWidth="1"/>
    <col min="9198" max="9198" width="13.7109375" style="456" customWidth="1"/>
    <col min="9199" max="9199" width="16.85546875" style="456" customWidth="1"/>
    <col min="9200" max="9450" width="9.140625" style="456"/>
    <col min="9451" max="9451" width="25.5703125" style="456" customWidth="1"/>
    <col min="9452" max="9452" width="17.140625" style="456" customWidth="1"/>
    <col min="9453" max="9453" width="14" style="456" customWidth="1"/>
    <col min="9454" max="9454" width="13.7109375" style="456" customWidth="1"/>
    <col min="9455" max="9455" width="16.85546875" style="456" customWidth="1"/>
    <col min="9456" max="9706" width="9.140625" style="456"/>
    <col min="9707" max="9707" width="25.5703125" style="456" customWidth="1"/>
    <col min="9708" max="9708" width="17.140625" style="456" customWidth="1"/>
    <col min="9709" max="9709" width="14" style="456" customWidth="1"/>
    <col min="9710" max="9710" width="13.7109375" style="456" customWidth="1"/>
    <col min="9711" max="9711" width="16.85546875" style="456" customWidth="1"/>
    <col min="9712" max="9962" width="9.140625" style="456"/>
    <col min="9963" max="9963" width="25.5703125" style="456" customWidth="1"/>
    <col min="9964" max="9964" width="17.140625" style="456" customWidth="1"/>
    <col min="9965" max="9965" width="14" style="456" customWidth="1"/>
    <col min="9966" max="9966" width="13.7109375" style="456" customWidth="1"/>
    <col min="9967" max="9967" width="16.85546875" style="456" customWidth="1"/>
    <col min="9968" max="10218" width="9.140625" style="456"/>
    <col min="10219" max="10219" width="25.5703125" style="456" customWidth="1"/>
    <col min="10220" max="10220" width="17.140625" style="456" customWidth="1"/>
    <col min="10221" max="10221" width="14" style="456" customWidth="1"/>
    <col min="10222" max="10222" width="13.7109375" style="456" customWidth="1"/>
    <col min="10223" max="10223" width="16.85546875" style="456" customWidth="1"/>
    <col min="10224" max="10474" width="9.140625" style="456"/>
    <col min="10475" max="10475" width="25.5703125" style="456" customWidth="1"/>
    <col min="10476" max="10476" width="17.140625" style="456" customWidth="1"/>
    <col min="10477" max="10477" width="14" style="456" customWidth="1"/>
    <col min="10478" max="10478" width="13.7109375" style="456" customWidth="1"/>
    <col min="10479" max="10479" width="16.85546875" style="456" customWidth="1"/>
    <col min="10480" max="10730" width="9.140625" style="456"/>
    <col min="10731" max="10731" width="25.5703125" style="456" customWidth="1"/>
    <col min="10732" max="10732" width="17.140625" style="456" customWidth="1"/>
    <col min="10733" max="10733" width="14" style="456" customWidth="1"/>
    <col min="10734" max="10734" width="13.7109375" style="456" customWidth="1"/>
    <col min="10735" max="10735" width="16.85546875" style="456" customWidth="1"/>
    <col min="10736" max="10986" width="9.140625" style="456"/>
    <col min="10987" max="10987" width="25.5703125" style="456" customWidth="1"/>
    <col min="10988" max="10988" width="17.140625" style="456" customWidth="1"/>
    <col min="10989" max="10989" width="14" style="456" customWidth="1"/>
    <col min="10990" max="10990" width="13.7109375" style="456" customWidth="1"/>
    <col min="10991" max="10991" width="16.85546875" style="456" customWidth="1"/>
    <col min="10992" max="11242" width="9.140625" style="456"/>
    <col min="11243" max="11243" width="25.5703125" style="456" customWidth="1"/>
    <col min="11244" max="11244" width="17.140625" style="456" customWidth="1"/>
    <col min="11245" max="11245" width="14" style="456" customWidth="1"/>
    <col min="11246" max="11246" width="13.7109375" style="456" customWidth="1"/>
    <col min="11247" max="11247" width="16.85546875" style="456" customWidth="1"/>
    <col min="11248" max="11498" width="9.140625" style="456"/>
    <col min="11499" max="11499" width="25.5703125" style="456" customWidth="1"/>
    <col min="11500" max="11500" width="17.140625" style="456" customWidth="1"/>
    <col min="11501" max="11501" width="14" style="456" customWidth="1"/>
    <col min="11502" max="11502" width="13.7109375" style="456" customWidth="1"/>
    <col min="11503" max="11503" width="16.85546875" style="456" customWidth="1"/>
    <col min="11504" max="11754" width="9.140625" style="456"/>
    <col min="11755" max="11755" width="25.5703125" style="456" customWidth="1"/>
    <col min="11756" max="11756" width="17.140625" style="456" customWidth="1"/>
    <col min="11757" max="11757" width="14" style="456" customWidth="1"/>
    <col min="11758" max="11758" width="13.7109375" style="456" customWidth="1"/>
    <col min="11759" max="11759" width="16.85546875" style="456" customWidth="1"/>
    <col min="11760" max="12010" width="9.140625" style="456"/>
    <col min="12011" max="12011" width="25.5703125" style="456" customWidth="1"/>
    <col min="12012" max="12012" width="17.140625" style="456" customWidth="1"/>
    <col min="12013" max="12013" width="14" style="456" customWidth="1"/>
    <col min="12014" max="12014" width="13.7109375" style="456" customWidth="1"/>
    <col min="12015" max="12015" width="16.85546875" style="456" customWidth="1"/>
    <col min="12016" max="12266" width="9.140625" style="456"/>
    <col min="12267" max="12267" width="25.5703125" style="456" customWidth="1"/>
    <col min="12268" max="12268" width="17.140625" style="456" customWidth="1"/>
    <col min="12269" max="12269" width="14" style="456" customWidth="1"/>
    <col min="12270" max="12270" width="13.7109375" style="456" customWidth="1"/>
    <col min="12271" max="12271" width="16.85546875" style="456" customWidth="1"/>
    <col min="12272" max="12522" width="9.140625" style="456"/>
    <col min="12523" max="12523" width="25.5703125" style="456" customWidth="1"/>
    <col min="12524" max="12524" width="17.140625" style="456" customWidth="1"/>
    <col min="12525" max="12525" width="14" style="456" customWidth="1"/>
    <col min="12526" max="12526" width="13.7109375" style="456" customWidth="1"/>
    <col min="12527" max="12527" width="16.85546875" style="456" customWidth="1"/>
    <col min="12528" max="12778" width="9.140625" style="456"/>
    <col min="12779" max="12779" width="25.5703125" style="456" customWidth="1"/>
    <col min="12780" max="12780" width="17.140625" style="456" customWidth="1"/>
    <col min="12781" max="12781" width="14" style="456" customWidth="1"/>
    <col min="12782" max="12782" width="13.7109375" style="456" customWidth="1"/>
    <col min="12783" max="12783" width="16.85546875" style="456" customWidth="1"/>
    <col min="12784" max="13034" width="9.140625" style="456"/>
    <col min="13035" max="13035" width="25.5703125" style="456" customWidth="1"/>
    <col min="13036" max="13036" width="17.140625" style="456" customWidth="1"/>
    <col min="13037" max="13037" width="14" style="456" customWidth="1"/>
    <col min="13038" max="13038" width="13.7109375" style="456" customWidth="1"/>
    <col min="13039" max="13039" width="16.85546875" style="456" customWidth="1"/>
    <col min="13040" max="13290" width="9.140625" style="456"/>
    <col min="13291" max="13291" width="25.5703125" style="456" customWidth="1"/>
    <col min="13292" max="13292" width="17.140625" style="456" customWidth="1"/>
    <col min="13293" max="13293" width="14" style="456" customWidth="1"/>
    <col min="13294" max="13294" width="13.7109375" style="456" customWidth="1"/>
    <col min="13295" max="13295" width="16.85546875" style="456" customWidth="1"/>
    <col min="13296" max="13546" width="9.140625" style="456"/>
    <col min="13547" max="13547" width="25.5703125" style="456" customWidth="1"/>
    <col min="13548" max="13548" width="17.140625" style="456" customWidth="1"/>
    <col min="13549" max="13549" width="14" style="456" customWidth="1"/>
    <col min="13550" max="13550" width="13.7109375" style="456" customWidth="1"/>
    <col min="13551" max="13551" width="16.85546875" style="456" customWidth="1"/>
    <col min="13552" max="13802" width="9.140625" style="456"/>
    <col min="13803" max="13803" width="25.5703125" style="456" customWidth="1"/>
    <col min="13804" max="13804" width="17.140625" style="456" customWidth="1"/>
    <col min="13805" max="13805" width="14" style="456" customWidth="1"/>
    <col min="13806" max="13806" width="13.7109375" style="456" customWidth="1"/>
    <col min="13807" max="13807" width="16.85546875" style="456" customWidth="1"/>
    <col min="13808" max="14058" width="9.140625" style="456"/>
    <col min="14059" max="14059" width="25.5703125" style="456" customWidth="1"/>
    <col min="14060" max="14060" width="17.140625" style="456" customWidth="1"/>
    <col min="14061" max="14061" width="14" style="456" customWidth="1"/>
    <col min="14062" max="14062" width="13.7109375" style="456" customWidth="1"/>
    <col min="14063" max="14063" width="16.85546875" style="456" customWidth="1"/>
    <col min="14064" max="14314" width="9.140625" style="456"/>
    <col min="14315" max="14315" width="25.5703125" style="456" customWidth="1"/>
    <col min="14316" max="14316" width="17.140625" style="456" customWidth="1"/>
    <col min="14317" max="14317" width="14" style="456" customWidth="1"/>
    <col min="14318" max="14318" width="13.7109375" style="456" customWidth="1"/>
    <col min="14319" max="14319" width="16.85546875" style="456" customWidth="1"/>
    <col min="14320" max="14570" width="9.140625" style="456"/>
    <col min="14571" max="14571" width="25.5703125" style="456" customWidth="1"/>
    <col min="14572" max="14572" width="17.140625" style="456" customWidth="1"/>
    <col min="14573" max="14573" width="14" style="456" customWidth="1"/>
    <col min="14574" max="14574" width="13.7109375" style="456" customWidth="1"/>
    <col min="14575" max="14575" width="16.85546875" style="456" customWidth="1"/>
    <col min="14576" max="14826" width="9.140625" style="456"/>
    <col min="14827" max="14827" width="25.5703125" style="456" customWidth="1"/>
    <col min="14828" max="14828" width="17.140625" style="456" customWidth="1"/>
    <col min="14829" max="14829" width="14" style="456" customWidth="1"/>
    <col min="14830" max="14830" width="13.7109375" style="456" customWidth="1"/>
    <col min="14831" max="14831" width="16.85546875" style="456" customWidth="1"/>
    <col min="14832" max="15082" width="9.140625" style="456"/>
    <col min="15083" max="15083" width="25.5703125" style="456" customWidth="1"/>
    <col min="15084" max="15084" width="17.140625" style="456" customWidth="1"/>
    <col min="15085" max="15085" width="14" style="456" customWidth="1"/>
    <col min="15086" max="15086" width="13.7109375" style="456" customWidth="1"/>
    <col min="15087" max="15087" width="16.85546875" style="456" customWidth="1"/>
    <col min="15088" max="15338" width="9.140625" style="456"/>
    <col min="15339" max="15339" width="25.5703125" style="456" customWidth="1"/>
    <col min="15340" max="15340" width="17.140625" style="456" customWidth="1"/>
    <col min="15341" max="15341" width="14" style="456" customWidth="1"/>
    <col min="15342" max="15342" width="13.7109375" style="456" customWidth="1"/>
    <col min="15343" max="15343" width="16.85546875" style="456" customWidth="1"/>
    <col min="15344" max="15594" width="9.140625" style="456"/>
    <col min="15595" max="15595" width="25.5703125" style="456" customWidth="1"/>
    <col min="15596" max="15596" width="17.140625" style="456" customWidth="1"/>
    <col min="15597" max="15597" width="14" style="456" customWidth="1"/>
    <col min="15598" max="15598" width="13.7109375" style="456" customWidth="1"/>
    <col min="15599" max="15599" width="16.85546875" style="456" customWidth="1"/>
    <col min="15600" max="15850" width="9.140625" style="456"/>
    <col min="15851" max="15851" width="25.5703125" style="456" customWidth="1"/>
    <col min="15852" max="15852" width="17.140625" style="456" customWidth="1"/>
    <col min="15853" max="15853" width="14" style="456" customWidth="1"/>
    <col min="15854" max="15854" width="13.7109375" style="456" customWidth="1"/>
    <col min="15855" max="15855" width="16.85546875" style="456" customWidth="1"/>
    <col min="15856" max="16106" width="9.140625" style="456"/>
    <col min="16107" max="16107" width="25.5703125" style="456" customWidth="1"/>
    <col min="16108" max="16108" width="17.140625" style="456" customWidth="1"/>
    <col min="16109" max="16109" width="14" style="456" customWidth="1"/>
    <col min="16110" max="16110" width="13.7109375" style="456" customWidth="1"/>
    <col min="16111" max="16111" width="16.85546875" style="456" customWidth="1"/>
    <col min="16112" max="16384" width="9.140625" style="456"/>
  </cols>
  <sheetData>
    <row r="2" spans="2:11" ht="13.5" thickBot="1" x14ac:dyDescent="0.25"/>
    <row r="3" spans="2:11" ht="27" thickBot="1" x14ac:dyDescent="0.3">
      <c r="B3" s="1166"/>
      <c r="C3" s="1165" t="s">
        <v>310</v>
      </c>
      <c r="D3" s="1165" t="s">
        <v>583</v>
      </c>
      <c r="E3" s="1164" t="s">
        <v>582</v>
      </c>
      <c r="F3" s="1206"/>
      <c r="H3" s="1205" t="s">
        <v>395</v>
      </c>
      <c r="I3" s="1204"/>
      <c r="J3" s="1204"/>
      <c r="K3" s="1203"/>
    </row>
    <row r="4" spans="2:11" ht="15.75" thickBot="1" x14ac:dyDescent="0.3">
      <c r="B4" s="952" t="s">
        <v>632</v>
      </c>
      <c r="C4" s="1202">
        <v>2449.92</v>
      </c>
      <c r="D4" s="1201">
        <f>K28</f>
        <v>2952.3829765976438</v>
      </c>
      <c r="E4" s="703">
        <f>(D4-C4)/C4</f>
        <v>0.20509362615825977</v>
      </c>
      <c r="F4" s="1200"/>
      <c r="H4" s="1177" t="s">
        <v>631</v>
      </c>
      <c r="I4" s="1199">
        <v>11</v>
      </c>
      <c r="J4" s="1198"/>
      <c r="K4" s="1197"/>
    </row>
    <row r="5" spans="2:11" ht="15.75" thickBot="1" x14ac:dyDescent="0.3">
      <c r="H5" s="1177"/>
      <c r="I5" s="1196" t="s">
        <v>377</v>
      </c>
      <c r="J5" s="1195" t="s">
        <v>380</v>
      </c>
      <c r="K5" s="1194" t="s">
        <v>504</v>
      </c>
    </row>
    <row r="6" spans="2:11" ht="15" x14ac:dyDescent="0.25">
      <c r="G6" s="456">
        <v>1</v>
      </c>
      <c r="H6" s="1120" t="str">
        <f>IF(INDEX('Master Lookup'!$B$404:$B$406,G6)=0,"",INDEX('Master Lookup'!$B$404:$B$406,G6))</f>
        <v>Management</v>
      </c>
      <c r="I6" s="1158">
        <f>IFERROR(INDEX('Master Lookup'!$D$404:$D$406,MATCH(H6,'Master Lookup'!$B$404:$B$406,0)),"")</f>
        <v>79415.232000000018</v>
      </c>
      <c r="J6" s="1157">
        <f>IFERROR(INDEX('Master Lookup'!$E$404:$E$406,MATCH(H6,'Master Lookup'!$B$404:$B$406,0)),"")</f>
        <v>0.01</v>
      </c>
      <c r="K6" s="1193">
        <f>I6*J6</f>
        <v>794.15232000000015</v>
      </c>
    </row>
    <row r="7" spans="2:11" ht="15" x14ac:dyDescent="0.25">
      <c r="G7" s="456">
        <v>2</v>
      </c>
      <c r="H7" s="1120" t="str">
        <f>IF(INDEX('Master Lookup'!$B$404:$B$406,G7)=0,"",INDEX('Master Lookup'!$B$404:$B$406,G7))</f>
        <v>Case Manager</v>
      </c>
      <c r="I7" s="1158">
        <f>IFERROR(INDEX('Master Lookup'!$D$404:$D$406,MATCH(H7,'Master Lookup'!$B$404:$B$406,0)),"")</f>
        <v>64330.864000000001</v>
      </c>
      <c r="J7" s="1157">
        <f>IFERROR(INDEX('Master Lookup'!$E$404:$E$406,MATCH(H7,'Master Lookup'!$B$404:$B$406,0)),"")</f>
        <v>0.09</v>
      </c>
      <c r="K7" s="1192">
        <f>I7*J7</f>
        <v>5789.7777599999999</v>
      </c>
    </row>
    <row r="8" spans="2:11" ht="15" x14ac:dyDescent="0.25">
      <c r="G8" s="456">
        <v>3</v>
      </c>
      <c r="H8" s="1120" t="str">
        <f>IF(INDEX('Master Lookup'!$B$404:$B$406,G8)=0,"",INDEX('Master Lookup'!$B$404:$B$406,G8))</f>
        <v>Direct Care Staffing</v>
      </c>
      <c r="I8" s="1158">
        <f>IFERROR(INDEX('Master Lookup'!$D$404:$D$406,MATCH(H8,'Master Lookup'!$B$404:$B$406,0)),"")</f>
        <v>53206.566400000003</v>
      </c>
      <c r="J8" s="1157">
        <f>IFERROR(INDEX('Master Lookup'!$E$404:$E$406,MATCH(H8,'Master Lookup'!$B$404:$B$406,0)),"")</f>
        <v>0.1</v>
      </c>
      <c r="K8" s="1192">
        <f>I8*J8</f>
        <v>5320.6566400000011</v>
      </c>
    </row>
    <row r="9" spans="2:11" ht="15" hidden="1" x14ac:dyDescent="0.25">
      <c r="H9" s="408"/>
      <c r="I9" s="1191"/>
      <c r="J9" s="406"/>
      <c r="K9" s="1190"/>
    </row>
    <row r="10" spans="2:11" ht="15" x14ac:dyDescent="0.25">
      <c r="H10" s="1189" t="s">
        <v>503</v>
      </c>
      <c r="I10" s="1188"/>
      <c r="J10" s="1187">
        <f>SUM(J6:J9)</f>
        <v>0.2</v>
      </c>
      <c r="K10" s="1186">
        <f>SUM(K6:K9)</f>
        <v>11904.586720000001</v>
      </c>
    </row>
    <row r="11" spans="2:11" ht="15" x14ac:dyDescent="0.25">
      <c r="H11" s="822" t="s">
        <v>368</v>
      </c>
      <c r="I11" s="1185"/>
      <c r="J11" s="328">
        <f>INDEX('Master Lookup'!$C$396:$C$398,MATCH(H11,'Master Lookup'!$B$396:$B$398,0))</f>
        <v>0.27379999999999999</v>
      </c>
      <c r="K11" s="1184">
        <f>K10*J11</f>
        <v>3259.4758439360003</v>
      </c>
    </row>
    <row r="12" spans="2:11" ht="15.75" thickBot="1" x14ac:dyDescent="0.3">
      <c r="H12" s="1118" t="s">
        <v>596</v>
      </c>
      <c r="I12" s="1183"/>
      <c r="J12" s="1183"/>
      <c r="K12" s="1182">
        <f>SUM(K10:K11)</f>
        <v>15164.062563936001</v>
      </c>
    </row>
    <row r="13" spans="2:11" ht="15.75" thickTop="1" x14ac:dyDescent="0.25">
      <c r="H13" s="817"/>
      <c r="I13" s="1181"/>
      <c r="J13" s="1181"/>
      <c r="K13" s="1180"/>
    </row>
    <row r="14" spans="2:11" ht="15" x14ac:dyDescent="0.25">
      <c r="H14" s="817" t="s">
        <v>372</v>
      </c>
      <c r="I14" s="1097"/>
      <c r="J14" s="1121"/>
      <c r="K14" s="914"/>
    </row>
    <row r="15" spans="2:11" ht="15" x14ac:dyDescent="0.25">
      <c r="G15" s="456">
        <v>1</v>
      </c>
      <c r="H15" s="1120" t="str">
        <f>IF(INDEX('Master Lookup'!$B$412:$B$423,G15)=0,"",INDEX('Master Lookup'!$B$412:$B$423,G15))</f>
        <v>Total Occupancy</v>
      </c>
      <c r="I15" s="761"/>
      <c r="J15" s="1158"/>
      <c r="K15" s="1179">
        <f>IFERROR(INDEX('Master Lookup'!$C$412:$C$7423,MATCH(H15,'Master Lookup'!$B$412:$B$423,0)),"")</f>
        <v>6221.9259542286536</v>
      </c>
    </row>
    <row r="16" spans="2:11" ht="15" x14ac:dyDescent="0.25">
      <c r="G16" s="456">
        <v>2</v>
      </c>
      <c r="H16" s="1120" t="str">
        <f>IF(INDEX('Master Lookup'!$B$412:$B$423,G16)=0,"",INDEX('Master Lookup'!$B$412:$B$423,G16))</f>
        <v>Staff Training 204</v>
      </c>
      <c r="I16" s="761"/>
      <c r="J16" s="1158"/>
      <c r="K16" s="1179">
        <f>IFERROR(INDEX('Master Lookup'!$C$412:$C$7423,MATCH(H16,'Master Lookup'!$B$412:$B$423,0)),"")</f>
        <v>202.39734163733908</v>
      </c>
    </row>
    <row r="17" spans="5:11" ht="15" x14ac:dyDescent="0.25">
      <c r="G17" s="456">
        <v>3</v>
      </c>
      <c r="H17" s="1120" t="str">
        <f>IF(INDEX('Master Lookup'!$B$412:$B$423,G17)=0,"",INDEX('Master Lookup'!$B$412:$B$423,G17))</f>
        <v>Staff Mileage / Travel 205</v>
      </c>
      <c r="I17" s="761"/>
      <c r="J17" s="1158"/>
      <c r="K17" s="1179">
        <f>IFERROR(INDEX('Master Lookup'!$C$412:$C$7423,MATCH(H17,'Master Lookup'!$B$412:$B$423,0)),"")</f>
        <v>823.75132959083601</v>
      </c>
    </row>
    <row r="18" spans="5:11" ht="15" x14ac:dyDescent="0.25">
      <c r="G18" s="456">
        <v>4</v>
      </c>
      <c r="H18" s="1120" t="str">
        <f>IF(INDEX('Master Lookup'!$B$412:$B$423,G18)=0,"",INDEX('Master Lookup'!$B$412:$B$423,G18))</f>
        <v>Meals 207</v>
      </c>
      <c r="I18" s="761"/>
      <c r="J18" s="1158"/>
      <c r="K18" s="1179">
        <f>IFERROR(INDEX('Master Lookup'!$C$412:$C$7423,MATCH(H18,'Master Lookup'!$B$412:$B$423,0)),"")</f>
        <v>726.26821565114597</v>
      </c>
    </row>
    <row r="19" spans="5:11" ht="15" x14ac:dyDescent="0.25">
      <c r="G19" s="456">
        <v>5</v>
      </c>
      <c r="H19" s="1120" t="str">
        <f>IF(INDEX('Master Lookup'!$B$412:$B$423,G19)=0,"",INDEX('Master Lookup'!$B$412:$B$423,G19))</f>
        <v>Client Transportation 208</v>
      </c>
      <c r="I19" s="761"/>
      <c r="J19" s="1158"/>
      <c r="K19" s="1179">
        <f>IFERROR(INDEX('Master Lookup'!$C$412:$C$7423,MATCH(H19,'Master Lookup'!$B$412:$B$423,0)),"")</f>
        <v>1741.693522928565</v>
      </c>
    </row>
    <row r="20" spans="5:11" ht="15" x14ac:dyDescent="0.25">
      <c r="E20" s="1162"/>
      <c r="F20" s="1162"/>
      <c r="G20" s="456">
        <v>6</v>
      </c>
      <c r="H20" s="1120" t="str">
        <f>IF(INDEX('Master Lookup'!$B$412:$B$423,G20)=0,"",INDEX('Master Lookup'!$B$412:$B$423,G20))</f>
        <v>Client Personal Allowances 211</v>
      </c>
      <c r="I20" s="761"/>
      <c r="J20" s="1158"/>
      <c r="K20" s="1179">
        <f>IFERROR(INDEX('Master Lookup'!$C$412:$C$7423,MATCH(H20,'Master Lookup'!$B$412:$B$423,0)),"")</f>
        <v>1858.2779275952644</v>
      </c>
    </row>
    <row r="21" spans="5:11" ht="15" x14ac:dyDescent="0.25">
      <c r="E21" s="1162"/>
      <c r="F21" s="1162"/>
      <c r="G21" s="456">
        <v>7</v>
      </c>
      <c r="H21" s="1120" t="str">
        <f>IF(INDEX('Master Lookup'!$B$412:$B$423,G21)=0,"",INDEX('Master Lookup'!$B$412:$B$423,G21))</f>
        <v>Program Supplies &amp; Materials 215</v>
      </c>
      <c r="I21" s="761"/>
      <c r="J21" s="1158"/>
      <c r="K21" s="1179">
        <f>IFERROR(INDEX('Master Lookup'!$C$412:$C$7423,MATCH(H21,'Master Lookup'!$B$412:$B$423,0)),"")</f>
        <v>1493.1564099112707</v>
      </c>
    </row>
    <row r="22" spans="5:11" ht="15.75" thickBot="1" x14ac:dyDescent="0.3">
      <c r="E22" s="1162"/>
      <c r="F22" s="1162"/>
      <c r="H22" s="1118" t="s">
        <v>538</v>
      </c>
      <c r="I22" s="1117"/>
      <c r="J22" s="1117"/>
      <c r="K22" s="1102">
        <f>SUM(K15:K21)</f>
        <v>13067.470701543074</v>
      </c>
    </row>
    <row r="23" spans="5:11" ht="15.75" thickTop="1" x14ac:dyDescent="0.25">
      <c r="E23" s="1088"/>
      <c r="F23" s="1088"/>
      <c r="H23" s="817"/>
      <c r="I23" s="361"/>
      <c r="J23" s="361"/>
      <c r="K23" s="410"/>
    </row>
    <row r="24" spans="5:11" ht="15" x14ac:dyDescent="0.25">
      <c r="H24" s="489" t="s">
        <v>537</v>
      </c>
      <c r="I24" s="400"/>
      <c r="J24" s="400"/>
      <c r="K24" s="399">
        <f>K22+K12</f>
        <v>28231.533265479076</v>
      </c>
    </row>
    <row r="25" spans="5:11" ht="15" x14ac:dyDescent="0.25">
      <c r="H25" s="167" t="s">
        <v>616</v>
      </c>
      <c r="I25" s="1110"/>
      <c r="J25" s="1110">
        <f>'Master Lookup'!C422</f>
        <v>0.12</v>
      </c>
      <c r="K25" s="398">
        <f>K24*J25</f>
        <v>3387.7839918574891</v>
      </c>
    </row>
    <row r="26" spans="5:11" ht="15" x14ac:dyDescent="0.25">
      <c r="H26" s="1111" t="s">
        <v>615</v>
      </c>
      <c r="I26" s="1110"/>
      <c r="J26" s="1110">
        <f>'Master Lookup'!C421</f>
        <v>2.7100379121522307E-2</v>
      </c>
      <c r="K26" s="398">
        <f>J26*(K24+K25)</f>
        <v>856.89548523751387</v>
      </c>
    </row>
    <row r="27" spans="5:11" ht="15.75" thickBot="1" x14ac:dyDescent="0.3">
      <c r="H27" s="1105" t="s">
        <v>614</v>
      </c>
      <c r="I27" s="1104"/>
      <c r="J27" s="1103"/>
      <c r="K27" s="1102">
        <f>SUM(K24:K26)</f>
        <v>32476.21274257408</v>
      </c>
    </row>
    <row r="28" spans="5:11" ht="16.5" thickTop="1" thickBot="1" x14ac:dyDescent="0.3">
      <c r="H28" s="1109" t="s">
        <v>630</v>
      </c>
      <c r="I28" s="1108"/>
      <c r="J28" s="1107"/>
      <c r="K28" s="1178">
        <f>K27/I4</f>
        <v>2952.3829765976438</v>
      </c>
    </row>
    <row r="30" spans="5:11" ht="13.5" thickBot="1" x14ac:dyDescent="0.25">
      <c r="E30" s="460"/>
      <c r="F30" s="460"/>
    </row>
    <row r="31" spans="5:11" ht="15.75" thickBot="1" x14ac:dyDescent="0.3">
      <c r="H31" s="1177" t="s">
        <v>629</v>
      </c>
      <c r="I31" s="1176" t="s">
        <v>628</v>
      </c>
      <c r="J31" s="1175" t="s">
        <v>627</v>
      </c>
    </row>
    <row r="32" spans="5:11" ht="15.75" thickBot="1" x14ac:dyDescent="0.3">
      <c r="H32" s="1174" t="s">
        <v>626</v>
      </c>
      <c r="I32" s="1173">
        <v>137.06</v>
      </c>
      <c r="J32" s="1172">
        <f>I32*(J26+1)</f>
        <v>140.77437796239585</v>
      </c>
    </row>
    <row r="50" spans="7:9" x14ac:dyDescent="0.2">
      <c r="H50" s="604">
        <v>2022</v>
      </c>
      <c r="I50" s="604">
        <v>2024</v>
      </c>
    </row>
    <row r="51" spans="7:9" x14ac:dyDescent="0.2">
      <c r="H51" s="456">
        <v>137.06</v>
      </c>
      <c r="I51" s="456">
        <v>140.77000000000001</v>
      </c>
    </row>
    <row r="52" spans="7:9" x14ac:dyDescent="0.2">
      <c r="G52" s="604">
        <v>2020</v>
      </c>
    </row>
    <row r="53" spans="7:9" x14ac:dyDescent="0.2">
      <c r="G53" s="1032" t="e">
        <f>(#REF!*#REF!)+#REF!</f>
        <v>#REF!</v>
      </c>
    </row>
  </sheetData>
  <mergeCells count="1">
    <mergeCell ref="H3:K3"/>
  </mergeCells>
  <pageMargins left="0.7" right="0.7" top="0.75" bottom="0.75" header="0.3" footer="0.3"/>
  <pageSetup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6063-2128-4575-ABF8-5DF190005202}">
  <sheetPr>
    <pageSetUpPr fitToPage="1"/>
  </sheetPr>
  <dimension ref="B2:N26"/>
  <sheetViews>
    <sheetView topLeftCell="A2" zoomScale="90" zoomScaleNormal="90" workbookViewId="0">
      <selection activeCell="I5" sqref="I5"/>
    </sheetView>
  </sheetViews>
  <sheetFormatPr defaultRowHeight="15" x14ac:dyDescent="0.25"/>
  <cols>
    <col min="1" max="4" width="9.140625" style="361"/>
    <col min="5" max="5" width="8.42578125" style="361" bestFit="1" customWidth="1"/>
    <col min="6" max="6" width="10.85546875" style="361" customWidth="1"/>
    <col min="7" max="7" width="39.42578125" style="361" customWidth="1"/>
    <col min="8" max="8" width="8.28515625" style="361" bestFit="1" customWidth="1"/>
    <col min="9" max="9" width="10.28515625" style="361" bestFit="1" customWidth="1"/>
    <col min="10" max="10" width="7.85546875" style="361" bestFit="1" customWidth="1"/>
    <col min="11" max="11" width="13.140625" style="361" customWidth="1"/>
    <col min="12" max="237" width="9.140625" style="361"/>
    <col min="238" max="238" width="27.85546875" style="361" customWidth="1"/>
    <col min="239" max="239" width="12.28515625" style="361" customWidth="1"/>
    <col min="240" max="241" width="9.140625" style="361"/>
    <col min="242" max="242" width="14" style="361" customWidth="1"/>
    <col min="243" max="493" width="9.140625" style="361"/>
    <col min="494" max="494" width="27.85546875" style="361" customWidth="1"/>
    <col min="495" max="495" width="12.28515625" style="361" customWidth="1"/>
    <col min="496" max="497" width="9.140625" style="361"/>
    <col min="498" max="498" width="14" style="361" customWidth="1"/>
    <col min="499" max="749" width="9.140625" style="361"/>
    <col min="750" max="750" width="27.85546875" style="361" customWidth="1"/>
    <col min="751" max="751" width="12.28515625" style="361" customWidth="1"/>
    <col min="752" max="753" width="9.140625" style="361"/>
    <col min="754" max="754" width="14" style="361" customWidth="1"/>
    <col min="755" max="1005" width="9.140625" style="361"/>
    <col min="1006" max="1006" width="27.85546875" style="361" customWidth="1"/>
    <col min="1007" max="1007" width="12.28515625" style="361" customWidth="1"/>
    <col min="1008" max="1009" width="9.140625" style="361"/>
    <col min="1010" max="1010" width="14" style="361" customWidth="1"/>
    <col min="1011" max="1261" width="9.140625" style="361"/>
    <col min="1262" max="1262" width="27.85546875" style="361" customWidth="1"/>
    <col min="1263" max="1263" width="12.28515625" style="361" customWidth="1"/>
    <col min="1264" max="1265" width="9.140625" style="361"/>
    <col min="1266" max="1266" width="14" style="361" customWidth="1"/>
    <col min="1267" max="1517" width="9.140625" style="361"/>
    <col min="1518" max="1518" width="27.85546875" style="361" customWidth="1"/>
    <col min="1519" max="1519" width="12.28515625" style="361" customWidth="1"/>
    <col min="1520" max="1521" width="9.140625" style="361"/>
    <col min="1522" max="1522" width="14" style="361" customWidth="1"/>
    <col min="1523" max="1773" width="9.140625" style="361"/>
    <col min="1774" max="1774" width="27.85546875" style="361" customWidth="1"/>
    <col min="1775" max="1775" width="12.28515625" style="361" customWidth="1"/>
    <col min="1776" max="1777" width="9.140625" style="361"/>
    <col min="1778" max="1778" width="14" style="361" customWidth="1"/>
    <col min="1779" max="2029" width="9.140625" style="361"/>
    <col min="2030" max="2030" width="27.85546875" style="361" customWidth="1"/>
    <col min="2031" max="2031" width="12.28515625" style="361" customWidth="1"/>
    <col min="2032" max="2033" width="9.140625" style="361"/>
    <col min="2034" max="2034" width="14" style="361" customWidth="1"/>
    <col min="2035" max="2285" width="9.140625" style="361"/>
    <col min="2286" max="2286" width="27.85546875" style="361" customWidth="1"/>
    <col min="2287" max="2287" width="12.28515625" style="361" customWidth="1"/>
    <col min="2288" max="2289" width="9.140625" style="361"/>
    <col min="2290" max="2290" width="14" style="361" customWidth="1"/>
    <col min="2291" max="2541" width="9.140625" style="361"/>
    <col min="2542" max="2542" width="27.85546875" style="361" customWidth="1"/>
    <col min="2543" max="2543" width="12.28515625" style="361" customWidth="1"/>
    <col min="2544" max="2545" width="9.140625" style="361"/>
    <col min="2546" max="2546" width="14" style="361" customWidth="1"/>
    <col min="2547" max="2797" width="9.140625" style="361"/>
    <col min="2798" max="2798" width="27.85546875" style="361" customWidth="1"/>
    <col min="2799" max="2799" width="12.28515625" style="361" customWidth="1"/>
    <col min="2800" max="2801" width="9.140625" style="361"/>
    <col min="2802" max="2802" width="14" style="361" customWidth="1"/>
    <col min="2803" max="3053" width="9.140625" style="361"/>
    <col min="3054" max="3054" width="27.85546875" style="361" customWidth="1"/>
    <col min="3055" max="3055" width="12.28515625" style="361" customWidth="1"/>
    <col min="3056" max="3057" width="9.140625" style="361"/>
    <col min="3058" max="3058" width="14" style="361" customWidth="1"/>
    <col min="3059" max="3309" width="9.140625" style="361"/>
    <col min="3310" max="3310" width="27.85546875" style="361" customWidth="1"/>
    <col min="3311" max="3311" width="12.28515625" style="361" customWidth="1"/>
    <col min="3312" max="3313" width="9.140625" style="361"/>
    <col min="3314" max="3314" width="14" style="361" customWidth="1"/>
    <col min="3315" max="3565" width="9.140625" style="361"/>
    <col min="3566" max="3566" width="27.85546875" style="361" customWidth="1"/>
    <col min="3567" max="3567" width="12.28515625" style="361" customWidth="1"/>
    <col min="3568" max="3569" width="9.140625" style="361"/>
    <col min="3570" max="3570" width="14" style="361" customWidth="1"/>
    <col min="3571" max="3821" width="9.140625" style="361"/>
    <col min="3822" max="3822" width="27.85546875" style="361" customWidth="1"/>
    <col min="3823" max="3823" width="12.28515625" style="361" customWidth="1"/>
    <col min="3824" max="3825" width="9.140625" style="361"/>
    <col min="3826" max="3826" width="14" style="361" customWidth="1"/>
    <col min="3827" max="4077" width="9.140625" style="361"/>
    <col min="4078" max="4078" width="27.85546875" style="361" customWidth="1"/>
    <col min="4079" max="4079" width="12.28515625" style="361" customWidth="1"/>
    <col min="4080" max="4081" width="9.140625" style="361"/>
    <col min="4082" max="4082" width="14" style="361" customWidth="1"/>
    <col min="4083" max="4333" width="9.140625" style="361"/>
    <col min="4334" max="4334" width="27.85546875" style="361" customWidth="1"/>
    <col min="4335" max="4335" width="12.28515625" style="361" customWidth="1"/>
    <col min="4336" max="4337" width="9.140625" style="361"/>
    <col min="4338" max="4338" width="14" style="361" customWidth="1"/>
    <col min="4339" max="4589" width="9.140625" style="361"/>
    <col min="4590" max="4590" width="27.85546875" style="361" customWidth="1"/>
    <col min="4591" max="4591" width="12.28515625" style="361" customWidth="1"/>
    <col min="4592" max="4593" width="9.140625" style="361"/>
    <col min="4594" max="4594" width="14" style="361" customWidth="1"/>
    <col min="4595" max="4845" width="9.140625" style="361"/>
    <col min="4846" max="4846" width="27.85546875" style="361" customWidth="1"/>
    <col min="4847" max="4847" width="12.28515625" style="361" customWidth="1"/>
    <col min="4848" max="4849" width="9.140625" style="361"/>
    <col min="4850" max="4850" width="14" style="361" customWidth="1"/>
    <col min="4851" max="5101" width="9.140625" style="361"/>
    <col min="5102" max="5102" width="27.85546875" style="361" customWidth="1"/>
    <col min="5103" max="5103" width="12.28515625" style="361" customWidth="1"/>
    <col min="5104" max="5105" width="9.140625" style="361"/>
    <col min="5106" max="5106" width="14" style="361" customWidth="1"/>
    <col min="5107" max="5357" width="9.140625" style="361"/>
    <col min="5358" max="5358" width="27.85546875" style="361" customWidth="1"/>
    <col min="5359" max="5359" width="12.28515625" style="361" customWidth="1"/>
    <col min="5360" max="5361" width="9.140625" style="361"/>
    <col min="5362" max="5362" width="14" style="361" customWidth="1"/>
    <col min="5363" max="5613" width="9.140625" style="361"/>
    <col min="5614" max="5614" width="27.85546875" style="361" customWidth="1"/>
    <col min="5615" max="5615" width="12.28515625" style="361" customWidth="1"/>
    <col min="5616" max="5617" width="9.140625" style="361"/>
    <col min="5618" max="5618" width="14" style="361" customWidth="1"/>
    <col min="5619" max="5869" width="9.140625" style="361"/>
    <col min="5870" max="5870" width="27.85546875" style="361" customWidth="1"/>
    <col min="5871" max="5871" width="12.28515625" style="361" customWidth="1"/>
    <col min="5872" max="5873" width="9.140625" style="361"/>
    <col min="5874" max="5874" width="14" style="361" customWidth="1"/>
    <col min="5875" max="6125" width="9.140625" style="361"/>
    <col min="6126" max="6126" width="27.85546875" style="361" customWidth="1"/>
    <col min="6127" max="6127" width="12.28515625" style="361" customWidth="1"/>
    <col min="6128" max="6129" width="9.140625" style="361"/>
    <col min="6130" max="6130" width="14" style="361" customWidth="1"/>
    <col min="6131" max="6381" width="9.140625" style="361"/>
    <col min="6382" max="6382" width="27.85546875" style="361" customWidth="1"/>
    <col min="6383" max="6383" width="12.28515625" style="361" customWidth="1"/>
    <col min="6384" max="6385" width="9.140625" style="361"/>
    <col min="6386" max="6386" width="14" style="361" customWidth="1"/>
    <col min="6387" max="6637" width="9.140625" style="361"/>
    <col min="6638" max="6638" width="27.85546875" style="361" customWidth="1"/>
    <col min="6639" max="6639" width="12.28515625" style="361" customWidth="1"/>
    <col min="6640" max="6641" width="9.140625" style="361"/>
    <col min="6642" max="6642" width="14" style="361" customWidth="1"/>
    <col min="6643" max="6893" width="9.140625" style="361"/>
    <col min="6894" max="6894" width="27.85546875" style="361" customWidth="1"/>
    <col min="6895" max="6895" width="12.28515625" style="361" customWidth="1"/>
    <col min="6896" max="6897" width="9.140625" style="361"/>
    <col min="6898" max="6898" width="14" style="361" customWidth="1"/>
    <col min="6899" max="7149" width="9.140625" style="361"/>
    <col min="7150" max="7150" width="27.85546875" style="361" customWidth="1"/>
    <col min="7151" max="7151" width="12.28515625" style="361" customWidth="1"/>
    <col min="7152" max="7153" width="9.140625" style="361"/>
    <col min="7154" max="7154" width="14" style="361" customWidth="1"/>
    <col min="7155" max="7405" width="9.140625" style="361"/>
    <col min="7406" max="7406" width="27.85546875" style="361" customWidth="1"/>
    <col min="7407" max="7407" width="12.28515625" style="361" customWidth="1"/>
    <col min="7408" max="7409" width="9.140625" style="361"/>
    <col min="7410" max="7410" width="14" style="361" customWidth="1"/>
    <col min="7411" max="7661" width="9.140625" style="361"/>
    <col min="7662" max="7662" width="27.85546875" style="361" customWidth="1"/>
    <col min="7663" max="7663" width="12.28515625" style="361" customWidth="1"/>
    <col min="7664" max="7665" width="9.140625" style="361"/>
    <col min="7666" max="7666" width="14" style="361" customWidth="1"/>
    <col min="7667" max="7917" width="9.140625" style="361"/>
    <col min="7918" max="7918" width="27.85546875" style="361" customWidth="1"/>
    <col min="7919" max="7919" width="12.28515625" style="361" customWidth="1"/>
    <col min="7920" max="7921" width="9.140625" style="361"/>
    <col min="7922" max="7922" width="14" style="361" customWidth="1"/>
    <col min="7923" max="8173" width="9.140625" style="361"/>
    <col min="8174" max="8174" width="27.85546875" style="361" customWidth="1"/>
    <col min="8175" max="8175" width="12.28515625" style="361" customWidth="1"/>
    <col min="8176" max="8177" width="9.140625" style="361"/>
    <col min="8178" max="8178" width="14" style="361" customWidth="1"/>
    <col min="8179" max="8429" width="9.140625" style="361"/>
    <col min="8430" max="8430" width="27.85546875" style="361" customWidth="1"/>
    <col min="8431" max="8431" width="12.28515625" style="361" customWidth="1"/>
    <col min="8432" max="8433" width="9.140625" style="361"/>
    <col min="8434" max="8434" width="14" style="361" customWidth="1"/>
    <col min="8435" max="8685" width="9.140625" style="361"/>
    <col min="8686" max="8686" width="27.85546875" style="361" customWidth="1"/>
    <col min="8687" max="8687" width="12.28515625" style="361" customWidth="1"/>
    <col min="8688" max="8689" width="9.140625" style="361"/>
    <col min="8690" max="8690" width="14" style="361" customWidth="1"/>
    <col min="8691" max="8941" width="9.140625" style="361"/>
    <col min="8942" max="8942" width="27.85546875" style="361" customWidth="1"/>
    <col min="8943" max="8943" width="12.28515625" style="361" customWidth="1"/>
    <col min="8944" max="8945" width="9.140625" style="361"/>
    <col min="8946" max="8946" width="14" style="361" customWidth="1"/>
    <col min="8947" max="9197" width="9.140625" style="361"/>
    <col min="9198" max="9198" width="27.85546875" style="361" customWidth="1"/>
    <col min="9199" max="9199" width="12.28515625" style="361" customWidth="1"/>
    <col min="9200" max="9201" width="9.140625" style="361"/>
    <col min="9202" max="9202" width="14" style="361" customWidth="1"/>
    <col min="9203" max="9453" width="9.140625" style="361"/>
    <col min="9454" max="9454" width="27.85546875" style="361" customWidth="1"/>
    <col min="9455" max="9455" width="12.28515625" style="361" customWidth="1"/>
    <col min="9456" max="9457" width="9.140625" style="361"/>
    <col min="9458" max="9458" width="14" style="361" customWidth="1"/>
    <col min="9459" max="9709" width="9.140625" style="361"/>
    <col min="9710" max="9710" width="27.85546875" style="361" customWidth="1"/>
    <col min="9711" max="9711" width="12.28515625" style="361" customWidth="1"/>
    <col min="9712" max="9713" width="9.140625" style="361"/>
    <col min="9714" max="9714" width="14" style="361" customWidth="1"/>
    <col min="9715" max="9965" width="9.140625" style="361"/>
    <col min="9966" max="9966" width="27.85546875" style="361" customWidth="1"/>
    <col min="9967" max="9967" width="12.28515625" style="361" customWidth="1"/>
    <col min="9968" max="9969" width="9.140625" style="361"/>
    <col min="9970" max="9970" width="14" style="361" customWidth="1"/>
    <col min="9971" max="10221" width="9.140625" style="361"/>
    <col min="10222" max="10222" width="27.85546875" style="361" customWidth="1"/>
    <col min="10223" max="10223" width="12.28515625" style="361" customWidth="1"/>
    <col min="10224" max="10225" width="9.140625" style="361"/>
    <col min="10226" max="10226" width="14" style="361" customWidth="1"/>
    <col min="10227" max="10477" width="9.140625" style="361"/>
    <col min="10478" max="10478" width="27.85546875" style="361" customWidth="1"/>
    <col min="10479" max="10479" width="12.28515625" style="361" customWidth="1"/>
    <col min="10480" max="10481" width="9.140625" style="361"/>
    <col min="10482" max="10482" width="14" style="361" customWidth="1"/>
    <col min="10483" max="10733" width="9.140625" style="361"/>
    <col min="10734" max="10734" width="27.85546875" style="361" customWidth="1"/>
    <col min="10735" max="10735" width="12.28515625" style="361" customWidth="1"/>
    <col min="10736" max="10737" width="9.140625" style="361"/>
    <col min="10738" max="10738" width="14" style="361" customWidth="1"/>
    <col min="10739" max="10989" width="9.140625" style="361"/>
    <col min="10990" max="10990" width="27.85546875" style="361" customWidth="1"/>
    <col min="10991" max="10991" width="12.28515625" style="361" customWidth="1"/>
    <col min="10992" max="10993" width="9.140625" style="361"/>
    <col min="10994" max="10994" width="14" style="361" customWidth="1"/>
    <col min="10995" max="11245" width="9.140625" style="361"/>
    <col min="11246" max="11246" width="27.85546875" style="361" customWidth="1"/>
    <col min="11247" max="11247" width="12.28515625" style="361" customWidth="1"/>
    <col min="11248" max="11249" width="9.140625" style="361"/>
    <col min="11250" max="11250" width="14" style="361" customWidth="1"/>
    <col min="11251" max="11501" width="9.140625" style="361"/>
    <col min="11502" max="11502" width="27.85546875" style="361" customWidth="1"/>
    <col min="11503" max="11503" width="12.28515625" style="361" customWidth="1"/>
    <col min="11504" max="11505" width="9.140625" style="361"/>
    <col min="11506" max="11506" width="14" style="361" customWidth="1"/>
    <col min="11507" max="11757" width="9.140625" style="361"/>
    <col min="11758" max="11758" width="27.85546875" style="361" customWidth="1"/>
    <col min="11759" max="11759" width="12.28515625" style="361" customWidth="1"/>
    <col min="11760" max="11761" width="9.140625" style="361"/>
    <col min="11762" max="11762" width="14" style="361" customWidth="1"/>
    <col min="11763" max="12013" width="9.140625" style="361"/>
    <col min="12014" max="12014" width="27.85546875" style="361" customWidth="1"/>
    <col min="12015" max="12015" width="12.28515625" style="361" customWidth="1"/>
    <col min="12016" max="12017" width="9.140625" style="361"/>
    <col min="12018" max="12018" width="14" style="361" customWidth="1"/>
    <col min="12019" max="12269" width="9.140625" style="361"/>
    <col min="12270" max="12270" width="27.85546875" style="361" customWidth="1"/>
    <col min="12271" max="12271" width="12.28515625" style="361" customWidth="1"/>
    <col min="12272" max="12273" width="9.140625" style="361"/>
    <col min="12274" max="12274" width="14" style="361" customWidth="1"/>
    <col min="12275" max="12525" width="9.140625" style="361"/>
    <col min="12526" max="12526" width="27.85546875" style="361" customWidth="1"/>
    <col min="12527" max="12527" width="12.28515625" style="361" customWidth="1"/>
    <col min="12528" max="12529" width="9.140625" style="361"/>
    <col min="12530" max="12530" width="14" style="361" customWidth="1"/>
    <col min="12531" max="12781" width="9.140625" style="361"/>
    <col min="12782" max="12782" width="27.85546875" style="361" customWidth="1"/>
    <col min="12783" max="12783" width="12.28515625" style="361" customWidth="1"/>
    <col min="12784" max="12785" width="9.140625" style="361"/>
    <col min="12786" max="12786" width="14" style="361" customWidth="1"/>
    <col min="12787" max="13037" width="9.140625" style="361"/>
    <col min="13038" max="13038" width="27.85546875" style="361" customWidth="1"/>
    <col min="13039" max="13039" width="12.28515625" style="361" customWidth="1"/>
    <col min="13040" max="13041" width="9.140625" style="361"/>
    <col min="13042" max="13042" width="14" style="361" customWidth="1"/>
    <col min="13043" max="13293" width="9.140625" style="361"/>
    <col min="13294" max="13294" width="27.85546875" style="361" customWidth="1"/>
    <col min="13295" max="13295" width="12.28515625" style="361" customWidth="1"/>
    <col min="13296" max="13297" width="9.140625" style="361"/>
    <col min="13298" max="13298" width="14" style="361" customWidth="1"/>
    <col min="13299" max="13549" width="9.140625" style="361"/>
    <col min="13550" max="13550" width="27.85546875" style="361" customWidth="1"/>
    <col min="13551" max="13551" width="12.28515625" style="361" customWidth="1"/>
    <col min="13552" max="13553" width="9.140625" style="361"/>
    <col min="13554" max="13554" width="14" style="361" customWidth="1"/>
    <col min="13555" max="13805" width="9.140625" style="361"/>
    <col min="13806" max="13806" width="27.85546875" style="361" customWidth="1"/>
    <col min="13807" max="13807" width="12.28515625" style="361" customWidth="1"/>
    <col min="13808" max="13809" width="9.140625" style="361"/>
    <col min="13810" max="13810" width="14" style="361" customWidth="1"/>
    <col min="13811" max="14061" width="9.140625" style="361"/>
    <col min="14062" max="14062" width="27.85546875" style="361" customWidth="1"/>
    <col min="14063" max="14063" width="12.28515625" style="361" customWidth="1"/>
    <col min="14064" max="14065" width="9.140625" style="361"/>
    <col min="14066" max="14066" width="14" style="361" customWidth="1"/>
    <col min="14067" max="14317" width="9.140625" style="361"/>
    <col min="14318" max="14318" width="27.85546875" style="361" customWidth="1"/>
    <col min="14319" max="14319" width="12.28515625" style="361" customWidth="1"/>
    <col min="14320" max="14321" width="9.140625" style="361"/>
    <col min="14322" max="14322" width="14" style="361" customWidth="1"/>
    <col min="14323" max="14573" width="9.140625" style="361"/>
    <col min="14574" max="14574" width="27.85546875" style="361" customWidth="1"/>
    <col min="14575" max="14575" width="12.28515625" style="361" customWidth="1"/>
    <col min="14576" max="14577" width="9.140625" style="361"/>
    <col min="14578" max="14578" width="14" style="361" customWidth="1"/>
    <col min="14579" max="14829" width="9.140625" style="361"/>
    <col min="14830" max="14830" width="27.85546875" style="361" customWidth="1"/>
    <col min="14831" max="14831" width="12.28515625" style="361" customWidth="1"/>
    <col min="14832" max="14833" width="9.140625" style="361"/>
    <col min="14834" max="14834" width="14" style="361" customWidth="1"/>
    <col min="14835" max="15085" width="9.140625" style="361"/>
    <col min="15086" max="15086" width="27.85546875" style="361" customWidth="1"/>
    <col min="15087" max="15087" width="12.28515625" style="361" customWidth="1"/>
    <col min="15088" max="15089" width="9.140625" style="361"/>
    <col min="15090" max="15090" width="14" style="361" customWidth="1"/>
    <col min="15091" max="15341" width="9.140625" style="361"/>
    <col min="15342" max="15342" width="27.85546875" style="361" customWidth="1"/>
    <col min="15343" max="15343" width="12.28515625" style="361" customWidth="1"/>
    <col min="15344" max="15345" width="9.140625" style="361"/>
    <col min="15346" max="15346" width="14" style="361" customWidth="1"/>
    <col min="15347" max="15597" width="9.140625" style="361"/>
    <col min="15598" max="15598" width="27.85546875" style="361" customWidth="1"/>
    <col min="15599" max="15599" width="12.28515625" style="361" customWidth="1"/>
    <col min="15600" max="15601" width="9.140625" style="361"/>
    <col min="15602" max="15602" width="14" style="361" customWidth="1"/>
    <col min="15603" max="15853" width="9.140625" style="361"/>
    <col min="15854" max="15854" width="27.85546875" style="361" customWidth="1"/>
    <col min="15855" max="15855" width="12.28515625" style="361" customWidth="1"/>
    <col min="15856" max="15857" width="9.140625" style="361"/>
    <col min="15858" max="15858" width="14" style="361" customWidth="1"/>
    <col min="15859" max="16109" width="9.140625" style="361"/>
    <col min="16110" max="16110" width="27.85546875" style="361" customWidth="1"/>
    <col min="16111" max="16111" width="12.28515625" style="361" customWidth="1"/>
    <col min="16112" max="16113" width="9.140625" style="361"/>
    <col min="16114" max="16114" width="14" style="361" customWidth="1"/>
    <col min="16115" max="16384" width="9.140625" style="361"/>
  </cols>
  <sheetData>
    <row r="2" spans="2:14" ht="15.75" thickBot="1" x14ac:dyDescent="0.3">
      <c r="F2" s="456"/>
    </row>
    <row r="3" spans="2:14" ht="27" thickBot="1" x14ac:dyDescent="0.3">
      <c r="B3" s="1166"/>
      <c r="C3" s="1165" t="s">
        <v>310</v>
      </c>
      <c r="D3" s="1165" t="s">
        <v>583</v>
      </c>
      <c r="E3" s="1164" t="s">
        <v>582</v>
      </c>
      <c r="F3" s="456"/>
      <c r="G3" s="1241" t="s">
        <v>400</v>
      </c>
      <c r="H3" s="1240"/>
      <c r="I3" s="1240"/>
      <c r="J3" s="1240"/>
      <c r="K3" s="1239"/>
    </row>
    <row r="4" spans="2:14" ht="16.5" customHeight="1" thickBot="1" x14ac:dyDescent="0.3">
      <c r="B4" s="952" t="s">
        <v>647</v>
      </c>
      <c r="C4" s="1202">
        <v>18.47</v>
      </c>
      <c r="D4" s="1201">
        <f>K24</f>
        <v>22.655662933338935</v>
      </c>
      <c r="E4" s="703">
        <f>(D4-C4)/C4</f>
        <v>0.22661954159929268</v>
      </c>
      <c r="F4" s="456"/>
      <c r="G4" s="1238"/>
      <c r="H4" s="1237" t="s">
        <v>399</v>
      </c>
      <c r="I4" s="1237" t="s">
        <v>646</v>
      </c>
      <c r="J4" s="1237" t="s">
        <v>645</v>
      </c>
      <c r="K4" s="1197" t="s">
        <v>505</v>
      </c>
    </row>
    <row r="5" spans="2:14" x14ac:dyDescent="0.25">
      <c r="F5" s="456">
        <v>1</v>
      </c>
      <c r="G5" s="1120" t="str">
        <f>IF(INDEX('Master Lookup'!$B$382:$B$386,F5)=0,"",INDEX('Master Lookup'!$B$382:$B$386,F5))</f>
        <v>Management</v>
      </c>
      <c r="H5" s="1236">
        <f>'Master Lookup'!E382</f>
        <v>228.57142857142856</v>
      </c>
      <c r="I5" s="1158">
        <f>IFERROR(INDEX('Master Lookup'!$D$382:$D$388,MATCH(G5,'Master Lookup'!$B$382:$B$388,0)),"")</f>
        <v>79415.232000000018</v>
      </c>
      <c r="J5" s="1157">
        <f>IFERROR(INDEX('Master Lookup'!$F$382:$F$388,MATCH(G5,'Master Lookup'!$B$382:$B$388,0)),"")</f>
        <v>0.14000000000000001</v>
      </c>
      <c r="K5" s="1193">
        <f>I5*J5</f>
        <v>11118.132480000004</v>
      </c>
    </row>
    <row r="6" spans="2:14" x14ac:dyDescent="0.25">
      <c r="F6" s="456">
        <v>2</v>
      </c>
      <c r="G6" s="1120" t="str">
        <f>IF(INDEX('Master Lookup'!$B$382:$B$386,F6)=0,"",INDEX('Master Lookup'!$B$382:$B$386,F6))</f>
        <v>Education Coordinator</v>
      </c>
      <c r="H6" s="1235">
        <f>'Master Lookup'!E383</f>
        <v>246.15384615384613</v>
      </c>
      <c r="I6" s="1158">
        <f>IFERROR(INDEX('Master Lookup'!$D$382:$D$388,MATCH(G6,'Master Lookup'!$B$382:$B$388,0)),"")</f>
        <v>64330.864000000001</v>
      </c>
      <c r="J6" s="1157">
        <f>IFERROR(INDEX('Master Lookup'!$F$382:$F$388,MATCH(G6,'Master Lookup'!$B$382:$B$388,0)),"")</f>
        <v>0.13</v>
      </c>
      <c r="K6" s="1192">
        <f>I6*J6</f>
        <v>8363.0123199999998</v>
      </c>
    </row>
    <row r="7" spans="2:14" x14ac:dyDescent="0.25">
      <c r="F7" s="456">
        <v>3</v>
      </c>
      <c r="G7" s="1120" t="str">
        <f>IF(INDEX('Master Lookup'!$B$382:$B$386,F7)=0,"",INDEX('Master Lookup'!$B$382:$B$386,F7))</f>
        <v>Direct Care Staffing</v>
      </c>
      <c r="H7" s="1235">
        <f>'Master Lookup'!E385</f>
        <v>12.851405622489958</v>
      </c>
      <c r="I7" s="1158">
        <f>IFERROR(INDEX('Master Lookup'!$D$382:$D$388,MATCH(G7,'Master Lookup'!$B$382:$B$388,0)),"")</f>
        <v>53206.566400000003</v>
      </c>
      <c r="J7" s="1157">
        <f>IFERROR(INDEX('Master Lookup'!$F$382:$F$388,MATCH(G7,'Master Lookup'!$B$382:$B$388,0)),"")</f>
        <v>1</v>
      </c>
      <c r="K7" s="1192">
        <f>I7*J7</f>
        <v>53206.566400000003</v>
      </c>
    </row>
    <row r="8" spans="2:14" x14ac:dyDescent="0.25">
      <c r="F8" s="456">
        <v>4</v>
      </c>
      <c r="G8" s="1120" t="str">
        <f>IF(INDEX('Master Lookup'!$B$382:$B$386,F8)=0,"",INDEX('Master Lookup'!$B$382:$B$386,F8))</f>
        <v>Direct Care</v>
      </c>
      <c r="H8" s="1235"/>
      <c r="I8" s="1158">
        <f>IFERROR(INDEX('Master Lookup'!$D$382:$D$388,MATCH(G8,'Master Lookup'!$B$382:$B$388,0)),"")</f>
        <v>41600</v>
      </c>
      <c r="J8" s="1157">
        <f>IFERROR(INDEX('Master Lookup'!$F$382:$F$388,MATCH(G8,'Master Lookup'!$B$382:$B$388,0)),"")</f>
        <v>1.49</v>
      </c>
      <c r="K8" s="1192">
        <f>I8*J8</f>
        <v>61984</v>
      </c>
    </row>
    <row r="9" spans="2:14" x14ac:dyDescent="0.25">
      <c r="F9" s="456">
        <v>5</v>
      </c>
      <c r="G9" s="1120" t="str">
        <f>IF(INDEX('Master Lookup'!$B$382:$B$386,F9)=0,"",INDEX('Master Lookup'!$B$382:$B$386,F9))</f>
        <v>Program Support</v>
      </c>
      <c r="H9" s="1235">
        <f>'Master Lookup'!E386</f>
        <v>1066.6666666666667</v>
      </c>
      <c r="I9" s="1158">
        <f>IFERROR(INDEX('Master Lookup'!$D$382:$D$388,MATCH(G9,'Master Lookup'!$B$382:$B$388,0)),"")</f>
        <v>41600</v>
      </c>
      <c r="J9" s="1157">
        <f>IFERROR(INDEX('Master Lookup'!$F$382:$F$388,MATCH(G9,'Master Lookup'!$B$382:$B$388,0)),"")</f>
        <v>0.03</v>
      </c>
      <c r="K9" s="1192">
        <f>I9*J9</f>
        <v>1248</v>
      </c>
    </row>
    <row r="10" spans="2:14" x14ac:dyDescent="0.25">
      <c r="F10" s="456"/>
      <c r="G10" s="408"/>
      <c r="H10" s="1234"/>
      <c r="I10" s="1191"/>
      <c r="J10" s="406"/>
      <c r="K10" s="1190"/>
      <c r="L10" s="584"/>
      <c r="M10" s="1233"/>
      <c r="N10" s="456"/>
    </row>
    <row r="11" spans="2:14" x14ac:dyDescent="0.25">
      <c r="F11" s="456"/>
      <c r="G11" s="1189" t="s">
        <v>503</v>
      </c>
      <c r="H11" s="1188"/>
      <c r="I11" s="1188"/>
      <c r="J11" s="1185">
        <f>SUM(J5:J10)</f>
        <v>2.7899999999999996</v>
      </c>
      <c r="K11" s="1186">
        <f>SUM(K5:K10)</f>
        <v>135919.71120000002</v>
      </c>
    </row>
    <row r="12" spans="2:14" x14ac:dyDescent="0.25">
      <c r="F12" s="456"/>
      <c r="G12" s="822" t="s">
        <v>368</v>
      </c>
      <c r="H12" s="1185"/>
      <c r="I12" s="1185"/>
      <c r="J12" s="543">
        <f>INDEX('Master Lookup'!$C$396:$C$398,MATCH(G12,'Master Lookup'!$B$396:$B$398,0))</f>
        <v>0.27379999999999999</v>
      </c>
      <c r="K12" s="1184">
        <f>K11*J12</f>
        <v>37214.816926560001</v>
      </c>
    </row>
    <row r="13" spans="2:14" ht="15.75" thickBot="1" x14ac:dyDescent="0.3">
      <c r="F13" s="456"/>
      <c r="G13" s="1118" t="s">
        <v>596</v>
      </c>
      <c r="H13" s="1183"/>
      <c r="I13" s="1183"/>
      <c r="J13" s="1183"/>
      <c r="K13" s="1182">
        <f>SUM(K11:K12)</f>
        <v>173134.52812656004</v>
      </c>
    </row>
    <row r="14" spans="2:14" ht="15.75" thickTop="1" x14ac:dyDescent="0.25">
      <c r="F14" s="456"/>
      <c r="G14" s="817"/>
      <c r="H14" s="1181"/>
      <c r="I14" s="1181"/>
      <c r="J14" s="1181"/>
      <c r="K14" s="1180"/>
    </row>
    <row r="15" spans="2:14" x14ac:dyDescent="0.25">
      <c r="F15" s="456"/>
      <c r="G15" s="817" t="s">
        <v>372</v>
      </c>
      <c r="H15" s="1232"/>
      <c r="I15" s="1232"/>
      <c r="J15" s="1232"/>
      <c r="K15" s="1231"/>
    </row>
    <row r="16" spans="2:14" x14ac:dyDescent="0.25">
      <c r="F16" s="456"/>
      <c r="G16" s="156" t="s">
        <v>340</v>
      </c>
      <c r="H16" s="1122"/>
      <c r="I16" s="372"/>
      <c r="J16" s="496">
        <f>IFERROR(INDEX('Master Lookup'!$C$392:$C$394,MATCH(G16,'Master Lookup'!$B$392:$B$394,0)),"")</f>
        <v>1475.3908322281168</v>
      </c>
      <c r="K16" s="1192">
        <f>J11*J16</f>
        <v>4116.3404219164449</v>
      </c>
    </row>
    <row r="17" spans="6:11" ht="15.75" thickBot="1" x14ac:dyDescent="0.3">
      <c r="F17" s="456"/>
      <c r="G17" s="1118" t="s">
        <v>538</v>
      </c>
      <c r="H17" s="1117"/>
      <c r="I17" s="1117"/>
      <c r="J17" s="1117"/>
      <c r="K17" s="1227">
        <f>SUM(K16)</f>
        <v>4116.3404219164449</v>
      </c>
    </row>
    <row r="18" spans="6:11" ht="15.75" thickTop="1" x14ac:dyDescent="0.25">
      <c r="F18" s="456"/>
      <c r="G18" s="817"/>
      <c r="K18" s="1230"/>
    </row>
    <row r="19" spans="6:11" x14ac:dyDescent="0.25">
      <c r="F19" s="456"/>
      <c r="G19" s="489" t="s">
        <v>537</v>
      </c>
      <c r="H19" s="400"/>
      <c r="I19" s="400"/>
      <c r="J19" s="1229"/>
      <c r="K19" s="1228">
        <f>K17+K13</f>
        <v>177250.86854847649</v>
      </c>
    </row>
    <row r="20" spans="6:11" x14ac:dyDescent="0.25">
      <c r="F20" s="456"/>
      <c r="G20" s="167" t="s">
        <v>616</v>
      </c>
      <c r="H20" s="1110"/>
      <c r="I20" s="543"/>
      <c r="J20" s="1110">
        <f>'Master Lookup'!C398</f>
        <v>0.12</v>
      </c>
      <c r="K20" s="1192">
        <f>K19*J20</f>
        <v>21270.104225817176</v>
      </c>
    </row>
    <row r="21" spans="6:11" x14ac:dyDescent="0.25">
      <c r="F21" s="456"/>
      <c r="G21" s="1111" t="s">
        <v>615</v>
      </c>
      <c r="H21" s="1110"/>
      <c r="I21" s="543"/>
      <c r="J21" s="1110">
        <f>'Master Lookup'!C397</f>
        <v>2.7100379121522307E-2</v>
      </c>
      <c r="K21" s="1192">
        <f>J21*(K19+K20)</f>
        <v>5379.9936257567661</v>
      </c>
    </row>
    <row r="22" spans="6:11" ht="15.75" thickBot="1" x14ac:dyDescent="0.3">
      <c r="F22" s="456"/>
      <c r="G22" s="1105" t="s">
        <v>536</v>
      </c>
      <c r="H22" s="1104"/>
      <c r="I22" s="1103"/>
      <c r="J22" s="1102"/>
      <c r="K22" s="1227">
        <f>SUM(K19:K21)</f>
        <v>203900.96640005041</v>
      </c>
    </row>
    <row r="23" spans="6:11" ht="15.75" thickTop="1" x14ac:dyDescent="0.25">
      <c r="F23" s="456"/>
      <c r="G23" s="167" t="s">
        <v>598</v>
      </c>
      <c r="K23" s="1123">
        <v>32</v>
      </c>
    </row>
    <row r="24" spans="6:11" ht="15.75" thickBot="1" x14ac:dyDescent="0.3">
      <c r="F24" s="456"/>
      <c r="G24" s="384" t="s">
        <v>644</v>
      </c>
      <c r="H24" s="383">
        <v>9000</v>
      </c>
      <c r="I24" s="383"/>
      <c r="J24" s="383"/>
      <c r="K24" s="1226">
        <f>K22/H24</f>
        <v>22.655662933338935</v>
      </c>
    </row>
    <row r="26" spans="6:11" x14ac:dyDescent="0.25">
      <c r="K26" s="1096"/>
    </row>
  </sheetData>
  <mergeCells count="1">
    <mergeCell ref="G3:K3"/>
  </mergeCells>
  <pageMargins left="0.7" right="0.7" top="0.75" bottom="0.75" header="0.3" footer="0.3"/>
  <pageSetup scale="7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10355-075B-48B7-8075-7FBB2D163E44}">
  <sheetPr>
    <pageSetUpPr fitToPage="1"/>
  </sheetPr>
  <dimension ref="B1:L60"/>
  <sheetViews>
    <sheetView showGridLines="0" topLeftCell="A15" zoomScale="50" zoomScaleNormal="50" workbookViewId="0">
      <selection activeCell="J13" sqref="J13"/>
    </sheetView>
  </sheetViews>
  <sheetFormatPr defaultRowHeight="26.25" x14ac:dyDescent="0.4"/>
  <cols>
    <col min="1" max="1" width="5.5703125" style="1" customWidth="1"/>
    <col min="2" max="2" width="78.7109375" style="1" customWidth="1"/>
    <col min="3" max="3" width="25.85546875" style="1" customWidth="1"/>
    <col min="4" max="4" width="71.5703125" style="1" customWidth="1"/>
    <col min="5" max="5" width="69.140625" style="2" customWidth="1"/>
    <col min="6" max="6" width="46.140625" style="2" customWidth="1"/>
    <col min="7" max="7" width="9.140625" style="1"/>
    <col min="8" max="8" width="20.28515625" style="1" customWidth="1"/>
    <col min="9" max="9" width="16.28515625" style="1" customWidth="1"/>
    <col min="10" max="10" width="27.5703125" style="1" bestFit="1" customWidth="1"/>
    <col min="11" max="11" width="11.28515625" style="1" bestFit="1" customWidth="1"/>
    <col min="12" max="230" width="9.140625" style="1"/>
    <col min="231" max="231" width="5.5703125" style="1" customWidth="1"/>
    <col min="232" max="232" width="58" style="1" customWidth="1"/>
    <col min="233" max="233" width="24.140625" style="1" customWidth="1"/>
    <col min="234" max="235" width="0" style="1" hidden="1" customWidth="1"/>
    <col min="236" max="236" width="61.42578125" style="1" customWidth="1"/>
    <col min="237" max="237" width="62.140625" style="1" customWidth="1"/>
    <col min="238" max="241" width="0" style="1" hidden="1" customWidth="1"/>
    <col min="242" max="486" width="9.140625" style="1"/>
    <col min="487" max="487" width="5.5703125" style="1" customWidth="1"/>
    <col min="488" max="488" width="58" style="1" customWidth="1"/>
    <col min="489" max="489" width="24.140625" style="1" customWidth="1"/>
    <col min="490" max="491" width="0" style="1" hidden="1" customWidth="1"/>
    <col min="492" max="492" width="61.42578125" style="1" customWidth="1"/>
    <col min="493" max="493" width="62.140625" style="1" customWidth="1"/>
    <col min="494" max="497" width="0" style="1" hidden="1" customWidth="1"/>
    <col min="498" max="742" width="9.140625" style="1"/>
    <col min="743" max="743" width="5.5703125" style="1" customWidth="1"/>
    <col min="744" max="744" width="58" style="1" customWidth="1"/>
    <col min="745" max="745" width="24.140625" style="1" customWidth="1"/>
    <col min="746" max="747" width="0" style="1" hidden="1" customWidth="1"/>
    <col min="748" max="748" width="61.42578125" style="1" customWidth="1"/>
    <col min="749" max="749" width="62.140625" style="1" customWidth="1"/>
    <col min="750" max="753" width="0" style="1" hidden="1" customWidth="1"/>
    <col min="754" max="998" width="9.140625" style="1"/>
    <col min="999" max="999" width="5.5703125" style="1" customWidth="1"/>
    <col min="1000" max="1000" width="58" style="1" customWidth="1"/>
    <col min="1001" max="1001" width="24.140625" style="1" customWidth="1"/>
    <col min="1002" max="1003" width="0" style="1" hidden="1" customWidth="1"/>
    <col min="1004" max="1004" width="61.42578125" style="1" customWidth="1"/>
    <col min="1005" max="1005" width="62.140625" style="1" customWidth="1"/>
    <col min="1006" max="1009" width="0" style="1" hidden="1" customWidth="1"/>
    <col min="1010" max="1254" width="9.140625" style="1"/>
    <col min="1255" max="1255" width="5.5703125" style="1" customWidth="1"/>
    <col min="1256" max="1256" width="58" style="1" customWidth="1"/>
    <col min="1257" max="1257" width="24.140625" style="1" customWidth="1"/>
    <col min="1258" max="1259" width="0" style="1" hidden="1" customWidth="1"/>
    <col min="1260" max="1260" width="61.42578125" style="1" customWidth="1"/>
    <col min="1261" max="1261" width="62.140625" style="1" customWidth="1"/>
    <col min="1262" max="1265" width="0" style="1" hidden="1" customWidth="1"/>
    <col min="1266" max="1510" width="9.140625" style="1"/>
    <col min="1511" max="1511" width="5.5703125" style="1" customWidth="1"/>
    <col min="1512" max="1512" width="58" style="1" customWidth="1"/>
    <col min="1513" max="1513" width="24.140625" style="1" customWidth="1"/>
    <col min="1514" max="1515" width="0" style="1" hidden="1" customWidth="1"/>
    <col min="1516" max="1516" width="61.42578125" style="1" customWidth="1"/>
    <col min="1517" max="1517" width="62.140625" style="1" customWidth="1"/>
    <col min="1518" max="1521" width="0" style="1" hidden="1" customWidth="1"/>
    <col min="1522" max="1766" width="9.140625" style="1"/>
    <col min="1767" max="1767" width="5.5703125" style="1" customWidth="1"/>
    <col min="1768" max="1768" width="58" style="1" customWidth="1"/>
    <col min="1769" max="1769" width="24.140625" style="1" customWidth="1"/>
    <col min="1770" max="1771" width="0" style="1" hidden="1" customWidth="1"/>
    <col min="1772" max="1772" width="61.42578125" style="1" customWidth="1"/>
    <col min="1773" max="1773" width="62.140625" style="1" customWidth="1"/>
    <col min="1774" max="1777" width="0" style="1" hidden="1" customWidth="1"/>
    <col min="1778" max="2022" width="9.140625" style="1"/>
    <col min="2023" max="2023" width="5.5703125" style="1" customWidth="1"/>
    <col min="2024" max="2024" width="58" style="1" customWidth="1"/>
    <col min="2025" max="2025" width="24.140625" style="1" customWidth="1"/>
    <col min="2026" max="2027" width="0" style="1" hidden="1" customWidth="1"/>
    <col min="2028" max="2028" width="61.42578125" style="1" customWidth="1"/>
    <col min="2029" max="2029" width="62.140625" style="1" customWidth="1"/>
    <col min="2030" max="2033" width="0" style="1" hidden="1" customWidth="1"/>
    <col min="2034" max="2278" width="9.140625" style="1"/>
    <col min="2279" max="2279" width="5.5703125" style="1" customWidth="1"/>
    <col min="2280" max="2280" width="58" style="1" customWidth="1"/>
    <col min="2281" max="2281" width="24.140625" style="1" customWidth="1"/>
    <col min="2282" max="2283" width="0" style="1" hidden="1" customWidth="1"/>
    <col min="2284" max="2284" width="61.42578125" style="1" customWidth="1"/>
    <col min="2285" max="2285" width="62.140625" style="1" customWidth="1"/>
    <col min="2286" max="2289" width="0" style="1" hidden="1" customWidth="1"/>
    <col min="2290" max="2534" width="9.140625" style="1"/>
    <col min="2535" max="2535" width="5.5703125" style="1" customWidth="1"/>
    <col min="2536" max="2536" width="58" style="1" customWidth="1"/>
    <col min="2537" max="2537" width="24.140625" style="1" customWidth="1"/>
    <col min="2538" max="2539" width="0" style="1" hidden="1" customWidth="1"/>
    <col min="2540" max="2540" width="61.42578125" style="1" customWidth="1"/>
    <col min="2541" max="2541" width="62.140625" style="1" customWidth="1"/>
    <col min="2542" max="2545" width="0" style="1" hidden="1" customWidth="1"/>
    <col min="2546" max="2790" width="9.140625" style="1"/>
    <col min="2791" max="2791" width="5.5703125" style="1" customWidth="1"/>
    <col min="2792" max="2792" width="58" style="1" customWidth="1"/>
    <col min="2793" max="2793" width="24.140625" style="1" customWidth="1"/>
    <col min="2794" max="2795" width="0" style="1" hidden="1" customWidth="1"/>
    <col min="2796" max="2796" width="61.42578125" style="1" customWidth="1"/>
    <col min="2797" max="2797" width="62.140625" style="1" customWidth="1"/>
    <col min="2798" max="2801" width="0" style="1" hidden="1" customWidth="1"/>
    <col min="2802" max="3046" width="9.140625" style="1"/>
    <col min="3047" max="3047" width="5.5703125" style="1" customWidth="1"/>
    <col min="3048" max="3048" width="58" style="1" customWidth="1"/>
    <col min="3049" max="3049" width="24.140625" style="1" customWidth="1"/>
    <col min="3050" max="3051" width="0" style="1" hidden="1" customWidth="1"/>
    <col min="3052" max="3052" width="61.42578125" style="1" customWidth="1"/>
    <col min="3053" max="3053" width="62.140625" style="1" customWidth="1"/>
    <col min="3054" max="3057" width="0" style="1" hidden="1" customWidth="1"/>
    <col min="3058" max="3302" width="9.140625" style="1"/>
    <col min="3303" max="3303" width="5.5703125" style="1" customWidth="1"/>
    <col min="3304" max="3304" width="58" style="1" customWidth="1"/>
    <col min="3305" max="3305" width="24.140625" style="1" customWidth="1"/>
    <col min="3306" max="3307" width="0" style="1" hidden="1" customWidth="1"/>
    <col min="3308" max="3308" width="61.42578125" style="1" customWidth="1"/>
    <col min="3309" max="3309" width="62.140625" style="1" customWidth="1"/>
    <col min="3310" max="3313" width="0" style="1" hidden="1" customWidth="1"/>
    <col min="3314" max="3558" width="9.140625" style="1"/>
    <col min="3559" max="3559" width="5.5703125" style="1" customWidth="1"/>
    <col min="3560" max="3560" width="58" style="1" customWidth="1"/>
    <col min="3561" max="3561" width="24.140625" style="1" customWidth="1"/>
    <col min="3562" max="3563" width="0" style="1" hidden="1" customWidth="1"/>
    <col min="3564" max="3564" width="61.42578125" style="1" customWidth="1"/>
    <col min="3565" max="3565" width="62.140625" style="1" customWidth="1"/>
    <col min="3566" max="3569" width="0" style="1" hidden="1" customWidth="1"/>
    <col min="3570" max="3814" width="9.140625" style="1"/>
    <col min="3815" max="3815" width="5.5703125" style="1" customWidth="1"/>
    <col min="3816" max="3816" width="58" style="1" customWidth="1"/>
    <col min="3817" max="3817" width="24.140625" style="1" customWidth="1"/>
    <col min="3818" max="3819" width="0" style="1" hidden="1" customWidth="1"/>
    <col min="3820" max="3820" width="61.42578125" style="1" customWidth="1"/>
    <col min="3821" max="3821" width="62.140625" style="1" customWidth="1"/>
    <col min="3822" max="3825" width="0" style="1" hidden="1" customWidth="1"/>
    <col min="3826" max="4070" width="9.140625" style="1"/>
    <col min="4071" max="4071" width="5.5703125" style="1" customWidth="1"/>
    <col min="4072" max="4072" width="58" style="1" customWidth="1"/>
    <col min="4073" max="4073" width="24.140625" style="1" customWidth="1"/>
    <col min="4074" max="4075" width="0" style="1" hidden="1" customWidth="1"/>
    <col min="4076" max="4076" width="61.42578125" style="1" customWidth="1"/>
    <col min="4077" max="4077" width="62.140625" style="1" customWidth="1"/>
    <col min="4078" max="4081" width="0" style="1" hidden="1" customWidth="1"/>
    <col min="4082" max="4326" width="9.140625" style="1"/>
    <col min="4327" max="4327" width="5.5703125" style="1" customWidth="1"/>
    <col min="4328" max="4328" width="58" style="1" customWidth="1"/>
    <col min="4329" max="4329" width="24.140625" style="1" customWidth="1"/>
    <col min="4330" max="4331" width="0" style="1" hidden="1" customWidth="1"/>
    <col min="4332" max="4332" width="61.42578125" style="1" customWidth="1"/>
    <col min="4333" max="4333" width="62.140625" style="1" customWidth="1"/>
    <col min="4334" max="4337" width="0" style="1" hidden="1" customWidth="1"/>
    <col min="4338" max="4582" width="9.140625" style="1"/>
    <col min="4583" max="4583" width="5.5703125" style="1" customWidth="1"/>
    <col min="4584" max="4584" width="58" style="1" customWidth="1"/>
    <col min="4585" max="4585" width="24.140625" style="1" customWidth="1"/>
    <col min="4586" max="4587" width="0" style="1" hidden="1" customWidth="1"/>
    <col min="4588" max="4588" width="61.42578125" style="1" customWidth="1"/>
    <col min="4589" max="4589" width="62.140625" style="1" customWidth="1"/>
    <col min="4590" max="4593" width="0" style="1" hidden="1" customWidth="1"/>
    <col min="4594" max="4838" width="9.140625" style="1"/>
    <col min="4839" max="4839" width="5.5703125" style="1" customWidth="1"/>
    <col min="4840" max="4840" width="58" style="1" customWidth="1"/>
    <col min="4841" max="4841" width="24.140625" style="1" customWidth="1"/>
    <col min="4842" max="4843" width="0" style="1" hidden="1" customWidth="1"/>
    <col min="4844" max="4844" width="61.42578125" style="1" customWidth="1"/>
    <col min="4845" max="4845" width="62.140625" style="1" customWidth="1"/>
    <col min="4846" max="4849" width="0" style="1" hidden="1" customWidth="1"/>
    <col min="4850" max="5094" width="9.140625" style="1"/>
    <col min="5095" max="5095" width="5.5703125" style="1" customWidth="1"/>
    <col min="5096" max="5096" width="58" style="1" customWidth="1"/>
    <col min="5097" max="5097" width="24.140625" style="1" customWidth="1"/>
    <col min="5098" max="5099" width="0" style="1" hidden="1" customWidth="1"/>
    <col min="5100" max="5100" width="61.42578125" style="1" customWidth="1"/>
    <col min="5101" max="5101" width="62.140625" style="1" customWidth="1"/>
    <col min="5102" max="5105" width="0" style="1" hidden="1" customWidth="1"/>
    <col min="5106" max="5350" width="9.140625" style="1"/>
    <col min="5351" max="5351" width="5.5703125" style="1" customWidth="1"/>
    <col min="5352" max="5352" width="58" style="1" customWidth="1"/>
    <col min="5353" max="5353" width="24.140625" style="1" customWidth="1"/>
    <col min="5354" max="5355" width="0" style="1" hidden="1" customWidth="1"/>
    <col min="5356" max="5356" width="61.42578125" style="1" customWidth="1"/>
    <col min="5357" max="5357" width="62.140625" style="1" customWidth="1"/>
    <col min="5358" max="5361" width="0" style="1" hidden="1" customWidth="1"/>
    <col min="5362" max="5606" width="9.140625" style="1"/>
    <col min="5607" max="5607" width="5.5703125" style="1" customWidth="1"/>
    <col min="5608" max="5608" width="58" style="1" customWidth="1"/>
    <col min="5609" max="5609" width="24.140625" style="1" customWidth="1"/>
    <col min="5610" max="5611" width="0" style="1" hidden="1" customWidth="1"/>
    <col min="5612" max="5612" width="61.42578125" style="1" customWidth="1"/>
    <col min="5613" max="5613" width="62.140625" style="1" customWidth="1"/>
    <col min="5614" max="5617" width="0" style="1" hidden="1" customWidth="1"/>
    <col min="5618" max="5862" width="9.140625" style="1"/>
    <col min="5863" max="5863" width="5.5703125" style="1" customWidth="1"/>
    <col min="5864" max="5864" width="58" style="1" customWidth="1"/>
    <col min="5865" max="5865" width="24.140625" style="1" customWidth="1"/>
    <col min="5866" max="5867" width="0" style="1" hidden="1" customWidth="1"/>
    <col min="5868" max="5868" width="61.42578125" style="1" customWidth="1"/>
    <col min="5869" max="5869" width="62.140625" style="1" customWidth="1"/>
    <col min="5870" max="5873" width="0" style="1" hidden="1" customWidth="1"/>
    <col min="5874" max="6118" width="9.140625" style="1"/>
    <col min="6119" max="6119" width="5.5703125" style="1" customWidth="1"/>
    <col min="6120" max="6120" width="58" style="1" customWidth="1"/>
    <col min="6121" max="6121" width="24.140625" style="1" customWidth="1"/>
    <col min="6122" max="6123" width="0" style="1" hidden="1" customWidth="1"/>
    <col min="6124" max="6124" width="61.42578125" style="1" customWidth="1"/>
    <col min="6125" max="6125" width="62.140625" style="1" customWidth="1"/>
    <col min="6126" max="6129" width="0" style="1" hidden="1" customWidth="1"/>
    <col min="6130" max="6374" width="9.140625" style="1"/>
    <col min="6375" max="6375" width="5.5703125" style="1" customWidth="1"/>
    <col min="6376" max="6376" width="58" style="1" customWidth="1"/>
    <col min="6377" max="6377" width="24.140625" style="1" customWidth="1"/>
    <col min="6378" max="6379" width="0" style="1" hidden="1" customWidth="1"/>
    <col min="6380" max="6380" width="61.42578125" style="1" customWidth="1"/>
    <col min="6381" max="6381" width="62.140625" style="1" customWidth="1"/>
    <col min="6382" max="6385" width="0" style="1" hidden="1" customWidth="1"/>
    <col min="6386" max="6630" width="9.140625" style="1"/>
    <col min="6631" max="6631" width="5.5703125" style="1" customWidth="1"/>
    <col min="6632" max="6632" width="58" style="1" customWidth="1"/>
    <col min="6633" max="6633" width="24.140625" style="1" customWidth="1"/>
    <col min="6634" max="6635" width="0" style="1" hidden="1" customWidth="1"/>
    <col min="6636" max="6636" width="61.42578125" style="1" customWidth="1"/>
    <col min="6637" max="6637" width="62.140625" style="1" customWidth="1"/>
    <col min="6638" max="6641" width="0" style="1" hidden="1" customWidth="1"/>
    <col min="6642" max="6886" width="9.140625" style="1"/>
    <col min="6887" max="6887" width="5.5703125" style="1" customWidth="1"/>
    <col min="6888" max="6888" width="58" style="1" customWidth="1"/>
    <col min="6889" max="6889" width="24.140625" style="1" customWidth="1"/>
    <col min="6890" max="6891" width="0" style="1" hidden="1" customWidth="1"/>
    <col min="6892" max="6892" width="61.42578125" style="1" customWidth="1"/>
    <col min="6893" max="6893" width="62.140625" style="1" customWidth="1"/>
    <col min="6894" max="6897" width="0" style="1" hidden="1" customWidth="1"/>
    <col min="6898" max="7142" width="9.140625" style="1"/>
    <col min="7143" max="7143" width="5.5703125" style="1" customWidth="1"/>
    <col min="7144" max="7144" width="58" style="1" customWidth="1"/>
    <col min="7145" max="7145" width="24.140625" style="1" customWidth="1"/>
    <col min="7146" max="7147" width="0" style="1" hidden="1" customWidth="1"/>
    <col min="7148" max="7148" width="61.42578125" style="1" customWidth="1"/>
    <col min="7149" max="7149" width="62.140625" style="1" customWidth="1"/>
    <col min="7150" max="7153" width="0" style="1" hidden="1" customWidth="1"/>
    <col min="7154" max="7398" width="9.140625" style="1"/>
    <col min="7399" max="7399" width="5.5703125" style="1" customWidth="1"/>
    <col min="7400" max="7400" width="58" style="1" customWidth="1"/>
    <col min="7401" max="7401" width="24.140625" style="1" customWidth="1"/>
    <col min="7402" max="7403" width="0" style="1" hidden="1" customWidth="1"/>
    <col min="7404" max="7404" width="61.42578125" style="1" customWidth="1"/>
    <col min="7405" max="7405" width="62.140625" style="1" customWidth="1"/>
    <col min="7406" max="7409" width="0" style="1" hidden="1" customWidth="1"/>
    <col min="7410" max="7654" width="9.140625" style="1"/>
    <col min="7655" max="7655" width="5.5703125" style="1" customWidth="1"/>
    <col min="7656" max="7656" width="58" style="1" customWidth="1"/>
    <col min="7657" max="7657" width="24.140625" style="1" customWidth="1"/>
    <col min="7658" max="7659" width="0" style="1" hidden="1" customWidth="1"/>
    <col min="7660" max="7660" width="61.42578125" style="1" customWidth="1"/>
    <col min="7661" max="7661" width="62.140625" style="1" customWidth="1"/>
    <col min="7662" max="7665" width="0" style="1" hidden="1" customWidth="1"/>
    <col min="7666" max="7910" width="9.140625" style="1"/>
    <col min="7911" max="7911" width="5.5703125" style="1" customWidth="1"/>
    <col min="7912" max="7912" width="58" style="1" customWidth="1"/>
    <col min="7913" max="7913" width="24.140625" style="1" customWidth="1"/>
    <col min="7914" max="7915" width="0" style="1" hidden="1" customWidth="1"/>
    <col min="7916" max="7916" width="61.42578125" style="1" customWidth="1"/>
    <col min="7917" max="7917" width="62.140625" style="1" customWidth="1"/>
    <col min="7918" max="7921" width="0" style="1" hidden="1" customWidth="1"/>
    <col min="7922" max="8166" width="9.140625" style="1"/>
    <col min="8167" max="8167" width="5.5703125" style="1" customWidth="1"/>
    <col min="8168" max="8168" width="58" style="1" customWidth="1"/>
    <col min="8169" max="8169" width="24.140625" style="1" customWidth="1"/>
    <col min="8170" max="8171" width="0" style="1" hidden="1" customWidth="1"/>
    <col min="8172" max="8172" width="61.42578125" style="1" customWidth="1"/>
    <col min="8173" max="8173" width="62.140625" style="1" customWidth="1"/>
    <col min="8174" max="8177" width="0" style="1" hidden="1" customWidth="1"/>
    <col min="8178" max="8422" width="9.140625" style="1"/>
    <col min="8423" max="8423" width="5.5703125" style="1" customWidth="1"/>
    <col min="8424" max="8424" width="58" style="1" customWidth="1"/>
    <col min="8425" max="8425" width="24.140625" style="1" customWidth="1"/>
    <col min="8426" max="8427" width="0" style="1" hidden="1" customWidth="1"/>
    <col min="8428" max="8428" width="61.42578125" style="1" customWidth="1"/>
    <col min="8429" max="8429" width="62.140625" style="1" customWidth="1"/>
    <col min="8430" max="8433" width="0" style="1" hidden="1" customWidth="1"/>
    <col min="8434" max="8678" width="9.140625" style="1"/>
    <col min="8679" max="8679" width="5.5703125" style="1" customWidth="1"/>
    <col min="8680" max="8680" width="58" style="1" customWidth="1"/>
    <col min="8681" max="8681" width="24.140625" style="1" customWidth="1"/>
    <col min="8682" max="8683" width="0" style="1" hidden="1" customWidth="1"/>
    <col min="8684" max="8684" width="61.42578125" style="1" customWidth="1"/>
    <col min="8685" max="8685" width="62.140625" style="1" customWidth="1"/>
    <col min="8686" max="8689" width="0" style="1" hidden="1" customWidth="1"/>
    <col min="8690" max="8934" width="9.140625" style="1"/>
    <col min="8935" max="8935" width="5.5703125" style="1" customWidth="1"/>
    <col min="8936" max="8936" width="58" style="1" customWidth="1"/>
    <col min="8937" max="8937" width="24.140625" style="1" customWidth="1"/>
    <col min="8938" max="8939" width="0" style="1" hidden="1" customWidth="1"/>
    <col min="8940" max="8940" width="61.42578125" style="1" customWidth="1"/>
    <col min="8941" max="8941" width="62.140625" style="1" customWidth="1"/>
    <col min="8942" max="8945" width="0" style="1" hidden="1" customWidth="1"/>
    <col min="8946" max="9190" width="9.140625" style="1"/>
    <col min="9191" max="9191" width="5.5703125" style="1" customWidth="1"/>
    <col min="9192" max="9192" width="58" style="1" customWidth="1"/>
    <col min="9193" max="9193" width="24.140625" style="1" customWidth="1"/>
    <col min="9194" max="9195" width="0" style="1" hidden="1" customWidth="1"/>
    <col min="9196" max="9196" width="61.42578125" style="1" customWidth="1"/>
    <col min="9197" max="9197" width="62.140625" style="1" customWidth="1"/>
    <col min="9198" max="9201" width="0" style="1" hidden="1" customWidth="1"/>
    <col min="9202" max="9446" width="9.140625" style="1"/>
    <col min="9447" max="9447" width="5.5703125" style="1" customWidth="1"/>
    <col min="9448" max="9448" width="58" style="1" customWidth="1"/>
    <col min="9449" max="9449" width="24.140625" style="1" customWidth="1"/>
    <col min="9450" max="9451" width="0" style="1" hidden="1" customWidth="1"/>
    <col min="9452" max="9452" width="61.42578125" style="1" customWidth="1"/>
    <col min="9453" max="9453" width="62.140625" style="1" customWidth="1"/>
    <col min="9454" max="9457" width="0" style="1" hidden="1" customWidth="1"/>
    <col min="9458" max="9702" width="9.140625" style="1"/>
    <col min="9703" max="9703" width="5.5703125" style="1" customWidth="1"/>
    <col min="9704" max="9704" width="58" style="1" customWidth="1"/>
    <col min="9705" max="9705" width="24.140625" style="1" customWidth="1"/>
    <col min="9706" max="9707" width="0" style="1" hidden="1" customWidth="1"/>
    <col min="9708" max="9708" width="61.42578125" style="1" customWidth="1"/>
    <col min="9709" max="9709" width="62.140625" style="1" customWidth="1"/>
    <col min="9710" max="9713" width="0" style="1" hidden="1" customWidth="1"/>
    <col min="9714" max="9958" width="9.140625" style="1"/>
    <col min="9959" max="9959" width="5.5703125" style="1" customWidth="1"/>
    <col min="9960" max="9960" width="58" style="1" customWidth="1"/>
    <col min="9961" max="9961" width="24.140625" style="1" customWidth="1"/>
    <col min="9962" max="9963" width="0" style="1" hidden="1" customWidth="1"/>
    <col min="9964" max="9964" width="61.42578125" style="1" customWidth="1"/>
    <col min="9965" max="9965" width="62.140625" style="1" customWidth="1"/>
    <col min="9966" max="9969" width="0" style="1" hidden="1" customWidth="1"/>
    <col min="9970" max="10214" width="9.140625" style="1"/>
    <col min="10215" max="10215" width="5.5703125" style="1" customWidth="1"/>
    <col min="10216" max="10216" width="58" style="1" customWidth="1"/>
    <col min="10217" max="10217" width="24.140625" style="1" customWidth="1"/>
    <col min="10218" max="10219" width="0" style="1" hidden="1" customWidth="1"/>
    <col min="10220" max="10220" width="61.42578125" style="1" customWidth="1"/>
    <col min="10221" max="10221" width="62.140625" style="1" customWidth="1"/>
    <col min="10222" max="10225" width="0" style="1" hidden="1" customWidth="1"/>
    <col min="10226" max="10470" width="9.140625" style="1"/>
    <col min="10471" max="10471" width="5.5703125" style="1" customWidth="1"/>
    <col min="10472" max="10472" width="58" style="1" customWidth="1"/>
    <col min="10473" max="10473" width="24.140625" style="1" customWidth="1"/>
    <col min="10474" max="10475" width="0" style="1" hidden="1" customWidth="1"/>
    <col min="10476" max="10476" width="61.42578125" style="1" customWidth="1"/>
    <col min="10477" max="10477" width="62.140625" style="1" customWidth="1"/>
    <col min="10478" max="10481" width="0" style="1" hidden="1" customWidth="1"/>
    <col min="10482" max="10726" width="9.140625" style="1"/>
    <col min="10727" max="10727" width="5.5703125" style="1" customWidth="1"/>
    <col min="10728" max="10728" width="58" style="1" customWidth="1"/>
    <col min="10729" max="10729" width="24.140625" style="1" customWidth="1"/>
    <col min="10730" max="10731" width="0" style="1" hidden="1" customWidth="1"/>
    <col min="10732" max="10732" width="61.42578125" style="1" customWidth="1"/>
    <col min="10733" max="10733" width="62.140625" style="1" customWidth="1"/>
    <col min="10734" max="10737" width="0" style="1" hidden="1" customWidth="1"/>
    <col min="10738" max="10982" width="9.140625" style="1"/>
    <col min="10983" max="10983" width="5.5703125" style="1" customWidth="1"/>
    <col min="10984" max="10984" width="58" style="1" customWidth="1"/>
    <col min="10985" max="10985" width="24.140625" style="1" customWidth="1"/>
    <col min="10986" max="10987" width="0" style="1" hidden="1" customWidth="1"/>
    <col min="10988" max="10988" width="61.42578125" style="1" customWidth="1"/>
    <col min="10989" max="10989" width="62.140625" style="1" customWidth="1"/>
    <col min="10990" max="10993" width="0" style="1" hidden="1" customWidth="1"/>
    <col min="10994" max="11238" width="9.140625" style="1"/>
    <col min="11239" max="11239" width="5.5703125" style="1" customWidth="1"/>
    <col min="11240" max="11240" width="58" style="1" customWidth="1"/>
    <col min="11241" max="11241" width="24.140625" style="1" customWidth="1"/>
    <col min="11242" max="11243" width="0" style="1" hidden="1" customWidth="1"/>
    <col min="11244" max="11244" width="61.42578125" style="1" customWidth="1"/>
    <col min="11245" max="11245" width="62.140625" style="1" customWidth="1"/>
    <col min="11246" max="11249" width="0" style="1" hidden="1" customWidth="1"/>
    <col min="11250" max="11494" width="9.140625" style="1"/>
    <col min="11495" max="11495" width="5.5703125" style="1" customWidth="1"/>
    <col min="11496" max="11496" width="58" style="1" customWidth="1"/>
    <col min="11497" max="11497" width="24.140625" style="1" customWidth="1"/>
    <col min="11498" max="11499" width="0" style="1" hidden="1" customWidth="1"/>
    <col min="11500" max="11500" width="61.42578125" style="1" customWidth="1"/>
    <col min="11501" max="11501" width="62.140625" style="1" customWidth="1"/>
    <col min="11502" max="11505" width="0" style="1" hidden="1" customWidth="1"/>
    <col min="11506" max="11750" width="9.140625" style="1"/>
    <col min="11751" max="11751" width="5.5703125" style="1" customWidth="1"/>
    <col min="11752" max="11752" width="58" style="1" customWidth="1"/>
    <col min="11753" max="11753" width="24.140625" style="1" customWidth="1"/>
    <col min="11754" max="11755" width="0" style="1" hidden="1" customWidth="1"/>
    <col min="11756" max="11756" width="61.42578125" style="1" customWidth="1"/>
    <col min="11757" max="11757" width="62.140625" style="1" customWidth="1"/>
    <col min="11758" max="11761" width="0" style="1" hidden="1" customWidth="1"/>
    <col min="11762" max="12006" width="9.140625" style="1"/>
    <col min="12007" max="12007" width="5.5703125" style="1" customWidth="1"/>
    <col min="12008" max="12008" width="58" style="1" customWidth="1"/>
    <col min="12009" max="12009" width="24.140625" style="1" customWidth="1"/>
    <col min="12010" max="12011" width="0" style="1" hidden="1" customWidth="1"/>
    <col min="12012" max="12012" width="61.42578125" style="1" customWidth="1"/>
    <col min="12013" max="12013" width="62.140625" style="1" customWidth="1"/>
    <col min="12014" max="12017" width="0" style="1" hidden="1" customWidth="1"/>
    <col min="12018" max="12262" width="9.140625" style="1"/>
    <col min="12263" max="12263" width="5.5703125" style="1" customWidth="1"/>
    <col min="12264" max="12264" width="58" style="1" customWidth="1"/>
    <col min="12265" max="12265" width="24.140625" style="1" customWidth="1"/>
    <col min="12266" max="12267" width="0" style="1" hidden="1" customWidth="1"/>
    <col min="12268" max="12268" width="61.42578125" style="1" customWidth="1"/>
    <col min="12269" max="12269" width="62.140625" style="1" customWidth="1"/>
    <col min="12270" max="12273" width="0" style="1" hidden="1" customWidth="1"/>
    <col min="12274" max="12518" width="9.140625" style="1"/>
    <col min="12519" max="12519" width="5.5703125" style="1" customWidth="1"/>
    <col min="12520" max="12520" width="58" style="1" customWidth="1"/>
    <col min="12521" max="12521" width="24.140625" style="1" customWidth="1"/>
    <col min="12522" max="12523" width="0" style="1" hidden="1" customWidth="1"/>
    <col min="12524" max="12524" width="61.42578125" style="1" customWidth="1"/>
    <col min="12525" max="12525" width="62.140625" style="1" customWidth="1"/>
    <col min="12526" max="12529" width="0" style="1" hidden="1" customWidth="1"/>
    <col min="12530" max="12774" width="9.140625" style="1"/>
    <col min="12775" max="12775" width="5.5703125" style="1" customWidth="1"/>
    <col min="12776" max="12776" width="58" style="1" customWidth="1"/>
    <col min="12777" max="12777" width="24.140625" style="1" customWidth="1"/>
    <col min="12778" max="12779" width="0" style="1" hidden="1" customWidth="1"/>
    <col min="12780" max="12780" width="61.42578125" style="1" customWidth="1"/>
    <col min="12781" max="12781" width="62.140625" style="1" customWidth="1"/>
    <col min="12782" max="12785" width="0" style="1" hidden="1" customWidth="1"/>
    <col min="12786" max="13030" width="9.140625" style="1"/>
    <col min="13031" max="13031" width="5.5703125" style="1" customWidth="1"/>
    <col min="13032" max="13032" width="58" style="1" customWidth="1"/>
    <col min="13033" max="13033" width="24.140625" style="1" customWidth="1"/>
    <col min="13034" max="13035" width="0" style="1" hidden="1" customWidth="1"/>
    <col min="13036" max="13036" width="61.42578125" style="1" customWidth="1"/>
    <col min="13037" max="13037" width="62.140625" style="1" customWidth="1"/>
    <col min="13038" max="13041" width="0" style="1" hidden="1" customWidth="1"/>
    <col min="13042" max="13286" width="9.140625" style="1"/>
    <col min="13287" max="13287" width="5.5703125" style="1" customWidth="1"/>
    <col min="13288" max="13288" width="58" style="1" customWidth="1"/>
    <col min="13289" max="13289" width="24.140625" style="1" customWidth="1"/>
    <col min="13290" max="13291" width="0" style="1" hidden="1" customWidth="1"/>
    <col min="13292" max="13292" width="61.42578125" style="1" customWidth="1"/>
    <col min="13293" max="13293" width="62.140625" style="1" customWidth="1"/>
    <col min="13294" max="13297" width="0" style="1" hidden="1" customWidth="1"/>
    <col min="13298" max="13542" width="9.140625" style="1"/>
    <col min="13543" max="13543" width="5.5703125" style="1" customWidth="1"/>
    <col min="13544" max="13544" width="58" style="1" customWidth="1"/>
    <col min="13545" max="13545" width="24.140625" style="1" customWidth="1"/>
    <col min="13546" max="13547" width="0" style="1" hidden="1" customWidth="1"/>
    <col min="13548" max="13548" width="61.42578125" style="1" customWidth="1"/>
    <col min="13549" max="13549" width="62.140625" style="1" customWidth="1"/>
    <col min="13550" max="13553" width="0" style="1" hidden="1" customWidth="1"/>
    <col min="13554" max="13798" width="9.140625" style="1"/>
    <col min="13799" max="13799" width="5.5703125" style="1" customWidth="1"/>
    <col min="13800" max="13800" width="58" style="1" customWidth="1"/>
    <col min="13801" max="13801" width="24.140625" style="1" customWidth="1"/>
    <col min="13802" max="13803" width="0" style="1" hidden="1" customWidth="1"/>
    <col min="13804" max="13804" width="61.42578125" style="1" customWidth="1"/>
    <col min="13805" max="13805" width="62.140625" style="1" customWidth="1"/>
    <col min="13806" max="13809" width="0" style="1" hidden="1" customWidth="1"/>
    <col min="13810" max="14054" width="9.140625" style="1"/>
    <col min="14055" max="14055" width="5.5703125" style="1" customWidth="1"/>
    <col min="14056" max="14056" width="58" style="1" customWidth="1"/>
    <col min="14057" max="14057" width="24.140625" style="1" customWidth="1"/>
    <col min="14058" max="14059" width="0" style="1" hidden="1" customWidth="1"/>
    <col min="14060" max="14060" width="61.42578125" style="1" customWidth="1"/>
    <col min="14061" max="14061" width="62.140625" style="1" customWidth="1"/>
    <col min="14062" max="14065" width="0" style="1" hidden="1" customWidth="1"/>
    <col min="14066" max="14310" width="9.140625" style="1"/>
    <col min="14311" max="14311" width="5.5703125" style="1" customWidth="1"/>
    <col min="14312" max="14312" width="58" style="1" customWidth="1"/>
    <col min="14313" max="14313" width="24.140625" style="1" customWidth="1"/>
    <col min="14314" max="14315" width="0" style="1" hidden="1" customWidth="1"/>
    <col min="14316" max="14316" width="61.42578125" style="1" customWidth="1"/>
    <col min="14317" max="14317" width="62.140625" style="1" customWidth="1"/>
    <col min="14318" max="14321" width="0" style="1" hidden="1" customWidth="1"/>
    <col min="14322" max="14566" width="9.140625" style="1"/>
    <col min="14567" max="14567" width="5.5703125" style="1" customWidth="1"/>
    <col min="14568" max="14568" width="58" style="1" customWidth="1"/>
    <col min="14569" max="14569" width="24.140625" style="1" customWidth="1"/>
    <col min="14570" max="14571" width="0" style="1" hidden="1" customWidth="1"/>
    <col min="14572" max="14572" width="61.42578125" style="1" customWidth="1"/>
    <col min="14573" max="14573" width="62.140625" style="1" customWidth="1"/>
    <col min="14574" max="14577" width="0" style="1" hidden="1" customWidth="1"/>
    <col min="14578" max="14822" width="9.140625" style="1"/>
    <col min="14823" max="14823" width="5.5703125" style="1" customWidth="1"/>
    <col min="14824" max="14824" width="58" style="1" customWidth="1"/>
    <col min="14825" max="14825" width="24.140625" style="1" customWidth="1"/>
    <col min="14826" max="14827" width="0" style="1" hidden="1" customWidth="1"/>
    <col min="14828" max="14828" width="61.42578125" style="1" customWidth="1"/>
    <col min="14829" max="14829" width="62.140625" style="1" customWidth="1"/>
    <col min="14830" max="14833" width="0" style="1" hidden="1" customWidth="1"/>
    <col min="14834" max="15078" width="9.140625" style="1"/>
    <col min="15079" max="15079" width="5.5703125" style="1" customWidth="1"/>
    <col min="15080" max="15080" width="58" style="1" customWidth="1"/>
    <col min="15081" max="15081" width="24.140625" style="1" customWidth="1"/>
    <col min="15082" max="15083" width="0" style="1" hidden="1" customWidth="1"/>
    <col min="15084" max="15084" width="61.42578125" style="1" customWidth="1"/>
    <col min="15085" max="15085" width="62.140625" style="1" customWidth="1"/>
    <col min="15086" max="15089" width="0" style="1" hidden="1" customWidth="1"/>
    <col min="15090" max="15334" width="9.140625" style="1"/>
    <col min="15335" max="15335" width="5.5703125" style="1" customWidth="1"/>
    <col min="15336" max="15336" width="58" style="1" customWidth="1"/>
    <col min="15337" max="15337" width="24.140625" style="1" customWidth="1"/>
    <col min="15338" max="15339" width="0" style="1" hidden="1" customWidth="1"/>
    <col min="15340" max="15340" width="61.42578125" style="1" customWidth="1"/>
    <col min="15341" max="15341" width="62.140625" style="1" customWidth="1"/>
    <col min="15342" max="15345" width="0" style="1" hidden="1" customWidth="1"/>
    <col min="15346" max="15590" width="9.140625" style="1"/>
    <col min="15591" max="15591" width="5.5703125" style="1" customWidth="1"/>
    <col min="15592" max="15592" width="58" style="1" customWidth="1"/>
    <col min="15593" max="15593" width="24.140625" style="1" customWidth="1"/>
    <col min="15594" max="15595" width="0" style="1" hidden="1" customWidth="1"/>
    <col min="15596" max="15596" width="61.42578125" style="1" customWidth="1"/>
    <col min="15597" max="15597" width="62.140625" style="1" customWidth="1"/>
    <col min="15598" max="15601" width="0" style="1" hidden="1" customWidth="1"/>
    <col min="15602" max="15846" width="9.140625" style="1"/>
    <col min="15847" max="15847" width="5.5703125" style="1" customWidth="1"/>
    <col min="15848" max="15848" width="58" style="1" customWidth="1"/>
    <col min="15849" max="15849" width="24.140625" style="1" customWidth="1"/>
    <col min="15850" max="15851" width="0" style="1" hidden="1" customWidth="1"/>
    <col min="15852" max="15852" width="61.42578125" style="1" customWidth="1"/>
    <col min="15853" max="15853" width="62.140625" style="1" customWidth="1"/>
    <col min="15854" max="15857" width="0" style="1" hidden="1" customWidth="1"/>
    <col min="15858" max="16102" width="9.140625" style="1"/>
    <col min="16103" max="16103" width="5.5703125" style="1" customWidth="1"/>
    <col min="16104" max="16104" width="58" style="1" customWidth="1"/>
    <col min="16105" max="16105" width="24.140625" style="1" customWidth="1"/>
    <col min="16106" max="16107" width="0" style="1" hidden="1" customWidth="1"/>
    <col min="16108" max="16108" width="61.42578125" style="1" customWidth="1"/>
    <col min="16109" max="16109" width="62.140625" style="1" customWidth="1"/>
    <col min="16110" max="16113" width="0" style="1" hidden="1" customWidth="1"/>
    <col min="16114" max="16357" width="9.140625" style="1"/>
    <col min="16358" max="16384" width="8.85546875" style="1" customWidth="1"/>
  </cols>
  <sheetData>
    <row r="1" spans="2:6" x14ac:dyDescent="0.4">
      <c r="C1" s="70" t="s">
        <v>120</v>
      </c>
    </row>
    <row r="2" spans="2:6" x14ac:dyDescent="0.4">
      <c r="C2" s="69">
        <v>44682</v>
      </c>
    </row>
    <row r="3" spans="2:6" x14ac:dyDescent="0.4">
      <c r="B3" s="68"/>
      <c r="C3" s="67" t="s">
        <v>119</v>
      </c>
    </row>
    <row r="4" spans="2:6" ht="24.95" customHeight="1" thickBot="1" x14ac:dyDescent="0.45">
      <c r="B4" s="65" t="s">
        <v>118</v>
      </c>
      <c r="C4" s="66" t="s">
        <v>117</v>
      </c>
      <c r="D4" s="65" t="s">
        <v>116</v>
      </c>
      <c r="E4" s="64" t="s">
        <v>115</v>
      </c>
      <c r="F4" s="64" t="s">
        <v>114</v>
      </c>
    </row>
    <row r="5" spans="2:6" ht="39.950000000000003" customHeight="1" x14ac:dyDescent="0.4">
      <c r="B5" s="50" t="s">
        <v>113</v>
      </c>
      <c r="C5" s="40">
        <v>20</v>
      </c>
      <c r="D5" s="63" t="s">
        <v>112</v>
      </c>
      <c r="E5" s="38" t="s">
        <v>111</v>
      </c>
      <c r="F5" s="38" t="s">
        <v>110</v>
      </c>
    </row>
    <row r="6" spans="2:6" ht="42.6" customHeight="1" thickBot="1" x14ac:dyDescent="0.45">
      <c r="B6" s="49" t="s">
        <v>109</v>
      </c>
      <c r="C6" s="36">
        <f>C5*2080</f>
        <v>41600</v>
      </c>
      <c r="D6" s="62"/>
      <c r="E6" s="34"/>
      <c r="F6" s="34"/>
    </row>
    <row r="7" spans="2:6" x14ac:dyDescent="0.4">
      <c r="B7" s="41" t="s">
        <v>108</v>
      </c>
      <c r="C7" s="40">
        <f>'[1]DC  CNA  DC III'!I19</f>
        <v>25.580080000000002</v>
      </c>
      <c r="D7" s="39" t="s">
        <v>107</v>
      </c>
      <c r="E7" s="38" t="s">
        <v>106</v>
      </c>
      <c r="F7" s="38" t="s">
        <v>105</v>
      </c>
    </row>
    <row r="8" spans="2:6" ht="46.5" customHeight="1" thickBot="1" x14ac:dyDescent="0.45">
      <c r="B8" s="54" t="s">
        <v>104</v>
      </c>
      <c r="C8" s="14">
        <f>C7*2080</f>
        <v>53206.566400000003</v>
      </c>
      <c r="D8" s="2" t="s">
        <v>103</v>
      </c>
      <c r="E8" s="61"/>
      <c r="F8" s="61"/>
    </row>
    <row r="9" spans="2:6" ht="26.1" customHeight="1" x14ac:dyDescent="0.4">
      <c r="B9" s="41" t="s">
        <v>102</v>
      </c>
      <c r="C9" s="40">
        <f>'[1]DC  CNA  DC III'!I11</f>
        <v>19.121599999999997</v>
      </c>
      <c r="D9" s="39"/>
      <c r="E9" s="38" t="s">
        <v>101</v>
      </c>
      <c r="F9" s="38" t="s">
        <v>100</v>
      </c>
    </row>
    <row r="10" spans="2:6" ht="27" thickBot="1" x14ac:dyDescent="0.45">
      <c r="B10" s="37" t="s">
        <v>99</v>
      </c>
      <c r="C10" s="36">
        <f>'[1]DC  CNA  DC III'!J11</f>
        <v>39772.927999999993</v>
      </c>
      <c r="D10" s="35"/>
      <c r="E10" s="34"/>
      <c r="F10" s="34"/>
    </row>
    <row r="11" spans="2:6" x14ac:dyDescent="0.4">
      <c r="B11" s="41" t="s">
        <v>98</v>
      </c>
      <c r="C11" s="40">
        <f>'[1]Case Social Worker.Manager'!J4</f>
        <v>28.180799999999998</v>
      </c>
      <c r="D11" s="39" t="s">
        <v>97</v>
      </c>
      <c r="E11" s="38" t="s">
        <v>96</v>
      </c>
      <c r="F11" s="38" t="s">
        <v>95</v>
      </c>
    </row>
    <row r="12" spans="2:6" ht="27" thickBot="1" x14ac:dyDescent="0.45">
      <c r="B12" s="54" t="s">
        <v>94</v>
      </c>
      <c r="C12" s="14">
        <f>C11*2080</f>
        <v>58616.063999999998</v>
      </c>
      <c r="D12" s="1" t="s">
        <v>93</v>
      </c>
      <c r="E12" s="61"/>
      <c r="F12" s="61"/>
    </row>
    <row r="13" spans="2:6" ht="52.5" x14ac:dyDescent="0.4">
      <c r="B13" s="60" t="s">
        <v>92</v>
      </c>
      <c r="C13" s="40">
        <f>'[1]Case Social Worker.Manager'!J11</f>
        <v>30.9283</v>
      </c>
      <c r="D13" s="39" t="s">
        <v>91</v>
      </c>
      <c r="E13" s="38" t="s">
        <v>53</v>
      </c>
      <c r="F13" s="38" t="s">
        <v>90</v>
      </c>
    </row>
    <row r="14" spans="2:6" ht="53.25" thickBot="1" x14ac:dyDescent="0.45">
      <c r="B14" s="59" t="s">
        <v>89</v>
      </c>
      <c r="C14" s="36">
        <f>C13*2080</f>
        <v>64330.864000000001</v>
      </c>
      <c r="D14" s="35" t="s">
        <v>88</v>
      </c>
      <c r="E14" s="34"/>
      <c r="F14" s="34"/>
    </row>
    <row r="15" spans="2:6" x14ac:dyDescent="0.4">
      <c r="B15" s="41" t="s">
        <v>87</v>
      </c>
      <c r="C15" s="40">
        <f>[1]Nursing!J2</f>
        <v>31.575200000000002</v>
      </c>
      <c r="D15" s="39"/>
      <c r="E15" s="38" t="s">
        <v>86</v>
      </c>
      <c r="F15" s="38" t="s">
        <v>85</v>
      </c>
    </row>
    <row r="16" spans="2:6" ht="27" thickBot="1" x14ac:dyDescent="0.45">
      <c r="B16" s="37" t="s">
        <v>84</v>
      </c>
      <c r="C16" s="45">
        <f>C15*2080</f>
        <v>65676.416000000012</v>
      </c>
      <c r="D16" s="35" t="s">
        <v>83</v>
      </c>
      <c r="E16" s="34"/>
      <c r="F16" s="34"/>
    </row>
    <row r="17" spans="2:12" x14ac:dyDescent="0.4">
      <c r="B17" s="41" t="s">
        <v>82</v>
      </c>
      <c r="C17" s="40">
        <f>[1]Clinical!J6</f>
        <v>38.753100000000003</v>
      </c>
      <c r="D17" s="39" t="s">
        <v>81</v>
      </c>
      <c r="E17" s="38" t="s">
        <v>80</v>
      </c>
      <c r="F17" s="38" t="s">
        <v>79</v>
      </c>
    </row>
    <row r="18" spans="2:12" ht="27" thickBot="1" x14ac:dyDescent="0.45">
      <c r="B18" s="37" t="s">
        <v>78</v>
      </c>
      <c r="C18" s="36">
        <f>C17*2080</f>
        <v>80606.448000000004</v>
      </c>
      <c r="D18" s="35"/>
      <c r="E18" s="34"/>
      <c r="F18" s="34"/>
    </row>
    <row r="19" spans="2:12" x14ac:dyDescent="0.4">
      <c r="B19" s="41" t="s">
        <v>77</v>
      </c>
      <c r="C19" s="58">
        <f>[1]Therapies!M2</f>
        <v>32.740400000000001</v>
      </c>
      <c r="D19" s="39"/>
      <c r="E19" s="38" t="s">
        <v>76</v>
      </c>
      <c r="F19" s="38" t="s">
        <v>75</v>
      </c>
    </row>
    <row r="20" spans="2:12" ht="27" thickBot="1" x14ac:dyDescent="0.45">
      <c r="B20" s="37" t="s">
        <v>74</v>
      </c>
      <c r="C20" s="36">
        <f>C19*2080</f>
        <v>68100.032000000007</v>
      </c>
      <c r="D20" s="35"/>
      <c r="E20" s="34"/>
      <c r="F20" s="34"/>
    </row>
    <row r="21" spans="2:12" x14ac:dyDescent="0.4">
      <c r="B21" s="54" t="s">
        <v>73</v>
      </c>
      <c r="C21" s="53">
        <f>[1]Management!J2</f>
        <v>38.180400000000006</v>
      </c>
      <c r="D21" s="1" t="s">
        <v>72</v>
      </c>
      <c r="E21" s="38" t="s">
        <v>71</v>
      </c>
      <c r="F21" s="57" t="s">
        <v>70</v>
      </c>
    </row>
    <row r="22" spans="2:12" ht="27" thickBot="1" x14ac:dyDescent="0.45">
      <c r="B22" s="37" t="s">
        <v>69</v>
      </c>
      <c r="C22" s="36">
        <f>C21*2080</f>
        <v>79415.232000000018</v>
      </c>
      <c r="D22" s="35" t="s">
        <v>68</v>
      </c>
      <c r="E22" s="34"/>
      <c r="F22" s="56"/>
    </row>
    <row r="23" spans="2:12" ht="39.950000000000003" customHeight="1" x14ac:dyDescent="0.4">
      <c r="B23" s="55" t="s">
        <v>67</v>
      </c>
      <c r="C23" s="53">
        <f>[1]Therapies!M8</f>
        <v>38.017499999999998</v>
      </c>
      <c r="D23" s="1" t="s">
        <v>66</v>
      </c>
      <c r="E23" s="38" t="s">
        <v>53</v>
      </c>
      <c r="F23" s="38" t="s">
        <v>65</v>
      </c>
    </row>
    <row r="24" spans="2:12" ht="39.950000000000003" customHeight="1" thickBot="1" x14ac:dyDescent="0.45">
      <c r="B24" s="49" t="s">
        <v>64</v>
      </c>
      <c r="C24" s="36">
        <f>C23*2080</f>
        <v>79076.399999999994</v>
      </c>
      <c r="D24" s="35"/>
      <c r="E24" s="34"/>
      <c r="F24" s="34"/>
    </row>
    <row r="25" spans="2:12" x14ac:dyDescent="0.4">
      <c r="B25" s="54" t="s">
        <v>63</v>
      </c>
      <c r="C25" s="53">
        <f>[1]Therapies!M14</f>
        <v>41.25168</v>
      </c>
      <c r="D25" s="1" t="s">
        <v>62</v>
      </c>
      <c r="E25" s="38" t="s">
        <v>53</v>
      </c>
      <c r="F25" s="38" t="s">
        <v>61</v>
      </c>
    </row>
    <row r="26" spans="2:12" ht="27" thickBot="1" x14ac:dyDescent="0.45">
      <c r="B26" s="37" t="s">
        <v>60</v>
      </c>
      <c r="C26" s="14">
        <f>C25*2080</f>
        <v>85803.494399999996</v>
      </c>
      <c r="E26" s="34"/>
      <c r="F26" s="34"/>
    </row>
    <row r="27" spans="2:12" x14ac:dyDescent="0.4">
      <c r="B27" s="41" t="s">
        <v>59</v>
      </c>
      <c r="C27" s="40">
        <f>[1]Clinical!J12</f>
        <v>48.742200000000004</v>
      </c>
      <c r="D27" s="52" t="s">
        <v>58</v>
      </c>
      <c r="E27" s="38" t="s">
        <v>57</v>
      </c>
      <c r="F27" s="38" t="s">
        <v>56</v>
      </c>
    </row>
    <row r="28" spans="2:12" ht="55.5" customHeight="1" thickBot="1" x14ac:dyDescent="0.45">
      <c r="B28" s="37" t="s">
        <v>55</v>
      </c>
      <c r="C28" s="36">
        <f>C27*2080</f>
        <v>101383.77600000001</v>
      </c>
      <c r="D28" s="51"/>
      <c r="E28" s="34"/>
      <c r="F28" s="34"/>
    </row>
    <row r="29" spans="2:12" x14ac:dyDescent="0.4">
      <c r="B29" s="50" t="s">
        <v>54</v>
      </c>
      <c r="C29" s="40">
        <f>[1]Therapies!M18</f>
        <v>42.756720000000001</v>
      </c>
      <c r="D29" s="39"/>
      <c r="E29" s="38" t="s">
        <v>53</v>
      </c>
      <c r="F29" s="38" t="s">
        <v>52</v>
      </c>
    </row>
    <row r="30" spans="2:12" ht="40.5" customHeight="1" thickBot="1" x14ac:dyDescent="0.45">
      <c r="B30" s="49" t="s">
        <v>51</v>
      </c>
      <c r="C30" s="36">
        <f>C29*2080</f>
        <v>88933.977599999998</v>
      </c>
      <c r="D30" s="35"/>
      <c r="E30" s="34"/>
      <c r="F30" s="34"/>
    </row>
    <row r="31" spans="2:12" x14ac:dyDescent="0.4">
      <c r="B31" s="41" t="s">
        <v>50</v>
      </c>
      <c r="C31" s="40">
        <f>[1]Nursing!J6</f>
        <v>49.162799999999997</v>
      </c>
      <c r="D31" s="39"/>
      <c r="E31" s="38" t="s">
        <v>49</v>
      </c>
      <c r="F31" s="38" t="s">
        <v>48</v>
      </c>
      <c r="I31" s="48" t="s">
        <v>47</v>
      </c>
      <c r="J31" s="47" t="s">
        <v>46</v>
      </c>
      <c r="K31" s="47"/>
      <c r="L31" s="46"/>
    </row>
    <row r="32" spans="2:12" ht="66.75" customHeight="1" thickBot="1" x14ac:dyDescent="0.45">
      <c r="B32" s="37" t="s">
        <v>45</v>
      </c>
      <c r="C32" s="45">
        <f>C31*2080</f>
        <v>102258.624</v>
      </c>
      <c r="D32" s="35"/>
      <c r="E32" s="34"/>
      <c r="F32" s="34"/>
      <c r="I32" s="44"/>
      <c r="J32" s="43" t="s">
        <v>44</v>
      </c>
      <c r="K32" s="42" t="s">
        <v>43</v>
      </c>
      <c r="L32" s="33"/>
    </row>
    <row r="33" spans="2:12" x14ac:dyDescent="0.4">
      <c r="B33" s="41" t="s">
        <v>42</v>
      </c>
      <c r="C33" s="40">
        <f>[1]Nursing!J11</f>
        <v>65.162400000000005</v>
      </c>
      <c r="D33" s="39"/>
      <c r="E33" s="38" t="s">
        <v>41</v>
      </c>
      <c r="F33" s="38" t="s">
        <v>40</v>
      </c>
      <c r="I33" s="28" t="s">
        <v>39</v>
      </c>
      <c r="J33" s="26">
        <v>15</v>
      </c>
      <c r="K33" s="26">
        <f>J33*8</f>
        <v>120</v>
      </c>
      <c r="L33" s="33"/>
    </row>
    <row r="34" spans="2:12" ht="27" thickBot="1" x14ac:dyDescent="0.45">
      <c r="B34" s="37" t="s">
        <v>38</v>
      </c>
      <c r="C34" s="36">
        <f>C33*2080</f>
        <v>135537.79200000002</v>
      </c>
      <c r="D34" s="35"/>
      <c r="E34" s="34"/>
      <c r="F34" s="34"/>
      <c r="I34" s="28" t="s">
        <v>37</v>
      </c>
      <c r="J34" s="26">
        <v>10</v>
      </c>
      <c r="K34" s="26">
        <f>J34*8</f>
        <v>80</v>
      </c>
      <c r="L34" s="33"/>
    </row>
    <row r="35" spans="2:12" x14ac:dyDescent="0.4">
      <c r="I35" s="28" t="s">
        <v>36</v>
      </c>
      <c r="J35" s="26">
        <v>11</v>
      </c>
      <c r="K35" s="26">
        <f>J35*8</f>
        <v>88</v>
      </c>
      <c r="L35" s="33"/>
    </row>
    <row r="36" spans="2:12" ht="52.5" x14ac:dyDescent="0.4">
      <c r="B36" s="32" t="s">
        <v>35</v>
      </c>
      <c r="C36" s="14">
        <f>C6</f>
        <v>41600</v>
      </c>
      <c r="I36" s="31" t="s">
        <v>34</v>
      </c>
      <c r="J36" s="30">
        <v>5</v>
      </c>
      <c r="K36" s="30">
        <f>J36*8</f>
        <v>40</v>
      </c>
      <c r="L36" s="29"/>
    </row>
    <row r="37" spans="2:12" x14ac:dyDescent="0.4">
      <c r="C37" s="19"/>
      <c r="I37" s="28"/>
      <c r="J37" s="27" t="s">
        <v>33</v>
      </c>
      <c r="K37" s="26">
        <f>SUM(K33:K36)</f>
        <v>328</v>
      </c>
      <c r="L37" s="25"/>
    </row>
    <row r="38" spans="2:12" ht="27" thickBot="1" x14ac:dyDescent="0.45">
      <c r="B38" s="10" t="s">
        <v>32</v>
      </c>
      <c r="C38" s="24">
        <f>23.39%+2%</f>
        <v>0.25390000000000001</v>
      </c>
      <c r="D38" s="1" t="s">
        <v>31</v>
      </c>
      <c r="I38" s="23"/>
      <c r="J38" s="22" t="s">
        <v>30</v>
      </c>
      <c r="K38" s="21">
        <f>K37/(52*40)</f>
        <v>0.15769230769230769</v>
      </c>
      <c r="L38" s="20"/>
    </row>
    <row r="39" spans="2:12" ht="34.35" customHeight="1" x14ac:dyDescent="0.4">
      <c r="B39" s="10"/>
      <c r="C39" s="19"/>
      <c r="D39" s="5" t="s">
        <v>29</v>
      </c>
      <c r="E39" s="5"/>
      <c r="F39" s="1"/>
    </row>
    <row r="40" spans="2:12" x14ac:dyDescent="0.4">
      <c r="C40" s="19"/>
    </row>
    <row r="41" spans="2:12" x14ac:dyDescent="0.4">
      <c r="B41" s="10" t="s">
        <v>28</v>
      </c>
      <c r="C41" s="18">
        <v>0.12</v>
      </c>
      <c r="D41" s="1" t="s">
        <v>27</v>
      </c>
    </row>
    <row r="42" spans="2:12" x14ac:dyDescent="0.4">
      <c r="B42" s="10"/>
      <c r="C42" s="17"/>
    </row>
    <row r="43" spans="2:12" x14ac:dyDescent="0.4">
      <c r="B43" s="16" t="s">
        <v>26</v>
      </c>
      <c r="C43" s="16"/>
      <c r="D43" s="16"/>
    </row>
    <row r="44" spans="2:12" x14ac:dyDescent="0.4">
      <c r="B44" s="15" t="s">
        <v>25</v>
      </c>
      <c r="C44" s="14">
        <v>247470</v>
      </c>
      <c r="D44" s="1" t="s">
        <v>24</v>
      </c>
    </row>
    <row r="45" spans="2:12" x14ac:dyDescent="0.4">
      <c r="B45" s="10" t="s">
        <v>23</v>
      </c>
      <c r="C45" s="14">
        <v>252850</v>
      </c>
      <c r="D45" s="1" t="s">
        <v>22</v>
      </c>
    </row>
    <row r="46" spans="2:12" x14ac:dyDescent="0.4">
      <c r="B46" s="10" t="s">
        <v>21</v>
      </c>
      <c r="C46" s="14">
        <f>'[1]M2022 53_PCT'!N33</f>
        <v>135424.64000000001</v>
      </c>
      <c r="D46" s="1" t="s">
        <v>20</v>
      </c>
    </row>
    <row r="47" spans="2:12" x14ac:dyDescent="0.4">
      <c r="B47" s="10" t="s">
        <v>19</v>
      </c>
      <c r="C47" s="9">
        <f>C6</f>
        <v>41600</v>
      </c>
      <c r="D47" s="1" t="s">
        <v>18</v>
      </c>
    </row>
    <row r="48" spans="2:12" x14ac:dyDescent="0.4">
      <c r="B48" s="10" t="s">
        <v>17</v>
      </c>
      <c r="C48" s="9">
        <f>AVERAGE(C6,C8)</f>
        <v>47403.283200000005</v>
      </c>
      <c r="D48" s="1" t="s">
        <v>16</v>
      </c>
    </row>
    <row r="49" spans="2:6" x14ac:dyDescent="0.4">
      <c r="B49" s="10" t="s">
        <v>15</v>
      </c>
      <c r="C49" s="14">
        <f>C8</f>
        <v>53206.566400000003</v>
      </c>
      <c r="D49" s="1" t="s">
        <v>14</v>
      </c>
    </row>
    <row r="50" spans="2:6" x14ac:dyDescent="0.4">
      <c r="B50" s="10" t="s">
        <v>13</v>
      </c>
      <c r="C50" s="14">
        <f>'[1]M2022 53_PCT'!N34</f>
        <v>40890.303999999996</v>
      </c>
      <c r="D50" s="1" t="s">
        <v>12</v>
      </c>
    </row>
    <row r="51" spans="2:6" x14ac:dyDescent="0.4">
      <c r="B51" s="10" t="s">
        <v>11</v>
      </c>
      <c r="C51" s="9">
        <f>'[1]M2022 53_PCT'!N37</f>
        <v>50652.160000000003</v>
      </c>
      <c r="D51" s="1" t="s">
        <v>10</v>
      </c>
    </row>
    <row r="52" spans="2:6" x14ac:dyDescent="0.4">
      <c r="B52" s="10" t="s">
        <v>9</v>
      </c>
      <c r="C52" s="9">
        <f>AVERAGE('[1]M2022 53_PCT'!N35,'[1]M2022 53_PCT'!N36)</f>
        <v>57014.464000000007</v>
      </c>
      <c r="D52" s="1" t="s">
        <v>8</v>
      </c>
    </row>
    <row r="53" spans="2:6" x14ac:dyDescent="0.4">
      <c r="B53" s="13" t="s">
        <v>7</v>
      </c>
      <c r="C53" s="12">
        <f>(C28*0.5)+(C18*0.5)</f>
        <v>90995.112000000008</v>
      </c>
      <c r="D53" s="11" t="s">
        <v>6</v>
      </c>
    </row>
    <row r="54" spans="2:6" x14ac:dyDescent="0.4">
      <c r="B54" s="10"/>
      <c r="C54" s="9"/>
    </row>
    <row r="55" spans="2:6" x14ac:dyDescent="0.4">
      <c r="B55" s="8" t="s">
        <v>5</v>
      </c>
      <c r="C55" s="8"/>
      <c r="D55" s="8"/>
      <c r="E55" s="8"/>
      <c r="F55" s="8"/>
    </row>
    <row r="56" spans="2:6" x14ac:dyDescent="0.4">
      <c r="B56" s="7" t="s">
        <v>4</v>
      </c>
      <c r="C56" s="1" t="s">
        <v>3</v>
      </c>
    </row>
    <row r="57" spans="2:6" ht="66.599999999999994" customHeight="1" x14ac:dyDescent="0.4">
      <c r="B57" s="6" t="s">
        <v>2</v>
      </c>
      <c r="C57" s="5" t="s">
        <v>1</v>
      </c>
      <c r="D57" s="5"/>
      <c r="E57" s="5"/>
      <c r="F57" s="5"/>
    </row>
    <row r="60" spans="2:6" x14ac:dyDescent="0.4">
      <c r="B60" s="4" t="s">
        <v>0</v>
      </c>
      <c r="C60" s="3">
        <f>(C32*0.5)+(C16*0.5)</f>
        <v>83967.52</v>
      </c>
    </row>
  </sheetData>
  <mergeCells count="37">
    <mergeCell ref="D39:E39"/>
    <mergeCell ref="B43:D43"/>
    <mergeCell ref="B55:F55"/>
    <mergeCell ref="C57:F57"/>
    <mergeCell ref="J31:K31"/>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E451C-3C7F-499A-B1DF-F669384500C4}">
  <sheetPr>
    <pageSetUpPr fitToPage="1"/>
  </sheetPr>
  <dimension ref="B2:K36"/>
  <sheetViews>
    <sheetView zoomScale="90" zoomScaleNormal="90" workbookViewId="0">
      <selection activeCell="J13" sqref="J13"/>
    </sheetView>
  </sheetViews>
  <sheetFormatPr defaultRowHeight="12.75" x14ac:dyDescent="0.2"/>
  <cols>
    <col min="1" max="2" width="9.140625" style="456"/>
    <col min="3" max="3" width="10" style="456" hidden="1" customWidth="1"/>
    <col min="4" max="4" width="10.28515625" style="456" customWidth="1"/>
    <col min="5" max="5" width="8" style="456" hidden="1" customWidth="1"/>
    <col min="6" max="6" width="8" style="456" customWidth="1"/>
    <col min="7" max="7" width="0" style="456" hidden="1" customWidth="1"/>
    <col min="8" max="8" width="29.7109375" style="456" bestFit="1" customWidth="1"/>
    <col min="9" max="9" width="20.140625" style="456" customWidth="1"/>
    <col min="10" max="233" width="9.140625" style="456"/>
    <col min="234" max="234" width="30.42578125" style="456" customWidth="1"/>
    <col min="235" max="237" width="9.140625" style="456"/>
    <col min="238" max="238" width="15.5703125" style="456" customWidth="1"/>
    <col min="239" max="489" width="9.140625" style="456"/>
    <col min="490" max="490" width="30.42578125" style="456" customWidth="1"/>
    <col min="491" max="493" width="9.140625" style="456"/>
    <col min="494" max="494" width="15.5703125" style="456" customWidth="1"/>
    <col min="495" max="745" width="9.140625" style="456"/>
    <col min="746" max="746" width="30.42578125" style="456" customWidth="1"/>
    <col min="747" max="749" width="9.140625" style="456"/>
    <col min="750" max="750" width="15.5703125" style="456" customWidth="1"/>
    <col min="751" max="1001" width="9.140625" style="456"/>
    <col min="1002" max="1002" width="30.42578125" style="456" customWidth="1"/>
    <col min="1003" max="1005" width="9.140625" style="456"/>
    <col min="1006" max="1006" width="15.5703125" style="456" customWidth="1"/>
    <col min="1007" max="1257" width="9.140625" style="456"/>
    <col min="1258" max="1258" width="30.42578125" style="456" customWidth="1"/>
    <col min="1259" max="1261" width="9.140625" style="456"/>
    <col min="1262" max="1262" width="15.5703125" style="456" customWidth="1"/>
    <col min="1263" max="1513" width="9.140625" style="456"/>
    <col min="1514" max="1514" width="30.42578125" style="456" customWidth="1"/>
    <col min="1515" max="1517" width="9.140625" style="456"/>
    <col min="1518" max="1518" width="15.5703125" style="456" customWidth="1"/>
    <col min="1519" max="1769" width="9.140625" style="456"/>
    <col min="1770" max="1770" width="30.42578125" style="456" customWidth="1"/>
    <col min="1771" max="1773" width="9.140625" style="456"/>
    <col min="1774" max="1774" width="15.5703125" style="456" customWidth="1"/>
    <col min="1775" max="2025" width="9.140625" style="456"/>
    <col min="2026" max="2026" width="30.42578125" style="456" customWidth="1"/>
    <col min="2027" max="2029" width="9.140625" style="456"/>
    <col min="2030" max="2030" width="15.5703125" style="456" customWidth="1"/>
    <col min="2031" max="2281" width="9.140625" style="456"/>
    <col min="2282" max="2282" width="30.42578125" style="456" customWidth="1"/>
    <col min="2283" max="2285" width="9.140625" style="456"/>
    <col min="2286" max="2286" width="15.5703125" style="456" customWidth="1"/>
    <col min="2287" max="2537" width="9.140625" style="456"/>
    <col min="2538" max="2538" width="30.42578125" style="456" customWidth="1"/>
    <col min="2539" max="2541" width="9.140625" style="456"/>
    <col min="2542" max="2542" width="15.5703125" style="456" customWidth="1"/>
    <col min="2543" max="2793" width="9.140625" style="456"/>
    <col min="2794" max="2794" width="30.42578125" style="456" customWidth="1"/>
    <col min="2795" max="2797" width="9.140625" style="456"/>
    <col min="2798" max="2798" width="15.5703125" style="456" customWidth="1"/>
    <col min="2799" max="3049" width="9.140625" style="456"/>
    <col min="3050" max="3050" width="30.42578125" style="456" customWidth="1"/>
    <col min="3051" max="3053" width="9.140625" style="456"/>
    <col min="3054" max="3054" width="15.5703125" style="456" customWidth="1"/>
    <col min="3055" max="3305" width="9.140625" style="456"/>
    <col min="3306" max="3306" width="30.42578125" style="456" customWidth="1"/>
    <col min="3307" max="3309" width="9.140625" style="456"/>
    <col min="3310" max="3310" width="15.5703125" style="456" customWidth="1"/>
    <col min="3311" max="3561" width="9.140625" style="456"/>
    <col min="3562" max="3562" width="30.42578125" style="456" customWidth="1"/>
    <col min="3563" max="3565" width="9.140625" style="456"/>
    <col min="3566" max="3566" width="15.5703125" style="456" customWidth="1"/>
    <col min="3567" max="3817" width="9.140625" style="456"/>
    <col min="3818" max="3818" width="30.42578125" style="456" customWidth="1"/>
    <col min="3819" max="3821" width="9.140625" style="456"/>
    <col min="3822" max="3822" width="15.5703125" style="456" customWidth="1"/>
    <col min="3823" max="4073" width="9.140625" style="456"/>
    <col min="4074" max="4074" width="30.42578125" style="456" customWidth="1"/>
    <col min="4075" max="4077" width="9.140625" style="456"/>
    <col min="4078" max="4078" width="15.5703125" style="456" customWidth="1"/>
    <col min="4079" max="4329" width="9.140625" style="456"/>
    <col min="4330" max="4330" width="30.42578125" style="456" customWidth="1"/>
    <col min="4331" max="4333" width="9.140625" style="456"/>
    <col min="4334" max="4334" width="15.5703125" style="456" customWidth="1"/>
    <col min="4335" max="4585" width="9.140625" style="456"/>
    <col min="4586" max="4586" width="30.42578125" style="456" customWidth="1"/>
    <col min="4587" max="4589" width="9.140625" style="456"/>
    <col min="4590" max="4590" width="15.5703125" style="456" customWidth="1"/>
    <col min="4591" max="4841" width="9.140625" style="456"/>
    <col min="4842" max="4842" width="30.42578125" style="456" customWidth="1"/>
    <col min="4843" max="4845" width="9.140625" style="456"/>
    <col min="4846" max="4846" width="15.5703125" style="456" customWidth="1"/>
    <col min="4847" max="5097" width="9.140625" style="456"/>
    <col min="5098" max="5098" width="30.42578125" style="456" customWidth="1"/>
    <col min="5099" max="5101" width="9.140625" style="456"/>
    <col min="5102" max="5102" width="15.5703125" style="456" customWidth="1"/>
    <col min="5103" max="5353" width="9.140625" style="456"/>
    <col min="5354" max="5354" width="30.42578125" style="456" customWidth="1"/>
    <col min="5355" max="5357" width="9.140625" style="456"/>
    <col min="5358" max="5358" width="15.5703125" style="456" customWidth="1"/>
    <col min="5359" max="5609" width="9.140625" style="456"/>
    <col min="5610" max="5610" width="30.42578125" style="456" customWidth="1"/>
    <col min="5611" max="5613" width="9.140625" style="456"/>
    <col min="5614" max="5614" width="15.5703125" style="456" customWidth="1"/>
    <col min="5615" max="5865" width="9.140625" style="456"/>
    <col min="5866" max="5866" width="30.42578125" style="456" customWidth="1"/>
    <col min="5867" max="5869" width="9.140625" style="456"/>
    <col min="5870" max="5870" width="15.5703125" style="456" customWidth="1"/>
    <col min="5871" max="6121" width="9.140625" style="456"/>
    <col min="6122" max="6122" width="30.42578125" style="456" customWidth="1"/>
    <col min="6123" max="6125" width="9.140625" style="456"/>
    <col min="6126" max="6126" width="15.5703125" style="456" customWidth="1"/>
    <col min="6127" max="6377" width="9.140625" style="456"/>
    <col min="6378" max="6378" width="30.42578125" style="456" customWidth="1"/>
    <col min="6379" max="6381" width="9.140625" style="456"/>
    <col min="6382" max="6382" width="15.5703125" style="456" customWidth="1"/>
    <col min="6383" max="6633" width="9.140625" style="456"/>
    <col min="6634" max="6634" width="30.42578125" style="456" customWidth="1"/>
    <col min="6635" max="6637" width="9.140625" style="456"/>
    <col min="6638" max="6638" width="15.5703125" style="456" customWidth="1"/>
    <col min="6639" max="6889" width="9.140625" style="456"/>
    <col min="6890" max="6890" width="30.42578125" style="456" customWidth="1"/>
    <col min="6891" max="6893" width="9.140625" style="456"/>
    <col min="6894" max="6894" width="15.5703125" style="456" customWidth="1"/>
    <col min="6895" max="7145" width="9.140625" style="456"/>
    <col min="7146" max="7146" width="30.42578125" style="456" customWidth="1"/>
    <col min="7147" max="7149" width="9.140625" style="456"/>
    <col min="7150" max="7150" width="15.5703125" style="456" customWidth="1"/>
    <col min="7151" max="7401" width="9.140625" style="456"/>
    <col min="7402" max="7402" width="30.42578125" style="456" customWidth="1"/>
    <col min="7403" max="7405" width="9.140625" style="456"/>
    <col min="7406" max="7406" width="15.5703125" style="456" customWidth="1"/>
    <col min="7407" max="7657" width="9.140625" style="456"/>
    <col min="7658" max="7658" width="30.42578125" style="456" customWidth="1"/>
    <col min="7659" max="7661" width="9.140625" style="456"/>
    <col min="7662" max="7662" width="15.5703125" style="456" customWidth="1"/>
    <col min="7663" max="7913" width="9.140625" style="456"/>
    <col min="7914" max="7914" width="30.42578125" style="456" customWidth="1"/>
    <col min="7915" max="7917" width="9.140625" style="456"/>
    <col min="7918" max="7918" width="15.5703125" style="456" customWidth="1"/>
    <col min="7919" max="8169" width="9.140625" style="456"/>
    <col min="8170" max="8170" width="30.42578125" style="456" customWidth="1"/>
    <col min="8171" max="8173" width="9.140625" style="456"/>
    <col min="8174" max="8174" width="15.5703125" style="456" customWidth="1"/>
    <col min="8175" max="8425" width="9.140625" style="456"/>
    <col min="8426" max="8426" width="30.42578125" style="456" customWidth="1"/>
    <col min="8427" max="8429" width="9.140625" style="456"/>
    <col min="8430" max="8430" width="15.5703125" style="456" customWidth="1"/>
    <col min="8431" max="8681" width="9.140625" style="456"/>
    <col min="8682" max="8682" width="30.42578125" style="456" customWidth="1"/>
    <col min="8683" max="8685" width="9.140625" style="456"/>
    <col min="8686" max="8686" width="15.5703125" style="456" customWidth="1"/>
    <col min="8687" max="8937" width="9.140625" style="456"/>
    <col min="8938" max="8938" width="30.42578125" style="456" customWidth="1"/>
    <col min="8939" max="8941" width="9.140625" style="456"/>
    <col min="8942" max="8942" width="15.5703125" style="456" customWidth="1"/>
    <col min="8943" max="9193" width="9.140625" style="456"/>
    <col min="9194" max="9194" width="30.42578125" style="456" customWidth="1"/>
    <col min="9195" max="9197" width="9.140625" style="456"/>
    <col min="9198" max="9198" width="15.5703125" style="456" customWidth="1"/>
    <col min="9199" max="9449" width="9.140625" style="456"/>
    <col min="9450" max="9450" width="30.42578125" style="456" customWidth="1"/>
    <col min="9451" max="9453" width="9.140625" style="456"/>
    <col min="9454" max="9454" width="15.5703125" style="456" customWidth="1"/>
    <col min="9455" max="9705" width="9.140625" style="456"/>
    <col min="9706" max="9706" width="30.42578125" style="456" customWidth="1"/>
    <col min="9707" max="9709" width="9.140625" style="456"/>
    <col min="9710" max="9710" width="15.5703125" style="456" customWidth="1"/>
    <col min="9711" max="9961" width="9.140625" style="456"/>
    <col min="9962" max="9962" width="30.42578125" style="456" customWidth="1"/>
    <col min="9963" max="9965" width="9.140625" style="456"/>
    <col min="9966" max="9966" width="15.5703125" style="456" customWidth="1"/>
    <col min="9967" max="10217" width="9.140625" style="456"/>
    <col min="10218" max="10218" width="30.42578125" style="456" customWidth="1"/>
    <col min="10219" max="10221" width="9.140625" style="456"/>
    <col min="10222" max="10222" width="15.5703125" style="456" customWidth="1"/>
    <col min="10223" max="10473" width="9.140625" style="456"/>
    <col min="10474" max="10474" width="30.42578125" style="456" customWidth="1"/>
    <col min="10475" max="10477" width="9.140625" style="456"/>
    <col min="10478" max="10478" width="15.5703125" style="456" customWidth="1"/>
    <col min="10479" max="10729" width="9.140625" style="456"/>
    <col min="10730" max="10730" width="30.42578125" style="456" customWidth="1"/>
    <col min="10731" max="10733" width="9.140625" style="456"/>
    <col min="10734" max="10734" width="15.5703125" style="456" customWidth="1"/>
    <col min="10735" max="10985" width="9.140625" style="456"/>
    <col min="10986" max="10986" width="30.42578125" style="456" customWidth="1"/>
    <col min="10987" max="10989" width="9.140625" style="456"/>
    <col min="10990" max="10990" width="15.5703125" style="456" customWidth="1"/>
    <col min="10991" max="11241" width="9.140625" style="456"/>
    <col min="11242" max="11242" width="30.42578125" style="456" customWidth="1"/>
    <col min="11243" max="11245" width="9.140625" style="456"/>
    <col min="11246" max="11246" width="15.5703125" style="456" customWidth="1"/>
    <col min="11247" max="11497" width="9.140625" style="456"/>
    <col min="11498" max="11498" width="30.42578125" style="456" customWidth="1"/>
    <col min="11499" max="11501" width="9.140625" style="456"/>
    <col min="11502" max="11502" width="15.5703125" style="456" customWidth="1"/>
    <col min="11503" max="11753" width="9.140625" style="456"/>
    <col min="11754" max="11754" width="30.42578125" style="456" customWidth="1"/>
    <col min="11755" max="11757" width="9.140625" style="456"/>
    <col min="11758" max="11758" width="15.5703125" style="456" customWidth="1"/>
    <col min="11759" max="12009" width="9.140625" style="456"/>
    <col min="12010" max="12010" width="30.42578125" style="456" customWidth="1"/>
    <col min="12011" max="12013" width="9.140625" style="456"/>
    <col min="12014" max="12014" width="15.5703125" style="456" customWidth="1"/>
    <col min="12015" max="12265" width="9.140625" style="456"/>
    <col min="12266" max="12266" width="30.42578125" style="456" customWidth="1"/>
    <col min="12267" max="12269" width="9.140625" style="456"/>
    <col min="12270" max="12270" width="15.5703125" style="456" customWidth="1"/>
    <col min="12271" max="12521" width="9.140625" style="456"/>
    <col min="12522" max="12522" width="30.42578125" style="456" customWidth="1"/>
    <col min="12523" max="12525" width="9.140625" style="456"/>
    <col min="12526" max="12526" width="15.5703125" style="456" customWidth="1"/>
    <col min="12527" max="12777" width="9.140625" style="456"/>
    <col min="12778" max="12778" width="30.42578125" style="456" customWidth="1"/>
    <col min="12779" max="12781" width="9.140625" style="456"/>
    <col min="12782" max="12782" width="15.5703125" style="456" customWidth="1"/>
    <col min="12783" max="13033" width="9.140625" style="456"/>
    <col min="13034" max="13034" width="30.42578125" style="456" customWidth="1"/>
    <col min="13035" max="13037" width="9.140625" style="456"/>
    <col min="13038" max="13038" width="15.5703125" style="456" customWidth="1"/>
    <col min="13039" max="13289" width="9.140625" style="456"/>
    <col min="13290" max="13290" width="30.42578125" style="456" customWidth="1"/>
    <col min="13291" max="13293" width="9.140625" style="456"/>
    <col min="13294" max="13294" width="15.5703125" style="456" customWidth="1"/>
    <col min="13295" max="13545" width="9.140625" style="456"/>
    <col min="13546" max="13546" width="30.42578125" style="456" customWidth="1"/>
    <col min="13547" max="13549" width="9.140625" style="456"/>
    <col min="13550" max="13550" width="15.5703125" style="456" customWidth="1"/>
    <col min="13551" max="13801" width="9.140625" style="456"/>
    <col min="13802" max="13802" width="30.42578125" style="456" customWidth="1"/>
    <col min="13803" max="13805" width="9.140625" style="456"/>
    <col min="13806" max="13806" width="15.5703125" style="456" customWidth="1"/>
    <col min="13807" max="14057" width="9.140625" style="456"/>
    <col min="14058" max="14058" width="30.42578125" style="456" customWidth="1"/>
    <col min="14059" max="14061" width="9.140625" style="456"/>
    <col min="14062" max="14062" width="15.5703125" style="456" customWidth="1"/>
    <col min="14063" max="14313" width="9.140625" style="456"/>
    <col min="14314" max="14314" width="30.42578125" style="456" customWidth="1"/>
    <col min="14315" max="14317" width="9.140625" style="456"/>
    <col min="14318" max="14318" width="15.5703125" style="456" customWidth="1"/>
    <col min="14319" max="14569" width="9.140625" style="456"/>
    <col min="14570" max="14570" width="30.42578125" style="456" customWidth="1"/>
    <col min="14571" max="14573" width="9.140625" style="456"/>
    <col min="14574" max="14574" width="15.5703125" style="456" customWidth="1"/>
    <col min="14575" max="14825" width="9.140625" style="456"/>
    <col min="14826" max="14826" width="30.42578125" style="456" customWidth="1"/>
    <col min="14827" max="14829" width="9.140625" style="456"/>
    <col min="14830" max="14830" width="15.5703125" style="456" customWidth="1"/>
    <col min="14831" max="15081" width="9.140625" style="456"/>
    <col min="15082" max="15082" width="30.42578125" style="456" customWidth="1"/>
    <col min="15083" max="15085" width="9.140625" style="456"/>
    <col min="15086" max="15086" width="15.5703125" style="456" customWidth="1"/>
    <col min="15087" max="15337" width="9.140625" style="456"/>
    <col min="15338" max="15338" width="30.42578125" style="456" customWidth="1"/>
    <col min="15339" max="15341" width="9.140625" style="456"/>
    <col min="15342" max="15342" width="15.5703125" style="456" customWidth="1"/>
    <col min="15343" max="15593" width="9.140625" style="456"/>
    <col min="15594" max="15594" width="30.42578125" style="456" customWidth="1"/>
    <col min="15595" max="15597" width="9.140625" style="456"/>
    <col min="15598" max="15598" width="15.5703125" style="456" customWidth="1"/>
    <col min="15599" max="15849" width="9.140625" style="456"/>
    <col min="15850" max="15850" width="30.42578125" style="456" customWidth="1"/>
    <col min="15851" max="15853" width="9.140625" style="456"/>
    <col min="15854" max="15854" width="15.5703125" style="456" customWidth="1"/>
    <col min="15855" max="16105" width="9.140625" style="456"/>
    <col min="16106" max="16106" width="30.42578125" style="456" customWidth="1"/>
    <col min="16107" max="16109" width="9.140625" style="456"/>
    <col min="16110" max="16110" width="15.5703125" style="456" customWidth="1"/>
    <col min="16111" max="16384" width="9.140625" style="456"/>
  </cols>
  <sheetData>
    <row r="2" spans="2:11" ht="13.5" thickBot="1" x14ac:dyDescent="0.25"/>
    <row r="3" spans="2:11" ht="26.25" thickBot="1" x14ac:dyDescent="0.25">
      <c r="B3" s="1166"/>
      <c r="C3" s="1165" t="s">
        <v>310</v>
      </c>
      <c r="D3" s="1165" t="s">
        <v>583</v>
      </c>
      <c r="E3" s="1164" t="s">
        <v>582</v>
      </c>
      <c r="F3" s="1206"/>
      <c r="H3" s="1224" t="s">
        <v>393</v>
      </c>
      <c r="I3" s="1223"/>
      <c r="J3" s="1223"/>
      <c r="K3" s="1222"/>
    </row>
    <row r="4" spans="2:11" ht="15.75" thickBot="1" x14ac:dyDescent="0.3">
      <c r="B4" s="952" t="s">
        <v>641</v>
      </c>
      <c r="C4" s="1202">
        <v>1692.63</v>
      </c>
      <c r="D4" s="1201">
        <f>K23</f>
        <v>2059.3153755372359</v>
      </c>
      <c r="E4" s="703">
        <f>(D4-C4)/C4</f>
        <v>0.21663646250937049</v>
      </c>
      <c r="F4" s="1200"/>
      <c r="H4" s="1221" t="s">
        <v>640</v>
      </c>
      <c r="I4" s="1199"/>
      <c r="J4" s="1198"/>
      <c r="K4" s="1197">
        <v>10</v>
      </c>
    </row>
    <row r="5" spans="2:11" ht="15.75" thickBot="1" x14ac:dyDescent="0.3">
      <c r="H5" s="1177"/>
      <c r="I5" s="1196" t="s">
        <v>377</v>
      </c>
      <c r="J5" s="1195" t="s">
        <v>380</v>
      </c>
      <c r="K5" s="1194" t="s">
        <v>504</v>
      </c>
    </row>
    <row r="6" spans="2:11" ht="15" x14ac:dyDescent="0.25">
      <c r="G6" s="456">
        <v>1</v>
      </c>
      <c r="H6" s="1120" t="str">
        <f>IF(INDEX('Master Lookup'!$B$429:$B$431,G6)=0,"",INDEX('Master Lookup'!$B$429:$B$431,G6))</f>
        <v>Management</v>
      </c>
      <c r="I6" s="1158">
        <f>IFERROR(INDEX('Master Lookup'!$D$429:$D$431,MATCH(H6,'Master Lookup'!$B$429:$B$431,0)),"")</f>
        <v>79415.232000000018</v>
      </c>
      <c r="J6" s="1157">
        <f>IFERROR(INDEX('Master Lookup'!$E$429:$E$431,MATCH(H6,'Master Lookup'!$B$429:$B$431,0)),"")</f>
        <v>0.01</v>
      </c>
      <c r="K6" s="1193">
        <f>I6*J6</f>
        <v>794.15232000000015</v>
      </c>
    </row>
    <row r="7" spans="2:11" ht="15" x14ac:dyDescent="0.25">
      <c r="E7" s="604"/>
      <c r="F7" s="604"/>
      <c r="G7" s="456">
        <v>2</v>
      </c>
      <c r="H7" s="1120" t="str">
        <f>IF(INDEX('Master Lookup'!$B$429:$B$431,G7)=0,"",INDEX('Master Lookup'!$B$429:$B$431,G7))</f>
        <v>Case Manager</v>
      </c>
      <c r="I7" s="1158">
        <f>IFERROR(INDEX('Master Lookup'!$D$429:$D$431,MATCH(H7,'Master Lookup'!$B$429:$B$431,0)),"")</f>
        <v>64330.864000000001</v>
      </c>
      <c r="J7" s="1157">
        <f>IFERROR(INDEX('Master Lookup'!$E$429:$E$431,MATCH(H7,'Master Lookup'!$B$429:$B$431,0)),"")</f>
        <v>0.09</v>
      </c>
      <c r="K7" s="1192">
        <f>I7*J7</f>
        <v>5789.7777599999999</v>
      </c>
    </row>
    <row r="8" spans="2:11" ht="15" x14ac:dyDescent="0.25">
      <c r="E8" s="1088"/>
      <c r="F8" s="1088"/>
      <c r="G8" s="456">
        <v>3</v>
      </c>
      <c r="H8" s="1120" t="str">
        <f>IF(INDEX('Master Lookup'!$B$429:$B$431,G8)=0,"",INDEX('Master Lookup'!$B$429:$B$431,G8))</f>
        <v>Direct Care Staffing</v>
      </c>
      <c r="I8" s="1158">
        <f>IFERROR(INDEX('Master Lookup'!$D$429:$D$431,MATCH(H8,'Master Lookup'!$B$429:$B$431,0)),"")</f>
        <v>53206.566400000003</v>
      </c>
      <c r="J8" s="1157">
        <f>IFERROR(INDEX('Master Lookup'!$E$429:$E$431,MATCH(H8,'Master Lookup'!$B$429:$B$431,0)),"")</f>
        <v>0.1</v>
      </c>
      <c r="K8" s="1192">
        <f>I8*J8</f>
        <v>5320.6566400000011</v>
      </c>
    </row>
    <row r="9" spans="2:11" ht="15" hidden="1" x14ac:dyDescent="0.25">
      <c r="E9" s="1088"/>
      <c r="F9" s="1088"/>
      <c r="H9" s="408"/>
      <c r="I9" s="1191"/>
      <c r="J9" s="406"/>
      <c r="K9" s="1190"/>
    </row>
    <row r="10" spans="2:11" ht="15" x14ac:dyDescent="0.25">
      <c r="E10" s="1088"/>
      <c r="F10" s="1088"/>
      <c r="H10" s="1189" t="s">
        <v>503</v>
      </c>
      <c r="I10" s="1188"/>
      <c r="J10" s="1187">
        <f>SUM(J6:J9)</f>
        <v>0.2</v>
      </c>
      <c r="K10" s="1186">
        <f>SUM(K6:K9)</f>
        <v>11904.586720000001</v>
      </c>
    </row>
    <row r="11" spans="2:11" ht="15" x14ac:dyDescent="0.25">
      <c r="H11" s="822" t="s">
        <v>368</v>
      </c>
      <c r="I11" s="1185"/>
      <c r="J11" s="328">
        <f>INDEX('Master Lookup'!$C$396:$C$398,MATCH(H11,'Master Lookup'!$B$396:$B$398,0))</f>
        <v>0.27379999999999999</v>
      </c>
      <c r="K11" s="1184">
        <f>K10*J11</f>
        <v>3259.4758439360003</v>
      </c>
    </row>
    <row r="12" spans="2:11" ht="15.75" thickBot="1" x14ac:dyDescent="0.3">
      <c r="H12" s="1118" t="s">
        <v>596</v>
      </c>
      <c r="I12" s="1183"/>
      <c r="J12" s="1183"/>
      <c r="K12" s="1182">
        <f>SUM(K10:K11)</f>
        <v>15164.062563936001</v>
      </c>
    </row>
    <row r="13" spans="2:11" ht="15.75" thickTop="1" x14ac:dyDescent="0.25">
      <c r="E13" s="1088"/>
      <c r="F13" s="1088"/>
      <c r="H13" s="817"/>
      <c r="I13" s="1181"/>
      <c r="J13" s="1181"/>
      <c r="K13" s="1180"/>
    </row>
    <row r="14" spans="2:11" ht="15" x14ac:dyDescent="0.25">
      <c r="E14" s="1088"/>
      <c r="F14" s="1088"/>
      <c r="H14" s="817" t="s">
        <v>372</v>
      </c>
      <c r="I14" s="1097"/>
      <c r="J14" s="1121"/>
      <c r="K14" s="914"/>
    </row>
    <row r="15" spans="2:11" ht="15" x14ac:dyDescent="0.25">
      <c r="G15" s="456">
        <v>1</v>
      </c>
      <c r="H15" s="1120" t="str">
        <f>IF(INDEX('Master Lookup'!$B$412:$B$423,G15)=0,"",INDEX('Master Lookup'!$B$412:$B$423,G15))</f>
        <v>Total Occupancy</v>
      </c>
      <c r="I15" s="1088" t="s">
        <v>639</v>
      </c>
      <c r="J15" s="1158">
        <f>IFERROR(INDEX('Master Lookup'!$C$436:$C$437,MATCH(H15,'Master Lookup'!$B$436:$B$437,0)),"")</f>
        <v>6221.9259542286536</v>
      </c>
      <c r="K15" s="1179">
        <f>J10*J15</f>
        <v>1244.3851908457309</v>
      </c>
    </row>
    <row r="16" spans="2:11" ht="15" x14ac:dyDescent="0.25">
      <c r="E16" s="1088"/>
      <c r="F16" s="1088"/>
      <c r="G16" s="456">
        <v>2</v>
      </c>
      <c r="H16" s="156" t="s">
        <v>334</v>
      </c>
      <c r="I16" s="456" t="s">
        <v>638</v>
      </c>
      <c r="J16" s="1158"/>
      <c r="K16" s="1179">
        <f>IFERROR(INDEX('Master Lookup'!$C$412:$C$7423,MATCH(H16,'Master Lookup'!$B$412:$B$423,0)),"")</f>
        <v>1493.1564099112707</v>
      </c>
    </row>
    <row r="17" spans="5:11" ht="15.75" thickBot="1" x14ac:dyDescent="0.3">
      <c r="E17" s="1162"/>
      <c r="F17" s="1162"/>
      <c r="H17" s="1220" t="s">
        <v>538</v>
      </c>
      <c r="I17" s="1219"/>
      <c r="J17" s="1219"/>
      <c r="K17" s="1102">
        <f>SUM(K15:K16)</f>
        <v>2737.5416007570016</v>
      </c>
    </row>
    <row r="18" spans="5:11" ht="15.75" thickTop="1" x14ac:dyDescent="0.25">
      <c r="E18" s="1088"/>
      <c r="F18" s="1088"/>
      <c r="H18" s="817"/>
      <c r="I18" s="361"/>
      <c r="J18" s="361"/>
      <c r="K18" s="410"/>
    </row>
    <row r="19" spans="5:11" ht="30" x14ac:dyDescent="0.25">
      <c r="E19" s="1088"/>
      <c r="F19" s="1088"/>
      <c r="H19" s="489" t="s">
        <v>537</v>
      </c>
      <c r="I19" s="400"/>
      <c r="J19" s="400"/>
      <c r="K19" s="399">
        <f>K17+K12</f>
        <v>17901.604164693003</v>
      </c>
    </row>
    <row r="20" spans="5:11" ht="15" x14ac:dyDescent="0.25">
      <c r="E20" s="1088"/>
      <c r="F20" s="1088"/>
      <c r="H20" s="167" t="s">
        <v>616</v>
      </c>
      <c r="I20" s="1110"/>
      <c r="J20" s="1110">
        <f>'Master Lookup'!C442</f>
        <v>0.12</v>
      </c>
      <c r="K20" s="398">
        <f>K19*J20</f>
        <v>2148.1924997631604</v>
      </c>
    </row>
    <row r="21" spans="5:11" ht="15" x14ac:dyDescent="0.25">
      <c r="H21" s="1111" t="s">
        <v>615</v>
      </c>
      <c r="I21" s="1110"/>
      <c r="J21" s="1110">
        <f>'Master Lookup'!C441</f>
        <v>2.7100379121522307E-2</v>
      </c>
      <c r="K21" s="398">
        <f>J21*(K19+K20)</f>
        <v>543.35709091619538</v>
      </c>
    </row>
    <row r="22" spans="5:11" ht="15.75" thickBot="1" x14ac:dyDescent="0.3">
      <c r="E22" s="1162"/>
      <c r="F22" s="1162"/>
      <c r="H22" s="611" t="s">
        <v>637</v>
      </c>
      <c r="I22" s="1104"/>
      <c r="J22" s="1103"/>
      <c r="K22" s="1102">
        <f>SUM(K19:K21)</f>
        <v>20593.153755372361</v>
      </c>
    </row>
    <row r="23" spans="5:11" ht="15.75" thickBot="1" x14ac:dyDescent="0.3">
      <c r="E23" s="1162"/>
      <c r="F23" s="1162"/>
      <c r="H23" s="1109" t="s">
        <v>630</v>
      </c>
      <c r="I23" s="1108"/>
      <c r="J23" s="1107"/>
      <c r="K23" s="1178">
        <f>K22/K4</f>
        <v>2059.3153755372359</v>
      </c>
    </row>
    <row r="24" spans="5:11" x14ac:dyDescent="0.2">
      <c r="E24" s="1162"/>
      <c r="F24" s="1162"/>
    </row>
    <row r="25" spans="5:11" ht="13.5" thickBot="1" x14ac:dyDescent="0.25">
      <c r="E25" s="1162"/>
      <c r="F25" s="1162"/>
    </row>
    <row r="26" spans="5:11" ht="15" x14ac:dyDescent="0.25">
      <c r="E26" s="1218"/>
      <c r="F26" s="1218"/>
      <c r="H26" s="1217" t="s">
        <v>629</v>
      </c>
      <c r="I26" s="1216"/>
      <c r="J26" s="1215" t="s">
        <v>628</v>
      </c>
      <c r="K26" s="1214" t="s">
        <v>627</v>
      </c>
    </row>
    <row r="27" spans="5:11" x14ac:dyDescent="0.2">
      <c r="E27" s="1162"/>
      <c r="F27" s="1162"/>
      <c r="H27" s="1213" t="s">
        <v>636</v>
      </c>
      <c r="I27" s="1212"/>
      <c r="J27" s="1211">
        <v>68.72</v>
      </c>
      <c r="K27" s="1207">
        <f>J27*(J21+1)</f>
        <v>70.582338053231013</v>
      </c>
    </row>
    <row r="28" spans="5:11" x14ac:dyDescent="0.2">
      <c r="E28" s="1162"/>
      <c r="F28" s="1162"/>
      <c r="H28" s="1213" t="s">
        <v>635</v>
      </c>
      <c r="I28" s="1212"/>
      <c r="J28" s="1211">
        <v>168.53</v>
      </c>
      <c r="K28" s="1207">
        <f>J28*(J21+1)</f>
        <v>173.09722689335015</v>
      </c>
    </row>
    <row r="29" spans="5:11" x14ac:dyDescent="0.2">
      <c r="H29" s="1213" t="s">
        <v>634</v>
      </c>
      <c r="I29" s="1212"/>
      <c r="J29" s="1211">
        <v>48.59</v>
      </c>
      <c r="K29" s="1207">
        <f>J29*(J21+1)</f>
        <v>49.90680742151477</v>
      </c>
    </row>
    <row r="30" spans="5:11" x14ac:dyDescent="0.2">
      <c r="E30" s="604"/>
      <c r="F30" s="604"/>
      <c r="H30" s="1213" t="s">
        <v>626</v>
      </c>
      <c r="I30" s="1212"/>
      <c r="J30" s="1211">
        <v>137.06</v>
      </c>
      <c r="K30" s="1207">
        <f>J30*(J21+1)</f>
        <v>140.77437796239585</v>
      </c>
    </row>
    <row r="31" spans="5:11" ht="13.5" thickBot="1" x14ac:dyDescent="0.25">
      <c r="H31" s="1210" t="s">
        <v>633</v>
      </c>
      <c r="I31" s="1209"/>
      <c r="J31" s="1208">
        <v>164.48</v>
      </c>
      <c r="K31" s="1207">
        <f>J31*(J21+1)</f>
        <v>168.93747035790798</v>
      </c>
    </row>
    <row r="32" spans="5:11" x14ac:dyDescent="0.2">
      <c r="E32" s="1162"/>
      <c r="F32" s="1162"/>
    </row>
    <row r="33" spans="5:6" x14ac:dyDescent="0.2">
      <c r="E33" s="1162"/>
      <c r="F33" s="1162"/>
    </row>
    <row r="34" spans="5:6" x14ac:dyDescent="0.2">
      <c r="E34" s="1162"/>
      <c r="F34" s="1162"/>
    </row>
    <row r="35" spans="5:6" x14ac:dyDescent="0.2">
      <c r="E35" s="1162"/>
      <c r="F35" s="1162"/>
    </row>
    <row r="36" spans="5:6" x14ac:dyDescent="0.2">
      <c r="E36" s="1162"/>
      <c r="F36" s="1162"/>
    </row>
  </sheetData>
  <mergeCells count="7">
    <mergeCell ref="H3:K3"/>
    <mergeCell ref="H28:I28"/>
    <mergeCell ref="H29:I29"/>
    <mergeCell ref="H30:I30"/>
    <mergeCell ref="H31:I31"/>
    <mergeCell ref="H26:I26"/>
    <mergeCell ref="H27:I27"/>
  </mergeCells>
  <pageMargins left="0.7" right="0.7" top="0.75" bottom="0.75" header="0.3" footer="0.3"/>
  <pageSetup scale="7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0A34A-8915-4B56-B1B8-A78B3CABC5A6}">
  <dimension ref="B1:AL94"/>
  <sheetViews>
    <sheetView zoomScale="90" zoomScaleNormal="90" workbookViewId="0">
      <selection activeCell="L42" sqref="L42"/>
    </sheetView>
  </sheetViews>
  <sheetFormatPr defaultColWidth="8.85546875" defaultRowHeight="12.75" x14ac:dyDescent="0.2"/>
  <cols>
    <col min="1" max="1" width="8.85546875" style="456"/>
    <col min="2" max="2" width="36.140625" style="456" customWidth="1"/>
    <col min="3" max="3" width="8.85546875" style="456"/>
    <col min="4" max="4" width="36.140625" style="456" bestFit="1" customWidth="1"/>
    <col min="5" max="5" width="8.85546875" style="456"/>
    <col min="6" max="6" width="30.5703125" style="456" customWidth="1"/>
    <col min="7" max="7" width="7.42578125" style="456" customWidth="1"/>
    <col min="8" max="8" width="7.42578125" style="456" bestFit="1" customWidth="1"/>
    <col min="9" max="9" width="9.5703125" style="456" customWidth="1"/>
    <col min="10" max="10" width="9.42578125" style="456" bestFit="1" customWidth="1"/>
    <col min="11" max="11" width="2.85546875" style="456" customWidth="1"/>
    <col min="12" max="12" width="29.7109375" style="456" customWidth="1"/>
    <col min="13" max="13" width="9.28515625" style="456" customWidth="1"/>
    <col min="14" max="14" width="7.42578125" style="456" bestFit="1" customWidth="1"/>
    <col min="15" max="15" width="9.85546875" style="456" customWidth="1"/>
    <col min="16" max="16" width="8.42578125" style="456" bestFit="1" customWidth="1"/>
    <col min="17" max="17" width="4.85546875" style="456" customWidth="1"/>
    <col min="18" max="18" width="3.85546875" style="456" customWidth="1"/>
    <col min="19" max="19" width="32.7109375" style="456" customWidth="1"/>
    <col min="20" max="20" width="10.7109375" style="456" bestFit="1" customWidth="1"/>
    <col min="21" max="21" width="7.5703125" style="456" bestFit="1" customWidth="1"/>
    <col min="22" max="22" width="11.5703125" style="456" bestFit="1" customWidth="1"/>
    <col min="23" max="23" width="7.42578125" style="456" customWidth="1"/>
    <col min="24" max="24" width="34.85546875" style="456" customWidth="1"/>
    <col min="25" max="25" width="11" style="456" customWidth="1"/>
    <col min="26" max="26" width="8.85546875" style="456" customWidth="1"/>
    <col min="27" max="27" width="9.5703125" style="456" bestFit="1" customWidth="1"/>
    <col min="28" max="28" width="8.85546875" style="456" customWidth="1"/>
    <col min="29" max="29" width="41.5703125" style="456" hidden="1" customWidth="1"/>
    <col min="30" max="30" width="13.140625" style="456" hidden="1" customWidth="1"/>
    <col min="31" max="31" width="13.85546875" style="456" hidden="1" customWidth="1"/>
    <col min="32" max="32" width="13.42578125" style="456" hidden="1" customWidth="1"/>
    <col min="33" max="33" width="12.42578125" style="456" hidden="1" customWidth="1"/>
    <col min="34" max="34" width="13.7109375" style="456" hidden="1" customWidth="1"/>
    <col min="35" max="35" width="11.5703125" style="456" hidden="1" customWidth="1"/>
    <col min="36" max="36" width="12.42578125" style="456" hidden="1" customWidth="1"/>
    <col min="37" max="44" width="8.85546875" style="456" customWidth="1"/>
    <col min="45" max="16384" width="8.85546875" style="456"/>
  </cols>
  <sheetData>
    <row r="1" spans="2:36" x14ac:dyDescent="0.2">
      <c r="F1" s="604"/>
      <c r="S1" s="604"/>
    </row>
    <row r="2" spans="2:36" x14ac:dyDescent="0.2">
      <c r="S2" s="604"/>
      <c r="AC2" s="604" t="s">
        <v>701</v>
      </c>
    </row>
    <row r="3" spans="2:36" ht="13.5" thickBot="1" x14ac:dyDescent="0.25">
      <c r="F3" s="1313" t="s">
        <v>661</v>
      </c>
      <c r="G3" s="1312"/>
      <c r="H3" s="1312"/>
      <c r="I3" s="1312"/>
      <c r="J3" s="1312"/>
      <c r="K3" s="1312"/>
      <c r="L3" s="1312"/>
      <c r="M3" s="1312"/>
      <c r="N3" s="1312"/>
      <c r="O3" s="1312"/>
    </row>
    <row r="4" spans="2:36" ht="15.75" thickBot="1" x14ac:dyDescent="0.3">
      <c r="B4" s="1375" t="s">
        <v>700</v>
      </c>
      <c r="C4" s="1352"/>
      <c r="D4" s="1351"/>
      <c r="F4" s="1312"/>
      <c r="G4" s="1312"/>
      <c r="H4" s="1312"/>
      <c r="I4" s="1312"/>
      <c r="J4" s="1312"/>
      <c r="K4" s="1312"/>
      <c r="L4" s="1312"/>
      <c r="M4" s="1312"/>
      <c r="N4" s="1312"/>
      <c r="O4" s="1312"/>
      <c r="R4" s="1290"/>
    </row>
    <row r="5" spans="2:36" ht="15.75" thickBot="1" x14ac:dyDescent="0.3">
      <c r="B5" s="1371" t="s">
        <v>697</v>
      </c>
      <c r="C5" s="1352"/>
      <c r="D5" s="1351"/>
      <c r="I5" s="1298">
        <v>1364</v>
      </c>
      <c r="O5" s="1298">
        <v>1364</v>
      </c>
      <c r="Q5" s="1286"/>
      <c r="R5" s="1285"/>
      <c r="AB5" s="452"/>
      <c r="AC5" s="607" t="s">
        <v>694</v>
      </c>
      <c r="AD5" s="1365"/>
      <c r="AE5" s="1365"/>
      <c r="AF5" s="1365"/>
      <c r="AG5" s="1365"/>
      <c r="AH5" s="1365"/>
      <c r="AI5" s="1365"/>
      <c r="AJ5" s="1365"/>
    </row>
    <row r="6" spans="2:36" ht="26.25" thickBot="1" x14ac:dyDescent="0.25">
      <c r="B6" s="482" t="s">
        <v>375</v>
      </c>
      <c r="C6" s="1354">
        <f>'M2022 BLS SALARY CHART (53_PCT)'!C22</f>
        <v>79415.232000000018</v>
      </c>
      <c r="D6" s="1340" t="s">
        <v>681</v>
      </c>
      <c r="F6" s="1297" t="s">
        <v>658</v>
      </c>
      <c r="G6" s="1296" t="s">
        <v>646</v>
      </c>
      <c r="H6" s="1300" t="s">
        <v>645</v>
      </c>
      <c r="I6" s="1299" t="s">
        <v>625</v>
      </c>
      <c r="J6" s="1298"/>
      <c r="L6" s="1297" t="s">
        <v>403</v>
      </c>
      <c r="M6" s="1296" t="s">
        <v>646</v>
      </c>
      <c r="N6" s="1296" t="s">
        <v>645</v>
      </c>
      <c r="O6" s="1295" t="s">
        <v>625</v>
      </c>
      <c r="Q6" s="1089"/>
      <c r="R6" s="1089"/>
      <c r="AB6" s="1358"/>
      <c r="AC6" s="597" t="s">
        <v>690</v>
      </c>
      <c r="AD6" s="597" t="s">
        <v>399</v>
      </c>
      <c r="AE6" s="597" t="s">
        <v>689</v>
      </c>
      <c r="AF6" s="1357" t="s">
        <v>688</v>
      </c>
      <c r="AG6" s="1357" t="s">
        <v>687</v>
      </c>
      <c r="AH6" s="597" t="s">
        <v>686</v>
      </c>
      <c r="AI6" s="597" t="s">
        <v>685</v>
      </c>
      <c r="AJ6" s="1356" t="s">
        <v>684</v>
      </c>
    </row>
    <row r="7" spans="2:36" x14ac:dyDescent="0.2">
      <c r="B7" s="482" t="s">
        <v>403</v>
      </c>
      <c r="C7" s="1354">
        <f>'M2022 BLS SALARY CHART (53_PCT)'!C18</f>
        <v>80606.448000000004</v>
      </c>
      <c r="D7" s="1340" t="s">
        <v>681</v>
      </c>
      <c r="F7" s="1294" t="str">
        <f>F78</f>
        <v xml:space="preserve">Management </v>
      </c>
      <c r="G7" s="1086">
        <f>C6</f>
        <v>79415.232000000018</v>
      </c>
      <c r="H7" s="1292">
        <v>0.1</v>
      </c>
      <c r="I7" s="1291">
        <f>G7*H7</f>
        <v>7941.5232000000024</v>
      </c>
      <c r="L7" s="1294" t="str">
        <f>L78</f>
        <v xml:space="preserve">Management </v>
      </c>
      <c r="M7" s="1086">
        <f>C6</f>
        <v>79415.232000000018</v>
      </c>
      <c r="N7" s="1292">
        <v>0.1</v>
      </c>
      <c r="O7" s="1291">
        <f>M7*N7</f>
        <v>7941.5232000000024</v>
      </c>
      <c r="Q7" s="1071"/>
      <c r="R7" s="1355"/>
      <c r="AB7" s="1345"/>
      <c r="AC7" s="604" t="s">
        <v>682</v>
      </c>
      <c r="AD7" s="456">
        <v>8</v>
      </c>
      <c r="AF7" s="1270">
        <v>35000</v>
      </c>
      <c r="AG7" s="1270">
        <f>+AF7/AD7</f>
        <v>4375</v>
      </c>
      <c r="AH7" s="1339">
        <f>+AG7/52</f>
        <v>84.134615384615387</v>
      </c>
      <c r="AI7" s="1308">
        <f>+AH7/7</f>
        <v>12.01923076923077</v>
      </c>
      <c r="AJ7" s="1308"/>
    </row>
    <row r="8" spans="2:36" ht="13.5" thickBot="1" x14ac:dyDescent="0.25">
      <c r="B8" s="482" t="s">
        <v>373</v>
      </c>
      <c r="C8" s="1354">
        <f>'M2022 BLS SALARY CHART (53_PCT)'!C6</f>
        <v>41600</v>
      </c>
      <c r="D8" s="1340" t="s">
        <v>681</v>
      </c>
      <c r="F8" s="1293" t="s">
        <v>373</v>
      </c>
      <c r="G8" s="1086">
        <f>C8</f>
        <v>41600</v>
      </c>
      <c r="H8" s="1292">
        <v>1.1499999999999999</v>
      </c>
      <c r="I8" s="1291">
        <f>G8*H8</f>
        <v>47839.999999999993</v>
      </c>
      <c r="L8" s="1293" t="s">
        <v>403</v>
      </c>
      <c r="M8" s="1086">
        <f>C7</f>
        <v>80606.448000000004</v>
      </c>
      <c r="N8" s="1292">
        <v>1</v>
      </c>
      <c r="O8" s="1291">
        <f>M8*N8</f>
        <v>80606.448000000004</v>
      </c>
      <c r="Q8" s="1071"/>
      <c r="R8" s="1269"/>
      <c r="AB8" s="1345"/>
      <c r="AC8" s="604" t="s">
        <v>680</v>
      </c>
      <c r="AD8" s="456">
        <v>30</v>
      </c>
      <c r="AF8" s="1270"/>
      <c r="AG8" s="1270"/>
      <c r="AH8" s="1339"/>
      <c r="AI8" s="1308"/>
      <c r="AJ8" s="1308"/>
    </row>
    <row r="9" spans="2:36" ht="15.75" thickBot="1" x14ac:dyDescent="0.3">
      <c r="B9" s="1353" t="s">
        <v>679</v>
      </c>
      <c r="C9" s="1352"/>
      <c r="D9" s="1351"/>
      <c r="F9" s="891" t="s">
        <v>368</v>
      </c>
      <c r="G9" s="1289">
        <f>C13</f>
        <v>0.27379999999999999</v>
      </c>
      <c r="H9" s="1088"/>
      <c r="I9" s="1273">
        <f>SUM(I7:I8)*G9</f>
        <v>15272.981052159997</v>
      </c>
      <c r="L9" s="891" t="s">
        <v>368</v>
      </c>
      <c r="M9" s="1289">
        <f>C13</f>
        <v>0.27379999999999999</v>
      </c>
      <c r="N9" s="1088"/>
      <c r="O9" s="1273">
        <f>SUM(O7:O8)*M9</f>
        <v>24244.434514559998</v>
      </c>
      <c r="Q9" s="1071"/>
      <c r="R9" s="582"/>
      <c r="AB9" s="1344"/>
      <c r="AC9" s="604" t="s">
        <v>678</v>
      </c>
      <c r="AD9" s="456">
        <v>6</v>
      </c>
      <c r="AE9" s="456">
        <v>8</v>
      </c>
      <c r="AF9" s="1270">
        <v>42189</v>
      </c>
      <c r="AG9" s="1270">
        <f>(+AF9/AD9)/AE9</f>
        <v>878.9375</v>
      </c>
      <c r="AH9" s="1339">
        <f>+AG9/52</f>
        <v>16.90264423076923</v>
      </c>
      <c r="AI9" s="1308">
        <f>+AH9/7</f>
        <v>2.4146634615384612</v>
      </c>
      <c r="AJ9" s="1308"/>
    </row>
    <row r="10" spans="2:36" x14ac:dyDescent="0.2">
      <c r="B10" s="482" t="s">
        <v>653</v>
      </c>
      <c r="C10" s="1333">
        <f>'[2]Master Look Up FY24'!E4</f>
        <v>6221.9259542286536</v>
      </c>
      <c r="D10" s="810" t="s">
        <v>674</v>
      </c>
      <c r="F10" s="1256" t="s">
        <v>657</v>
      </c>
      <c r="G10" s="1287">
        <f>C15</f>
        <v>2.7100379121522307E-2</v>
      </c>
      <c r="H10" s="1162"/>
      <c r="I10" s="1273">
        <f>SUM(I7:I9)*G10</f>
        <v>1925.6040035253548</v>
      </c>
      <c r="L10" s="1256" t="s">
        <v>657</v>
      </c>
      <c r="M10" s="1287">
        <f>C15</f>
        <v>2.7100379121522307E-2</v>
      </c>
      <c r="N10" s="1162"/>
      <c r="O10" s="1273">
        <f>SUM(O7:O9)*M10</f>
        <v>3056.7169568931349</v>
      </c>
      <c r="Q10" s="1071"/>
      <c r="R10" s="604"/>
      <c r="AB10" s="1349"/>
      <c r="AC10" s="1310" t="s">
        <v>677</v>
      </c>
      <c r="AF10" s="1270"/>
      <c r="AG10" s="1270">
        <f>SUM(AG7:AG9)</f>
        <v>5253.9375</v>
      </c>
      <c r="AH10" s="1339">
        <f>SUM(AH7:AH9)</f>
        <v>101.03725961538461</v>
      </c>
      <c r="AI10" s="1308">
        <f>SUM(AI7:AI9)</f>
        <v>14.433894230769232</v>
      </c>
      <c r="AJ10" s="1307" t="e">
        <f>AI10/AI$21</f>
        <v>#DIV/0!</v>
      </c>
    </row>
    <row r="11" spans="2:36" ht="13.5" thickBot="1" x14ac:dyDescent="0.25">
      <c r="B11" s="482" t="s">
        <v>676</v>
      </c>
      <c r="C11" s="1333">
        <f>'[2]Master Look Up FY24'!E17</f>
        <v>1493.1564099112707</v>
      </c>
      <c r="D11" s="810" t="s">
        <v>674</v>
      </c>
      <c r="F11" s="1280" t="s">
        <v>655</v>
      </c>
      <c r="G11" s="1279"/>
      <c r="H11" s="1278">
        <f>SUM(H6:H8)</f>
        <v>1.25</v>
      </c>
      <c r="I11" s="1258">
        <f>SUM(I7:I10)</f>
        <v>72980.108255685351</v>
      </c>
      <c r="L11" s="1280" t="s">
        <v>655</v>
      </c>
      <c r="M11" s="1279"/>
      <c r="N11" s="1278">
        <f>SUM(N6:N8)</f>
        <v>1.1000000000000001</v>
      </c>
      <c r="O11" s="1258">
        <f>SUM(O7:O10)</f>
        <v>115849.12267145314</v>
      </c>
      <c r="Q11" s="1072"/>
      <c r="R11" s="604"/>
      <c r="AB11" s="1345"/>
      <c r="AC11" s="604" t="s">
        <v>675</v>
      </c>
      <c r="AF11" s="1270">
        <v>35000</v>
      </c>
      <c r="AG11" s="1270">
        <f>+AF11/8</f>
        <v>4375</v>
      </c>
      <c r="AH11" s="1339">
        <f>+AG11/52</f>
        <v>84.134615384615387</v>
      </c>
      <c r="AI11" s="1308">
        <f>+AH11/7</f>
        <v>12.01923076923077</v>
      </c>
      <c r="AJ11" s="1307" t="e">
        <f>AI11/AI$21</f>
        <v>#DIV/0!</v>
      </c>
    </row>
    <row r="12" spans="2:36" ht="13.5" thickTop="1" x14ac:dyDescent="0.2">
      <c r="B12" s="482" t="s">
        <v>651</v>
      </c>
      <c r="C12" s="1333">
        <f>'[2]Master Look Up FY24'!E14</f>
        <v>1475.3908322281168</v>
      </c>
      <c r="D12" s="810" t="s">
        <v>674</v>
      </c>
      <c r="F12" s="867" t="s">
        <v>625</v>
      </c>
      <c r="G12" s="1274"/>
      <c r="H12" s="1088"/>
      <c r="I12" s="1273"/>
      <c r="L12" s="867" t="s">
        <v>625</v>
      </c>
      <c r="M12" s="1274"/>
      <c r="N12" s="1088"/>
      <c r="O12" s="1273"/>
      <c r="Q12" s="1072"/>
      <c r="R12" s="604"/>
      <c r="AB12" s="1344"/>
      <c r="AC12" s="604" t="s">
        <v>672</v>
      </c>
      <c r="AF12" s="1270">
        <f>SUM(AF7:AF11)*0.1</f>
        <v>11218.900000000001</v>
      </c>
      <c r="AG12" s="1270">
        <f>+AF12/8</f>
        <v>1402.3625000000002</v>
      </c>
      <c r="AH12" s="1339">
        <f>+AG12/52</f>
        <v>26.968509615384619</v>
      </c>
      <c r="AI12" s="1308">
        <f>+AH12/7</f>
        <v>3.8526442307692315</v>
      </c>
      <c r="AJ12" s="1307" t="e">
        <f>AI12/AI$21</f>
        <v>#DIV/0!</v>
      </c>
    </row>
    <row r="13" spans="2:36" x14ac:dyDescent="0.2">
      <c r="B13" s="482" t="s">
        <v>671</v>
      </c>
      <c r="C13" s="593">
        <v>0.27379999999999999</v>
      </c>
      <c r="D13" s="1340" t="s">
        <v>316</v>
      </c>
      <c r="F13" s="482" t="s">
        <v>653</v>
      </c>
      <c r="G13" s="1264"/>
      <c r="H13" s="1263">
        <f>C10</f>
        <v>6221.9259542286536</v>
      </c>
      <c r="I13" s="1262">
        <f>H13*$H$8</f>
        <v>7155.2148473629513</v>
      </c>
      <c r="L13" s="482" t="s">
        <v>653</v>
      </c>
      <c r="M13" s="1264"/>
      <c r="N13" s="1263">
        <f>C10</f>
        <v>6221.9259542286536</v>
      </c>
      <c r="O13" s="1262">
        <f>N13*N11</f>
        <v>6844.11854965152</v>
      </c>
      <c r="Q13" s="1072"/>
      <c r="AC13" s="1285" t="s">
        <v>670</v>
      </c>
      <c r="AD13" s="1269"/>
      <c r="AE13" s="1269"/>
      <c r="AF13" s="1335"/>
      <c r="AG13" s="1335"/>
      <c r="AH13" s="1334"/>
      <c r="AI13" s="1308">
        <f>SUM(AI10:AI12)</f>
        <v>30.305769230769233</v>
      </c>
      <c r="AJ13" s="1341"/>
    </row>
    <row r="14" spans="2:36" ht="13.5" thickBot="1" x14ac:dyDescent="0.25">
      <c r="B14" s="482" t="s">
        <v>28</v>
      </c>
      <c r="C14" s="593">
        <f>'[2]Master Look Up FY24'!D30</f>
        <v>0.12</v>
      </c>
      <c r="D14" s="1340" t="s">
        <v>316</v>
      </c>
      <c r="F14" s="482" t="str">
        <f>B11</f>
        <v>Other Exp (Program Supplies &amp; Materials)</v>
      </c>
      <c r="G14" s="1264"/>
      <c r="H14" s="1263">
        <f>C11</f>
        <v>1493.1564099112707</v>
      </c>
      <c r="I14" s="1262">
        <f>H14*$H$8</f>
        <v>1717.1298713979611</v>
      </c>
      <c r="L14" s="482" t="str">
        <f>B11</f>
        <v>Other Exp (Program Supplies &amp; Materials)</v>
      </c>
      <c r="M14" s="1264"/>
      <c r="N14" s="1263">
        <f>C11</f>
        <v>1493.1564099112707</v>
      </c>
      <c r="O14" s="1262">
        <f>N14*N11</f>
        <v>1642.4720509023978</v>
      </c>
      <c r="Q14" s="1076"/>
      <c r="AB14" s="1263"/>
      <c r="AC14" s="1310" t="s">
        <v>669</v>
      </c>
      <c r="AF14" s="1270">
        <f>SUM(AF10:AF12)*0.25</f>
        <v>11554.725</v>
      </c>
      <c r="AG14" s="1270">
        <f>SUM(AG10:AG12)*0.25</f>
        <v>2757.8249999999998</v>
      </c>
      <c r="AH14" s="1339">
        <f>SUM(AH10:AH12)*0.25</f>
        <v>53.035096153846155</v>
      </c>
      <c r="AI14" s="1308">
        <f>SUM(AI10:AI12)*0.25</f>
        <v>7.5764423076923082</v>
      </c>
      <c r="AJ14" s="1307" t="e">
        <f>AI14/AI$21</f>
        <v>#DIV/0!</v>
      </c>
    </row>
    <row r="15" spans="2:36" ht="13.5" thickBot="1" x14ac:dyDescent="0.25">
      <c r="B15" s="1338" t="s">
        <v>668</v>
      </c>
      <c r="C15" s="1337">
        <f>'CAF Spring 2023'!CI26</f>
        <v>2.7100379121522307E-2</v>
      </c>
      <c r="D15" s="1336" t="s">
        <v>314</v>
      </c>
      <c r="F15" s="482" t="s">
        <v>651</v>
      </c>
      <c r="G15" s="1264"/>
      <c r="H15" s="1263">
        <f>C12</f>
        <v>1475.3908322281168</v>
      </c>
      <c r="I15" s="1262">
        <f>H15*$H$8</f>
        <v>1696.6994570623342</v>
      </c>
      <c r="L15" s="482" t="s">
        <v>651</v>
      </c>
      <c r="M15" s="1264"/>
      <c r="N15" s="1263">
        <f>C12</f>
        <v>1475.3908322281168</v>
      </c>
      <c r="O15" s="1262">
        <f>N15*N11</f>
        <v>1622.9299154509285</v>
      </c>
      <c r="Q15" s="1076"/>
      <c r="AB15" s="1263"/>
      <c r="AC15" s="1285" t="s">
        <v>667</v>
      </c>
      <c r="AD15" s="1269"/>
      <c r="AE15" s="1269"/>
      <c r="AF15" s="1335"/>
      <c r="AG15" s="1335"/>
      <c r="AH15" s="1334"/>
      <c r="AI15" s="1308">
        <f>SUM(AI13:AI14)</f>
        <v>37.88221153846154</v>
      </c>
      <c r="AJ15" s="1307">
        <f>AI15/AI26</f>
        <v>0.74420735234740054</v>
      </c>
    </row>
    <row r="16" spans="2:36" ht="26.25" thickBot="1" x14ac:dyDescent="0.25">
      <c r="F16" s="1261" t="s">
        <v>537</v>
      </c>
      <c r="G16" s="1260"/>
      <c r="H16" s="1259"/>
      <c r="I16" s="1258">
        <f>SUM(I11:I15)</f>
        <v>83549.152431508599</v>
      </c>
      <c r="L16" s="1261" t="s">
        <v>537</v>
      </c>
      <c r="M16" s="1260"/>
      <c r="N16" s="1259"/>
      <c r="O16" s="1258">
        <f>SUM(O11:O15)</f>
        <v>125958.643187458</v>
      </c>
      <c r="Q16" s="1076"/>
      <c r="AB16" s="1263"/>
      <c r="AF16" s="1270"/>
      <c r="AG16" s="1270"/>
    </row>
    <row r="17" spans="6:38" ht="13.5" thickTop="1" x14ac:dyDescent="0.2">
      <c r="F17" s="482" t="s">
        <v>616</v>
      </c>
      <c r="G17" s="1077">
        <f>C14</f>
        <v>0.12</v>
      </c>
      <c r="H17" s="1077"/>
      <c r="I17" s="1257">
        <f>(I16-I10)*G17</f>
        <v>9794.8258113579886</v>
      </c>
      <c r="L17" s="482" t="s">
        <v>616</v>
      </c>
      <c r="M17" s="1077">
        <f>C14</f>
        <v>0.12</v>
      </c>
      <c r="N17" s="1077"/>
      <c r="O17" s="1257">
        <f>(O16-O10)*M17</f>
        <v>14748.231147667782</v>
      </c>
      <c r="Q17" s="1076"/>
      <c r="AB17" s="1263"/>
      <c r="AC17" s="1328"/>
      <c r="AD17" s="1328"/>
      <c r="AE17" s="1328"/>
      <c r="AF17" s="1329"/>
      <c r="AG17" s="1329"/>
      <c r="AH17" s="1328"/>
      <c r="AI17" s="1314"/>
    </row>
    <row r="18" spans="6:38" x14ac:dyDescent="0.2">
      <c r="F18" s="1256" t="s">
        <v>615</v>
      </c>
      <c r="G18" s="1077">
        <f>C15</f>
        <v>2.7100379121522307E-2</v>
      </c>
      <c r="H18" s="1077"/>
      <c r="I18" s="1255">
        <f>SUM(I13:I15)*G18</f>
        <v>286.42510411692723</v>
      </c>
      <c r="L18" s="1256" t="s">
        <v>615</v>
      </c>
      <c r="M18" s="1077">
        <f>C15</f>
        <v>2.7100379121522307E-2</v>
      </c>
      <c r="N18" s="1077"/>
      <c r="O18" s="1255">
        <f>SUM(O13:O15)*M18</f>
        <v>273.97183872053915</v>
      </c>
      <c r="Q18" s="1076"/>
      <c r="AB18" s="1263"/>
      <c r="AC18" s="1328"/>
      <c r="AD18" s="1328"/>
      <c r="AE18" s="1328"/>
      <c r="AF18" s="1329"/>
      <c r="AG18" s="1329"/>
      <c r="AH18" s="1328"/>
      <c r="AI18" s="1314"/>
    </row>
    <row r="19" spans="6:38" ht="13.5" thickBot="1" x14ac:dyDescent="0.25">
      <c r="F19" s="1254" t="s">
        <v>536</v>
      </c>
      <c r="G19" s="1253"/>
      <c r="H19" s="1252"/>
      <c r="I19" s="1251">
        <f>SUM(I16:I18)</f>
        <v>93630.403346983527</v>
      </c>
      <c r="L19" s="1254" t="s">
        <v>536</v>
      </c>
      <c r="M19" s="1253"/>
      <c r="N19" s="1252"/>
      <c r="O19" s="1251">
        <f>SUM(O16:O18)</f>
        <v>140980.84617384634</v>
      </c>
      <c r="Q19" s="1076"/>
      <c r="AB19" s="1263"/>
      <c r="AC19" s="1328"/>
      <c r="AD19" s="1328"/>
      <c r="AE19" s="1328"/>
      <c r="AF19" s="1329"/>
      <c r="AG19" s="1329"/>
      <c r="AH19" s="1328"/>
      <c r="AI19" s="1314"/>
    </row>
    <row r="20" spans="6:38" ht="13.5" thickTop="1" x14ac:dyDescent="0.2">
      <c r="F20" s="613" t="s">
        <v>650</v>
      </c>
      <c r="H20" s="584"/>
      <c r="I20" s="1250">
        <f>I19/I5+0.2</f>
        <v>68.84399072359497</v>
      </c>
      <c r="L20" s="613" t="s">
        <v>650</v>
      </c>
      <c r="N20" s="584"/>
      <c r="O20" s="1250">
        <f>O19/O5+0.29</f>
        <v>103.64839162305451</v>
      </c>
      <c r="Q20" s="1076"/>
      <c r="AB20" s="1317"/>
      <c r="AC20" s="319" t="s">
        <v>665</v>
      </c>
      <c r="AD20" s="319"/>
      <c r="AE20" s="319"/>
      <c r="AF20" s="1270"/>
      <c r="AG20" s="1315"/>
      <c r="AH20" s="319"/>
      <c r="AI20" s="1314">
        <f>0.2*AL26</f>
        <v>10.180552884615384</v>
      </c>
      <c r="AJ20" s="1307">
        <f>AI20/AI26</f>
        <v>0.19999999999999996</v>
      </c>
    </row>
    <row r="21" spans="6:38" ht="13.5" thickBot="1" x14ac:dyDescent="0.25">
      <c r="F21" s="1249" t="s">
        <v>649</v>
      </c>
      <c r="G21" s="1248"/>
      <c r="H21" s="1248"/>
      <c r="I21" s="1247">
        <f>I20/4</f>
        <v>17.210997680898743</v>
      </c>
      <c r="L21" s="1249" t="s">
        <v>649</v>
      </c>
      <c r="M21" s="1248"/>
      <c r="N21" s="1248"/>
      <c r="O21" s="1247">
        <f>O20/4</f>
        <v>25.912097905763627</v>
      </c>
      <c r="Q21" s="1076"/>
      <c r="V21" s="1270"/>
      <c r="AA21" s="1270"/>
      <c r="AB21" s="1263"/>
      <c r="AD21" s="319"/>
      <c r="AE21" s="319"/>
      <c r="AF21" s="1270"/>
      <c r="AG21" s="1315"/>
      <c r="AH21" s="319"/>
      <c r="AI21" s="1314"/>
      <c r="AJ21" s="1307"/>
    </row>
    <row r="22" spans="6:38" x14ac:dyDescent="0.2">
      <c r="Q22" s="1076"/>
      <c r="R22" s="604"/>
      <c r="S22" s="604"/>
      <c r="T22" s="1244"/>
      <c r="AB22" s="1263"/>
      <c r="AD22" s="319"/>
      <c r="AE22" s="319"/>
      <c r="AF22" s="1270"/>
      <c r="AG22" s="1315"/>
      <c r="AH22" s="319"/>
      <c r="AI22" s="1314"/>
      <c r="AJ22" s="1307"/>
    </row>
    <row r="23" spans="6:38" x14ac:dyDescent="0.2">
      <c r="Q23" s="1243"/>
      <c r="S23" s="604"/>
      <c r="T23" s="1244"/>
      <c r="AB23" s="1317"/>
      <c r="AC23" s="1316" t="s">
        <v>662</v>
      </c>
      <c r="AD23" s="319"/>
      <c r="AE23" s="319"/>
      <c r="AF23" s="1288"/>
      <c r="AG23" s="1315"/>
      <c r="AH23" s="319"/>
      <c r="AI23" s="1314">
        <f>AI15+AI20</f>
        <v>48.062764423076928</v>
      </c>
      <c r="AJ23" s="1307"/>
    </row>
    <row r="24" spans="6:38" x14ac:dyDescent="0.2">
      <c r="Q24" s="1243"/>
      <c r="S24" s="604"/>
      <c r="T24" s="1244"/>
      <c r="AB24" s="1263"/>
      <c r="AC24" s="1316"/>
      <c r="AD24" s="319"/>
      <c r="AE24" s="319"/>
      <c r="AF24" s="1288"/>
      <c r="AG24" s="1315"/>
      <c r="AH24" s="319"/>
      <c r="AI24" s="1314"/>
      <c r="AJ24" s="1307"/>
    </row>
    <row r="25" spans="6:38" x14ac:dyDescent="0.2">
      <c r="Q25" s="1076"/>
      <c r="R25" s="604"/>
      <c r="S25" s="604"/>
      <c r="T25" s="1244"/>
      <c r="AB25" s="1263"/>
      <c r="AC25" s="1310" t="s">
        <v>660</v>
      </c>
      <c r="AD25" s="1285"/>
      <c r="AE25" s="1285"/>
      <c r="AF25" s="1288"/>
      <c r="AG25" s="1309"/>
      <c r="AH25" s="604"/>
      <c r="AI25" s="1308">
        <f>'[16]Unbundled background file'!$G$53</f>
        <v>2.84</v>
      </c>
      <c r="AJ25" s="1073">
        <f>AI25/AI26</f>
        <v>5.579264765259933E-2</v>
      </c>
    </row>
    <row r="26" spans="6:38" x14ac:dyDescent="0.2">
      <c r="Q26" s="1072"/>
      <c r="R26" s="604"/>
      <c r="AB26" s="1311"/>
      <c r="AC26" s="1310" t="s">
        <v>659</v>
      </c>
      <c r="AD26" s="1285"/>
      <c r="AE26" s="1285"/>
      <c r="AF26" s="1309"/>
      <c r="AG26" s="1309"/>
      <c r="AI26" s="1308">
        <f>SUM(AI23:AI25)</f>
        <v>50.902764423076931</v>
      </c>
      <c r="AJ26" s="1307">
        <f>SUM(AJ15:AJ25)</f>
        <v>0.99999999999999978</v>
      </c>
      <c r="AL26" s="584">
        <f>(AI15+AI25)/0.8</f>
        <v>50.902764423076917</v>
      </c>
    </row>
    <row r="27" spans="6:38" x14ac:dyDescent="0.2">
      <c r="Q27" s="604"/>
      <c r="S27" s="1089"/>
      <c r="T27" s="1089"/>
      <c r="AC27" s="1306" t="s">
        <v>583</v>
      </c>
      <c r="AD27" s="1303"/>
      <c r="AE27" s="1303"/>
      <c r="AF27" s="1305"/>
      <c r="AG27" s="1304"/>
      <c r="AH27" s="1303"/>
      <c r="AI27" s="1302" t="e">
        <f>SUM(#REF!)</f>
        <v>#REF!</v>
      </c>
      <c r="AJ27" s="1301"/>
    </row>
    <row r="28" spans="6:38" x14ac:dyDescent="0.2">
      <c r="R28" s="1290"/>
      <c r="S28" s="1071"/>
      <c r="T28" s="1071"/>
      <c r="AC28" s="1073"/>
      <c r="AE28" s="1270"/>
      <c r="AF28" s="1270"/>
      <c r="AG28" s="1288"/>
    </row>
    <row r="29" spans="6:38" ht="12.75" customHeight="1" x14ac:dyDescent="0.2">
      <c r="R29" s="1290"/>
      <c r="S29" s="1071"/>
      <c r="T29" s="1071"/>
      <c r="AC29" s="1073"/>
      <c r="AE29" s="1270"/>
      <c r="AF29" s="1270"/>
      <c r="AG29" s="1288"/>
    </row>
    <row r="30" spans="6:38" ht="13.5" customHeight="1" x14ac:dyDescent="0.2">
      <c r="R30" s="1290"/>
      <c r="S30" s="1072"/>
      <c r="T30" s="1072"/>
      <c r="AC30" s="1073"/>
      <c r="AE30" s="1270"/>
      <c r="AF30" s="1270"/>
      <c r="AG30" s="1288"/>
    </row>
    <row r="31" spans="6:38" ht="13.5" thickBot="1" x14ac:dyDescent="0.25">
      <c r="Q31" s="1286"/>
      <c r="R31" s="1285"/>
      <c r="S31" s="1072"/>
      <c r="T31" s="1072"/>
      <c r="AC31" s="1073"/>
      <c r="AE31" s="1270"/>
      <c r="AF31" s="1270"/>
      <c r="AG31" s="1288"/>
    </row>
    <row r="32" spans="6:38" x14ac:dyDescent="0.2">
      <c r="Q32" s="1286"/>
      <c r="R32" s="1285"/>
      <c r="S32" s="1072"/>
      <c r="T32" s="1072"/>
      <c r="AC32" s="1073"/>
      <c r="AE32" s="1284" t="s">
        <v>656</v>
      </c>
      <c r="AF32" s="1283"/>
      <c r="AG32" s="1282"/>
      <c r="AH32" s="678"/>
      <c r="AI32" s="1281"/>
    </row>
    <row r="33" spans="9:35" x14ac:dyDescent="0.2">
      <c r="Q33" s="1089"/>
      <c r="R33" s="1089"/>
      <c r="S33" s="1072"/>
      <c r="T33" s="1072"/>
      <c r="AC33" s="1077"/>
      <c r="AE33" s="1277" t="s">
        <v>121</v>
      </c>
      <c r="AF33" s="1276">
        <f>'[16]Unbundled background file'!$K$72</f>
        <v>1.0391381345926798</v>
      </c>
      <c r="AG33" s="1270"/>
      <c r="AI33" s="1275" t="e">
        <f>#REF!*AF33</f>
        <v>#REF!</v>
      </c>
    </row>
    <row r="34" spans="9:35" x14ac:dyDescent="0.2">
      <c r="Q34" s="1071"/>
      <c r="R34" s="1272"/>
      <c r="S34" s="1072"/>
      <c r="T34" s="1072"/>
      <c r="AC34" s="1077"/>
      <c r="AE34" s="1271" t="s">
        <v>654</v>
      </c>
      <c r="AF34" s="1270"/>
      <c r="AG34" s="1270"/>
      <c r="AI34" s="1026">
        <v>2.84</v>
      </c>
    </row>
    <row r="35" spans="9:35" ht="13.5" thickBot="1" x14ac:dyDescent="0.25">
      <c r="Q35" s="1071"/>
      <c r="R35" s="1269"/>
      <c r="S35" s="1072"/>
      <c r="T35" s="1072"/>
      <c r="AC35" s="1077"/>
      <c r="AE35" s="1268" t="s">
        <v>652</v>
      </c>
      <c r="AF35" s="1267"/>
      <c r="AG35" s="1266"/>
      <c r="AH35" s="1017"/>
      <c r="AI35" s="1265" t="e">
        <f>AI33+AI34</f>
        <v>#REF!</v>
      </c>
    </row>
    <row r="36" spans="9:35" x14ac:dyDescent="0.2">
      <c r="Q36" s="1071"/>
      <c r="R36" s="604"/>
      <c r="S36" s="1072"/>
      <c r="T36" s="1072"/>
    </row>
    <row r="37" spans="9:35" x14ac:dyDescent="0.2">
      <c r="Q37" s="1072"/>
      <c r="R37" s="604"/>
      <c r="S37" s="1245"/>
      <c r="T37" s="1071"/>
    </row>
    <row r="38" spans="9:35" x14ac:dyDescent="0.2">
      <c r="Q38" s="1072"/>
      <c r="R38" s="604"/>
      <c r="S38" s="1076"/>
      <c r="T38" s="1071"/>
    </row>
    <row r="39" spans="9:35" x14ac:dyDescent="0.2">
      <c r="Q39" s="1072"/>
      <c r="S39" s="1076"/>
      <c r="T39" s="1071"/>
    </row>
    <row r="40" spans="9:35" x14ac:dyDescent="0.2">
      <c r="Q40" s="1076"/>
      <c r="S40" s="1076"/>
      <c r="T40" s="1071"/>
    </row>
    <row r="41" spans="9:35" x14ac:dyDescent="0.2">
      <c r="Q41" s="1076"/>
      <c r="S41" s="1076"/>
      <c r="T41" s="1071"/>
    </row>
    <row r="42" spans="9:35" x14ac:dyDescent="0.2">
      <c r="Q42" s="1076"/>
      <c r="S42" s="1076"/>
      <c r="T42" s="1071"/>
    </row>
    <row r="43" spans="9:35" x14ac:dyDescent="0.2">
      <c r="Q43" s="1076"/>
      <c r="S43" s="1076"/>
      <c r="T43" s="1071"/>
    </row>
    <row r="44" spans="9:35" x14ac:dyDescent="0.2">
      <c r="I44" s="584"/>
      <c r="Q44" s="1076"/>
      <c r="S44" s="1076"/>
      <c r="T44" s="1071"/>
    </row>
    <row r="45" spans="9:35" x14ac:dyDescent="0.2">
      <c r="I45" s="460"/>
      <c r="O45" s="460"/>
      <c r="P45" s="462"/>
      <c r="Q45" s="1076"/>
      <c r="S45" s="1076"/>
      <c r="T45" s="1071"/>
    </row>
    <row r="46" spans="9:35" x14ac:dyDescent="0.2">
      <c r="P46" s="452"/>
      <c r="Q46" s="1076"/>
      <c r="S46" s="1076"/>
      <c r="T46" s="1071"/>
    </row>
    <row r="47" spans="9:35" x14ac:dyDescent="0.2">
      <c r="J47" s="462"/>
      <c r="P47" s="583"/>
      <c r="Q47" s="1076"/>
      <c r="S47" s="1076"/>
      <c r="T47" s="1071"/>
    </row>
    <row r="48" spans="9:35" x14ac:dyDescent="0.2">
      <c r="J48" s="452"/>
      <c r="P48" s="583"/>
      <c r="Q48" s="1076"/>
      <c r="S48" s="1076"/>
      <c r="T48" s="1071"/>
    </row>
    <row r="49" spans="6:21" x14ac:dyDescent="0.2">
      <c r="J49" s="583"/>
      <c r="P49" s="666"/>
      <c r="Q49" s="1076"/>
      <c r="S49" s="1076"/>
      <c r="T49" s="1071"/>
    </row>
    <row r="50" spans="6:21" x14ac:dyDescent="0.2">
      <c r="J50" s="583"/>
      <c r="Q50" s="1076"/>
      <c r="S50" s="1076"/>
      <c r="T50" s="1071"/>
    </row>
    <row r="51" spans="6:21" x14ac:dyDescent="0.2">
      <c r="F51" s="604"/>
      <c r="J51" s="1073"/>
      <c r="L51" s="604"/>
      <c r="Q51" s="1076"/>
      <c r="S51" s="1076"/>
      <c r="T51" s="1071"/>
    </row>
    <row r="52" spans="6:21" x14ac:dyDescent="0.2">
      <c r="F52" s="604"/>
      <c r="G52" s="604"/>
      <c r="H52" s="666"/>
      <c r="I52" s="1246"/>
      <c r="J52" s="1072"/>
      <c r="Q52" s="1076"/>
      <c r="S52" s="1243"/>
      <c r="T52" s="1072"/>
    </row>
    <row r="53" spans="6:21" x14ac:dyDescent="0.2">
      <c r="F53" s="1085"/>
      <c r="G53" s="1085"/>
      <c r="H53" s="1085"/>
      <c r="I53" s="1085"/>
      <c r="J53" s="1085"/>
      <c r="Q53" s="1076"/>
      <c r="S53" s="1245"/>
      <c r="T53" s="1071"/>
    </row>
    <row r="54" spans="6:21" x14ac:dyDescent="0.2">
      <c r="F54" s="604"/>
      <c r="G54" s="604"/>
      <c r="H54" s="604"/>
      <c r="I54" s="1074"/>
      <c r="J54" s="1244"/>
      <c r="Q54" s="1076"/>
      <c r="S54" s="1072"/>
      <c r="T54" s="1072"/>
    </row>
    <row r="55" spans="6:21" x14ac:dyDescent="0.2">
      <c r="Q55" s="1076"/>
      <c r="S55" s="666"/>
      <c r="T55" s="1072"/>
    </row>
    <row r="56" spans="6:21" x14ac:dyDescent="0.2">
      <c r="Q56" s="1076"/>
      <c r="S56" s="1085"/>
      <c r="T56" s="1085"/>
    </row>
    <row r="57" spans="6:21" x14ac:dyDescent="0.2">
      <c r="Q57" s="1076"/>
      <c r="S57" s="604"/>
      <c r="T57" s="1244"/>
      <c r="U57" s="604"/>
    </row>
    <row r="58" spans="6:21" x14ac:dyDescent="0.2">
      <c r="Q58" s="1076"/>
      <c r="R58" s="604"/>
    </row>
    <row r="59" spans="6:21" x14ac:dyDescent="0.2">
      <c r="Q59" s="1243"/>
    </row>
    <row r="60" spans="6:21" x14ac:dyDescent="0.2">
      <c r="Q60" s="1076"/>
      <c r="R60" s="604"/>
    </row>
    <row r="61" spans="6:21" x14ac:dyDescent="0.2">
      <c r="F61" s="604"/>
      <c r="Q61" s="1072"/>
      <c r="R61" s="604"/>
    </row>
    <row r="62" spans="6:21" x14ac:dyDescent="0.2">
      <c r="Q62" s="666"/>
      <c r="R62" s="1085"/>
    </row>
    <row r="63" spans="6:21" x14ac:dyDescent="0.2">
      <c r="Q63" s="1085"/>
      <c r="R63" s="604"/>
    </row>
    <row r="73" spans="6:16" x14ac:dyDescent="0.2">
      <c r="F73" s="1377" t="s">
        <v>702</v>
      </c>
      <c r="G73" s="1376"/>
      <c r="H73" s="1376"/>
      <c r="I73" s="1376"/>
      <c r="J73" s="1376"/>
      <c r="K73" s="1376"/>
      <c r="L73" s="1376"/>
      <c r="M73" s="1376"/>
      <c r="N73" s="1376"/>
      <c r="O73" s="1376"/>
      <c r="P73" s="1376"/>
    </row>
    <row r="74" spans="6:16" ht="13.5" thickBot="1" x14ac:dyDescent="0.25">
      <c r="F74" s="1376"/>
      <c r="G74" s="1376"/>
      <c r="H74" s="1376"/>
      <c r="I74" s="1376"/>
      <c r="J74" s="1376"/>
      <c r="K74" s="1376"/>
      <c r="L74" s="1376"/>
      <c r="M74" s="1376"/>
      <c r="N74" s="1376"/>
      <c r="O74" s="1376"/>
      <c r="P74" s="1376"/>
    </row>
    <row r="75" spans="6:16" ht="15.75" thickBot="1" x14ac:dyDescent="0.3">
      <c r="F75" s="1374" t="s">
        <v>699</v>
      </c>
      <c r="G75" s="1373"/>
      <c r="H75" s="1373"/>
      <c r="I75" s="1373"/>
      <c r="J75" s="1372"/>
      <c r="L75" s="1374" t="s">
        <v>698</v>
      </c>
      <c r="M75" s="1373"/>
      <c r="N75" s="1373"/>
      <c r="O75" s="1373"/>
      <c r="P75" s="1372"/>
    </row>
    <row r="76" spans="6:16" ht="13.5" thickBot="1" x14ac:dyDescent="0.25">
      <c r="F76" s="1370" t="s">
        <v>696</v>
      </c>
      <c r="G76" s="1369">
        <v>13</v>
      </c>
      <c r="H76" s="1368" t="s">
        <v>695</v>
      </c>
      <c r="I76" s="1367">
        <f>AVERAGE('[16]After School_Dy Respt'!F4:F8)</f>
        <v>270.8</v>
      </c>
      <c r="J76" s="1366">
        <f>I76*G76</f>
        <v>3520.4</v>
      </c>
      <c r="K76" s="1323"/>
      <c r="L76" s="1370" t="s">
        <v>696</v>
      </c>
      <c r="M76" s="1369">
        <v>13</v>
      </c>
      <c r="N76" s="1368" t="s">
        <v>695</v>
      </c>
      <c r="O76" s="1367">
        <f>AVERAGE('[16]After School_Dy Respt'!F4:F8)</f>
        <v>270.8</v>
      </c>
      <c r="P76" s="1366">
        <f>O76*M76</f>
        <v>3520.4</v>
      </c>
    </row>
    <row r="77" spans="6:16" x14ac:dyDescent="0.2">
      <c r="F77" s="1363" t="s">
        <v>693</v>
      </c>
      <c r="G77" s="1362"/>
      <c r="H77" s="1361" t="s">
        <v>691</v>
      </c>
      <c r="I77" s="1360" t="s">
        <v>380</v>
      </c>
      <c r="J77" s="1364" t="s">
        <v>505</v>
      </c>
      <c r="K77" s="1323"/>
      <c r="L77" s="1363" t="s">
        <v>692</v>
      </c>
      <c r="M77" s="1362"/>
      <c r="N77" s="1361" t="s">
        <v>691</v>
      </c>
      <c r="O77" s="1360" t="s">
        <v>380</v>
      </c>
      <c r="P77" s="1359" t="s">
        <v>505</v>
      </c>
    </row>
    <row r="78" spans="6:16" x14ac:dyDescent="0.2">
      <c r="F78" s="1294" t="s">
        <v>683</v>
      </c>
      <c r="G78" s="1350"/>
      <c r="H78" s="1071">
        <f>C6</f>
        <v>79415.232000000018</v>
      </c>
      <c r="I78" s="584">
        <v>0.6</v>
      </c>
      <c r="J78" s="800">
        <f>H78*I78</f>
        <v>47649.139200000012</v>
      </c>
      <c r="K78" s="1323"/>
      <c r="L78" s="1294" t="s">
        <v>683</v>
      </c>
      <c r="M78" s="1350"/>
      <c r="N78" s="1071">
        <f>C6</f>
        <v>79415.232000000018</v>
      </c>
      <c r="O78" s="584">
        <v>0.7</v>
      </c>
      <c r="P78" s="800">
        <f>N78*O78</f>
        <v>55590.662400000008</v>
      </c>
    </row>
    <row r="79" spans="6:16" x14ac:dyDescent="0.2">
      <c r="F79" s="1293" t="s">
        <v>373</v>
      </c>
      <c r="G79" s="1350"/>
      <c r="H79" s="1071">
        <f>C8</f>
        <v>41600</v>
      </c>
      <c r="I79" s="584">
        <v>2.1</v>
      </c>
      <c r="J79" s="800">
        <f>H79*I79</f>
        <v>87360</v>
      </c>
      <c r="K79" s="1323"/>
      <c r="L79" s="1293" t="s">
        <v>373</v>
      </c>
      <c r="M79" s="1350"/>
      <c r="N79" s="1071">
        <f>C8</f>
        <v>41600</v>
      </c>
      <c r="O79" s="584">
        <v>4.2</v>
      </c>
      <c r="P79" s="800">
        <f>N79*O79</f>
        <v>174720</v>
      </c>
    </row>
    <row r="80" spans="6:16" x14ac:dyDescent="0.2">
      <c r="F80" s="891" t="s">
        <v>368</v>
      </c>
      <c r="G80" s="1350"/>
      <c r="H80" s="593">
        <f>C13</f>
        <v>0.27379999999999999</v>
      </c>
      <c r="I80" s="584"/>
      <c r="J80" s="800">
        <f>SUM(J78:J79)*H80</f>
        <v>36965.502312960001</v>
      </c>
      <c r="K80" s="1323"/>
      <c r="L80" s="891" t="s">
        <v>368</v>
      </c>
      <c r="M80" s="1350"/>
      <c r="N80" s="593">
        <f>H80</f>
        <v>0.27379999999999999</v>
      </c>
      <c r="O80" s="584"/>
      <c r="P80" s="800">
        <f>SUM(P78:P79)*N80</f>
        <v>63059.059365119996</v>
      </c>
    </row>
    <row r="81" spans="6:16" x14ac:dyDescent="0.2">
      <c r="F81" s="1256" t="s">
        <v>657</v>
      </c>
      <c r="G81" s="604"/>
      <c r="H81" s="593">
        <f>C15</f>
        <v>2.7100379121522307E-2</v>
      </c>
      <c r="I81" s="1246"/>
      <c r="J81" s="800">
        <f>SUM(J78:J80)*H81</f>
        <v>4660.5779842891052</v>
      </c>
      <c r="K81" s="1323"/>
      <c r="L81" s="1256" t="s">
        <v>657</v>
      </c>
      <c r="M81" s="604"/>
      <c r="N81" s="593">
        <f>H81</f>
        <v>2.7100379121522307E-2</v>
      </c>
      <c r="O81" s="1246"/>
      <c r="P81" s="800">
        <f>SUM(P78:P80)*N81</f>
        <v>7950.4306826102656</v>
      </c>
    </row>
    <row r="82" spans="6:16" ht="13.5" thickBot="1" x14ac:dyDescent="0.25">
      <c r="F82" s="1280" t="s">
        <v>655</v>
      </c>
      <c r="G82" s="1348"/>
      <c r="H82" s="1347"/>
      <c r="I82" s="1346">
        <f>SUM(I78:I79)</f>
        <v>2.7</v>
      </c>
      <c r="J82" s="1331">
        <f>SUM(J78:J81)</f>
        <v>176635.21949724911</v>
      </c>
      <c r="K82" s="1323"/>
      <c r="L82" s="1280" t="s">
        <v>655</v>
      </c>
      <c r="M82" s="1348"/>
      <c r="N82" s="1347"/>
      <c r="O82" s="1346">
        <f>SUM(O78:O79)</f>
        <v>4.9000000000000004</v>
      </c>
      <c r="P82" s="1331">
        <f>SUM(P78:P81)</f>
        <v>301320.15244773024</v>
      </c>
    </row>
    <row r="83" spans="6:16" ht="13.5" thickTop="1" x14ac:dyDescent="0.2">
      <c r="F83" s="867" t="s">
        <v>625</v>
      </c>
      <c r="G83" s="604"/>
      <c r="H83" s="1072"/>
      <c r="I83" s="1343" t="s">
        <v>673</v>
      </c>
      <c r="J83" s="1342"/>
      <c r="K83" s="1323"/>
      <c r="L83" s="867" t="s">
        <v>625</v>
      </c>
      <c r="M83" s="604"/>
      <c r="N83" s="1072"/>
      <c r="O83" s="1343" t="s">
        <v>673</v>
      </c>
      <c r="P83" s="1342"/>
    </row>
    <row r="84" spans="6:16" x14ac:dyDescent="0.2">
      <c r="F84" s="867"/>
      <c r="G84" s="604"/>
      <c r="H84" s="1072"/>
      <c r="I84" s="1343"/>
      <c r="J84" s="1342"/>
      <c r="K84" s="1323"/>
      <c r="L84" s="867"/>
      <c r="M84" s="604"/>
      <c r="N84" s="1072"/>
      <c r="O84" s="584">
        <f>P82/P76</f>
        <v>85.592589605649991</v>
      </c>
      <c r="P84" s="1342"/>
    </row>
    <row r="85" spans="6:16" x14ac:dyDescent="0.2">
      <c r="F85" s="482" t="s">
        <v>653</v>
      </c>
      <c r="I85" s="1333">
        <f>C10</f>
        <v>6221.9259542286536</v>
      </c>
      <c r="J85" s="800">
        <f>I85*I82</f>
        <v>16799.200076417364</v>
      </c>
      <c r="K85" s="1323"/>
      <c r="L85" s="482" t="s">
        <v>653</v>
      </c>
      <c r="N85" s="1076"/>
      <c r="O85" s="1333">
        <f>C10</f>
        <v>6221.9259542286536</v>
      </c>
      <c r="P85" s="800">
        <f>O85*O82</f>
        <v>30487.437175720406</v>
      </c>
    </row>
    <row r="86" spans="6:16" x14ac:dyDescent="0.2">
      <c r="F86" s="482" t="str">
        <f>B11</f>
        <v>Other Exp (Program Supplies &amp; Materials)</v>
      </c>
      <c r="H86" s="1076"/>
      <c r="I86" s="1333">
        <f>C11</f>
        <v>1493.1564099112707</v>
      </c>
      <c r="J86" s="800">
        <f>I86*I82</f>
        <v>4031.5223067604311</v>
      </c>
      <c r="K86" s="1323"/>
      <c r="L86" s="482" t="str">
        <f>F86</f>
        <v>Other Exp (Program Supplies &amp; Materials)</v>
      </c>
      <c r="N86" s="1076"/>
      <c r="O86" s="1333">
        <f>C11</f>
        <v>1493.1564099112707</v>
      </c>
      <c r="P86" s="800">
        <f>O86*O82</f>
        <v>7316.4664085652266</v>
      </c>
    </row>
    <row r="87" spans="6:16" x14ac:dyDescent="0.2">
      <c r="F87" s="482" t="s">
        <v>651</v>
      </c>
      <c r="H87" s="1076"/>
      <c r="I87" s="1333">
        <f>C12</f>
        <v>1475.3908322281168</v>
      </c>
      <c r="J87" s="800">
        <f>I87*I82</f>
        <v>3983.5552470159155</v>
      </c>
      <c r="K87" s="1323"/>
      <c r="L87" s="482" t="s">
        <v>651</v>
      </c>
      <c r="N87" s="1076"/>
      <c r="O87" s="1333">
        <f>C12</f>
        <v>1475.3908322281168</v>
      </c>
      <c r="P87" s="800">
        <f>O87*O82</f>
        <v>7229.4150779177726</v>
      </c>
    </row>
    <row r="88" spans="6:16" ht="26.25" thickBot="1" x14ac:dyDescent="0.25">
      <c r="F88" s="1261" t="s">
        <v>537</v>
      </c>
      <c r="G88" s="1260"/>
      <c r="H88" s="1332"/>
      <c r="I88" s="1260"/>
      <c r="J88" s="1331">
        <f>SUM(J82:J87)</f>
        <v>201449.4971274428</v>
      </c>
      <c r="K88" s="1323"/>
      <c r="L88" s="1261" t="s">
        <v>537</v>
      </c>
      <c r="M88" s="1260"/>
      <c r="N88" s="1332"/>
      <c r="O88" s="1260"/>
      <c r="P88" s="1331">
        <f>SUM(P82:P87)</f>
        <v>346353.47110993369</v>
      </c>
    </row>
    <row r="89" spans="6:16" ht="13.5" thickTop="1" x14ac:dyDescent="0.2">
      <c r="F89" s="482" t="s">
        <v>616</v>
      </c>
      <c r="H89" s="1077">
        <f>C14</f>
        <v>0.12</v>
      </c>
      <c r="I89" s="584"/>
      <c r="J89" s="800">
        <f>(J88-J81)*H89</f>
        <v>23614.670297178443</v>
      </c>
      <c r="K89" s="1323"/>
      <c r="L89" s="482" t="s">
        <v>616</v>
      </c>
      <c r="N89" s="1077">
        <f>C14</f>
        <v>0.12</v>
      </c>
      <c r="O89" s="584"/>
      <c r="P89" s="800">
        <f>(P88-P81)*N89</f>
        <v>40608.364851278813</v>
      </c>
    </row>
    <row r="90" spans="6:16" x14ac:dyDescent="0.2">
      <c r="F90" s="1256" t="s">
        <v>615</v>
      </c>
      <c r="H90" s="1077">
        <f>C15</f>
        <v>2.7100379121522307E-2</v>
      </c>
      <c r="I90" s="1330"/>
      <c r="J90" s="800">
        <f>SUM(J85:J87)*H90</f>
        <v>672.47633140495975</v>
      </c>
      <c r="K90" s="1323"/>
      <c r="L90" s="1256" t="s">
        <v>615</v>
      </c>
      <c r="N90" s="1077">
        <f>C15</f>
        <v>2.7100379121522307E-2</v>
      </c>
      <c r="O90" s="1330"/>
      <c r="P90" s="800">
        <f>SUM(P85:P87)*N90</f>
        <v>1220.4200088460379</v>
      </c>
    </row>
    <row r="91" spans="6:16" ht="13.5" thickBot="1" x14ac:dyDescent="0.25">
      <c r="F91" s="611" t="s">
        <v>666</v>
      </c>
      <c r="G91" s="1327"/>
      <c r="H91" s="1326"/>
      <c r="I91" s="1325"/>
      <c r="J91" s="1324">
        <f>SUM(J88:J90)</f>
        <v>225736.6437560262</v>
      </c>
      <c r="K91" s="1323"/>
      <c r="L91" s="611" t="s">
        <v>666</v>
      </c>
      <c r="M91" s="1327"/>
      <c r="N91" s="1326"/>
      <c r="O91" s="1325"/>
      <c r="P91" s="1324">
        <f>SUM(P88:P90)</f>
        <v>388182.25597005856</v>
      </c>
    </row>
    <row r="92" spans="6:16" ht="14.25" thickTop="1" thickBot="1" x14ac:dyDescent="0.25">
      <c r="F92" s="1322" t="s">
        <v>664</v>
      </c>
      <c r="G92" s="1321"/>
      <c r="H92" s="1321"/>
      <c r="I92" s="1321"/>
      <c r="J92" s="1320">
        <f>J91/J76</f>
        <v>64.122441698678045</v>
      </c>
      <c r="K92" s="1323"/>
      <c r="L92" s="1322" t="s">
        <v>664</v>
      </c>
      <c r="M92" s="1321"/>
      <c r="N92" s="1321"/>
      <c r="O92" s="1321"/>
      <c r="P92" s="1320">
        <f>P91/P76</f>
        <v>110.26651970516377</v>
      </c>
    </row>
    <row r="93" spans="6:16" x14ac:dyDescent="0.2">
      <c r="F93" s="1285"/>
      <c r="G93" s="1319"/>
      <c r="H93" s="1286"/>
      <c r="I93" s="1318" t="s">
        <v>663</v>
      </c>
      <c r="J93" s="462">
        <v>53.52</v>
      </c>
      <c r="O93" s="456" t="s">
        <v>663</v>
      </c>
      <c r="P93" s="801">
        <v>91.8</v>
      </c>
    </row>
    <row r="94" spans="6:16" x14ac:dyDescent="0.2">
      <c r="I94" s="456" t="s">
        <v>648</v>
      </c>
      <c r="J94" s="452">
        <f>(J92-J93)/J93</f>
        <v>0.19810242336842379</v>
      </c>
      <c r="O94" s="456" t="s">
        <v>648</v>
      </c>
      <c r="P94" s="585">
        <f>(P92-P93)/P93</f>
        <v>0.20116034537215444</v>
      </c>
    </row>
  </sheetData>
  <mergeCells count="8">
    <mergeCell ref="B9:D9"/>
    <mergeCell ref="F3:O4"/>
    <mergeCell ref="AC5:AJ5"/>
    <mergeCell ref="F73:P74"/>
    <mergeCell ref="F75:J75"/>
    <mergeCell ref="L75:P75"/>
    <mergeCell ref="B4:D4"/>
    <mergeCell ref="B5:D5"/>
  </mergeCells>
  <pageMargins left="0.25" right="0.25" top="0.75" bottom="0.75" header="0.3" footer="0.3"/>
  <pageSetup scale="35" orientation="landscape" r:id="rId1"/>
  <colBreaks count="1" manualBreakCount="1">
    <brk id="3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62E3-ACBE-439B-8E39-5DA39AD1E530}">
  <sheetPr>
    <pageSetUpPr fitToPage="1"/>
  </sheetPr>
  <dimension ref="A2:J31"/>
  <sheetViews>
    <sheetView zoomScale="90" zoomScaleNormal="90" workbookViewId="0">
      <selection activeCell="J13" sqref="J13"/>
    </sheetView>
  </sheetViews>
  <sheetFormatPr defaultRowHeight="15" x14ac:dyDescent="0.25"/>
  <cols>
    <col min="1" max="1" width="9.140625" style="361"/>
    <col min="2" max="2" width="11.140625" style="361" customWidth="1"/>
    <col min="3" max="3" width="0" style="361" hidden="1" customWidth="1"/>
    <col min="4" max="4" width="10" style="361" bestFit="1" customWidth="1"/>
    <col min="5" max="5" width="0" style="361" hidden="1" customWidth="1"/>
    <col min="6" max="6" width="9.140625" style="361"/>
    <col min="7" max="7" width="32.7109375" style="361" customWidth="1"/>
    <col min="8" max="8" width="9.140625" style="361"/>
    <col min="9" max="9" width="14.5703125" style="361" customWidth="1"/>
    <col min="10" max="10" width="11.42578125" style="361" customWidth="1"/>
    <col min="11" max="231" width="9.140625" style="361"/>
    <col min="232" max="232" width="32" style="361" customWidth="1"/>
    <col min="233" max="233" width="9.140625" style="361"/>
    <col min="234" max="234" width="12.85546875" style="361" customWidth="1"/>
    <col min="235" max="235" width="13.5703125" style="361" customWidth="1"/>
    <col min="236" max="236" width="15.28515625" style="361" customWidth="1"/>
    <col min="237" max="487" width="9.140625" style="361"/>
    <col min="488" max="488" width="32" style="361" customWidth="1"/>
    <col min="489" max="489" width="9.140625" style="361"/>
    <col min="490" max="490" width="12.85546875" style="361" customWidth="1"/>
    <col min="491" max="491" width="13.5703125" style="361" customWidth="1"/>
    <col min="492" max="492" width="15.28515625" style="361" customWidth="1"/>
    <col min="493" max="743" width="9.140625" style="361"/>
    <col min="744" max="744" width="32" style="361" customWidth="1"/>
    <col min="745" max="745" width="9.140625" style="361"/>
    <col min="746" max="746" width="12.85546875" style="361" customWidth="1"/>
    <col min="747" max="747" width="13.5703125" style="361" customWidth="1"/>
    <col min="748" max="748" width="15.28515625" style="361" customWidth="1"/>
    <col min="749" max="999" width="9.140625" style="361"/>
    <col min="1000" max="1000" width="32" style="361" customWidth="1"/>
    <col min="1001" max="1001" width="9.140625" style="361"/>
    <col min="1002" max="1002" width="12.85546875" style="361" customWidth="1"/>
    <col min="1003" max="1003" width="13.5703125" style="361" customWidth="1"/>
    <col min="1004" max="1004" width="15.28515625" style="361" customWidth="1"/>
    <col min="1005" max="1255" width="9.140625" style="361"/>
    <col min="1256" max="1256" width="32" style="361" customWidth="1"/>
    <col min="1257" max="1257" width="9.140625" style="361"/>
    <col min="1258" max="1258" width="12.85546875" style="361" customWidth="1"/>
    <col min="1259" max="1259" width="13.5703125" style="361" customWidth="1"/>
    <col min="1260" max="1260" width="15.28515625" style="361" customWidth="1"/>
    <col min="1261" max="1511" width="9.140625" style="361"/>
    <col min="1512" max="1512" width="32" style="361" customWidth="1"/>
    <col min="1513" max="1513" width="9.140625" style="361"/>
    <col min="1514" max="1514" width="12.85546875" style="361" customWidth="1"/>
    <col min="1515" max="1515" width="13.5703125" style="361" customWidth="1"/>
    <col min="1516" max="1516" width="15.28515625" style="361" customWidth="1"/>
    <col min="1517" max="1767" width="9.140625" style="361"/>
    <col min="1768" max="1768" width="32" style="361" customWidth="1"/>
    <col min="1769" max="1769" width="9.140625" style="361"/>
    <col min="1770" max="1770" width="12.85546875" style="361" customWidth="1"/>
    <col min="1771" max="1771" width="13.5703125" style="361" customWidth="1"/>
    <col min="1772" max="1772" width="15.28515625" style="361" customWidth="1"/>
    <col min="1773" max="2023" width="9.140625" style="361"/>
    <col min="2024" max="2024" width="32" style="361" customWidth="1"/>
    <col min="2025" max="2025" width="9.140625" style="361"/>
    <col min="2026" max="2026" width="12.85546875" style="361" customWidth="1"/>
    <col min="2027" max="2027" width="13.5703125" style="361" customWidth="1"/>
    <col min="2028" max="2028" width="15.28515625" style="361" customWidth="1"/>
    <col min="2029" max="2279" width="9.140625" style="361"/>
    <col min="2280" max="2280" width="32" style="361" customWidth="1"/>
    <col min="2281" max="2281" width="9.140625" style="361"/>
    <col min="2282" max="2282" width="12.85546875" style="361" customWidth="1"/>
    <col min="2283" max="2283" width="13.5703125" style="361" customWidth="1"/>
    <col min="2284" max="2284" width="15.28515625" style="361" customWidth="1"/>
    <col min="2285" max="2535" width="9.140625" style="361"/>
    <col min="2536" max="2536" width="32" style="361" customWidth="1"/>
    <col min="2537" max="2537" width="9.140625" style="361"/>
    <col min="2538" max="2538" width="12.85546875" style="361" customWidth="1"/>
    <col min="2539" max="2539" width="13.5703125" style="361" customWidth="1"/>
    <col min="2540" max="2540" width="15.28515625" style="361" customWidth="1"/>
    <col min="2541" max="2791" width="9.140625" style="361"/>
    <col min="2792" max="2792" width="32" style="361" customWidth="1"/>
    <col min="2793" max="2793" width="9.140625" style="361"/>
    <col min="2794" max="2794" width="12.85546875" style="361" customWidth="1"/>
    <col min="2795" max="2795" width="13.5703125" style="361" customWidth="1"/>
    <col min="2796" max="2796" width="15.28515625" style="361" customWidth="1"/>
    <col min="2797" max="3047" width="9.140625" style="361"/>
    <col min="3048" max="3048" width="32" style="361" customWidth="1"/>
    <col min="3049" max="3049" width="9.140625" style="361"/>
    <col min="3050" max="3050" width="12.85546875" style="361" customWidth="1"/>
    <col min="3051" max="3051" width="13.5703125" style="361" customWidth="1"/>
    <col min="3052" max="3052" width="15.28515625" style="361" customWidth="1"/>
    <col min="3053" max="3303" width="9.140625" style="361"/>
    <col min="3304" max="3304" width="32" style="361" customWidth="1"/>
    <col min="3305" max="3305" width="9.140625" style="361"/>
    <col min="3306" max="3306" width="12.85546875" style="361" customWidth="1"/>
    <col min="3307" max="3307" width="13.5703125" style="361" customWidth="1"/>
    <col min="3308" max="3308" width="15.28515625" style="361" customWidth="1"/>
    <col min="3309" max="3559" width="9.140625" style="361"/>
    <col min="3560" max="3560" width="32" style="361" customWidth="1"/>
    <col min="3561" max="3561" width="9.140625" style="361"/>
    <col min="3562" max="3562" width="12.85546875" style="361" customWidth="1"/>
    <col min="3563" max="3563" width="13.5703125" style="361" customWidth="1"/>
    <col min="3564" max="3564" width="15.28515625" style="361" customWidth="1"/>
    <col min="3565" max="3815" width="9.140625" style="361"/>
    <col min="3816" max="3816" width="32" style="361" customWidth="1"/>
    <col min="3817" max="3817" width="9.140625" style="361"/>
    <col min="3818" max="3818" width="12.85546875" style="361" customWidth="1"/>
    <col min="3819" max="3819" width="13.5703125" style="361" customWidth="1"/>
    <col min="3820" max="3820" width="15.28515625" style="361" customWidth="1"/>
    <col min="3821" max="4071" width="9.140625" style="361"/>
    <col min="4072" max="4072" width="32" style="361" customWidth="1"/>
    <col min="4073" max="4073" width="9.140625" style="361"/>
    <col min="4074" max="4074" width="12.85546875" style="361" customWidth="1"/>
    <col min="4075" max="4075" width="13.5703125" style="361" customWidth="1"/>
    <col min="4076" max="4076" width="15.28515625" style="361" customWidth="1"/>
    <col min="4077" max="4327" width="9.140625" style="361"/>
    <col min="4328" max="4328" width="32" style="361" customWidth="1"/>
    <col min="4329" max="4329" width="9.140625" style="361"/>
    <col min="4330" max="4330" width="12.85546875" style="361" customWidth="1"/>
    <col min="4331" max="4331" width="13.5703125" style="361" customWidth="1"/>
    <col min="4332" max="4332" width="15.28515625" style="361" customWidth="1"/>
    <col min="4333" max="4583" width="9.140625" style="361"/>
    <col min="4584" max="4584" width="32" style="361" customWidth="1"/>
    <col min="4585" max="4585" width="9.140625" style="361"/>
    <col min="4586" max="4586" width="12.85546875" style="361" customWidth="1"/>
    <col min="4587" max="4587" width="13.5703125" style="361" customWidth="1"/>
    <col min="4588" max="4588" width="15.28515625" style="361" customWidth="1"/>
    <col min="4589" max="4839" width="9.140625" style="361"/>
    <col min="4840" max="4840" width="32" style="361" customWidth="1"/>
    <col min="4841" max="4841" width="9.140625" style="361"/>
    <col min="4842" max="4842" width="12.85546875" style="361" customWidth="1"/>
    <col min="4843" max="4843" width="13.5703125" style="361" customWidth="1"/>
    <col min="4844" max="4844" width="15.28515625" style="361" customWidth="1"/>
    <col min="4845" max="5095" width="9.140625" style="361"/>
    <col min="5096" max="5096" width="32" style="361" customWidth="1"/>
    <col min="5097" max="5097" width="9.140625" style="361"/>
    <col min="5098" max="5098" width="12.85546875" style="361" customWidth="1"/>
    <col min="5099" max="5099" width="13.5703125" style="361" customWidth="1"/>
    <col min="5100" max="5100" width="15.28515625" style="361" customWidth="1"/>
    <col min="5101" max="5351" width="9.140625" style="361"/>
    <col min="5352" max="5352" width="32" style="361" customWidth="1"/>
    <col min="5353" max="5353" width="9.140625" style="361"/>
    <col min="5354" max="5354" width="12.85546875" style="361" customWidth="1"/>
    <col min="5355" max="5355" width="13.5703125" style="361" customWidth="1"/>
    <col min="5356" max="5356" width="15.28515625" style="361" customWidth="1"/>
    <col min="5357" max="5607" width="9.140625" style="361"/>
    <col min="5608" max="5608" width="32" style="361" customWidth="1"/>
    <col min="5609" max="5609" width="9.140625" style="361"/>
    <col min="5610" max="5610" width="12.85546875" style="361" customWidth="1"/>
    <col min="5611" max="5611" width="13.5703125" style="361" customWidth="1"/>
    <col min="5612" max="5612" width="15.28515625" style="361" customWidth="1"/>
    <col min="5613" max="5863" width="9.140625" style="361"/>
    <col min="5864" max="5864" width="32" style="361" customWidth="1"/>
    <col min="5865" max="5865" width="9.140625" style="361"/>
    <col min="5866" max="5866" width="12.85546875" style="361" customWidth="1"/>
    <col min="5867" max="5867" width="13.5703125" style="361" customWidth="1"/>
    <col min="5868" max="5868" width="15.28515625" style="361" customWidth="1"/>
    <col min="5869" max="6119" width="9.140625" style="361"/>
    <col min="6120" max="6120" width="32" style="361" customWidth="1"/>
    <col min="6121" max="6121" width="9.140625" style="361"/>
    <col min="6122" max="6122" width="12.85546875" style="361" customWidth="1"/>
    <col min="6123" max="6123" width="13.5703125" style="361" customWidth="1"/>
    <col min="6124" max="6124" width="15.28515625" style="361" customWidth="1"/>
    <col min="6125" max="6375" width="9.140625" style="361"/>
    <col min="6376" max="6376" width="32" style="361" customWidth="1"/>
    <col min="6377" max="6377" width="9.140625" style="361"/>
    <col min="6378" max="6378" width="12.85546875" style="361" customWidth="1"/>
    <col min="6379" max="6379" width="13.5703125" style="361" customWidth="1"/>
    <col min="6380" max="6380" width="15.28515625" style="361" customWidth="1"/>
    <col min="6381" max="6631" width="9.140625" style="361"/>
    <col min="6632" max="6632" width="32" style="361" customWidth="1"/>
    <col min="6633" max="6633" width="9.140625" style="361"/>
    <col min="6634" max="6634" width="12.85546875" style="361" customWidth="1"/>
    <col min="6635" max="6635" width="13.5703125" style="361" customWidth="1"/>
    <col min="6636" max="6636" width="15.28515625" style="361" customWidth="1"/>
    <col min="6637" max="6887" width="9.140625" style="361"/>
    <col min="6888" max="6888" width="32" style="361" customWidth="1"/>
    <col min="6889" max="6889" width="9.140625" style="361"/>
    <col min="6890" max="6890" width="12.85546875" style="361" customWidth="1"/>
    <col min="6891" max="6891" width="13.5703125" style="361" customWidth="1"/>
    <col min="6892" max="6892" width="15.28515625" style="361" customWidth="1"/>
    <col min="6893" max="7143" width="9.140625" style="361"/>
    <col min="7144" max="7144" width="32" style="361" customWidth="1"/>
    <col min="7145" max="7145" width="9.140625" style="361"/>
    <col min="7146" max="7146" width="12.85546875" style="361" customWidth="1"/>
    <col min="7147" max="7147" width="13.5703125" style="361" customWidth="1"/>
    <col min="7148" max="7148" width="15.28515625" style="361" customWidth="1"/>
    <col min="7149" max="7399" width="9.140625" style="361"/>
    <col min="7400" max="7400" width="32" style="361" customWidth="1"/>
    <col min="7401" max="7401" width="9.140625" style="361"/>
    <col min="7402" max="7402" width="12.85546875" style="361" customWidth="1"/>
    <col min="7403" max="7403" width="13.5703125" style="361" customWidth="1"/>
    <col min="7404" max="7404" width="15.28515625" style="361" customWidth="1"/>
    <col min="7405" max="7655" width="9.140625" style="361"/>
    <col min="7656" max="7656" width="32" style="361" customWidth="1"/>
    <col min="7657" max="7657" width="9.140625" style="361"/>
    <col min="7658" max="7658" width="12.85546875" style="361" customWidth="1"/>
    <col min="7659" max="7659" width="13.5703125" style="361" customWidth="1"/>
    <col min="7660" max="7660" width="15.28515625" style="361" customWidth="1"/>
    <col min="7661" max="7911" width="9.140625" style="361"/>
    <col min="7912" max="7912" width="32" style="361" customWidth="1"/>
    <col min="7913" max="7913" width="9.140625" style="361"/>
    <col min="7914" max="7914" width="12.85546875" style="361" customWidth="1"/>
    <col min="7915" max="7915" width="13.5703125" style="361" customWidth="1"/>
    <col min="7916" max="7916" width="15.28515625" style="361" customWidth="1"/>
    <col min="7917" max="8167" width="9.140625" style="361"/>
    <col min="8168" max="8168" width="32" style="361" customWidth="1"/>
    <col min="8169" max="8169" width="9.140625" style="361"/>
    <col min="8170" max="8170" width="12.85546875" style="361" customWidth="1"/>
    <col min="8171" max="8171" width="13.5703125" style="361" customWidth="1"/>
    <col min="8172" max="8172" width="15.28515625" style="361" customWidth="1"/>
    <col min="8173" max="8423" width="9.140625" style="361"/>
    <col min="8424" max="8424" width="32" style="361" customWidth="1"/>
    <col min="8425" max="8425" width="9.140625" style="361"/>
    <col min="8426" max="8426" width="12.85546875" style="361" customWidth="1"/>
    <col min="8427" max="8427" width="13.5703125" style="361" customWidth="1"/>
    <col min="8428" max="8428" width="15.28515625" style="361" customWidth="1"/>
    <col min="8429" max="8679" width="9.140625" style="361"/>
    <col min="8680" max="8680" width="32" style="361" customWidth="1"/>
    <col min="8681" max="8681" width="9.140625" style="361"/>
    <col min="8682" max="8682" width="12.85546875" style="361" customWidth="1"/>
    <col min="8683" max="8683" width="13.5703125" style="361" customWidth="1"/>
    <col min="8684" max="8684" width="15.28515625" style="361" customWidth="1"/>
    <col min="8685" max="8935" width="9.140625" style="361"/>
    <col min="8936" max="8936" width="32" style="361" customWidth="1"/>
    <col min="8937" max="8937" width="9.140625" style="361"/>
    <col min="8938" max="8938" width="12.85546875" style="361" customWidth="1"/>
    <col min="8939" max="8939" width="13.5703125" style="361" customWidth="1"/>
    <col min="8940" max="8940" width="15.28515625" style="361" customWidth="1"/>
    <col min="8941" max="9191" width="9.140625" style="361"/>
    <col min="9192" max="9192" width="32" style="361" customWidth="1"/>
    <col min="9193" max="9193" width="9.140625" style="361"/>
    <col min="9194" max="9194" width="12.85546875" style="361" customWidth="1"/>
    <col min="9195" max="9195" width="13.5703125" style="361" customWidth="1"/>
    <col min="9196" max="9196" width="15.28515625" style="361" customWidth="1"/>
    <col min="9197" max="9447" width="9.140625" style="361"/>
    <col min="9448" max="9448" width="32" style="361" customWidth="1"/>
    <col min="9449" max="9449" width="9.140625" style="361"/>
    <col min="9450" max="9450" width="12.85546875" style="361" customWidth="1"/>
    <col min="9451" max="9451" width="13.5703125" style="361" customWidth="1"/>
    <col min="9452" max="9452" width="15.28515625" style="361" customWidth="1"/>
    <col min="9453" max="9703" width="9.140625" style="361"/>
    <col min="9704" max="9704" width="32" style="361" customWidth="1"/>
    <col min="9705" max="9705" width="9.140625" style="361"/>
    <col min="9706" max="9706" width="12.85546875" style="361" customWidth="1"/>
    <col min="9707" max="9707" width="13.5703125" style="361" customWidth="1"/>
    <col min="9708" max="9708" width="15.28515625" style="361" customWidth="1"/>
    <col min="9709" max="9959" width="9.140625" style="361"/>
    <col min="9960" max="9960" width="32" style="361" customWidth="1"/>
    <col min="9961" max="9961" width="9.140625" style="361"/>
    <col min="9962" max="9962" width="12.85546875" style="361" customWidth="1"/>
    <col min="9963" max="9963" width="13.5703125" style="361" customWidth="1"/>
    <col min="9964" max="9964" width="15.28515625" style="361" customWidth="1"/>
    <col min="9965" max="10215" width="9.140625" style="361"/>
    <col min="10216" max="10216" width="32" style="361" customWidth="1"/>
    <col min="10217" max="10217" width="9.140625" style="361"/>
    <col min="10218" max="10218" width="12.85546875" style="361" customWidth="1"/>
    <col min="10219" max="10219" width="13.5703125" style="361" customWidth="1"/>
    <col min="10220" max="10220" width="15.28515625" style="361" customWidth="1"/>
    <col min="10221" max="10471" width="9.140625" style="361"/>
    <col min="10472" max="10472" width="32" style="361" customWidth="1"/>
    <col min="10473" max="10473" width="9.140625" style="361"/>
    <col min="10474" max="10474" width="12.85546875" style="361" customWidth="1"/>
    <col min="10475" max="10475" width="13.5703125" style="361" customWidth="1"/>
    <col min="10476" max="10476" width="15.28515625" style="361" customWidth="1"/>
    <col min="10477" max="10727" width="9.140625" style="361"/>
    <col min="10728" max="10728" width="32" style="361" customWidth="1"/>
    <col min="10729" max="10729" width="9.140625" style="361"/>
    <col min="10730" max="10730" width="12.85546875" style="361" customWidth="1"/>
    <col min="10731" max="10731" width="13.5703125" style="361" customWidth="1"/>
    <col min="10732" max="10732" width="15.28515625" style="361" customWidth="1"/>
    <col min="10733" max="10983" width="9.140625" style="361"/>
    <col min="10984" max="10984" width="32" style="361" customWidth="1"/>
    <col min="10985" max="10985" width="9.140625" style="361"/>
    <col min="10986" max="10986" width="12.85546875" style="361" customWidth="1"/>
    <col min="10987" max="10987" width="13.5703125" style="361" customWidth="1"/>
    <col min="10988" max="10988" width="15.28515625" style="361" customWidth="1"/>
    <col min="10989" max="11239" width="9.140625" style="361"/>
    <col min="11240" max="11240" width="32" style="361" customWidth="1"/>
    <col min="11241" max="11241" width="9.140625" style="361"/>
    <col min="11242" max="11242" width="12.85546875" style="361" customWidth="1"/>
    <col min="11243" max="11243" width="13.5703125" style="361" customWidth="1"/>
    <col min="11244" max="11244" width="15.28515625" style="361" customWidth="1"/>
    <col min="11245" max="11495" width="9.140625" style="361"/>
    <col min="11496" max="11496" width="32" style="361" customWidth="1"/>
    <col min="11497" max="11497" width="9.140625" style="361"/>
    <col min="11498" max="11498" width="12.85546875" style="361" customWidth="1"/>
    <col min="11499" max="11499" width="13.5703125" style="361" customWidth="1"/>
    <col min="11500" max="11500" width="15.28515625" style="361" customWidth="1"/>
    <col min="11501" max="11751" width="9.140625" style="361"/>
    <col min="11752" max="11752" width="32" style="361" customWidth="1"/>
    <col min="11753" max="11753" width="9.140625" style="361"/>
    <col min="11754" max="11754" width="12.85546875" style="361" customWidth="1"/>
    <col min="11755" max="11755" width="13.5703125" style="361" customWidth="1"/>
    <col min="11756" max="11756" width="15.28515625" style="361" customWidth="1"/>
    <col min="11757" max="12007" width="9.140625" style="361"/>
    <col min="12008" max="12008" width="32" style="361" customWidth="1"/>
    <col min="12009" max="12009" width="9.140625" style="361"/>
    <col min="12010" max="12010" width="12.85546875" style="361" customWidth="1"/>
    <col min="12011" max="12011" width="13.5703125" style="361" customWidth="1"/>
    <col min="12012" max="12012" width="15.28515625" style="361" customWidth="1"/>
    <col min="12013" max="12263" width="9.140625" style="361"/>
    <col min="12264" max="12264" width="32" style="361" customWidth="1"/>
    <col min="12265" max="12265" width="9.140625" style="361"/>
    <col min="12266" max="12266" width="12.85546875" style="361" customWidth="1"/>
    <col min="12267" max="12267" width="13.5703125" style="361" customWidth="1"/>
    <col min="12268" max="12268" width="15.28515625" style="361" customWidth="1"/>
    <col min="12269" max="12519" width="9.140625" style="361"/>
    <col min="12520" max="12520" width="32" style="361" customWidth="1"/>
    <col min="12521" max="12521" width="9.140625" style="361"/>
    <col min="12522" max="12522" width="12.85546875" style="361" customWidth="1"/>
    <col min="12523" max="12523" width="13.5703125" style="361" customWidth="1"/>
    <col min="12524" max="12524" width="15.28515625" style="361" customWidth="1"/>
    <col min="12525" max="12775" width="9.140625" style="361"/>
    <col min="12776" max="12776" width="32" style="361" customWidth="1"/>
    <col min="12777" max="12777" width="9.140625" style="361"/>
    <col min="12778" max="12778" width="12.85546875" style="361" customWidth="1"/>
    <col min="12779" max="12779" width="13.5703125" style="361" customWidth="1"/>
    <col min="12780" max="12780" width="15.28515625" style="361" customWidth="1"/>
    <col min="12781" max="13031" width="9.140625" style="361"/>
    <col min="13032" max="13032" width="32" style="361" customWidth="1"/>
    <col min="13033" max="13033" width="9.140625" style="361"/>
    <col min="13034" max="13034" width="12.85546875" style="361" customWidth="1"/>
    <col min="13035" max="13035" width="13.5703125" style="361" customWidth="1"/>
    <col min="13036" max="13036" width="15.28515625" style="361" customWidth="1"/>
    <col min="13037" max="13287" width="9.140625" style="361"/>
    <col min="13288" max="13288" width="32" style="361" customWidth="1"/>
    <col min="13289" max="13289" width="9.140625" style="361"/>
    <col min="13290" max="13290" width="12.85546875" style="361" customWidth="1"/>
    <col min="13291" max="13291" width="13.5703125" style="361" customWidth="1"/>
    <col min="13292" max="13292" width="15.28515625" style="361" customWidth="1"/>
    <col min="13293" max="13543" width="9.140625" style="361"/>
    <col min="13544" max="13544" width="32" style="361" customWidth="1"/>
    <col min="13545" max="13545" width="9.140625" style="361"/>
    <col min="13546" max="13546" width="12.85546875" style="361" customWidth="1"/>
    <col min="13547" max="13547" width="13.5703125" style="361" customWidth="1"/>
    <col min="13548" max="13548" width="15.28515625" style="361" customWidth="1"/>
    <col min="13549" max="13799" width="9.140625" style="361"/>
    <col min="13800" max="13800" width="32" style="361" customWidth="1"/>
    <col min="13801" max="13801" width="9.140625" style="361"/>
    <col min="13802" max="13802" width="12.85546875" style="361" customWidth="1"/>
    <col min="13803" max="13803" width="13.5703125" style="361" customWidth="1"/>
    <col min="13804" max="13804" width="15.28515625" style="361" customWidth="1"/>
    <col min="13805" max="14055" width="9.140625" style="361"/>
    <col min="14056" max="14056" width="32" style="361" customWidth="1"/>
    <col min="14057" max="14057" width="9.140625" style="361"/>
    <col min="14058" max="14058" width="12.85546875" style="361" customWidth="1"/>
    <col min="14059" max="14059" width="13.5703125" style="361" customWidth="1"/>
    <col min="14060" max="14060" width="15.28515625" style="361" customWidth="1"/>
    <col min="14061" max="14311" width="9.140625" style="361"/>
    <col min="14312" max="14312" width="32" style="361" customWidth="1"/>
    <col min="14313" max="14313" width="9.140625" style="361"/>
    <col min="14314" max="14314" width="12.85546875" style="361" customWidth="1"/>
    <col min="14315" max="14315" width="13.5703125" style="361" customWidth="1"/>
    <col min="14316" max="14316" width="15.28515625" style="361" customWidth="1"/>
    <col min="14317" max="14567" width="9.140625" style="361"/>
    <col min="14568" max="14568" width="32" style="361" customWidth="1"/>
    <col min="14569" max="14569" width="9.140625" style="361"/>
    <col min="14570" max="14570" width="12.85546875" style="361" customWidth="1"/>
    <col min="14571" max="14571" width="13.5703125" style="361" customWidth="1"/>
    <col min="14572" max="14572" width="15.28515625" style="361" customWidth="1"/>
    <col min="14573" max="14823" width="9.140625" style="361"/>
    <col min="14824" max="14824" width="32" style="361" customWidth="1"/>
    <col min="14825" max="14825" width="9.140625" style="361"/>
    <col min="14826" max="14826" width="12.85546875" style="361" customWidth="1"/>
    <col min="14827" max="14827" width="13.5703125" style="361" customWidth="1"/>
    <col min="14828" max="14828" width="15.28515625" style="361" customWidth="1"/>
    <col min="14829" max="15079" width="9.140625" style="361"/>
    <col min="15080" max="15080" width="32" style="361" customWidth="1"/>
    <col min="15081" max="15081" width="9.140625" style="361"/>
    <col min="15082" max="15082" width="12.85546875" style="361" customWidth="1"/>
    <col min="15083" max="15083" width="13.5703125" style="361" customWidth="1"/>
    <col min="15084" max="15084" width="15.28515625" style="361" customWidth="1"/>
    <col min="15085" max="15335" width="9.140625" style="361"/>
    <col min="15336" max="15336" width="32" style="361" customWidth="1"/>
    <col min="15337" max="15337" width="9.140625" style="361"/>
    <col min="15338" max="15338" width="12.85546875" style="361" customWidth="1"/>
    <col min="15339" max="15339" width="13.5703125" style="361" customWidth="1"/>
    <col min="15340" max="15340" width="15.28515625" style="361" customWidth="1"/>
    <col min="15341" max="15591" width="9.140625" style="361"/>
    <col min="15592" max="15592" width="32" style="361" customWidth="1"/>
    <col min="15593" max="15593" width="9.140625" style="361"/>
    <col min="15594" max="15594" width="12.85546875" style="361" customWidth="1"/>
    <col min="15595" max="15595" width="13.5703125" style="361" customWidth="1"/>
    <col min="15596" max="15596" width="15.28515625" style="361" customWidth="1"/>
    <col min="15597" max="15847" width="9.140625" style="361"/>
    <col min="15848" max="15848" width="32" style="361" customWidth="1"/>
    <col min="15849" max="15849" width="9.140625" style="361"/>
    <col min="15850" max="15850" width="12.85546875" style="361" customWidth="1"/>
    <col min="15851" max="15851" width="13.5703125" style="361" customWidth="1"/>
    <col min="15852" max="15852" width="15.28515625" style="361" customWidth="1"/>
    <col min="15853" max="16103" width="9.140625" style="361"/>
    <col min="16104" max="16104" width="32" style="361" customWidth="1"/>
    <col min="16105" max="16105" width="9.140625" style="361"/>
    <col min="16106" max="16106" width="12.85546875" style="361" customWidth="1"/>
    <col min="16107" max="16107" width="13.5703125" style="361" customWidth="1"/>
    <col min="16108" max="16108" width="15.28515625" style="361" customWidth="1"/>
    <col min="16109" max="16384" width="9.140625" style="361"/>
  </cols>
  <sheetData>
    <row r="2" spans="2:10" ht="15.75" thickBot="1" x14ac:dyDescent="0.3"/>
    <row r="3" spans="2:10" ht="27" thickBot="1" x14ac:dyDescent="0.3">
      <c r="B3" s="1166"/>
      <c r="C3" s="1165" t="s">
        <v>310</v>
      </c>
      <c r="D3" s="1165" t="s">
        <v>583</v>
      </c>
      <c r="E3" s="1164" t="s">
        <v>582</v>
      </c>
      <c r="F3" s="456"/>
      <c r="G3" s="1224" t="s">
        <v>392</v>
      </c>
      <c r="H3" s="1223"/>
      <c r="I3" s="1223"/>
      <c r="J3" s="1222"/>
    </row>
    <row r="4" spans="2:10" ht="15.75" thickBot="1" x14ac:dyDescent="0.3">
      <c r="B4" s="952" t="s">
        <v>643</v>
      </c>
      <c r="C4" s="1202">
        <v>1248</v>
      </c>
      <c r="D4" s="1201">
        <f>J23</f>
        <v>1532.9328221090634</v>
      </c>
      <c r="E4" s="703">
        <f>(D4-C4)/C4</f>
        <v>0.22831155617713414</v>
      </c>
      <c r="F4" s="456"/>
      <c r="G4" s="1221" t="s">
        <v>631</v>
      </c>
      <c r="H4" s="1199"/>
      <c r="I4" s="1198"/>
      <c r="J4" s="1197">
        <v>11</v>
      </c>
    </row>
    <row r="5" spans="2:10" ht="15.75" thickBot="1" x14ac:dyDescent="0.3">
      <c r="B5" s="456"/>
      <c r="C5" s="456"/>
      <c r="D5" s="456"/>
      <c r="E5" s="456"/>
      <c r="F5" s="456"/>
      <c r="G5" s="1177"/>
      <c r="H5" s="1196" t="s">
        <v>377</v>
      </c>
      <c r="I5" s="1195" t="s">
        <v>380</v>
      </c>
      <c r="J5" s="1194" t="s">
        <v>504</v>
      </c>
    </row>
    <row r="6" spans="2:10" x14ac:dyDescent="0.25">
      <c r="B6" s="456"/>
      <c r="C6" s="456"/>
      <c r="D6" s="456"/>
      <c r="E6" s="456"/>
      <c r="F6" s="456">
        <v>1</v>
      </c>
      <c r="G6" s="1120" t="str">
        <f>IF(INDEX('Master Lookup'!$B$448:$B$450,F6)=0,"",INDEX('Master Lookup'!$B$448:$B$450,F6))</f>
        <v>Management</v>
      </c>
      <c r="H6" s="1158">
        <f>IFERROR(INDEX('Master Lookup'!$D$448:$D$450,MATCH(G6,'Master Lookup'!$B$448:$B$450,0)),"")</f>
        <v>79415.232000000018</v>
      </c>
      <c r="I6" s="1157">
        <f>IFERROR(INDEX('Master Lookup'!$E$448:$E$450,MATCH(G6,'Master Lookup'!$B$448:$B$450,0)),"")</f>
        <v>0.01</v>
      </c>
      <c r="J6" s="1193">
        <f>H6*I6</f>
        <v>794.15232000000015</v>
      </c>
    </row>
    <row r="7" spans="2:10" x14ac:dyDescent="0.25">
      <c r="B7" s="456"/>
      <c r="C7" s="456"/>
      <c r="D7" s="456"/>
      <c r="E7" s="604"/>
      <c r="F7" s="456">
        <v>2</v>
      </c>
      <c r="G7" s="1120" t="str">
        <f>IF(INDEX('Master Lookup'!$B$448:$B$450,F7)=0,"",INDEX('Master Lookup'!$B$448:$B$450,F7))</f>
        <v>Case Manager</v>
      </c>
      <c r="H7" s="1158">
        <f>IFERROR(INDEX('Master Lookup'!$D$448:$D$450,MATCH(G7,'Master Lookup'!$B$448:$B$450,0)),"")</f>
        <v>64330.864000000001</v>
      </c>
      <c r="I7" s="1157">
        <f>IFERROR(INDEX('Master Lookup'!$E$448:$E$450,MATCH(G7,'Master Lookup'!$B$448:$B$450,0)),"")</f>
        <v>7.0000000000000007E-2</v>
      </c>
      <c r="J7" s="1192">
        <f>H7*I7</f>
        <v>4503.1604800000005</v>
      </c>
    </row>
    <row r="8" spans="2:10" x14ac:dyDescent="0.25">
      <c r="B8" s="456"/>
      <c r="C8" s="456"/>
      <c r="D8" s="456"/>
      <c r="E8" s="1088"/>
      <c r="F8" s="456">
        <v>3</v>
      </c>
      <c r="G8" s="1120" t="str">
        <f>IF(INDEX('Master Lookup'!$B$448:$B$450,F8)=0,"",INDEX('Master Lookup'!$B$448:$B$450,F8))</f>
        <v>Direct Care Staffing</v>
      </c>
      <c r="H8" s="1158">
        <f>IFERROR(INDEX('Master Lookup'!$D$448:$D$450,MATCH(G8,'Master Lookup'!$B$448:$B$450,0)),"")</f>
        <v>53206.566400000003</v>
      </c>
      <c r="I8" s="1157">
        <f>IFERROR(INDEX('Master Lookup'!$E$448:$E$450,MATCH(G8,'Master Lookup'!$B$448:$B$450,0)),"")</f>
        <v>0.08</v>
      </c>
      <c r="J8" s="1192">
        <f>H8*I8</f>
        <v>4256.5253120000007</v>
      </c>
    </row>
    <row r="9" spans="2:10" hidden="1" x14ac:dyDescent="0.25">
      <c r="B9" s="456"/>
      <c r="C9" s="456"/>
      <c r="D9" s="456"/>
      <c r="E9" s="1088"/>
      <c r="F9" s="456"/>
      <c r="G9" s="408"/>
      <c r="H9" s="1191"/>
      <c r="I9" s="406"/>
      <c r="J9" s="1190"/>
    </row>
    <row r="10" spans="2:10" x14ac:dyDescent="0.25">
      <c r="B10" s="456"/>
      <c r="C10" s="456"/>
      <c r="D10" s="456"/>
      <c r="E10" s="1088"/>
      <c r="F10" s="456"/>
      <c r="G10" s="1189" t="s">
        <v>503</v>
      </c>
      <c r="H10" s="1188"/>
      <c r="I10" s="1187">
        <f>SUM(I6:I9)</f>
        <v>0.16</v>
      </c>
      <c r="J10" s="1186">
        <f>SUM(J6:J9)</f>
        <v>9553.8381120000013</v>
      </c>
    </row>
    <row r="11" spans="2:10" x14ac:dyDescent="0.25">
      <c r="B11" s="456"/>
      <c r="C11" s="456"/>
      <c r="D11" s="456"/>
      <c r="E11" s="456"/>
      <c r="F11" s="456"/>
      <c r="G11" s="822" t="s">
        <v>368</v>
      </c>
      <c r="H11" s="1185"/>
      <c r="I11" s="328">
        <f>INDEX('Master Lookup'!$C$396:$C$398,MATCH(G11,'Master Lookup'!$B$396:$B$398,0))</f>
        <v>0.27379999999999999</v>
      </c>
      <c r="J11" s="1184">
        <f>J10*I11</f>
        <v>2615.8408750656004</v>
      </c>
    </row>
    <row r="12" spans="2:10" ht="15.75" thickBot="1" x14ac:dyDescent="0.3">
      <c r="B12" s="456"/>
      <c r="C12" s="456"/>
      <c r="D12" s="456"/>
      <c r="E12" s="456"/>
      <c r="F12" s="456"/>
      <c r="G12" s="1118" t="s">
        <v>596</v>
      </c>
      <c r="H12" s="1183"/>
      <c r="I12" s="1183"/>
      <c r="J12" s="1182">
        <f>SUM(J10:J11)</f>
        <v>12169.678987065601</v>
      </c>
    </row>
    <row r="13" spans="2:10" ht="15.75" thickTop="1" x14ac:dyDescent="0.25">
      <c r="B13" s="456"/>
      <c r="C13" s="456"/>
      <c r="D13" s="456"/>
      <c r="E13" s="1088"/>
      <c r="F13" s="456"/>
      <c r="G13" s="817"/>
      <c r="H13" s="1181"/>
      <c r="I13" s="1181"/>
      <c r="J13" s="1180"/>
    </row>
    <row r="14" spans="2:10" x14ac:dyDescent="0.25">
      <c r="B14" s="456"/>
      <c r="C14" s="456"/>
      <c r="D14" s="456"/>
      <c r="E14" s="1088"/>
      <c r="F14" s="456"/>
      <c r="G14" s="817" t="s">
        <v>372</v>
      </c>
      <c r="H14" s="1097"/>
      <c r="I14" s="1121"/>
      <c r="J14" s="914"/>
    </row>
    <row r="15" spans="2:10" x14ac:dyDescent="0.25">
      <c r="B15" s="456"/>
      <c r="C15" s="456"/>
      <c r="D15" s="456"/>
      <c r="E15" s="456"/>
      <c r="F15" s="456">
        <v>1</v>
      </c>
      <c r="G15" s="1120" t="str">
        <f>IF(INDEX('Master Lookup'!$B$412:$B$423,F15)=0,"",INDEX('Master Lookup'!$B$412:$B$423,F15))</f>
        <v>Total Occupancy</v>
      </c>
      <c r="H15" s="1088" t="s">
        <v>639</v>
      </c>
      <c r="I15" s="1158">
        <f>IFERROR(INDEX('Master Lookup'!$C$436:$C$437,MATCH(G15,'Master Lookup'!$B$436:$B$437,0)),"")</f>
        <v>6221.9259542286536</v>
      </c>
      <c r="J15" s="1179">
        <f>I10*I15</f>
        <v>995.50815267658459</v>
      </c>
    </row>
    <row r="16" spans="2:10" x14ac:dyDescent="0.25">
      <c r="B16" s="456"/>
      <c r="C16" s="456"/>
      <c r="D16" s="456"/>
      <c r="E16" s="1088"/>
      <c r="F16" s="456">
        <v>2</v>
      </c>
      <c r="G16" s="156" t="s">
        <v>334</v>
      </c>
      <c r="H16" s="456" t="s">
        <v>638</v>
      </c>
      <c r="I16" s="1158"/>
      <c r="J16" s="1179">
        <f>IFERROR(INDEX('Master Lookup'!$C$412:$C$7423,MATCH(G16,'Master Lookup'!$B$412:$B$423,0)),"")</f>
        <v>1493.1564099112707</v>
      </c>
    </row>
    <row r="17" spans="1:10" ht="15.75" thickBot="1" x14ac:dyDescent="0.3">
      <c r="B17" s="456"/>
      <c r="C17" s="456"/>
      <c r="D17" s="456"/>
      <c r="E17" s="1162"/>
      <c r="F17" s="456"/>
      <c r="G17" s="817" t="s">
        <v>538</v>
      </c>
      <c r="J17" s="1102">
        <f>SUM(J15:J16)</f>
        <v>2488.6645625878555</v>
      </c>
    </row>
    <row r="18" spans="1:10" ht="15.75" thickTop="1" x14ac:dyDescent="0.25">
      <c r="B18" s="456"/>
      <c r="C18" s="456"/>
      <c r="D18" s="456"/>
      <c r="E18" s="1088"/>
      <c r="F18" s="456"/>
      <c r="G18" s="817"/>
      <c r="J18" s="410"/>
    </row>
    <row r="19" spans="1:10" ht="21" customHeight="1" x14ac:dyDescent="0.25">
      <c r="B19" s="456"/>
      <c r="C19" s="456"/>
      <c r="D19" s="456"/>
      <c r="E19" s="1088"/>
      <c r="F19" s="456"/>
      <c r="G19" s="489" t="s">
        <v>537</v>
      </c>
      <c r="H19" s="400"/>
      <c r="I19" s="400"/>
      <c r="J19" s="399">
        <f>J17+J12</f>
        <v>14658.343549653457</v>
      </c>
    </row>
    <row r="20" spans="1:10" x14ac:dyDescent="0.25">
      <c r="B20" s="456"/>
      <c r="C20" s="456"/>
      <c r="D20" s="456"/>
      <c r="E20" s="1088"/>
      <c r="F20" s="456"/>
      <c r="G20" s="167" t="s">
        <v>616</v>
      </c>
      <c r="H20" s="1110"/>
      <c r="I20" s="1110">
        <f>'Master Lookup'!C461</f>
        <v>0.12</v>
      </c>
      <c r="J20" s="398">
        <f>J19*I20</f>
        <v>1759.0012259584148</v>
      </c>
    </row>
    <row r="21" spans="1:10" x14ac:dyDescent="0.25">
      <c r="B21" s="456"/>
      <c r="C21" s="456"/>
      <c r="D21" s="456"/>
      <c r="E21" s="456"/>
      <c r="F21" s="456"/>
      <c r="G21" s="1111" t="s">
        <v>615</v>
      </c>
      <c r="H21" s="1110"/>
      <c r="I21" s="1110">
        <f>'Master Lookup'!C460</f>
        <v>2.7100379121522307E-2</v>
      </c>
      <c r="J21" s="398">
        <f>I21*(J19+J20)</f>
        <v>444.9162675878253</v>
      </c>
    </row>
    <row r="22" spans="1:10" ht="15.75" thickBot="1" x14ac:dyDescent="0.3">
      <c r="B22" s="456"/>
      <c r="C22" s="456"/>
      <c r="D22" s="456"/>
      <c r="E22" s="1162"/>
      <c r="F22" s="456"/>
      <c r="G22" s="1225" t="s">
        <v>642</v>
      </c>
      <c r="H22" s="1104"/>
      <c r="I22" s="1103"/>
      <c r="J22" s="1102">
        <f>SUM(J19:J21)</f>
        <v>16862.261043199698</v>
      </c>
    </row>
    <row r="23" spans="1:10" ht="15.75" thickBot="1" x14ac:dyDescent="0.3">
      <c r="A23" s="1110"/>
      <c r="B23" s="456"/>
      <c r="C23" s="456"/>
      <c r="D23" s="456"/>
      <c r="E23" s="1162"/>
      <c r="F23" s="456"/>
      <c r="G23" s="1109" t="s">
        <v>630</v>
      </c>
      <c r="H23" s="1108"/>
      <c r="I23" s="1107"/>
      <c r="J23" s="1178">
        <f>J22/J4</f>
        <v>1532.9328221090634</v>
      </c>
    </row>
    <row r="24" spans="1:10" x14ac:dyDescent="0.25">
      <c r="B24" s="456"/>
      <c r="C24" s="456"/>
      <c r="D24" s="456"/>
      <c r="E24" s="1162"/>
      <c r="F24" s="456"/>
      <c r="G24" s="456"/>
      <c r="H24" s="456"/>
      <c r="I24" s="456"/>
      <c r="J24" s="456"/>
    </row>
    <row r="25" spans="1:10" ht="15.75" thickBot="1" x14ac:dyDescent="0.3">
      <c r="B25" s="456"/>
      <c r="C25" s="456"/>
      <c r="D25" s="456"/>
      <c r="E25" s="1162"/>
      <c r="F25" s="456"/>
      <c r="G25" s="456"/>
      <c r="H25" s="456"/>
      <c r="I25" s="456"/>
      <c r="J25" s="456"/>
    </row>
    <row r="26" spans="1:10" x14ac:dyDescent="0.25">
      <c r="B26" s="456"/>
      <c r="C26" s="456"/>
      <c r="D26" s="456"/>
      <c r="E26" s="1218"/>
      <c r="F26" s="456"/>
      <c r="G26" s="1217" t="s">
        <v>629</v>
      </c>
      <c r="H26" s="1216"/>
      <c r="I26" s="1215" t="s">
        <v>628</v>
      </c>
      <c r="J26" s="1214" t="s">
        <v>627</v>
      </c>
    </row>
    <row r="27" spans="1:10" x14ac:dyDescent="0.25">
      <c r="B27" s="456"/>
      <c r="C27" s="456"/>
      <c r="D27" s="456"/>
      <c r="E27" s="1162"/>
      <c r="F27" s="456"/>
      <c r="G27" s="1213" t="s">
        <v>636</v>
      </c>
      <c r="H27" s="1212"/>
      <c r="I27" s="1211">
        <v>68.72</v>
      </c>
      <c r="J27" s="1207">
        <f>I27*(I21+1)</f>
        <v>70.582338053231013</v>
      </c>
    </row>
    <row r="28" spans="1:10" x14ac:dyDescent="0.25">
      <c r="B28" s="456"/>
      <c r="C28" s="456"/>
      <c r="D28" s="456"/>
      <c r="E28" s="1162"/>
      <c r="F28" s="456"/>
      <c r="G28" s="1213" t="s">
        <v>635</v>
      </c>
      <c r="H28" s="1212"/>
      <c r="I28" s="1211">
        <v>168.53</v>
      </c>
      <c r="J28" s="1207">
        <f>I28*(I21+1)</f>
        <v>173.09722689335015</v>
      </c>
    </row>
    <row r="29" spans="1:10" x14ac:dyDescent="0.25">
      <c r="B29" s="456"/>
      <c r="C29" s="456"/>
      <c r="D29" s="456"/>
      <c r="E29" s="456"/>
      <c r="F29" s="456"/>
      <c r="G29" s="1213" t="s">
        <v>634</v>
      </c>
      <c r="H29" s="1212"/>
      <c r="I29" s="1211">
        <v>48.59</v>
      </c>
      <c r="J29" s="1207">
        <f>I29*(I21+1)</f>
        <v>49.90680742151477</v>
      </c>
    </row>
    <row r="30" spans="1:10" x14ac:dyDescent="0.25">
      <c r="B30" s="456"/>
      <c r="C30" s="456"/>
      <c r="D30" s="456"/>
      <c r="E30" s="604"/>
      <c r="F30" s="456"/>
      <c r="G30" s="1213" t="s">
        <v>626</v>
      </c>
      <c r="H30" s="1212"/>
      <c r="I30" s="1211">
        <v>137.06</v>
      </c>
      <c r="J30" s="1207">
        <f>I30*(I21+1)</f>
        <v>140.77437796239585</v>
      </c>
    </row>
    <row r="31" spans="1:10" ht="15.75" thickBot="1" x14ac:dyDescent="0.3">
      <c r="B31" s="456"/>
      <c r="C31" s="456"/>
      <c r="D31" s="456"/>
      <c r="E31" s="456"/>
      <c r="F31" s="456"/>
      <c r="G31" s="1210" t="s">
        <v>633</v>
      </c>
      <c r="H31" s="1209"/>
      <c r="I31" s="1208">
        <v>164.48</v>
      </c>
      <c r="J31" s="1207">
        <f>I31*(I21+1)</f>
        <v>168.93747035790798</v>
      </c>
    </row>
  </sheetData>
  <mergeCells count="7">
    <mergeCell ref="G30:H30"/>
    <mergeCell ref="G31:H31"/>
    <mergeCell ref="G3:J3"/>
    <mergeCell ref="G26:H26"/>
    <mergeCell ref="G27:H27"/>
    <mergeCell ref="G28:H28"/>
    <mergeCell ref="G29:H29"/>
  </mergeCells>
  <pageMargins left="0.7" right="0.7" top="0.75" bottom="0.75" header="0.3" footer="0.3"/>
  <pageSetup scale="7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37AE4-F67B-4812-A326-93AE78ECB15C}">
  <dimension ref="B2:J30"/>
  <sheetViews>
    <sheetView zoomScale="80" zoomScaleNormal="80" workbookViewId="0">
      <selection activeCell="M33" sqref="M33"/>
    </sheetView>
  </sheetViews>
  <sheetFormatPr defaultRowHeight="15" x14ac:dyDescent="0.25"/>
  <cols>
    <col min="2" max="2" width="25.85546875" customWidth="1"/>
    <col min="3" max="3" width="10.28515625" customWidth="1"/>
    <col min="5" max="5" width="11.85546875" customWidth="1"/>
    <col min="6" max="6" width="15.5703125" customWidth="1"/>
    <col min="7" max="7" width="37.5703125" customWidth="1"/>
    <col min="8" max="8" width="11.5703125" bestFit="1" customWidth="1"/>
    <col min="9" max="9" width="10" bestFit="1" customWidth="1"/>
    <col min="10" max="10" width="11" customWidth="1"/>
  </cols>
  <sheetData>
    <row r="2" spans="2:10" ht="15.75" thickBot="1" x14ac:dyDescent="0.3"/>
    <row r="3" spans="2:10" ht="27" thickBot="1" x14ac:dyDescent="0.3">
      <c r="B3" s="1166"/>
      <c r="C3" s="1165" t="s">
        <v>310</v>
      </c>
      <c r="D3" s="1165" t="s">
        <v>583</v>
      </c>
      <c r="E3" s="1164" t="s">
        <v>582</v>
      </c>
      <c r="F3" s="591"/>
      <c r="G3" s="1241" t="s">
        <v>383</v>
      </c>
      <c r="H3" s="1240"/>
      <c r="I3" s="1240"/>
      <c r="J3" s="1239"/>
    </row>
    <row r="4" spans="2:10" ht="15.75" thickBot="1" x14ac:dyDescent="0.3">
      <c r="B4" s="952" t="s">
        <v>703</v>
      </c>
      <c r="C4" s="1202">
        <v>21.55</v>
      </c>
      <c r="D4" s="1201">
        <f>J23</f>
        <v>26.746648316751106</v>
      </c>
      <c r="E4" s="703">
        <f>(D4-C4)/C4</f>
        <v>0.24114377339912318</v>
      </c>
      <c r="G4" s="1238"/>
      <c r="H4" s="1237" t="s">
        <v>646</v>
      </c>
      <c r="I4" s="1237" t="s">
        <v>645</v>
      </c>
      <c r="J4" s="1197" t="s">
        <v>505</v>
      </c>
    </row>
    <row r="5" spans="2:10" x14ac:dyDescent="0.25">
      <c r="F5" s="591">
        <v>1</v>
      </c>
      <c r="G5" s="1120" t="str">
        <f>IF(INDEX('Master Lookup'!$B$487:$B$489,F5)=0,"",INDEX('Master Lookup'!$B$487:$B$489,F5))</f>
        <v>Management</v>
      </c>
      <c r="H5" s="1158">
        <f>IFERROR(INDEX('Master Lookup'!$D$487:$D$489,MATCH(G5,'Master Lookup'!$B$487:$B$489,0)),"")</f>
        <v>79415.232000000018</v>
      </c>
      <c r="I5" s="1157">
        <f>IFERROR(INDEX('Master Lookup'!$E$487:$E$489,MATCH(G5,'Master Lookup'!$B$487:$B$489,0)),"")</f>
        <v>1</v>
      </c>
      <c r="J5" s="1193">
        <f>H5*I5</f>
        <v>79415.232000000018</v>
      </c>
    </row>
    <row r="6" spans="2:10" x14ac:dyDescent="0.25">
      <c r="F6">
        <v>2</v>
      </c>
      <c r="G6" s="1120" t="str">
        <f>IF(INDEX('Master Lookup'!$B$487:$B$489,F6)=0,"",INDEX('Master Lookup'!$B$487:$B$489,F6))</f>
        <v>Direct Care</v>
      </c>
      <c r="H6" s="1158">
        <f>IFERROR(INDEX('Master Lookup'!$D$487:$D$489,MATCH(G6,'Master Lookup'!$B$487:$B$489,0)),"")</f>
        <v>41600</v>
      </c>
      <c r="I6" s="1157">
        <f>IFERROR(INDEX('Master Lookup'!$E$487:$E$489,MATCH(G6,'Master Lookup'!$B$487:$B$489,0)),"")</f>
        <v>3</v>
      </c>
      <c r="J6" s="1192">
        <f>H6*I6</f>
        <v>124800</v>
      </c>
    </row>
    <row r="7" spans="2:10" ht="15.75" thickBot="1" x14ac:dyDescent="0.3">
      <c r="F7">
        <v>3</v>
      </c>
      <c r="G7" s="1120" t="str">
        <f>IF(INDEX('Master Lookup'!$B$487:$B$489,F7)=0,"",INDEX('Master Lookup'!$B$487:$B$489,F7))</f>
        <v>Clerical Support</v>
      </c>
      <c r="H7" s="1158">
        <f>IFERROR(INDEX('Master Lookup'!$D$487:$D$489,MATCH(G7,'Master Lookup'!$B$487:$B$489,0)),"")</f>
        <v>41600</v>
      </c>
      <c r="I7" s="1157">
        <f>IFERROR(INDEX('Master Lookup'!$E$487:$E$489,MATCH(G7,'Master Lookup'!$B$487:$B$489,0)),"")</f>
        <v>1</v>
      </c>
      <c r="J7" s="1192">
        <f>H7*I7</f>
        <v>41600</v>
      </c>
    </row>
    <row r="8" spans="2:10" ht="27" thickBot="1" x14ac:dyDescent="0.3">
      <c r="B8" s="690" t="s">
        <v>577</v>
      </c>
      <c r="C8" s="689"/>
      <c r="D8" s="1401"/>
      <c r="E8" s="984" t="s">
        <v>584</v>
      </c>
      <c r="G8" s="408"/>
      <c r="H8" s="1191"/>
      <c r="I8" s="406"/>
      <c r="J8" s="1190"/>
    </row>
    <row r="9" spans="2:10" ht="15.75" thickBot="1" x14ac:dyDescent="0.3">
      <c r="B9" s="1400" t="s">
        <v>573</v>
      </c>
      <c r="C9" s="1399" t="s">
        <v>43</v>
      </c>
      <c r="D9" s="1398" t="s">
        <v>549</v>
      </c>
      <c r="E9" s="1386">
        <v>2080</v>
      </c>
      <c r="G9" s="1189" t="s">
        <v>503</v>
      </c>
      <c r="H9" s="1188"/>
      <c r="I9" s="1187">
        <f>SUM(I5:I8)</f>
        <v>5</v>
      </c>
      <c r="J9" s="1186">
        <f>SUM(J5:J8)</f>
        <v>245815.23200000002</v>
      </c>
    </row>
    <row r="10" spans="2:10" x14ac:dyDescent="0.25">
      <c r="B10" s="1397" t="s">
        <v>571</v>
      </c>
      <c r="C10" s="1392">
        <v>120</v>
      </c>
      <c r="D10" s="1396">
        <v>2</v>
      </c>
      <c r="E10" s="1390">
        <f>D10*C10</f>
        <v>240</v>
      </c>
      <c r="G10" s="822" t="s">
        <v>368</v>
      </c>
      <c r="H10" s="1185"/>
      <c r="I10" s="543">
        <f>INDEX('Master Lookup'!$C$396:$C$398,MATCH(G10,'Master Lookup'!$B$396:$B$398,0))</f>
        <v>0.27379999999999999</v>
      </c>
      <c r="J10" s="1184">
        <f>J9*I10</f>
        <v>67304.210521600005</v>
      </c>
    </row>
    <row r="11" spans="2:10" ht="15.75" thickBot="1" x14ac:dyDescent="0.3">
      <c r="B11" s="1395" t="s">
        <v>568</v>
      </c>
      <c r="C11" s="1392">
        <v>10</v>
      </c>
      <c r="D11" s="1394">
        <v>2.5</v>
      </c>
      <c r="E11" s="1390">
        <f>D11*C11</f>
        <v>25</v>
      </c>
      <c r="G11" s="1118" t="s">
        <v>596</v>
      </c>
      <c r="H11" s="1183"/>
      <c r="I11" s="1183"/>
      <c r="J11" s="1182">
        <f>SUM(J9:J10)</f>
        <v>313119.44252160005</v>
      </c>
    </row>
    <row r="12" spans="2:10" ht="16.5" thickTop="1" thickBot="1" x14ac:dyDescent="0.3">
      <c r="B12" s="1393" t="s">
        <v>567</v>
      </c>
      <c r="C12" s="1392">
        <v>40</v>
      </c>
      <c r="D12" s="1391">
        <v>1</v>
      </c>
      <c r="E12" s="1390">
        <f>D12*C12</f>
        <v>40</v>
      </c>
      <c r="G12" s="817"/>
      <c r="H12" s="1181"/>
      <c r="I12" s="1181"/>
      <c r="J12" s="1180"/>
    </row>
    <row r="13" spans="2:10" ht="15.75" thickBot="1" x14ac:dyDescent="0.3">
      <c r="B13" s="1389" t="s">
        <v>564</v>
      </c>
      <c r="C13" s="1388"/>
      <c r="D13" s="1387"/>
      <c r="E13" s="1386">
        <f>SUM(E10:E12)</f>
        <v>305</v>
      </c>
      <c r="G13" s="817" t="s">
        <v>372</v>
      </c>
      <c r="H13" s="1232"/>
      <c r="I13" s="1232"/>
      <c r="J13" s="1231"/>
    </row>
    <row r="14" spans="2:10" ht="15.75" thickBot="1" x14ac:dyDescent="0.3">
      <c r="B14" s="1385" t="s">
        <v>563</v>
      </c>
      <c r="C14" s="1384"/>
      <c r="D14" s="1383"/>
      <c r="E14" s="1382">
        <f>E9-E13</f>
        <v>1775</v>
      </c>
      <c r="G14" t="s">
        <v>332</v>
      </c>
      <c r="H14" s="1232"/>
      <c r="I14" s="496">
        <f>IFERROR(INDEX('Master Lookup'!$C$494:$C$495,MATCH(G14,'Master Lookup'!$B$494:$B$495,0)),"")</f>
        <v>3151.0944966340862</v>
      </c>
      <c r="J14" s="1381">
        <f>I14*(I6+I7)</f>
        <v>12604.377986536345</v>
      </c>
    </row>
    <row r="15" spans="2:10" x14ac:dyDescent="0.25">
      <c r="G15" s="156" t="s">
        <v>340</v>
      </c>
      <c r="H15" s="372"/>
      <c r="I15" s="496">
        <f>IFERROR(INDEX('Master Lookup'!$C$494:$C$495,MATCH(G15,'Master Lookup'!$B$494:$B$495,0)),"")</f>
        <v>1475.3908322281168</v>
      </c>
      <c r="J15" s="1381">
        <f>I15*(I7+I8)</f>
        <v>1475.3908322281168</v>
      </c>
    </row>
    <row r="16" spans="2:10" ht="15.75" thickBot="1" x14ac:dyDescent="0.3">
      <c r="F16">
        <v>1</v>
      </c>
      <c r="G16" s="1118" t="s">
        <v>538</v>
      </c>
      <c r="H16" s="1117"/>
      <c r="I16" s="1117"/>
      <c r="J16" s="1227">
        <f>SUM(J14:J15)</f>
        <v>14079.768818764462</v>
      </c>
    </row>
    <row r="17" spans="6:10" ht="15.75" thickTop="1" x14ac:dyDescent="0.25">
      <c r="F17">
        <v>2</v>
      </c>
      <c r="G17" s="817"/>
      <c r="H17" s="361"/>
      <c r="I17" s="361"/>
      <c r="J17" s="1230"/>
    </row>
    <row r="18" spans="6:10" x14ac:dyDescent="0.25">
      <c r="G18" s="489" t="s">
        <v>537</v>
      </c>
      <c r="H18" s="400"/>
      <c r="I18" s="1229"/>
      <c r="J18" s="1228">
        <f>J16+J11</f>
        <v>327199.21134036453</v>
      </c>
    </row>
    <row r="19" spans="6:10" x14ac:dyDescent="0.25">
      <c r="G19" s="167" t="s">
        <v>616</v>
      </c>
      <c r="H19" s="543"/>
      <c r="I19" s="1110">
        <f>'Master Lookup'!C500</f>
        <v>0.12</v>
      </c>
      <c r="J19" s="1192">
        <f>J18*I19</f>
        <v>39263.905360843746</v>
      </c>
    </row>
    <row r="20" spans="6:10" x14ac:dyDescent="0.25">
      <c r="G20" s="1111" t="s">
        <v>615</v>
      </c>
      <c r="H20" s="543"/>
      <c r="I20" s="1110">
        <f>'Master Lookup'!C499</f>
        <v>2.7100379121522307E-2</v>
      </c>
      <c r="J20" s="1192">
        <f>I20*(J18+J19)</f>
        <v>9931.2893966574175</v>
      </c>
    </row>
    <row r="21" spans="6:10" ht="15.75" thickBot="1" x14ac:dyDescent="0.3">
      <c r="G21" s="1105" t="s">
        <v>536</v>
      </c>
      <c r="H21" s="1103"/>
      <c r="I21" s="1102"/>
      <c r="J21" s="1227">
        <f>SUM(J18:J20)</f>
        <v>376394.40609786572</v>
      </c>
    </row>
    <row r="22" spans="6:10" ht="15.75" thickTop="1" x14ac:dyDescent="0.25">
      <c r="G22" s="167" t="s">
        <v>43</v>
      </c>
      <c r="H22" s="361">
        <v>1775</v>
      </c>
      <c r="I22" s="361"/>
      <c r="J22" s="1380">
        <f>J21/E14</f>
        <v>212.05318653400886</v>
      </c>
    </row>
    <row r="23" spans="6:10" ht="15.75" thickBot="1" x14ac:dyDescent="0.3">
      <c r="G23" s="384" t="s">
        <v>644</v>
      </c>
      <c r="H23" s="383"/>
      <c r="I23" s="383"/>
      <c r="J23" s="1226">
        <f>J22/8+0.24</f>
        <v>26.746648316751106</v>
      </c>
    </row>
    <row r="27" spans="6:10" x14ac:dyDescent="0.25">
      <c r="G27" s="591"/>
      <c r="H27" s="591"/>
      <c r="I27" s="591"/>
      <c r="J27" s="591"/>
    </row>
    <row r="28" spans="6:10" x14ac:dyDescent="0.25">
      <c r="F28" s="591"/>
      <c r="G28" s="591"/>
      <c r="H28" s="591"/>
      <c r="J28" s="1379"/>
    </row>
    <row r="29" spans="6:10" x14ac:dyDescent="0.25">
      <c r="F29" s="591"/>
      <c r="G29" s="591"/>
      <c r="H29" s="591"/>
      <c r="I29" s="591"/>
      <c r="J29" s="1378"/>
    </row>
    <row r="30" spans="6:10" x14ac:dyDescent="0.25">
      <c r="F30" s="591"/>
    </row>
  </sheetData>
  <mergeCells count="2">
    <mergeCell ref="G3:J3"/>
    <mergeCell ref="B8:D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16FF5-F5B0-41DC-83F8-43BD51E5F4EB}">
  <dimension ref="A1:CX27"/>
  <sheetViews>
    <sheetView topLeftCell="BV1" workbookViewId="0">
      <selection activeCell="J13" sqref="J13"/>
    </sheetView>
  </sheetViews>
  <sheetFormatPr defaultRowHeight="12.75" x14ac:dyDescent="0.2"/>
  <cols>
    <col min="1" max="1" width="38.42578125" style="71" customWidth="1"/>
    <col min="2" max="2" width="12.85546875" style="72" customWidth="1"/>
    <col min="3" max="82" width="7.7109375" style="71" customWidth="1"/>
    <col min="83" max="94" width="9.140625" style="71"/>
    <col min="95" max="102" width="0" style="71" hidden="1" customWidth="1"/>
    <col min="103" max="256" width="9.140625" style="71"/>
    <col min="257" max="257" width="38.42578125" style="71" customWidth="1"/>
    <col min="258" max="258" width="12.85546875" style="71" customWidth="1"/>
    <col min="259" max="338" width="7.7109375" style="71" customWidth="1"/>
    <col min="339" max="512" width="9.140625" style="71"/>
    <col min="513" max="513" width="38.42578125" style="71" customWidth="1"/>
    <col min="514" max="514" width="12.85546875" style="71" customWidth="1"/>
    <col min="515" max="594" width="7.7109375" style="71" customWidth="1"/>
    <col min="595" max="768" width="9.140625" style="71"/>
    <col min="769" max="769" width="38.42578125" style="71" customWidth="1"/>
    <col min="770" max="770" width="12.85546875" style="71" customWidth="1"/>
    <col min="771" max="850" width="7.7109375" style="71" customWidth="1"/>
    <col min="851" max="1024" width="9.140625" style="71"/>
    <col min="1025" max="1025" width="38.42578125" style="71" customWidth="1"/>
    <col min="1026" max="1026" width="12.85546875" style="71" customWidth="1"/>
    <col min="1027" max="1106" width="7.7109375" style="71" customWidth="1"/>
    <col min="1107" max="1280" width="9.140625" style="71"/>
    <col min="1281" max="1281" width="38.42578125" style="71" customWidth="1"/>
    <col min="1282" max="1282" width="12.85546875" style="71" customWidth="1"/>
    <col min="1283" max="1362" width="7.7109375" style="71" customWidth="1"/>
    <col min="1363" max="1536" width="9.140625" style="71"/>
    <col min="1537" max="1537" width="38.42578125" style="71" customWidth="1"/>
    <col min="1538" max="1538" width="12.85546875" style="71" customWidth="1"/>
    <col min="1539" max="1618" width="7.7109375" style="71" customWidth="1"/>
    <col min="1619" max="1792" width="9.140625" style="71"/>
    <col min="1793" max="1793" width="38.42578125" style="71" customWidth="1"/>
    <col min="1794" max="1794" width="12.85546875" style="71" customWidth="1"/>
    <col min="1795" max="1874" width="7.7109375" style="71" customWidth="1"/>
    <col min="1875" max="2048" width="9.140625" style="71"/>
    <col min="2049" max="2049" width="38.42578125" style="71" customWidth="1"/>
    <col min="2050" max="2050" width="12.85546875" style="71" customWidth="1"/>
    <col min="2051" max="2130" width="7.7109375" style="71" customWidth="1"/>
    <col min="2131" max="2304" width="9.140625" style="71"/>
    <col min="2305" max="2305" width="38.42578125" style="71" customWidth="1"/>
    <col min="2306" max="2306" width="12.85546875" style="71" customWidth="1"/>
    <col min="2307" max="2386" width="7.7109375" style="71" customWidth="1"/>
    <col min="2387" max="2560" width="9.140625" style="71"/>
    <col min="2561" max="2561" width="38.42578125" style="71" customWidth="1"/>
    <col min="2562" max="2562" width="12.85546875" style="71" customWidth="1"/>
    <col min="2563" max="2642" width="7.7109375" style="71" customWidth="1"/>
    <col min="2643" max="2816" width="9.140625" style="71"/>
    <col min="2817" max="2817" width="38.42578125" style="71" customWidth="1"/>
    <col min="2818" max="2818" width="12.85546875" style="71" customWidth="1"/>
    <col min="2819" max="2898" width="7.7109375" style="71" customWidth="1"/>
    <col min="2899" max="3072" width="9.140625" style="71"/>
    <col min="3073" max="3073" width="38.42578125" style="71" customWidth="1"/>
    <col min="3074" max="3074" width="12.85546875" style="71" customWidth="1"/>
    <col min="3075" max="3154" width="7.7109375" style="71" customWidth="1"/>
    <col min="3155" max="3328" width="9.140625" style="71"/>
    <col min="3329" max="3329" width="38.42578125" style="71" customWidth="1"/>
    <col min="3330" max="3330" width="12.85546875" style="71" customWidth="1"/>
    <col min="3331" max="3410" width="7.7109375" style="71" customWidth="1"/>
    <col min="3411" max="3584" width="9.140625" style="71"/>
    <col min="3585" max="3585" width="38.42578125" style="71" customWidth="1"/>
    <col min="3586" max="3586" width="12.85546875" style="71" customWidth="1"/>
    <col min="3587" max="3666" width="7.7109375" style="71" customWidth="1"/>
    <col min="3667" max="3840" width="9.140625" style="71"/>
    <col min="3841" max="3841" width="38.42578125" style="71" customWidth="1"/>
    <col min="3842" max="3842" width="12.85546875" style="71" customWidth="1"/>
    <col min="3843" max="3922" width="7.7109375" style="71" customWidth="1"/>
    <col min="3923" max="4096" width="9.140625" style="71"/>
    <col min="4097" max="4097" width="38.42578125" style="71" customWidth="1"/>
    <col min="4098" max="4098" width="12.85546875" style="71" customWidth="1"/>
    <col min="4099" max="4178" width="7.7109375" style="71" customWidth="1"/>
    <col min="4179" max="4352" width="9.140625" style="71"/>
    <col min="4353" max="4353" width="38.42578125" style="71" customWidth="1"/>
    <col min="4354" max="4354" width="12.85546875" style="71" customWidth="1"/>
    <col min="4355" max="4434" width="7.7109375" style="71" customWidth="1"/>
    <col min="4435" max="4608" width="9.140625" style="71"/>
    <col min="4609" max="4609" width="38.42578125" style="71" customWidth="1"/>
    <col min="4610" max="4610" width="12.85546875" style="71" customWidth="1"/>
    <col min="4611" max="4690" width="7.7109375" style="71" customWidth="1"/>
    <col min="4691" max="4864" width="9.140625" style="71"/>
    <col min="4865" max="4865" width="38.42578125" style="71" customWidth="1"/>
    <col min="4866" max="4866" width="12.85546875" style="71" customWidth="1"/>
    <col min="4867" max="4946" width="7.7109375" style="71" customWidth="1"/>
    <col min="4947" max="5120" width="9.140625" style="71"/>
    <col min="5121" max="5121" width="38.42578125" style="71" customWidth="1"/>
    <col min="5122" max="5122" width="12.85546875" style="71" customWidth="1"/>
    <col min="5123" max="5202" width="7.7109375" style="71" customWidth="1"/>
    <col min="5203" max="5376" width="9.140625" style="71"/>
    <col min="5377" max="5377" width="38.42578125" style="71" customWidth="1"/>
    <col min="5378" max="5378" width="12.85546875" style="71" customWidth="1"/>
    <col min="5379" max="5458" width="7.7109375" style="71" customWidth="1"/>
    <col min="5459" max="5632" width="9.140625" style="71"/>
    <col min="5633" max="5633" width="38.42578125" style="71" customWidth="1"/>
    <col min="5634" max="5634" width="12.85546875" style="71" customWidth="1"/>
    <col min="5635" max="5714" width="7.7109375" style="71" customWidth="1"/>
    <col min="5715" max="5888" width="9.140625" style="71"/>
    <col min="5889" max="5889" width="38.42578125" style="71" customWidth="1"/>
    <col min="5890" max="5890" width="12.85546875" style="71" customWidth="1"/>
    <col min="5891" max="5970" width="7.7109375" style="71" customWidth="1"/>
    <col min="5971" max="6144" width="9.140625" style="71"/>
    <col min="6145" max="6145" width="38.42578125" style="71" customWidth="1"/>
    <col min="6146" max="6146" width="12.85546875" style="71" customWidth="1"/>
    <col min="6147" max="6226" width="7.7109375" style="71" customWidth="1"/>
    <col min="6227" max="6400" width="9.140625" style="71"/>
    <col min="6401" max="6401" width="38.42578125" style="71" customWidth="1"/>
    <col min="6402" max="6402" width="12.85546875" style="71" customWidth="1"/>
    <col min="6403" max="6482" width="7.7109375" style="71" customWidth="1"/>
    <col min="6483" max="6656" width="9.140625" style="71"/>
    <col min="6657" max="6657" width="38.42578125" style="71" customWidth="1"/>
    <col min="6658" max="6658" width="12.85546875" style="71" customWidth="1"/>
    <col min="6659" max="6738" width="7.7109375" style="71" customWidth="1"/>
    <col min="6739" max="6912" width="9.140625" style="71"/>
    <col min="6913" max="6913" width="38.42578125" style="71" customWidth="1"/>
    <col min="6914" max="6914" width="12.85546875" style="71" customWidth="1"/>
    <col min="6915" max="6994" width="7.7109375" style="71" customWidth="1"/>
    <col min="6995" max="7168" width="9.140625" style="71"/>
    <col min="7169" max="7169" width="38.42578125" style="71" customWidth="1"/>
    <col min="7170" max="7170" width="12.85546875" style="71" customWidth="1"/>
    <col min="7171" max="7250" width="7.7109375" style="71" customWidth="1"/>
    <col min="7251" max="7424" width="9.140625" style="71"/>
    <col min="7425" max="7425" width="38.42578125" style="71" customWidth="1"/>
    <col min="7426" max="7426" width="12.85546875" style="71" customWidth="1"/>
    <col min="7427" max="7506" width="7.7109375" style="71" customWidth="1"/>
    <col min="7507" max="7680" width="9.140625" style="71"/>
    <col min="7681" max="7681" width="38.42578125" style="71" customWidth="1"/>
    <col min="7682" max="7682" width="12.85546875" style="71" customWidth="1"/>
    <col min="7683" max="7762" width="7.7109375" style="71" customWidth="1"/>
    <col min="7763" max="7936" width="9.140625" style="71"/>
    <col min="7937" max="7937" width="38.42578125" style="71" customWidth="1"/>
    <col min="7938" max="7938" width="12.85546875" style="71" customWidth="1"/>
    <col min="7939" max="8018" width="7.7109375" style="71" customWidth="1"/>
    <col min="8019" max="8192" width="9.140625" style="71"/>
    <col min="8193" max="8193" width="38.42578125" style="71" customWidth="1"/>
    <col min="8194" max="8194" width="12.85546875" style="71" customWidth="1"/>
    <col min="8195" max="8274" width="7.7109375" style="71" customWidth="1"/>
    <col min="8275" max="8448" width="9.140625" style="71"/>
    <col min="8449" max="8449" width="38.42578125" style="71" customWidth="1"/>
    <col min="8450" max="8450" width="12.85546875" style="71" customWidth="1"/>
    <col min="8451" max="8530" width="7.7109375" style="71" customWidth="1"/>
    <col min="8531" max="8704" width="9.140625" style="71"/>
    <col min="8705" max="8705" width="38.42578125" style="71" customWidth="1"/>
    <col min="8706" max="8706" width="12.85546875" style="71" customWidth="1"/>
    <col min="8707" max="8786" width="7.7109375" style="71" customWidth="1"/>
    <col min="8787" max="8960" width="9.140625" style="71"/>
    <col min="8961" max="8961" width="38.42578125" style="71" customWidth="1"/>
    <col min="8962" max="8962" width="12.85546875" style="71" customWidth="1"/>
    <col min="8963" max="9042" width="7.7109375" style="71" customWidth="1"/>
    <col min="9043" max="9216" width="9.140625" style="71"/>
    <col min="9217" max="9217" width="38.42578125" style="71" customWidth="1"/>
    <col min="9218" max="9218" width="12.85546875" style="71" customWidth="1"/>
    <col min="9219" max="9298" width="7.7109375" style="71" customWidth="1"/>
    <col min="9299" max="9472" width="9.140625" style="71"/>
    <col min="9473" max="9473" width="38.42578125" style="71" customWidth="1"/>
    <col min="9474" max="9474" width="12.85546875" style="71" customWidth="1"/>
    <col min="9475" max="9554" width="7.7109375" style="71" customWidth="1"/>
    <col min="9555" max="9728" width="9.140625" style="71"/>
    <col min="9729" max="9729" width="38.42578125" style="71" customWidth="1"/>
    <col min="9730" max="9730" width="12.85546875" style="71" customWidth="1"/>
    <col min="9731" max="9810" width="7.7109375" style="71" customWidth="1"/>
    <col min="9811" max="9984" width="9.140625" style="71"/>
    <col min="9985" max="9985" width="38.42578125" style="71" customWidth="1"/>
    <col min="9986" max="9986" width="12.85546875" style="71" customWidth="1"/>
    <col min="9987" max="10066" width="7.7109375" style="71" customWidth="1"/>
    <col min="10067" max="10240" width="9.140625" style="71"/>
    <col min="10241" max="10241" width="38.42578125" style="71" customWidth="1"/>
    <col min="10242" max="10242" width="12.85546875" style="71" customWidth="1"/>
    <col min="10243" max="10322" width="7.7109375" style="71" customWidth="1"/>
    <col min="10323" max="10496" width="9.140625" style="71"/>
    <col min="10497" max="10497" width="38.42578125" style="71" customWidth="1"/>
    <col min="10498" max="10498" width="12.85546875" style="71" customWidth="1"/>
    <col min="10499" max="10578" width="7.7109375" style="71" customWidth="1"/>
    <col min="10579" max="10752" width="9.140625" style="71"/>
    <col min="10753" max="10753" width="38.42578125" style="71" customWidth="1"/>
    <col min="10754" max="10754" width="12.85546875" style="71" customWidth="1"/>
    <col min="10755" max="10834" width="7.7109375" style="71" customWidth="1"/>
    <col min="10835" max="11008" width="9.140625" style="71"/>
    <col min="11009" max="11009" width="38.42578125" style="71" customWidth="1"/>
    <col min="11010" max="11010" width="12.85546875" style="71" customWidth="1"/>
    <col min="11011" max="11090" width="7.7109375" style="71" customWidth="1"/>
    <col min="11091" max="11264" width="9.140625" style="71"/>
    <col min="11265" max="11265" width="38.42578125" style="71" customWidth="1"/>
    <col min="11266" max="11266" width="12.85546875" style="71" customWidth="1"/>
    <col min="11267" max="11346" width="7.7109375" style="71" customWidth="1"/>
    <col min="11347" max="11520" width="9.140625" style="71"/>
    <col min="11521" max="11521" width="38.42578125" style="71" customWidth="1"/>
    <col min="11522" max="11522" width="12.85546875" style="71" customWidth="1"/>
    <col min="11523" max="11602" width="7.7109375" style="71" customWidth="1"/>
    <col min="11603" max="11776" width="9.140625" style="71"/>
    <col min="11777" max="11777" width="38.42578125" style="71" customWidth="1"/>
    <col min="11778" max="11778" width="12.85546875" style="71" customWidth="1"/>
    <col min="11779" max="11858" width="7.7109375" style="71" customWidth="1"/>
    <col min="11859" max="12032" width="9.140625" style="71"/>
    <col min="12033" max="12033" width="38.42578125" style="71" customWidth="1"/>
    <col min="12034" max="12034" width="12.85546875" style="71" customWidth="1"/>
    <col min="12035" max="12114" width="7.7109375" style="71" customWidth="1"/>
    <col min="12115" max="12288" width="9.140625" style="71"/>
    <col min="12289" max="12289" width="38.42578125" style="71" customWidth="1"/>
    <col min="12290" max="12290" width="12.85546875" style="71" customWidth="1"/>
    <col min="12291" max="12370" width="7.7109375" style="71" customWidth="1"/>
    <col min="12371" max="12544" width="9.140625" style="71"/>
    <col min="12545" max="12545" width="38.42578125" style="71" customWidth="1"/>
    <col min="12546" max="12546" width="12.85546875" style="71" customWidth="1"/>
    <col min="12547" max="12626" width="7.7109375" style="71" customWidth="1"/>
    <col min="12627" max="12800" width="9.140625" style="71"/>
    <col min="12801" max="12801" width="38.42578125" style="71" customWidth="1"/>
    <col min="12802" max="12802" width="12.85546875" style="71" customWidth="1"/>
    <col min="12803" max="12882" width="7.7109375" style="71" customWidth="1"/>
    <col min="12883" max="13056" width="9.140625" style="71"/>
    <col min="13057" max="13057" width="38.42578125" style="71" customWidth="1"/>
    <col min="13058" max="13058" width="12.85546875" style="71" customWidth="1"/>
    <col min="13059" max="13138" width="7.7109375" style="71" customWidth="1"/>
    <col min="13139" max="13312" width="9.140625" style="71"/>
    <col min="13313" max="13313" width="38.42578125" style="71" customWidth="1"/>
    <col min="13314" max="13314" width="12.85546875" style="71" customWidth="1"/>
    <col min="13315" max="13394" width="7.7109375" style="71" customWidth="1"/>
    <col min="13395" max="13568" width="9.140625" style="71"/>
    <col min="13569" max="13569" width="38.42578125" style="71" customWidth="1"/>
    <col min="13570" max="13570" width="12.85546875" style="71" customWidth="1"/>
    <col min="13571" max="13650" width="7.7109375" style="71" customWidth="1"/>
    <col min="13651" max="13824" width="9.140625" style="71"/>
    <col min="13825" max="13825" width="38.42578125" style="71" customWidth="1"/>
    <col min="13826" max="13826" width="12.85546875" style="71" customWidth="1"/>
    <col min="13827" max="13906" width="7.7109375" style="71" customWidth="1"/>
    <col min="13907" max="14080" width="9.140625" style="71"/>
    <col min="14081" max="14081" width="38.42578125" style="71" customWidth="1"/>
    <col min="14082" max="14082" width="12.85546875" style="71" customWidth="1"/>
    <col min="14083" max="14162" width="7.7109375" style="71" customWidth="1"/>
    <col min="14163" max="14336" width="9.140625" style="71"/>
    <col min="14337" max="14337" width="38.42578125" style="71" customWidth="1"/>
    <col min="14338" max="14338" width="12.85546875" style="71" customWidth="1"/>
    <col min="14339" max="14418" width="7.7109375" style="71" customWidth="1"/>
    <col min="14419" max="14592" width="9.140625" style="71"/>
    <col min="14593" max="14593" width="38.42578125" style="71" customWidth="1"/>
    <col min="14594" max="14594" width="12.85546875" style="71" customWidth="1"/>
    <col min="14595" max="14674" width="7.7109375" style="71" customWidth="1"/>
    <col min="14675" max="14848" width="9.140625" style="71"/>
    <col min="14849" max="14849" width="38.42578125" style="71" customWidth="1"/>
    <col min="14850" max="14850" width="12.85546875" style="71" customWidth="1"/>
    <col min="14851" max="14930" width="7.7109375" style="71" customWidth="1"/>
    <col min="14931" max="15104" width="9.140625" style="71"/>
    <col min="15105" max="15105" width="38.42578125" style="71" customWidth="1"/>
    <col min="15106" max="15106" width="12.85546875" style="71" customWidth="1"/>
    <col min="15107" max="15186" width="7.7109375" style="71" customWidth="1"/>
    <col min="15187" max="15360" width="9.140625" style="71"/>
    <col min="15361" max="15361" width="38.42578125" style="71" customWidth="1"/>
    <col min="15362" max="15362" width="12.85546875" style="71" customWidth="1"/>
    <col min="15363" max="15442" width="7.7109375" style="71" customWidth="1"/>
    <col min="15443" max="15616" width="9.140625" style="71"/>
    <col min="15617" max="15617" width="38.42578125" style="71" customWidth="1"/>
    <col min="15618" max="15618" width="12.85546875" style="71" customWidth="1"/>
    <col min="15619" max="15698" width="7.7109375" style="71" customWidth="1"/>
    <col min="15699" max="15872" width="9.140625" style="71"/>
    <col min="15873" max="15873" width="38.42578125" style="71" customWidth="1"/>
    <col min="15874" max="15874" width="12.85546875" style="71" customWidth="1"/>
    <col min="15875" max="15954" width="7.7109375" style="71" customWidth="1"/>
    <col min="15955" max="16128" width="9.140625" style="71"/>
    <col min="16129" max="16129" width="38.42578125" style="71" customWidth="1"/>
    <col min="16130" max="16130" width="12.85546875" style="71" customWidth="1"/>
    <col min="16131" max="16210" width="7.7109375" style="71" customWidth="1"/>
    <col min="16211" max="16384" width="9.140625" style="71"/>
  </cols>
  <sheetData>
    <row r="1" spans="1:102" ht="18" x14ac:dyDescent="0.25">
      <c r="A1" s="113" t="s">
        <v>242</v>
      </c>
      <c r="B1" s="112"/>
    </row>
    <row r="2" spans="1:102" ht="15.75" x14ac:dyDescent="0.25">
      <c r="A2" s="111" t="s">
        <v>241</v>
      </c>
      <c r="B2" s="110"/>
    </row>
    <row r="3" spans="1:102" ht="15.75" thickBot="1" x14ac:dyDescent="0.3">
      <c r="A3" s="109" t="s">
        <v>240</v>
      </c>
      <c r="B3" s="108"/>
    </row>
    <row r="6" spans="1:102" x14ac:dyDescent="0.2">
      <c r="BQ6" s="107" t="s">
        <v>239</v>
      </c>
      <c r="BR6" s="107"/>
      <c r="BS6" s="107"/>
      <c r="BT6" s="107"/>
      <c r="BU6" s="107"/>
      <c r="BV6" s="107"/>
      <c r="BW6" s="107"/>
      <c r="BX6" s="107"/>
      <c r="BY6" s="106" t="s">
        <v>238</v>
      </c>
      <c r="BZ6" s="106" t="s">
        <v>238</v>
      </c>
      <c r="CA6" s="106" t="s">
        <v>238</v>
      </c>
      <c r="CB6" s="106" t="s">
        <v>238</v>
      </c>
      <c r="CC6" s="105" t="s">
        <v>133</v>
      </c>
      <c r="CD6" s="105" t="s">
        <v>133</v>
      </c>
      <c r="CE6" s="105" t="s">
        <v>133</v>
      </c>
      <c r="CF6" s="105" t="s">
        <v>133</v>
      </c>
      <c r="CG6" s="104" t="s">
        <v>237</v>
      </c>
      <c r="CH6" s="104" t="s">
        <v>237</v>
      </c>
      <c r="CI6" s="104" t="s">
        <v>237</v>
      </c>
      <c r="CJ6" s="104" t="s">
        <v>237</v>
      </c>
      <c r="CK6" s="103" t="s">
        <v>236</v>
      </c>
      <c r="CL6" s="103" t="s">
        <v>236</v>
      </c>
      <c r="CM6" s="103" t="s">
        <v>236</v>
      </c>
      <c r="CN6" s="103" t="s">
        <v>236</v>
      </c>
    </row>
    <row r="7" spans="1:102" s="72" customFormat="1" x14ac:dyDescent="0.2">
      <c r="B7" s="72" t="s">
        <v>235</v>
      </c>
      <c r="C7" s="102" t="s">
        <v>234</v>
      </c>
      <c r="D7" s="102" t="s">
        <v>233</v>
      </c>
      <c r="E7" s="102" t="s">
        <v>232</v>
      </c>
      <c r="F7" s="102" t="s">
        <v>231</v>
      </c>
      <c r="G7" s="102" t="s">
        <v>230</v>
      </c>
      <c r="H7" s="102" t="s">
        <v>229</v>
      </c>
      <c r="I7" s="102" t="s">
        <v>228</v>
      </c>
      <c r="J7" s="102" t="s">
        <v>227</v>
      </c>
      <c r="K7" s="102" t="s">
        <v>226</v>
      </c>
      <c r="L7" s="102" t="s">
        <v>225</v>
      </c>
      <c r="M7" s="102" t="s">
        <v>224</v>
      </c>
      <c r="N7" s="102" t="s">
        <v>223</v>
      </c>
      <c r="O7" s="102" t="s">
        <v>222</v>
      </c>
      <c r="P7" s="102" t="s">
        <v>221</v>
      </c>
      <c r="Q7" s="102" t="s">
        <v>220</v>
      </c>
      <c r="R7" s="102" t="s">
        <v>219</v>
      </c>
      <c r="S7" s="102" t="s">
        <v>218</v>
      </c>
      <c r="T7" s="102" t="s">
        <v>217</v>
      </c>
      <c r="U7" s="102" t="s">
        <v>216</v>
      </c>
      <c r="V7" s="102" t="s">
        <v>215</v>
      </c>
      <c r="W7" s="102" t="s">
        <v>214</v>
      </c>
      <c r="X7" s="102" t="s">
        <v>213</v>
      </c>
      <c r="Y7" s="102" t="s">
        <v>212</v>
      </c>
      <c r="Z7" s="102" t="s">
        <v>211</v>
      </c>
      <c r="AA7" s="102" t="s">
        <v>210</v>
      </c>
      <c r="AB7" s="102" t="s">
        <v>209</v>
      </c>
      <c r="AC7" s="102" t="s">
        <v>208</v>
      </c>
      <c r="AD7" s="102" t="s">
        <v>207</v>
      </c>
      <c r="AE7" s="102" t="s">
        <v>206</v>
      </c>
      <c r="AF7" s="102" t="s">
        <v>205</v>
      </c>
      <c r="AG7" s="102" t="s">
        <v>204</v>
      </c>
      <c r="AH7" s="102" t="s">
        <v>203</v>
      </c>
      <c r="AI7" s="102" t="s">
        <v>202</v>
      </c>
      <c r="AJ7" s="102" t="s">
        <v>201</v>
      </c>
      <c r="AK7" s="102" t="s">
        <v>200</v>
      </c>
      <c r="AL7" s="102" t="s">
        <v>199</v>
      </c>
      <c r="AM7" s="102" t="s">
        <v>198</v>
      </c>
      <c r="AN7" s="102" t="s">
        <v>197</v>
      </c>
      <c r="AO7" s="102" t="s">
        <v>196</v>
      </c>
      <c r="AP7" s="102" t="s">
        <v>195</v>
      </c>
      <c r="AQ7" s="102" t="s">
        <v>194</v>
      </c>
      <c r="AR7" s="102" t="s">
        <v>193</v>
      </c>
      <c r="AS7" s="102" t="s">
        <v>192</v>
      </c>
      <c r="AT7" s="102" t="s">
        <v>191</v>
      </c>
      <c r="AU7" s="72" t="s">
        <v>190</v>
      </c>
      <c r="AV7" s="72" t="s">
        <v>189</v>
      </c>
      <c r="AW7" s="72" t="s">
        <v>188</v>
      </c>
      <c r="AX7" s="72" t="s">
        <v>187</v>
      </c>
      <c r="AY7" s="72" t="s">
        <v>186</v>
      </c>
      <c r="AZ7" s="72" t="s">
        <v>185</v>
      </c>
      <c r="BA7" s="72" t="s">
        <v>184</v>
      </c>
      <c r="BB7" s="72" t="s">
        <v>183</v>
      </c>
      <c r="BC7" s="72" t="s">
        <v>182</v>
      </c>
      <c r="BD7" s="72" t="s">
        <v>181</v>
      </c>
      <c r="BE7" s="72" t="s">
        <v>180</v>
      </c>
      <c r="BF7" s="72" t="s">
        <v>179</v>
      </c>
      <c r="BG7" s="72" t="s">
        <v>178</v>
      </c>
      <c r="BH7" s="72" t="s">
        <v>177</v>
      </c>
      <c r="BI7" s="72" t="s">
        <v>176</v>
      </c>
      <c r="BJ7" s="72" t="s">
        <v>175</v>
      </c>
      <c r="BK7" s="72" t="s">
        <v>174</v>
      </c>
      <c r="BL7" s="72" t="s">
        <v>173</v>
      </c>
      <c r="BM7" s="72" t="s">
        <v>172</v>
      </c>
      <c r="BN7" s="72" t="s">
        <v>171</v>
      </c>
      <c r="BO7" s="72" t="s">
        <v>170</v>
      </c>
      <c r="BP7" s="72" t="s">
        <v>169</v>
      </c>
      <c r="BQ7" s="72" t="s">
        <v>168</v>
      </c>
      <c r="BR7" s="72" t="s">
        <v>167</v>
      </c>
      <c r="BS7" s="72" t="s">
        <v>166</v>
      </c>
      <c r="BT7" s="72" t="s">
        <v>165</v>
      </c>
      <c r="BU7" s="72" t="s">
        <v>164</v>
      </c>
      <c r="BV7" s="72" t="s">
        <v>163</v>
      </c>
      <c r="BW7" s="72" t="s">
        <v>162</v>
      </c>
      <c r="BX7" s="72" t="s">
        <v>161</v>
      </c>
      <c r="BY7" s="72" t="s">
        <v>160</v>
      </c>
      <c r="BZ7" s="72" t="s">
        <v>159</v>
      </c>
      <c r="CA7" s="72" t="s">
        <v>158</v>
      </c>
      <c r="CB7" s="72" t="s">
        <v>157</v>
      </c>
      <c r="CC7" s="72" t="s">
        <v>156</v>
      </c>
      <c r="CD7" s="72" t="s">
        <v>155</v>
      </c>
      <c r="CE7" s="72" t="s">
        <v>129</v>
      </c>
      <c r="CF7" s="72" t="s">
        <v>128</v>
      </c>
      <c r="CG7" s="72" t="s">
        <v>127</v>
      </c>
      <c r="CH7" s="72" t="s">
        <v>126</v>
      </c>
      <c r="CI7" s="72" t="s">
        <v>125</v>
      </c>
      <c r="CJ7" s="72" t="s">
        <v>124</v>
      </c>
      <c r="CK7" s="72" t="s">
        <v>123</v>
      </c>
      <c r="CL7" s="72" t="s">
        <v>122</v>
      </c>
      <c r="CM7" s="72" t="s">
        <v>154</v>
      </c>
      <c r="CN7" s="72" t="s">
        <v>153</v>
      </c>
      <c r="CO7" s="72" t="s">
        <v>152</v>
      </c>
      <c r="CP7" s="72" t="s">
        <v>151</v>
      </c>
      <c r="CQ7" s="72" t="s">
        <v>150</v>
      </c>
      <c r="CR7" s="72" t="s">
        <v>149</v>
      </c>
      <c r="CS7" s="72" t="s">
        <v>148</v>
      </c>
      <c r="CT7" s="72" t="s">
        <v>147</v>
      </c>
      <c r="CU7" s="72" t="s">
        <v>146</v>
      </c>
      <c r="CV7" s="72" t="s">
        <v>145</v>
      </c>
      <c r="CW7" s="72" t="s">
        <v>144</v>
      </c>
      <c r="CX7" s="72" t="s">
        <v>143</v>
      </c>
    </row>
    <row r="8" spans="1:102" x14ac:dyDescent="0.2">
      <c r="A8" s="72" t="s">
        <v>142</v>
      </c>
      <c r="B8" s="72" t="s">
        <v>141</v>
      </c>
      <c r="C8" s="100">
        <v>2.0050112051495002</v>
      </c>
      <c r="D8" s="100">
        <v>2.0276241163363098</v>
      </c>
      <c r="E8" s="100">
        <v>2.0363460391917001</v>
      </c>
      <c r="F8" s="100">
        <v>2.0596415110589001</v>
      </c>
      <c r="G8" s="100">
        <v>2.0733294705676499</v>
      </c>
      <c r="H8" s="100">
        <v>2.0835292799709602</v>
      </c>
      <c r="I8" s="100">
        <v>2.1195041887439401</v>
      </c>
      <c r="J8" s="100">
        <v>2.1415481300828598</v>
      </c>
      <c r="K8" s="100">
        <v>2.1562703287960399</v>
      </c>
      <c r="L8" s="100">
        <v>2.1819748269408099</v>
      </c>
      <c r="M8" s="100">
        <v>2.2029036076995201</v>
      </c>
      <c r="N8" s="100">
        <v>2.1887625047097399</v>
      </c>
      <c r="O8" s="100">
        <v>2.2060843099596301</v>
      </c>
      <c r="P8" s="100">
        <v>2.2265958098971699</v>
      </c>
      <c r="Q8" s="100">
        <v>2.2446322955459399</v>
      </c>
      <c r="R8" s="100">
        <v>2.2722619420728098</v>
      </c>
      <c r="S8" s="100">
        <v>2.2956075162666898</v>
      </c>
      <c r="T8" s="100">
        <v>2.33325183151159</v>
      </c>
      <c r="U8" s="100">
        <v>2.37203530343487</v>
      </c>
      <c r="V8" s="100">
        <v>2.3206542043126999</v>
      </c>
      <c r="W8" s="100">
        <v>2.30200743794274</v>
      </c>
      <c r="X8" s="100">
        <v>2.3133154897554</v>
      </c>
      <c r="Y8" s="100">
        <v>2.3324316109679</v>
      </c>
      <c r="Z8" s="100">
        <v>2.3514838560921301</v>
      </c>
      <c r="AA8" s="100">
        <v>2.35519698431525</v>
      </c>
      <c r="AB8" s="100">
        <v>2.3583040416960399</v>
      </c>
      <c r="AC8" s="100">
        <v>2.3659233658671601</v>
      </c>
      <c r="AD8" s="100">
        <v>2.3887196326128302</v>
      </c>
      <c r="AE8" s="100">
        <v>2.4062061518870501</v>
      </c>
      <c r="AF8" s="100">
        <v>2.44252591544041</v>
      </c>
      <c r="AG8" s="100">
        <v>2.4591685909552199</v>
      </c>
      <c r="AH8" s="100">
        <v>2.4668379437269699</v>
      </c>
      <c r="AI8" s="100">
        <v>2.4785145451270099</v>
      </c>
      <c r="AJ8" s="100">
        <v>2.4851120001921498</v>
      </c>
      <c r="AK8" s="100">
        <v>2.4964929133262999</v>
      </c>
      <c r="AL8" s="100">
        <v>2.5166188182623199</v>
      </c>
      <c r="AM8" s="100">
        <v>2.5215576130559998</v>
      </c>
      <c r="AN8" s="100">
        <v>2.52180857683138</v>
      </c>
      <c r="AO8" s="100">
        <v>2.53710244272522</v>
      </c>
      <c r="AP8" s="100">
        <v>2.54811207866496</v>
      </c>
      <c r="AQ8" s="100">
        <v>2.5620432753712001</v>
      </c>
      <c r="AR8" s="100">
        <v>2.5663852378941701</v>
      </c>
      <c r="AS8" s="100">
        <v>2.5733594694754802</v>
      </c>
      <c r="AT8" s="100">
        <v>2.5692521315192698</v>
      </c>
      <c r="AU8" s="100">
        <v>2.56015489993815</v>
      </c>
      <c r="AV8" s="100">
        <v>2.5720252475700498</v>
      </c>
      <c r="AW8" s="100">
        <v>2.5752492149967199</v>
      </c>
      <c r="AX8" s="100">
        <v>2.5757251437181501</v>
      </c>
      <c r="AY8" s="100">
        <v>2.5700308525139999</v>
      </c>
      <c r="AZ8" s="100">
        <v>2.5905788087957</v>
      </c>
      <c r="BA8" s="100">
        <v>2.60565815313538</v>
      </c>
      <c r="BB8" s="100">
        <v>2.62434040849209</v>
      </c>
      <c r="BC8" s="100">
        <v>2.6416721951751398</v>
      </c>
      <c r="BD8" s="100">
        <v>2.6438856664204402</v>
      </c>
      <c r="BE8" s="100">
        <v>2.6501699197236599</v>
      </c>
      <c r="BF8" s="100">
        <v>2.671878963438</v>
      </c>
      <c r="BG8" s="100">
        <v>2.6993222171317699</v>
      </c>
      <c r="BH8" s="100">
        <v>2.71620981134443</v>
      </c>
      <c r="BI8" s="100">
        <v>2.7288288811600601</v>
      </c>
      <c r="BJ8" s="100">
        <v>2.7428099299867101</v>
      </c>
      <c r="BK8" s="100">
        <v>2.7489205839767799</v>
      </c>
      <c r="BL8" s="100">
        <v>2.7670705452261899</v>
      </c>
      <c r="BM8" s="100">
        <v>2.7828865026935201</v>
      </c>
      <c r="BN8" s="100">
        <v>2.7968085391111699</v>
      </c>
      <c r="BO8" s="100">
        <v>2.8054288346603502</v>
      </c>
      <c r="BP8" s="100">
        <v>2.7884180402680299</v>
      </c>
      <c r="BQ8" s="100">
        <v>2.7998641580951702</v>
      </c>
      <c r="BR8" s="100">
        <v>2.8171474270444001</v>
      </c>
      <c r="BS8" s="100">
        <v>2.8438349396178499</v>
      </c>
      <c r="BT8" s="100">
        <v>2.8752551433225602</v>
      </c>
      <c r="BU8" s="100">
        <v>2.9161903655505799</v>
      </c>
      <c r="BV8" s="100">
        <v>2.9803358353475899</v>
      </c>
      <c r="BW8" s="100">
        <v>3.0354748219846401</v>
      </c>
      <c r="BX8" s="100">
        <v>3.0879962927626701</v>
      </c>
      <c r="BY8" s="100">
        <v>3.1288947779563401</v>
      </c>
      <c r="BZ8" s="100">
        <v>3.1689521453255201</v>
      </c>
      <c r="CA8" s="100">
        <v>3.1980340707348902</v>
      </c>
      <c r="CB8" s="100">
        <v>3.22990450581444</v>
      </c>
      <c r="CC8" s="100">
        <v>3.26075269913281</v>
      </c>
      <c r="CD8" s="100">
        <v>3.2907631968455</v>
      </c>
      <c r="CE8" s="100">
        <v>3.3125596296297699</v>
      </c>
      <c r="CF8" s="100">
        <v>3.3297133036565598</v>
      </c>
      <c r="CG8" s="100">
        <v>3.3554073265633502</v>
      </c>
      <c r="CH8" s="100">
        <v>3.3788405050657802</v>
      </c>
      <c r="CI8" s="100">
        <v>3.39938295780372</v>
      </c>
      <c r="CJ8" s="100">
        <v>3.4175790025706099</v>
      </c>
      <c r="CK8" s="100">
        <v>3.4369701606410201</v>
      </c>
      <c r="CL8" s="100">
        <v>3.4575802979927102</v>
      </c>
      <c r="CM8" s="100">
        <v>3.4771120398923698</v>
      </c>
      <c r="CN8" s="100">
        <v>3.4951231605612301</v>
      </c>
      <c r="CO8" s="100">
        <v>3.5145794338558001</v>
      </c>
      <c r="CP8" s="100">
        <v>3.5352713487487901</v>
      </c>
      <c r="CQ8" s="100">
        <v>3.5556929148674201</v>
      </c>
      <c r="CR8" s="100">
        <v>3.5758520413646999</v>
      </c>
      <c r="CS8" s="100">
        <v>3.5965497565748001</v>
      </c>
      <c r="CT8" s="100">
        <v>3.6172456101849302</v>
      </c>
      <c r="CU8" s="100">
        <v>3.6362786933062998</v>
      </c>
      <c r="CV8" s="100">
        <v>3.65538542992266</v>
      </c>
      <c r="CW8" s="100">
        <v>3.6753840732010601</v>
      </c>
      <c r="CX8" s="100">
        <v>3.6948614603658299</v>
      </c>
    </row>
    <row r="9" spans="1:102" x14ac:dyDescent="0.2">
      <c r="A9" s="72" t="s">
        <v>140</v>
      </c>
      <c r="B9" s="72" t="s">
        <v>139</v>
      </c>
      <c r="C9" s="100">
        <v>2.0050112051495002</v>
      </c>
      <c r="D9" s="100">
        <v>2.0276241163363098</v>
      </c>
      <c r="E9" s="100">
        <v>2.0363460391917001</v>
      </c>
      <c r="F9" s="100">
        <v>2.0596415110589001</v>
      </c>
      <c r="G9" s="100">
        <v>2.0733294705676499</v>
      </c>
      <c r="H9" s="100">
        <v>2.0835292799709602</v>
      </c>
      <c r="I9" s="100">
        <v>2.1195041887439401</v>
      </c>
      <c r="J9" s="100">
        <v>2.1415481300828598</v>
      </c>
      <c r="K9" s="100">
        <v>2.1562703287960399</v>
      </c>
      <c r="L9" s="100">
        <v>2.1819748269408099</v>
      </c>
      <c r="M9" s="100">
        <v>2.2029036076995201</v>
      </c>
      <c r="N9" s="100">
        <v>2.1887625047097399</v>
      </c>
      <c r="O9" s="100">
        <v>2.2060843099596301</v>
      </c>
      <c r="P9" s="100">
        <v>2.2265958098971699</v>
      </c>
      <c r="Q9" s="100">
        <v>2.2446322955459399</v>
      </c>
      <c r="R9" s="100">
        <v>2.2722619420728098</v>
      </c>
      <c r="S9" s="100">
        <v>2.2956075162666898</v>
      </c>
      <c r="T9" s="100">
        <v>2.33325183151159</v>
      </c>
      <c r="U9" s="100">
        <v>2.37203530343487</v>
      </c>
      <c r="V9" s="100">
        <v>2.3206542043126999</v>
      </c>
      <c r="W9" s="100">
        <v>2.30200743794274</v>
      </c>
      <c r="X9" s="100">
        <v>2.3133154897554</v>
      </c>
      <c r="Y9" s="100">
        <v>2.3324316109679</v>
      </c>
      <c r="Z9" s="100">
        <v>2.3514838560921301</v>
      </c>
      <c r="AA9" s="100">
        <v>2.35519698431525</v>
      </c>
      <c r="AB9" s="100">
        <v>2.3583040416960399</v>
      </c>
      <c r="AC9" s="100">
        <v>2.3659233658671601</v>
      </c>
      <c r="AD9" s="100">
        <v>2.3887196326128302</v>
      </c>
      <c r="AE9" s="100">
        <v>2.4062061518870501</v>
      </c>
      <c r="AF9" s="100">
        <v>2.44252591544041</v>
      </c>
      <c r="AG9" s="100">
        <v>2.4591685909552199</v>
      </c>
      <c r="AH9" s="100">
        <v>2.4668379437269699</v>
      </c>
      <c r="AI9" s="100">
        <v>2.4785145451270099</v>
      </c>
      <c r="AJ9" s="100">
        <v>2.4851120001921498</v>
      </c>
      <c r="AK9" s="100">
        <v>2.4964929133262999</v>
      </c>
      <c r="AL9" s="100">
        <v>2.5166188182623199</v>
      </c>
      <c r="AM9" s="100">
        <v>2.5215576130559998</v>
      </c>
      <c r="AN9" s="100">
        <v>2.52180857683138</v>
      </c>
      <c r="AO9" s="100">
        <v>2.53710244272522</v>
      </c>
      <c r="AP9" s="100">
        <v>2.54811207866496</v>
      </c>
      <c r="AQ9" s="100">
        <v>2.5620432753712001</v>
      </c>
      <c r="AR9" s="100">
        <v>2.5663852378941701</v>
      </c>
      <c r="AS9" s="100">
        <v>2.5733594694754802</v>
      </c>
      <c r="AT9" s="100">
        <v>2.5692521315192698</v>
      </c>
      <c r="AU9" s="100">
        <v>2.56015489993815</v>
      </c>
      <c r="AV9" s="100">
        <v>2.5720252475700498</v>
      </c>
      <c r="AW9" s="100">
        <v>2.5752492149967199</v>
      </c>
      <c r="AX9" s="100">
        <v>2.5757251437181501</v>
      </c>
      <c r="AY9" s="100">
        <v>2.5700308525139999</v>
      </c>
      <c r="AZ9" s="100">
        <v>2.5905788087957</v>
      </c>
      <c r="BA9" s="100">
        <v>2.60565815313538</v>
      </c>
      <c r="BB9" s="100">
        <v>2.62434040849209</v>
      </c>
      <c r="BC9" s="100">
        <v>2.6416721951751398</v>
      </c>
      <c r="BD9" s="100">
        <v>2.6438856664204402</v>
      </c>
      <c r="BE9" s="100">
        <v>2.6501699197236599</v>
      </c>
      <c r="BF9" s="100">
        <v>2.671878963438</v>
      </c>
      <c r="BG9" s="100">
        <v>2.6993222171317699</v>
      </c>
      <c r="BH9" s="100">
        <v>2.71620981134443</v>
      </c>
      <c r="BI9" s="100">
        <v>2.7288288811600601</v>
      </c>
      <c r="BJ9" s="100">
        <v>2.7428099299867101</v>
      </c>
      <c r="BK9" s="100">
        <v>2.7489205839767799</v>
      </c>
      <c r="BL9" s="100">
        <v>2.7670705452261899</v>
      </c>
      <c r="BM9" s="100">
        <v>2.7828865026935201</v>
      </c>
      <c r="BN9" s="100">
        <v>2.7968085391111699</v>
      </c>
      <c r="BO9" s="100">
        <v>2.8054288346603502</v>
      </c>
      <c r="BP9" s="100">
        <v>2.7884180402680299</v>
      </c>
      <c r="BQ9" s="100">
        <v>2.7998641580951702</v>
      </c>
      <c r="BR9" s="100">
        <v>2.8171474270444001</v>
      </c>
      <c r="BS9" s="100">
        <v>2.8438349396178499</v>
      </c>
      <c r="BT9" s="100">
        <v>2.8752551433225602</v>
      </c>
      <c r="BU9" s="100">
        <v>2.9161903655505799</v>
      </c>
      <c r="BV9" s="100">
        <v>2.9803358353475899</v>
      </c>
      <c r="BW9" s="100">
        <v>3.0354748219846401</v>
      </c>
      <c r="BX9" s="100">
        <v>3.0879962927626701</v>
      </c>
      <c r="BY9" s="100">
        <v>3.1288947779563401</v>
      </c>
      <c r="BZ9" s="100">
        <v>3.1689521453255201</v>
      </c>
      <c r="CA9" s="100">
        <v>3.1925229599317202</v>
      </c>
      <c r="CB9" s="100">
        <v>3.2142263456677802</v>
      </c>
      <c r="CC9" s="100">
        <v>3.2423791220789102</v>
      </c>
      <c r="CD9" s="100">
        <v>3.2707369257652799</v>
      </c>
      <c r="CE9" s="100">
        <v>3.2911977168238602</v>
      </c>
      <c r="CF9" s="100">
        <v>3.3069503709257599</v>
      </c>
      <c r="CG9" s="100">
        <v>3.3310114361411798</v>
      </c>
      <c r="CH9" s="100">
        <v>3.3528025716004199</v>
      </c>
      <c r="CI9" s="100">
        <v>3.37218091262779</v>
      </c>
      <c r="CJ9" s="100">
        <v>3.3889235278065399</v>
      </c>
      <c r="CK9" s="100">
        <v>3.40662198576385</v>
      </c>
      <c r="CL9" s="100">
        <v>3.4253125699928502</v>
      </c>
      <c r="CM9" s="100">
        <v>3.44308624388484</v>
      </c>
      <c r="CN9" s="100">
        <v>3.4591427533300698</v>
      </c>
      <c r="CO9" s="100">
        <v>3.4768478267287501</v>
      </c>
      <c r="CP9" s="100">
        <v>3.4958882881861402</v>
      </c>
      <c r="CQ9" s="100">
        <v>3.5148267047188599</v>
      </c>
      <c r="CR9" s="100">
        <v>3.5333519436216898</v>
      </c>
      <c r="CS9" s="100">
        <v>3.5523020973974702</v>
      </c>
      <c r="CT9" s="100">
        <v>3.5712848420372398</v>
      </c>
      <c r="CU9" s="100">
        <v>3.5886950963833102</v>
      </c>
      <c r="CV9" s="100">
        <v>3.6061336432568099</v>
      </c>
      <c r="CW9" s="100">
        <v>3.62443922395375</v>
      </c>
      <c r="CX9" s="100">
        <v>3.64199811924524</v>
      </c>
    </row>
    <row r="10" spans="1:102" x14ac:dyDescent="0.2">
      <c r="A10" s="72" t="s">
        <v>138</v>
      </c>
      <c r="B10" s="72" t="s">
        <v>137</v>
      </c>
      <c r="C10" s="100">
        <v>2.0050112051495002</v>
      </c>
      <c r="D10" s="100">
        <v>2.0276241163363098</v>
      </c>
      <c r="E10" s="100">
        <v>2.0363460391917001</v>
      </c>
      <c r="F10" s="100">
        <v>2.0596415110589001</v>
      </c>
      <c r="G10" s="100">
        <v>2.0733294705676499</v>
      </c>
      <c r="H10" s="100">
        <v>2.0835292799709602</v>
      </c>
      <c r="I10" s="100">
        <v>2.1195041887439401</v>
      </c>
      <c r="J10" s="100">
        <v>2.1415481300828598</v>
      </c>
      <c r="K10" s="100">
        <v>2.1562703287960399</v>
      </c>
      <c r="L10" s="100">
        <v>2.1819748269408099</v>
      </c>
      <c r="M10" s="100">
        <v>2.2029036076995201</v>
      </c>
      <c r="N10" s="100">
        <v>2.1887625047097399</v>
      </c>
      <c r="O10" s="100">
        <v>2.2060843099596301</v>
      </c>
      <c r="P10" s="100">
        <v>2.2265958098971699</v>
      </c>
      <c r="Q10" s="100">
        <v>2.2446322955459399</v>
      </c>
      <c r="R10" s="100">
        <v>2.2722619420728098</v>
      </c>
      <c r="S10" s="100">
        <v>2.2956075162666898</v>
      </c>
      <c r="T10" s="100">
        <v>2.33325183151159</v>
      </c>
      <c r="U10" s="100">
        <v>2.37203530343487</v>
      </c>
      <c r="V10" s="100">
        <v>2.3206542043126999</v>
      </c>
      <c r="W10" s="100">
        <v>2.30200743794274</v>
      </c>
      <c r="X10" s="100">
        <v>2.3133154897554</v>
      </c>
      <c r="Y10" s="100">
        <v>2.3324316109679</v>
      </c>
      <c r="Z10" s="100">
        <v>2.3514838560921301</v>
      </c>
      <c r="AA10" s="100">
        <v>2.35519698431525</v>
      </c>
      <c r="AB10" s="100">
        <v>2.3583040416960399</v>
      </c>
      <c r="AC10" s="100">
        <v>2.3659233658671601</v>
      </c>
      <c r="AD10" s="100">
        <v>2.3887196326128302</v>
      </c>
      <c r="AE10" s="100">
        <v>2.4062061518870501</v>
      </c>
      <c r="AF10" s="100">
        <v>2.44252591544041</v>
      </c>
      <c r="AG10" s="100">
        <v>2.4591685909552199</v>
      </c>
      <c r="AH10" s="100">
        <v>2.4668379437269699</v>
      </c>
      <c r="AI10" s="100">
        <v>2.4785145451270099</v>
      </c>
      <c r="AJ10" s="100">
        <v>2.4851120001921498</v>
      </c>
      <c r="AK10" s="100">
        <v>2.4964929133262999</v>
      </c>
      <c r="AL10" s="100">
        <v>2.5166188182623199</v>
      </c>
      <c r="AM10" s="100">
        <v>2.5215576130559998</v>
      </c>
      <c r="AN10" s="100">
        <v>2.52180857683138</v>
      </c>
      <c r="AO10" s="100">
        <v>2.53710244272522</v>
      </c>
      <c r="AP10" s="100">
        <v>2.54811207866496</v>
      </c>
      <c r="AQ10" s="100">
        <v>2.5620432753712001</v>
      </c>
      <c r="AR10" s="100">
        <v>2.5663852378941701</v>
      </c>
      <c r="AS10" s="100">
        <v>2.5733594694754802</v>
      </c>
      <c r="AT10" s="100">
        <v>2.5692521315192698</v>
      </c>
      <c r="AU10" s="100">
        <v>2.56015489993815</v>
      </c>
      <c r="AV10" s="100">
        <v>2.5720252475700498</v>
      </c>
      <c r="AW10" s="100">
        <v>2.5752492149967199</v>
      </c>
      <c r="AX10" s="100">
        <v>2.5757251437181501</v>
      </c>
      <c r="AY10" s="100">
        <v>2.5700308525139999</v>
      </c>
      <c r="AZ10" s="100">
        <v>2.5905788087957</v>
      </c>
      <c r="BA10" s="100">
        <v>2.60565815313538</v>
      </c>
      <c r="BB10" s="100">
        <v>2.62434040849209</v>
      </c>
      <c r="BC10" s="100">
        <v>2.6416721951751398</v>
      </c>
      <c r="BD10" s="100">
        <v>2.6438856664204402</v>
      </c>
      <c r="BE10" s="100">
        <v>2.6501699197236599</v>
      </c>
      <c r="BF10" s="100">
        <v>2.671878963438</v>
      </c>
      <c r="BG10" s="100">
        <v>2.6993222171317699</v>
      </c>
      <c r="BH10" s="100">
        <v>2.71620981134443</v>
      </c>
      <c r="BI10" s="100">
        <v>2.7288288811600601</v>
      </c>
      <c r="BJ10" s="100">
        <v>2.7428099299867101</v>
      </c>
      <c r="BK10" s="100">
        <v>2.7489205839767799</v>
      </c>
      <c r="BL10" s="100">
        <v>2.7670705452261899</v>
      </c>
      <c r="BM10" s="100">
        <v>2.7828865026935201</v>
      </c>
      <c r="BN10" s="100">
        <v>2.7968085391111699</v>
      </c>
      <c r="BO10" s="100">
        <v>2.8054288346603502</v>
      </c>
      <c r="BP10" s="100">
        <v>2.7884180402680299</v>
      </c>
      <c r="BQ10" s="100">
        <v>2.7998641580951702</v>
      </c>
      <c r="BR10" s="100">
        <v>2.8171474270444001</v>
      </c>
      <c r="BS10" s="100">
        <v>2.8438349396178499</v>
      </c>
      <c r="BT10" s="100">
        <v>2.8752551433225602</v>
      </c>
      <c r="BU10" s="100">
        <v>2.9161903655505799</v>
      </c>
      <c r="BV10" s="100">
        <v>2.9803358353475899</v>
      </c>
      <c r="BW10" s="100">
        <v>3.0354748219846401</v>
      </c>
      <c r="BX10" s="100">
        <v>3.0879962927626701</v>
      </c>
      <c r="BY10" s="100">
        <v>3.1288947779563401</v>
      </c>
      <c r="BZ10" s="100">
        <v>3.1689521453255201</v>
      </c>
      <c r="CA10" s="100">
        <v>3.2132180908257402</v>
      </c>
      <c r="CB10" s="100">
        <v>3.25896674708126</v>
      </c>
      <c r="CC10" s="100">
        <v>3.3034777774505799</v>
      </c>
      <c r="CD10" s="100">
        <v>3.3453434489013798</v>
      </c>
      <c r="CE10" s="100">
        <v>3.3774900259476199</v>
      </c>
      <c r="CF10" s="100">
        <v>3.4048512779095699</v>
      </c>
      <c r="CG10" s="100">
        <v>3.4407800351623901</v>
      </c>
      <c r="CH10" s="100">
        <v>3.47398735040258</v>
      </c>
      <c r="CI10" s="100">
        <v>3.5044008662114399</v>
      </c>
      <c r="CJ10" s="100">
        <v>3.5330772191361501</v>
      </c>
      <c r="CK10" s="100">
        <v>3.5634230457781699</v>
      </c>
      <c r="CL10" s="100">
        <v>3.5955656322911298</v>
      </c>
      <c r="CM10" s="100">
        <v>3.6267670668944598</v>
      </c>
      <c r="CN10" s="100">
        <v>3.6564651774140802</v>
      </c>
      <c r="CO10" s="100">
        <v>3.6880284570224902</v>
      </c>
      <c r="CP10" s="100">
        <v>3.7211793058714</v>
      </c>
      <c r="CQ10" s="100">
        <v>3.7542331458740299</v>
      </c>
      <c r="CR10" s="100">
        <v>3.7871254335989901</v>
      </c>
      <c r="CS10" s="100">
        <v>3.8207445239743199</v>
      </c>
      <c r="CT10" s="100">
        <v>3.8546368037687602</v>
      </c>
      <c r="CU10" s="100">
        <v>3.8872247348682101</v>
      </c>
      <c r="CV10" s="100">
        <v>3.9200735059946799</v>
      </c>
      <c r="CW10" s="100">
        <v>3.9541391739659901</v>
      </c>
      <c r="CX10" s="100">
        <v>3.9879877404770001</v>
      </c>
    </row>
    <row r="12" spans="1:102" x14ac:dyDescent="0.2">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row>
    <row r="13" spans="1:102" x14ac:dyDescent="0.2">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row>
    <row r="14" spans="1:102" x14ac:dyDescent="0.2">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row>
    <row r="15" spans="1:102" x14ac:dyDescent="0.2">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row>
    <row r="16" spans="1:102" x14ac:dyDescent="0.2">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BX16" s="99" t="s">
        <v>136</v>
      </c>
      <c r="BY16" s="78"/>
      <c r="BZ16" s="78"/>
      <c r="CA16" s="98" t="s">
        <v>135</v>
      </c>
      <c r="CB16" s="97"/>
      <c r="CC16" s="97"/>
      <c r="CD16" s="97"/>
      <c r="CE16" s="97"/>
      <c r="CF16" s="97"/>
      <c r="CG16" s="78"/>
      <c r="CH16" s="78"/>
      <c r="CI16" s="78"/>
    </row>
    <row r="17" spans="3:87" x14ac:dyDescent="0.2">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BX17" s="95"/>
      <c r="BY17" s="94"/>
      <c r="BZ17" s="94"/>
      <c r="CA17" s="94"/>
      <c r="CB17" s="94"/>
      <c r="CC17" s="94"/>
      <c r="CD17" s="94"/>
      <c r="CE17" s="94"/>
      <c r="CF17" s="94"/>
      <c r="CG17" s="94"/>
      <c r="CH17" s="94"/>
      <c r="CI17" s="93"/>
    </row>
    <row r="18" spans="3:87" x14ac:dyDescent="0.2">
      <c r="BX18" s="79"/>
      <c r="BY18" s="83" t="s">
        <v>134</v>
      </c>
      <c r="BZ18" s="92" t="s">
        <v>133</v>
      </c>
      <c r="CA18" s="78"/>
      <c r="CB18" s="78"/>
      <c r="CC18" s="78"/>
      <c r="CD18" s="78"/>
      <c r="CE18" s="78"/>
      <c r="CF18" s="78"/>
      <c r="CG18" s="78"/>
      <c r="CH18" s="78"/>
      <c r="CI18" s="91"/>
    </row>
    <row r="19" spans="3:87" x14ac:dyDescent="0.2">
      <c r="BX19" s="79"/>
      <c r="BY19" s="78"/>
      <c r="BZ19" s="90" t="str">
        <f>CD7</f>
        <v>2023Q4</v>
      </c>
      <c r="CA19" s="90"/>
      <c r="CB19" s="90"/>
      <c r="CC19" s="90"/>
      <c r="CD19" s="78"/>
      <c r="CE19" s="78"/>
      <c r="CF19" s="78"/>
      <c r="CG19" s="78"/>
      <c r="CH19" s="78"/>
      <c r="CI19" s="89" t="s">
        <v>132</v>
      </c>
    </row>
    <row r="20" spans="3:87" x14ac:dyDescent="0.2">
      <c r="BX20" s="79"/>
      <c r="BY20" s="78"/>
      <c r="BZ20" s="88">
        <f>CD9</f>
        <v>3.2707369257652799</v>
      </c>
      <c r="CA20" s="87"/>
      <c r="CB20" s="87"/>
      <c r="CC20" s="87"/>
      <c r="CD20" s="78"/>
      <c r="CE20" s="78"/>
      <c r="CF20" s="78"/>
      <c r="CG20" s="78"/>
      <c r="CH20" s="78"/>
      <c r="CI20" s="81">
        <f>AVERAGE(BZ20:CC20)</f>
        <v>3.2707369257652799</v>
      </c>
    </row>
    <row r="21" spans="3:87" x14ac:dyDescent="0.2">
      <c r="BX21" s="79"/>
      <c r="BY21" s="78"/>
      <c r="BZ21" s="78"/>
      <c r="CA21" s="78"/>
      <c r="CB21" s="78"/>
      <c r="CC21" s="78"/>
      <c r="CD21" s="78"/>
      <c r="CE21" s="78"/>
      <c r="CF21" s="78"/>
      <c r="CG21" s="78"/>
      <c r="CH21" s="78"/>
      <c r="CI21" s="80"/>
    </row>
    <row r="22" spans="3:87" x14ac:dyDescent="0.2">
      <c r="BX22" s="86" t="s">
        <v>131</v>
      </c>
      <c r="BY22" s="85"/>
      <c r="BZ22" s="85"/>
      <c r="CA22" s="78" t="s">
        <v>130</v>
      </c>
      <c r="CB22" s="78"/>
      <c r="CC22" s="78"/>
      <c r="CD22" s="78"/>
      <c r="CE22" s="78"/>
      <c r="CF22" s="78"/>
      <c r="CG22" s="78"/>
      <c r="CH22" s="78"/>
      <c r="CI22" s="80"/>
    </row>
    <row r="23" spans="3:87" x14ac:dyDescent="0.2">
      <c r="BX23" s="84"/>
      <c r="BY23" s="83"/>
      <c r="BZ23" s="72" t="s">
        <v>129</v>
      </c>
      <c r="CA23" s="72" t="s">
        <v>128</v>
      </c>
      <c r="CB23" s="72" t="s">
        <v>127</v>
      </c>
      <c r="CC23" s="72" t="s">
        <v>126</v>
      </c>
      <c r="CD23" s="72" t="s">
        <v>125</v>
      </c>
      <c r="CE23" s="72" t="s">
        <v>124</v>
      </c>
      <c r="CF23" s="72" t="s">
        <v>123</v>
      </c>
      <c r="CG23" s="72" t="s">
        <v>122</v>
      </c>
      <c r="CH23" s="78"/>
      <c r="CI23" s="80"/>
    </row>
    <row r="24" spans="3:87" x14ac:dyDescent="0.2">
      <c r="BX24" s="79"/>
      <c r="BY24" s="78"/>
      <c r="BZ24" s="82">
        <f>CE9</f>
        <v>3.2911977168238602</v>
      </c>
      <c r="CA24" s="82">
        <f>CF9</f>
        <v>3.3069503709257599</v>
      </c>
      <c r="CB24" s="82">
        <f>CG9</f>
        <v>3.3310114361411798</v>
      </c>
      <c r="CC24" s="82">
        <f>CH9</f>
        <v>3.3528025716004199</v>
      </c>
      <c r="CD24" s="82">
        <f>CI9</f>
        <v>3.37218091262779</v>
      </c>
      <c r="CE24" s="82">
        <f>CJ9</f>
        <v>3.3889235278065399</v>
      </c>
      <c r="CF24" s="82">
        <f>CK9</f>
        <v>3.40662198576385</v>
      </c>
      <c r="CG24" s="82">
        <f>CL9</f>
        <v>3.4253125699928502</v>
      </c>
      <c r="CH24" s="78"/>
      <c r="CI24" s="81">
        <f>AVERAGE(BZ24:CG24)</f>
        <v>3.3593751364602813</v>
      </c>
    </row>
    <row r="25" spans="3:87" x14ac:dyDescent="0.2">
      <c r="BX25" s="79"/>
      <c r="BY25" s="78"/>
      <c r="BZ25" s="78"/>
      <c r="CA25" s="78"/>
      <c r="CB25" s="78"/>
      <c r="CC25" s="78"/>
      <c r="CD25" s="78"/>
      <c r="CE25" s="78"/>
      <c r="CF25" s="78"/>
      <c r="CG25" s="78"/>
      <c r="CH25" s="78"/>
      <c r="CI25" s="80"/>
    </row>
    <row r="26" spans="3:87" x14ac:dyDescent="0.2">
      <c r="BX26" s="79"/>
      <c r="BY26" s="78"/>
      <c r="BZ26" s="78"/>
      <c r="CA26" s="78"/>
      <c r="CB26" s="78"/>
      <c r="CC26" s="78"/>
      <c r="CD26" s="78"/>
      <c r="CE26" s="78"/>
      <c r="CF26" s="78"/>
      <c r="CG26" s="78"/>
      <c r="CH26" s="77" t="s">
        <v>121</v>
      </c>
      <c r="CI26" s="76">
        <f>(CI24-CI20)/CI20</f>
        <v>2.7100379121522307E-2</v>
      </c>
    </row>
    <row r="27" spans="3:87" x14ac:dyDescent="0.2">
      <c r="BX27" s="75"/>
      <c r="BY27" s="74"/>
      <c r="BZ27" s="74"/>
      <c r="CA27" s="74"/>
      <c r="CB27" s="74"/>
      <c r="CC27" s="74"/>
      <c r="CD27" s="74"/>
      <c r="CE27" s="74"/>
      <c r="CF27" s="74"/>
      <c r="CG27" s="74"/>
      <c r="CH27" s="74"/>
      <c r="CI27" s="73"/>
    </row>
  </sheetData>
  <mergeCells count="2">
    <mergeCell ref="A1:B1"/>
    <mergeCell ref="BX22:BZ22"/>
  </mergeCells>
  <pageMargins left="0.25" right="0.2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587C-0FC8-4710-A2B1-3F2A6AF9283A}">
  <sheetPr>
    <tabColor theme="9" tint="0.59999389629810485"/>
  </sheetPr>
  <dimension ref="B2:H45"/>
  <sheetViews>
    <sheetView zoomScaleNormal="100" workbookViewId="0">
      <selection activeCell="J13" sqref="J13"/>
    </sheetView>
  </sheetViews>
  <sheetFormatPr defaultRowHeight="15" x14ac:dyDescent="0.25"/>
  <cols>
    <col min="2" max="2" width="13.5703125" bestFit="1" customWidth="1"/>
    <col min="3" max="3" width="38.85546875" bestFit="1" customWidth="1"/>
    <col min="4" max="4" width="19.5703125" bestFit="1" customWidth="1"/>
    <col min="5" max="5" width="11.85546875" bestFit="1" customWidth="1"/>
    <col min="6" max="6" width="11.140625" bestFit="1" customWidth="1"/>
    <col min="7" max="7" width="11.140625" hidden="1" customWidth="1"/>
    <col min="8" max="8" width="0" hidden="1" customWidth="1"/>
  </cols>
  <sheetData>
    <row r="2" spans="2:5" ht="15.75" thickBot="1" x14ac:dyDescent="0.3"/>
    <row r="3" spans="2:5" ht="15.75" thickBot="1" x14ac:dyDescent="0.3">
      <c r="B3" s="170" t="s">
        <v>365</v>
      </c>
      <c r="C3" s="169" t="s">
        <v>364</v>
      </c>
      <c r="D3" s="169" t="s">
        <v>363</v>
      </c>
      <c r="E3" s="168" t="s">
        <v>362</v>
      </c>
    </row>
    <row r="4" spans="2:5" x14ac:dyDescent="0.25">
      <c r="B4" s="156" t="s">
        <v>361</v>
      </c>
      <c r="C4" t="s">
        <v>360</v>
      </c>
      <c r="D4" s="166">
        <v>5963.9694954316819</v>
      </c>
      <c r="E4" s="166">
        <v>6221.9259542286536</v>
      </c>
    </row>
    <row r="5" spans="2:5" x14ac:dyDescent="0.25">
      <c r="B5" s="156" t="s">
        <v>359</v>
      </c>
      <c r="C5" t="s">
        <v>358</v>
      </c>
      <c r="D5" s="166">
        <v>19030.16756708255</v>
      </c>
      <c r="E5" s="166">
        <v>20732.398668629623</v>
      </c>
    </row>
    <row r="6" spans="2:5" x14ac:dyDescent="0.25">
      <c r="B6" s="167" t="s">
        <v>357</v>
      </c>
      <c r="C6" t="s">
        <v>356</v>
      </c>
      <c r="D6" s="166">
        <v>159.61973086509079</v>
      </c>
      <c r="E6" s="166">
        <v>202.39734163733908</v>
      </c>
    </row>
    <row r="7" spans="2:5" x14ac:dyDescent="0.25">
      <c r="B7" s="167" t="s">
        <v>355</v>
      </c>
      <c r="C7" t="s">
        <v>354</v>
      </c>
      <c r="D7" s="166">
        <v>1056.8783932396871</v>
      </c>
      <c r="E7" s="166">
        <v>823.75132959083601</v>
      </c>
    </row>
    <row r="8" spans="2:5" x14ac:dyDescent="0.25">
      <c r="B8" s="167" t="s">
        <v>353</v>
      </c>
      <c r="C8" t="s">
        <v>352</v>
      </c>
      <c r="D8" s="166">
        <v>659.46971027355744</v>
      </c>
      <c r="E8" s="166">
        <v>726.26821565114597</v>
      </c>
    </row>
    <row r="9" spans="2:5" x14ac:dyDescent="0.25">
      <c r="B9" s="167" t="s">
        <v>351</v>
      </c>
      <c r="C9" t="s">
        <v>350</v>
      </c>
      <c r="D9" s="166">
        <v>474.11060420697481</v>
      </c>
      <c r="E9" s="166">
        <v>1741.693522928565</v>
      </c>
    </row>
    <row r="10" spans="2:5" x14ac:dyDescent="0.25">
      <c r="B10" s="167" t="s">
        <v>349</v>
      </c>
      <c r="C10" t="s">
        <v>348</v>
      </c>
      <c r="D10" s="166">
        <v>794.38064007837045</v>
      </c>
      <c r="E10" s="166">
        <v>846.28963809049594</v>
      </c>
    </row>
    <row r="11" spans="2:5" x14ac:dyDescent="0.25">
      <c r="B11" s="167" t="s">
        <v>347</v>
      </c>
      <c r="C11" t="s">
        <v>346</v>
      </c>
      <c r="D11" s="166">
        <v>1160.45426260112</v>
      </c>
      <c r="E11" s="166">
        <v>334.77110062906314</v>
      </c>
    </row>
    <row r="12" spans="2:5" x14ac:dyDescent="0.25">
      <c r="B12" s="167" t="s">
        <v>345</v>
      </c>
      <c r="C12" t="s">
        <v>344</v>
      </c>
      <c r="D12" s="166">
        <v>360.01736555263551</v>
      </c>
      <c r="E12" s="166">
        <v>184.79433263973775</v>
      </c>
    </row>
    <row r="13" spans="2:5" x14ac:dyDescent="0.25">
      <c r="B13" s="167" t="s">
        <v>343</v>
      </c>
      <c r="C13" t="s">
        <v>342</v>
      </c>
      <c r="D13" s="166">
        <v>1733.9343036087084</v>
      </c>
      <c r="E13" s="166">
        <v>1858.2779275952644</v>
      </c>
    </row>
    <row r="14" spans="2:5" x14ac:dyDescent="0.25">
      <c r="B14" s="156" t="s">
        <v>341</v>
      </c>
      <c r="C14" t="s">
        <v>340</v>
      </c>
      <c r="D14" s="166">
        <v>1953.5170393964802</v>
      </c>
      <c r="E14" s="166">
        <v>1475.3908322281168</v>
      </c>
    </row>
    <row r="15" spans="2:5" x14ac:dyDescent="0.25">
      <c r="B15" s="156" t="s">
        <v>339</v>
      </c>
      <c r="C15" t="s">
        <v>338</v>
      </c>
      <c r="D15" s="166">
        <v>8800.0556870388427</v>
      </c>
      <c r="E15" s="166">
        <v>16545.284327323163</v>
      </c>
    </row>
    <row r="16" spans="2:5" x14ac:dyDescent="0.25">
      <c r="B16" s="156" t="s">
        <v>337</v>
      </c>
      <c r="C16" t="s">
        <v>336</v>
      </c>
      <c r="D16" s="166">
        <v>0</v>
      </c>
      <c r="E16" s="166"/>
    </row>
    <row r="17" spans="2:8" x14ac:dyDescent="0.25">
      <c r="B17" s="156" t="s">
        <v>335</v>
      </c>
      <c r="C17" t="s">
        <v>334</v>
      </c>
      <c r="D17" s="166">
        <v>1347.3502436316674</v>
      </c>
      <c r="E17" s="166">
        <v>1493.1564099112707</v>
      </c>
    </row>
    <row r="18" spans="2:8" x14ac:dyDescent="0.25">
      <c r="B18" s="156" t="s">
        <v>333</v>
      </c>
      <c r="C18" t="s">
        <v>332</v>
      </c>
      <c r="D18" s="166">
        <v>2996.7173855870574</v>
      </c>
      <c r="E18" s="166">
        <v>3151.0944966340862</v>
      </c>
    </row>
    <row r="19" spans="2:8" ht="15.75" thickBot="1" x14ac:dyDescent="0.3">
      <c r="B19" s="165" t="s">
        <v>331</v>
      </c>
      <c r="C19" s="164" t="s">
        <v>330</v>
      </c>
      <c r="D19" s="163">
        <v>12619.980532849366</v>
      </c>
      <c r="E19" s="163">
        <v>12302.804876255133</v>
      </c>
    </row>
    <row r="20" spans="2:8" x14ac:dyDescent="0.25">
      <c r="B20" s="162"/>
      <c r="C20" s="161" t="s">
        <v>329</v>
      </c>
      <c r="D20" s="160"/>
      <c r="E20" s="159">
        <v>1000</v>
      </c>
    </row>
    <row r="21" spans="2:8" x14ac:dyDescent="0.25">
      <c r="B21" s="156"/>
      <c r="C21" s="158" t="s">
        <v>328</v>
      </c>
      <c r="D21" s="154"/>
      <c r="E21" s="157">
        <f>22590*(1+'[2]Salary lookup'!$G$5)</f>
        <v>26905.669366364942</v>
      </c>
      <c r="G21" s="157">
        <f>22590*(1.06%+1)</f>
        <v>22829.453999999998</v>
      </c>
      <c r="H21" t="s">
        <v>327</v>
      </c>
    </row>
    <row r="22" spans="2:8" x14ac:dyDescent="0.25">
      <c r="B22" s="156"/>
      <c r="C22" s="158" t="s">
        <v>326</v>
      </c>
      <c r="D22" s="154"/>
      <c r="E22" s="157">
        <f>30804*(1+'[2]Salary lookup'!$G$5)</f>
        <v>36688.899475940932</v>
      </c>
      <c r="G22" s="157">
        <f>30804*(1.06%+1)</f>
        <v>31130.522399999998</v>
      </c>
      <c r="H22" t="s">
        <v>325</v>
      </c>
    </row>
    <row r="23" spans="2:8" x14ac:dyDescent="0.25">
      <c r="B23" s="156"/>
      <c r="C23" s="158" t="s">
        <v>324</v>
      </c>
      <c r="D23" s="154"/>
      <c r="E23" s="157">
        <f>39018*(1+'[2]Salary lookup'!$G$5)</f>
        <v>46472.129585516923</v>
      </c>
      <c r="G23" s="157">
        <f>39018*(1.06%+1)</f>
        <v>39431.590799999998</v>
      </c>
    </row>
    <row r="24" spans="2:8" x14ac:dyDescent="0.25">
      <c r="B24" s="156"/>
      <c r="C24" s="155" t="s">
        <v>323</v>
      </c>
      <c r="D24" s="154"/>
      <c r="E24" s="153">
        <f>43123*(1.06%+1)</f>
        <v>43580.103799999997</v>
      </c>
    </row>
    <row r="25" spans="2:8" x14ac:dyDescent="0.25">
      <c r="B25" s="156"/>
      <c r="C25" s="155" t="s">
        <v>322</v>
      </c>
      <c r="D25" s="154"/>
      <c r="E25" s="153">
        <v>21500</v>
      </c>
    </row>
    <row r="26" spans="2:8" ht="15.75" thickBot="1" x14ac:dyDescent="0.3">
      <c r="B26" s="140"/>
      <c r="C26" s="152" t="s">
        <v>321</v>
      </c>
      <c r="D26" s="151"/>
      <c r="E26" s="150">
        <v>1000</v>
      </c>
    </row>
    <row r="30" spans="2:8" hidden="1" x14ac:dyDescent="0.25"/>
    <row r="31" spans="2:8" hidden="1" x14ac:dyDescent="0.25"/>
    <row r="32" spans="2:8" hidden="1" x14ac:dyDescent="0.25">
      <c r="C32" s="142" t="s">
        <v>320</v>
      </c>
      <c r="D32" s="141"/>
    </row>
    <row r="33" spans="3:4" hidden="1" x14ac:dyDescent="0.25">
      <c r="C33" s="148" t="s">
        <v>318</v>
      </c>
      <c r="D33" s="147">
        <f>'[15]Clean Data'!$BN$3</f>
        <v>0.19760532777955617</v>
      </c>
    </row>
    <row r="34" spans="3:4" hidden="1" x14ac:dyDescent="0.25">
      <c r="C34" s="146" t="s">
        <v>317</v>
      </c>
      <c r="D34" s="145">
        <f>'[15]Clean Data'!$BN$4</f>
        <v>0.20761444165416432</v>
      </c>
    </row>
    <row r="35" spans="3:4" ht="15.75" hidden="1" thickBot="1" x14ac:dyDescent="0.3">
      <c r="C35" s="144" t="s">
        <v>316</v>
      </c>
      <c r="D35" s="149">
        <v>0.27379999999999999</v>
      </c>
    </row>
    <row r="36" spans="3:4" hidden="1" x14ac:dyDescent="0.25"/>
    <row r="37" spans="3:4" hidden="1" x14ac:dyDescent="0.25">
      <c r="C37" s="142" t="s">
        <v>319</v>
      </c>
      <c r="D37" s="141"/>
    </row>
    <row r="38" spans="3:4" hidden="1" x14ac:dyDescent="0.25">
      <c r="C38" s="148" t="s">
        <v>318</v>
      </c>
      <c r="D38" s="147">
        <f>'[15]Clean Data'!$CX$3</f>
        <v>0.14146982114996537</v>
      </c>
    </row>
    <row r="39" spans="3:4" hidden="1" x14ac:dyDescent="0.25">
      <c r="C39" s="146" t="s">
        <v>317</v>
      </c>
      <c r="D39" s="145">
        <f>'[15]Clean Data'!$CX$4</f>
        <v>0.12515967887956961</v>
      </c>
    </row>
    <row r="40" spans="3:4" ht="15.75" hidden="1" thickBot="1" x14ac:dyDescent="0.3">
      <c r="C40" s="144" t="s">
        <v>316</v>
      </c>
      <c r="D40" s="143">
        <v>0.12</v>
      </c>
    </row>
    <row r="41" spans="3:4" hidden="1" x14ac:dyDescent="0.25"/>
    <row r="42" spans="3:4" hidden="1" x14ac:dyDescent="0.25">
      <c r="C42" s="142" t="s">
        <v>315</v>
      </c>
      <c r="D42" s="141"/>
    </row>
    <row r="43" spans="3:4" ht="15.75" hidden="1" thickBot="1" x14ac:dyDescent="0.3">
      <c r="C43" s="140" t="s">
        <v>314</v>
      </c>
      <c r="D43" s="139">
        <f>'CAF Spring 2023'!CI26</f>
        <v>2.7100379121522307E-2</v>
      </c>
    </row>
    <row r="44" spans="3:4" hidden="1" x14ac:dyDescent="0.25"/>
    <row r="45" spans="3:4" hidden="1" x14ac:dyDescent="0.25"/>
  </sheetData>
  <mergeCells count="3">
    <mergeCell ref="C32:D32"/>
    <mergeCell ref="C37:D37"/>
    <mergeCell ref="C42:D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6F512-BF28-47B1-93E6-C0B76AA3F5CA}">
  <dimension ref="B1:AC500"/>
  <sheetViews>
    <sheetView topLeftCell="A459" zoomScaleNormal="100" workbookViewId="0">
      <selection activeCell="C495" sqref="C495"/>
    </sheetView>
  </sheetViews>
  <sheetFormatPr defaultRowHeight="15" x14ac:dyDescent="0.25"/>
  <cols>
    <col min="2" max="2" width="38.85546875" bestFit="1" customWidth="1"/>
    <col min="3" max="3" width="25.140625" bestFit="1" customWidth="1"/>
    <col min="4" max="4" width="22.140625" bestFit="1" customWidth="1"/>
    <col min="5" max="5" width="18.42578125" bestFit="1" customWidth="1"/>
    <col min="6" max="6" width="20" bestFit="1" customWidth="1"/>
    <col min="7" max="7" width="20.42578125" bestFit="1" customWidth="1"/>
    <col min="8" max="8" width="26.140625" bestFit="1" customWidth="1"/>
    <col min="9" max="9" width="29.7109375" customWidth="1"/>
    <col min="10" max="10" width="19.85546875" bestFit="1" customWidth="1"/>
    <col min="11" max="11" width="22.140625" customWidth="1"/>
    <col min="12" max="12" width="19.140625" bestFit="1" customWidth="1"/>
    <col min="13" max="13" width="17.5703125" customWidth="1"/>
    <col min="14" max="14" width="27" customWidth="1"/>
    <col min="15" max="15" width="19.85546875" customWidth="1"/>
    <col min="16" max="16" width="29.140625" customWidth="1"/>
    <col min="17" max="31" width="8.42578125" bestFit="1" customWidth="1"/>
    <col min="33" max="33" width="8.42578125" bestFit="1" customWidth="1"/>
    <col min="35" max="35" width="8.42578125" bestFit="1" customWidth="1"/>
  </cols>
  <sheetData>
    <row r="1" spans="2:5" ht="15.75" thickBot="1" x14ac:dyDescent="0.3"/>
    <row r="2" spans="2:5" ht="27" thickBot="1" x14ac:dyDescent="0.45">
      <c r="B2" s="261" t="s">
        <v>303</v>
      </c>
      <c r="C2" s="260"/>
      <c r="D2" s="260"/>
      <c r="E2" s="296"/>
    </row>
    <row r="3" spans="2:5" ht="21" x14ac:dyDescent="0.35">
      <c r="B3" s="360" t="s">
        <v>382</v>
      </c>
      <c r="C3" s="359"/>
      <c r="D3" s="358" t="s">
        <v>381</v>
      </c>
      <c r="E3" s="357" t="s">
        <v>412</v>
      </c>
    </row>
    <row r="4" spans="2:5" x14ac:dyDescent="0.25">
      <c r="B4" s="184" t="s">
        <v>379</v>
      </c>
      <c r="C4" s="184" t="s">
        <v>378</v>
      </c>
      <c r="D4" s="193" t="s">
        <v>377</v>
      </c>
      <c r="E4" s="356" t="s">
        <v>303</v>
      </c>
    </row>
    <row r="5" spans="2:5" x14ac:dyDescent="0.25">
      <c r="B5" s="118" t="s">
        <v>497</v>
      </c>
      <c r="C5" s="297" t="s">
        <v>373</v>
      </c>
      <c r="D5" s="117">
        <f>INDEX('[2]Salary lookup'!$F$5:$F$19,MATCH(C5,'[2]Salary lookup'!$B$5:$B$19,0))</f>
        <v>41600</v>
      </c>
      <c r="E5" s="355">
        <v>1</v>
      </c>
    </row>
    <row r="6" spans="2:5" hidden="1" x14ac:dyDescent="0.25">
      <c r="B6" s="179"/>
      <c r="C6" s="179"/>
      <c r="D6" s="294"/>
      <c r="E6" s="354"/>
    </row>
    <row r="7" spans="2:5" hidden="1" x14ac:dyDescent="0.25">
      <c r="B7" s="179"/>
      <c r="C7" s="179"/>
      <c r="D7" s="294"/>
      <c r="E7" s="354"/>
    </row>
    <row r="8" spans="2:5" hidden="1" x14ac:dyDescent="0.25">
      <c r="B8" s="179"/>
      <c r="C8" s="179"/>
      <c r="D8" s="294"/>
      <c r="E8" s="354"/>
    </row>
    <row r="9" spans="2:5" hidden="1" x14ac:dyDescent="0.25">
      <c r="B9" s="179"/>
      <c r="C9" s="179"/>
      <c r="D9" s="294"/>
      <c r="E9" s="354"/>
    </row>
    <row r="10" spans="2:5" hidden="1" x14ac:dyDescent="0.25">
      <c r="B10" s="179"/>
      <c r="C10" s="179"/>
      <c r="D10" s="294"/>
      <c r="E10" s="354"/>
    </row>
    <row r="13" spans="2:5" x14ac:dyDescent="0.25">
      <c r="B13" s="183" t="s">
        <v>372</v>
      </c>
      <c r="C13" s="183" t="s">
        <v>371</v>
      </c>
      <c r="D13" s="353" t="s">
        <v>370</v>
      </c>
      <c r="E13" s="353"/>
    </row>
    <row r="14" spans="2:5" x14ac:dyDescent="0.25">
      <c r="B14" s="118" t="s">
        <v>354</v>
      </c>
      <c r="C14" s="180">
        <f>INDEX('Below the Line'!$E$4:$E$20,MATCH(B14,'Below the Line'!$C$4:$C$20,0))</f>
        <v>823.75132959083601</v>
      </c>
      <c r="D14" s="209" t="s">
        <v>369</v>
      </c>
      <c r="E14" s="209"/>
    </row>
    <row r="15" spans="2:5" hidden="1" x14ac:dyDescent="0.25">
      <c r="B15" s="179"/>
      <c r="C15" s="333"/>
      <c r="D15" s="352"/>
      <c r="E15" s="352"/>
    </row>
    <row r="16" spans="2:5" hidden="1" x14ac:dyDescent="0.25">
      <c r="B16" s="179"/>
      <c r="C16" s="333"/>
      <c r="D16" s="352"/>
      <c r="E16" s="352"/>
    </row>
    <row r="17" spans="2:29" hidden="1" x14ac:dyDescent="0.25">
      <c r="B17" s="179"/>
      <c r="C17" s="333"/>
      <c r="D17" s="352"/>
      <c r="E17" s="352"/>
    </row>
    <row r="18" spans="2:29" hidden="1" x14ac:dyDescent="0.25">
      <c r="B18" s="179"/>
      <c r="C18" s="333"/>
      <c r="D18" s="352"/>
      <c r="E18" s="352"/>
    </row>
    <row r="19" spans="2:29" x14ac:dyDescent="0.25">
      <c r="B19" s="176"/>
      <c r="C19" s="176"/>
      <c r="D19" s="308"/>
      <c r="E19" s="308"/>
    </row>
    <row r="20" spans="2:29" x14ac:dyDescent="0.25">
      <c r="B20" s="118" t="s">
        <v>368</v>
      </c>
      <c r="C20" s="173">
        <f>'Below the Line'!$D$35</f>
        <v>0.27379999999999999</v>
      </c>
      <c r="D20" s="209" t="s">
        <v>316</v>
      </c>
      <c r="E20" s="209"/>
    </row>
    <row r="21" spans="2:29" x14ac:dyDescent="0.25">
      <c r="B21" s="118" t="s">
        <v>367</v>
      </c>
      <c r="C21" s="173">
        <f>'Below the Line'!$D$43</f>
        <v>2.7100379121522307E-2</v>
      </c>
      <c r="D21" s="209" t="s">
        <v>314</v>
      </c>
      <c r="E21" s="209"/>
    </row>
    <row r="22" spans="2:29" x14ac:dyDescent="0.25">
      <c r="B22" s="118" t="s">
        <v>366</v>
      </c>
      <c r="C22" s="173">
        <f>'Below the Line'!$D$40</f>
        <v>0.12</v>
      </c>
      <c r="D22" s="209" t="s">
        <v>316</v>
      </c>
      <c r="E22" s="209"/>
    </row>
    <row r="23" spans="2:29" ht="15.75" thickBot="1" x14ac:dyDescent="0.3"/>
    <row r="24" spans="2:29" ht="27" thickBot="1" x14ac:dyDescent="0.45">
      <c r="B24" s="351" t="s">
        <v>496</v>
      </c>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49"/>
    </row>
    <row r="25" spans="2:29" ht="18.75" x14ac:dyDescent="0.3">
      <c r="B25" s="348" t="s">
        <v>379</v>
      </c>
      <c r="C25" s="348" t="s">
        <v>378</v>
      </c>
      <c r="D25" s="347" t="s">
        <v>377</v>
      </c>
      <c r="E25" s="346" t="s">
        <v>495</v>
      </c>
      <c r="F25" s="346"/>
      <c r="G25" s="346"/>
      <c r="H25" s="346"/>
      <c r="I25" s="346"/>
      <c r="J25" s="346"/>
      <c r="K25" s="346"/>
      <c r="L25" s="346"/>
      <c r="M25" s="346"/>
      <c r="N25" s="346"/>
      <c r="O25" s="346"/>
      <c r="P25" s="346"/>
      <c r="Q25" s="346"/>
      <c r="R25" s="346"/>
      <c r="S25" s="346"/>
      <c r="T25" s="346"/>
      <c r="U25" s="346"/>
      <c r="V25" s="346"/>
      <c r="W25" s="346"/>
      <c r="X25" s="346"/>
      <c r="Y25" s="346"/>
      <c r="Z25" s="346"/>
      <c r="AA25" s="346"/>
      <c r="AB25" s="346"/>
    </row>
    <row r="26" spans="2:29" ht="60" x14ac:dyDescent="0.25">
      <c r="B26" s="345"/>
      <c r="C26" s="345"/>
      <c r="D26" s="344"/>
      <c r="E26" s="343" t="s">
        <v>494</v>
      </c>
      <c r="F26" s="342" t="s">
        <v>493</v>
      </c>
      <c r="G26" s="342" t="s">
        <v>492</v>
      </c>
      <c r="H26" s="342" t="s">
        <v>491</v>
      </c>
      <c r="I26" s="342" t="s">
        <v>490</v>
      </c>
      <c r="J26" s="342" t="s">
        <v>489</v>
      </c>
      <c r="K26" s="342" t="s">
        <v>488</v>
      </c>
      <c r="L26" s="342" t="s">
        <v>487</v>
      </c>
      <c r="M26" s="342" t="s">
        <v>486</v>
      </c>
      <c r="N26" s="342" t="s">
        <v>485</v>
      </c>
      <c r="O26" s="342" t="s">
        <v>484</v>
      </c>
      <c r="P26" s="342" t="s">
        <v>483</v>
      </c>
      <c r="Q26" s="342" t="s">
        <v>482</v>
      </c>
      <c r="R26" s="342" t="s">
        <v>481</v>
      </c>
      <c r="S26" s="342" t="s">
        <v>480</v>
      </c>
      <c r="T26" s="342" t="s">
        <v>479</v>
      </c>
      <c r="U26" s="342" t="s">
        <v>478</v>
      </c>
      <c r="V26" s="342" t="s">
        <v>477</v>
      </c>
      <c r="W26" s="342" t="s">
        <v>476</v>
      </c>
      <c r="X26" s="342" t="s">
        <v>475</v>
      </c>
      <c r="Y26" s="342" t="s">
        <v>474</v>
      </c>
      <c r="Z26" s="342" t="s">
        <v>473</v>
      </c>
      <c r="AA26" s="342" t="s">
        <v>472</v>
      </c>
      <c r="AB26" s="342" t="s">
        <v>471</v>
      </c>
      <c r="AC26" s="342" t="s">
        <v>470</v>
      </c>
    </row>
    <row r="27" spans="2:29" x14ac:dyDescent="0.25">
      <c r="B27" s="341" t="s">
        <v>469</v>
      </c>
      <c r="C27" s="222" t="s">
        <v>375</v>
      </c>
      <c r="D27" s="117">
        <f>INDEX('[2]Salary lookup'!$F$5:$F$19,MATCH(C27,'[2]Salary lookup'!$B$5:$B$19,0))</f>
        <v>79415.232000000018</v>
      </c>
      <c r="E27" s="340">
        <v>0.08</v>
      </c>
      <c r="F27" s="340">
        <v>0.16</v>
      </c>
      <c r="G27" s="340">
        <v>0.24</v>
      </c>
      <c r="H27" s="340">
        <v>0.32</v>
      </c>
      <c r="I27" s="340">
        <v>0.33750000000000002</v>
      </c>
      <c r="J27" s="340">
        <v>0.36</v>
      </c>
      <c r="K27" s="340">
        <v>0.38500000000000001</v>
      </c>
      <c r="L27" s="340">
        <v>0.42</v>
      </c>
      <c r="M27" s="340">
        <v>0.47249999999999998</v>
      </c>
      <c r="N27" s="340">
        <v>0.52</v>
      </c>
      <c r="O27" s="340">
        <v>0.57199999999999995</v>
      </c>
      <c r="P27" s="340">
        <v>0.61799999999999999</v>
      </c>
      <c r="Q27" s="340">
        <v>0.66949999999999998</v>
      </c>
      <c r="R27" s="340">
        <v>0.71399999999999997</v>
      </c>
      <c r="S27" s="340">
        <v>0.76500000000000001</v>
      </c>
      <c r="T27" s="340">
        <v>0.8</v>
      </c>
      <c r="U27" s="340">
        <v>0.81</v>
      </c>
      <c r="V27" s="340">
        <v>0.81</v>
      </c>
      <c r="W27" s="340">
        <v>0.81</v>
      </c>
      <c r="X27" s="340">
        <v>0.8</v>
      </c>
      <c r="Y27" s="340">
        <v>0.79</v>
      </c>
      <c r="Z27" s="340">
        <v>0.77</v>
      </c>
      <c r="AA27" s="340">
        <v>0.75</v>
      </c>
      <c r="AB27" s="340">
        <v>0.72</v>
      </c>
      <c r="AC27" s="222">
        <v>0.81</v>
      </c>
    </row>
    <row r="28" spans="2:29" x14ac:dyDescent="0.25">
      <c r="B28" s="339" t="s">
        <v>391</v>
      </c>
      <c r="C28" s="222" t="s">
        <v>388</v>
      </c>
      <c r="D28" s="117">
        <f>INDEX('[2]Salary lookup'!$F$5:$F$19,MATCH(C28,'[2]Salary lookup'!$B$5:$B$19,0))</f>
        <v>58616.063999999998</v>
      </c>
      <c r="E28" s="338">
        <v>0.5</v>
      </c>
      <c r="F28" s="338">
        <v>1</v>
      </c>
      <c r="G28" s="338">
        <v>1.5</v>
      </c>
      <c r="H28" s="338">
        <v>2</v>
      </c>
      <c r="I28" s="338">
        <v>2.5</v>
      </c>
      <c r="J28" s="338">
        <v>3</v>
      </c>
      <c r="K28" s="338">
        <v>3.5</v>
      </c>
      <c r="L28" s="338">
        <v>4</v>
      </c>
      <c r="M28" s="338">
        <v>4.5</v>
      </c>
      <c r="N28" s="338">
        <v>5</v>
      </c>
      <c r="O28" s="338">
        <v>5.5</v>
      </c>
      <c r="P28" s="338">
        <v>6</v>
      </c>
      <c r="Q28" s="338">
        <v>6.5</v>
      </c>
      <c r="R28" s="338">
        <v>7</v>
      </c>
      <c r="S28" s="338">
        <v>7.5</v>
      </c>
      <c r="T28" s="338">
        <v>8</v>
      </c>
      <c r="U28" s="338">
        <v>8.5</v>
      </c>
      <c r="V28" s="338">
        <v>9</v>
      </c>
      <c r="W28" s="338">
        <v>9.5</v>
      </c>
      <c r="X28" s="338">
        <v>10</v>
      </c>
      <c r="Y28" s="338">
        <v>10.5</v>
      </c>
      <c r="Z28" s="338">
        <v>11</v>
      </c>
      <c r="AA28" s="338">
        <v>11.5</v>
      </c>
      <c r="AB28" s="338">
        <v>12</v>
      </c>
      <c r="AC28" s="222">
        <v>9</v>
      </c>
    </row>
    <row r="29" spans="2:29" hidden="1" x14ac:dyDescent="0.25">
      <c r="B29" s="337"/>
      <c r="C29" s="335"/>
      <c r="D29" s="294"/>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5"/>
    </row>
    <row r="30" spans="2:29" hidden="1" x14ac:dyDescent="0.25">
      <c r="B30" s="337"/>
      <c r="C30" s="335"/>
      <c r="D30" s="294"/>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5"/>
    </row>
    <row r="31" spans="2:29" hidden="1" x14ac:dyDescent="0.25">
      <c r="B31" s="337"/>
      <c r="C31" s="335"/>
      <c r="D31" s="294"/>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5"/>
    </row>
    <row r="32" spans="2:29" hidden="1" x14ac:dyDescent="0.25">
      <c r="B32" s="337"/>
      <c r="C32" s="335"/>
      <c r="D32" s="294"/>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5"/>
    </row>
    <row r="33" spans="2:29" hidden="1" x14ac:dyDescent="0.25">
      <c r="B33" s="337"/>
      <c r="C33" s="335"/>
      <c r="D33" s="294"/>
      <c r="E33" s="336"/>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5"/>
    </row>
    <row r="34" spans="2:29" x14ac:dyDescent="0.25">
      <c r="B34" s="220" t="s">
        <v>468</v>
      </c>
      <c r="C34" s="220" t="s">
        <v>468</v>
      </c>
      <c r="D34" s="118"/>
      <c r="E34" s="280">
        <v>2.5</v>
      </c>
      <c r="F34" s="280">
        <v>2.5</v>
      </c>
      <c r="G34" s="280">
        <v>2.5</v>
      </c>
      <c r="H34" s="280">
        <v>2.5</v>
      </c>
      <c r="I34" s="280">
        <v>2.2000000000000002</v>
      </c>
      <c r="J34" s="188">
        <v>2.1312500000000001</v>
      </c>
      <c r="K34" s="188">
        <v>2.0620535714285713</v>
      </c>
      <c r="L34" s="188">
        <v>1.9761346726190476</v>
      </c>
      <c r="M34" s="188">
        <v>1.8663494130291005</v>
      </c>
      <c r="N34" s="188">
        <v>1.7811074927224828</v>
      </c>
      <c r="O34" s="188">
        <v>1.7001480612350972</v>
      </c>
      <c r="P34" s="188">
        <v>1.6579653153792102</v>
      </c>
      <c r="Q34" s="188">
        <v>1.6154533842156407</v>
      </c>
      <c r="R34" s="188">
        <v>1.5818923778675567</v>
      </c>
      <c r="S34" s="188">
        <v>1.5467392139149443</v>
      </c>
      <c r="T34" s="188">
        <v>1.5241826003786847</v>
      </c>
      <c r="U34" s="188">
        <v>1.5179102439985255</v>
      </c>
      <c r="V34" s="188">
        <v>1.5179102439985255</v>
      </c>
      <c r="W34" s="188">
        <v>1.5179102439985255</v>
      </c>
      <c r="X34" s="188">
        <v>1.523331352012806</v>
      </c>
      <c r="Y34" s="188">
        <v>1.5288406878247873</v>
      </c>
      <c r="Z34" s="188">
        <v>1.5401864443207041</v>
      </c>
      <c r="AA34" s="188">
        <v>1.5519211981821952</v>
      </c>
      <c r="AB34" s="188">
        <v>1.5703964505415069</v>
      </c>
      <c r="AC34" s="222" t="s">
        <v>467</v>
      </c>
    </row>
    <row r="36" spans="2:29" x14ac:dyDescent="0.25">
      <c r="B36" s="184" t="s">
        <v>372</v>
      </c>
      <c r="C36" s="184" t="s">
        <v>371</v>
      </c>
      <c r="D36" s="253" t="s">
        <v>370</v>
      </c>
      <c r="E36" s="253"/>
    </row>
    <row r="37" spans="2:29" x14ac:dyDescent="0.25">
      <c r="B37" s="118" t="s">
        <v>360</v>
      </c>
      <c r="C37" s="180">
        <f>INDEX('Below the Line'!$E$4:$E$20,MATCH(B37,'Below the Line'!$C$4:$C$20,0))</f>
        <v>6221.9259542286536</v>
      </c>
      <c r="D37" s="334" t="s">
        <v>466</v>
      </c>
      <c r="E37" s="334"/>
    </row>
    <row r="38" spans="2:29" x14ac:dyDescent="0.25">
      <c r="B38" s="118" t="s">
        <v>356</v>
      </c>
      <c r="C38" s="180">
        <f>INDEX('Below the Line'!$E$4:$E$20,MATCH(B38,'Below the Line'!$C$4:$C$20,0))</f>
        <v>202.39734163733908</v>
      </c>
      <c r="D38" s="334" t="s">
        <v>466</v>
      </c>
      <c r="E38" s="334"/>
    </row>
    <row r="39" spans="2:29" x14ac:dyDescent="0.25">
      <c r="B39" s="118" t="s">
        <v>354</v>
      </c>
      <c r="C39" s="180">
        <f>INDEX('Below the Line'!$E$4:$E$20,MATCH(B39,'Below the Line'!$C$4:$C$20,0))</f>
        <v>823.75132959083601</v>
      </c>
      <c r="D39" s="334" t="s">
        <v>466</v>
      </c>
      <c r="E39" s="334"/>
    </row>
    <row r="40" spans="2:29" x14ac:dyDescent="0.25">
      <c r="B40" s="118" t="s">
        <v>334</v>
      </c>
      <c r="C40" s="180">
        <f>INDEX('Below the Line'!$E$4:$E$20,MATCH(B40,'Below the Line'!$C$4:$C$20,0))</f>
        <v>1493.1564099112707</v>
      </c>
      <c r="D40" s="334" t="s">
        <v>466</v>
      </c>
      <c r="E40" s="334"/>
    </row>
    <row r="41" spans="2:29" x14ac:dyDescent="0.25">
      <c r="B41" s="118" t="s">
        <v>332</v>
      </c>
      <c r="C41" s="180">
        <f>INDEX('Below the Line'!$E$4:$E$20,MATCH(B41,'Below the Line'!$C$4:$C$20,0))</f>
        <v>3151.0944966340862</v>
      </c>
      <c r="D41" s="334" t="s">
        <v>466</v>
      </c>
      <c r="E41" s="334"/>
    </row>
    <row r="42" spans="2:29" hidden="1" x14ac:dyDescent="0.25">
      <c r="B42" s="179"/>
      <c r="C42" s="333"/>
      <c r="D42" s="332"/>
      <c r="E42" s="332"/>
    </row>
    <row r="43" spans="2:29" hidden="1" x14ac:dyDescent="0.25">
      <c r="B43" s="179"/>
      <c r="C43" s="179"/>
      <c r="D43" s="178"/>
      <c r="E43" s="177"/>
    </row>
    <row r="44" spans="2:29" hidden="1" x14ac:dyDescent="0.25">
      <c r="B44" s="179"/>
      <c r="C44" s="179"/>
      <c r="D44" s="178"/>
      <c r="E44" s="177"/>
    </row>
    <row r="45" spans="2:29" hidden="1" x14ac:dyDescent="0.25">
      <c r="B45" s="179"/>
      <c r="C45" s="179"/>
      <c r="D45" s="178"/>
      <c r="E45" s="177"/>
    </row>
    <row r="46" spans="2:29" hidden="1" x14ac:dyDescent="0.25">
      <c r="B46" s="179"/>
      <c r="C46" s="179"/>
      <c r="D46" s="300"/>
      <c r="E46" s="299"/>
    </row>
    <row r="47" spans="2:29" x14ac:dyDescent="0.25">
      <c r="B47" s="118" t="s">
        <v>329</v>
      </c>
      <c r="C47" s="180">
        <f>INDEX('Below the Line'!$E$4:$E$20,MATCH(B47,'Below the Line'!$C$4:$C$20,0))</f>
        <v>1000</v>
      </c>
      <c r="D47" s="307" t="s">
        <v>465</v>
      </c>
      <c r="E47" s="306"/>
    </row>
    <row r="48" spans="2:29" x14ac:dyDescent="0.25">
      <c r="B48" s="331"/>
      <c r="C48" s="331"/>
      <c r="D48" s="330"/>
      <c r="E48" s="329"/>
    </row>
    <row r="49" spans="2:20" x14ac:dyDescent="0.25">
      <c r="B49" s="118" t="s">
        <v>368</v>
      </c>
      <c r="C49" s="173">
        <f>'Below the Line'!$D$35</f>
        <v>0.27379999999999999</v>
      </c>
      <c r="D49" s="172" t="s">
        <v>316</v>
      </c>
      <c r="E49" s="171"/>
    </row>
    <row r="50" spans="2:20" x14ac:dyDescent="0.25">
      <c r="B50" s="118" t="s">
        <v>367</v>
      </c>
      <c r="C50" s="173">
        <f>'Below the Line'!$D$43</f>
        <v>2.7100379121522307E-2</v>
      </c>
      <c r="D50" s="172" t="s">
        <v>314</v>
      </c>
      <c r="E50" s="171"/>
    </row>
    <row r="51" spans="2:20" x14ac:dyDescent="0.25">
      <c r="B51" s="118" t="s">
        <v>366</v>
      </c>
      <c r="C51" s="173">
        <f>'Below the Line'!$D$40</f>
        <v>0.12</v>
      </c>
      <c r="D51" s="172" t="s">
        <v>316</v>
      </c>
      <c r="E51" s="171"/>
    </row>
    <row r="52" spans="2:20" x14ac:dyDescent="0.25">
      <c r="C52" s="327"/>
      <c r="R52" s="328"/>
      <c r="S52" s="228"/>
      <c r="T52" s="228"/>
    </row>
    <row r="53" spans="2:20" x14ac:dyDescent="0.25">
      <c r="C53" s="327"/>
      <c r="R53" s="328"/>
      <c r="S53" s="228"/>
      <c r="T53" s="228"/>
    </row>
    <row r="54" spans="2:20" ht="15.75" thickBot="1" x14ac:dyDescent="0.3">
      <c r="C54" s="327"/>
    </row>
    <row r="55" spans="2:20" ht="27" thickBot="1" x14ac:dyDescent="0.45">
      <c r="B55" s="261" t="s">
        <v>464</v>
      </c>
      <c r="C55" s="260"/>
      <c r="D55" s="260"/>
      <c r="E55" s="260"/>
      <c r="F55" s="296"/>
    </row>
    <row r="56" spans="2:20" ht="21" x14ac:dyDescent="0.35">
      <c r="B56" s="324" t="s">
        <v>382</v>
      </c>
      <c r="C56" s="196"/>
      <c r="D56" s="195" t="s">
        <v>381</v>
      </c>
      <c r="E56" s="326" t="s">
        <v>412</v>
      </c>
      <c r="F56" s="325"/>
    </row>
    <row r="57" spans="2:20" ht="30" x14ac:dyDescent="0.25">
      <c r="B57" s="184" t="s">
        <v>379</v>
      </c>
      <c r="C57" s="184" t="s">
        <v>378</v>
      </c>
      <c r="D57" s="193" t="s">
        <v>377</v>
      </c>
      <c r="E57" s="192" t="s">
        <v>463</v>
      </c>
      <c r="F57" s="192" t="s">
        <v>462</v>
      </c>
    </row>
    <row r="58" spans="2:20" x14ac:dyDescent="0.25">
      <c r="B58" s="222" t="s">
        <v>376</v>
      </c>
      <c r="C58" s="222" t="s">
        <v>375</v>
      </c>
      <c r="D58" s="186">
        <f>INDEX('[2]Salary lookup'!$F$5:$F$22,MATCH(C58,'[2]Salary lookup'!$B$5:$B$22,0))</f>
        <v>79415.232000000018</v>
      </c>
      <c r="E58" s="188">
        <v>0.08</v>
      </c>
      <c r="F58" s="188">
        <v>0.08</v>
      </c>
    </row>
    <row r="59" spans="2:20" x14ac:dyDescent="0.25">
      <c r="B59" s="222" t="s">
        <v>461</v>
      </c>
      <c r="C59" s="222" t="s">
        <v>388</v>
      </c>
      <c r="D59" s="186">
        <f>INDEX('[2]Salary lookup'!$F$5:$F$22,MATCH(C59,'[2]Salary lookup'!$B$5:$B$22,0))</f>
        <v>58616.063999999998</v>
      </c>
      <c r="E59" s="188">
        <v>2</v>
      </c>
      <c r="F59" s="188">
        <v>2</v>
      </c>
    </row>
    <row r="60" spans="2:20" x14ac:dyDescent="0.25">
      <c r="B60" s="222" t="s">
        <v>446</v>
      </c>
      <c r="C60" s="222" t="s">
        <v>373</v>
      </c>
      <c r="D60" s="186">
        <f>INDEX('[2]Salary lookup'!$F$5:$F$22,MATCH(C60,'[2]Salary lookup'!$B$5:$B$22,0))</f>
        <v>41600</v>
      </c>
      <c r="E60" s="188">
        <v>0.1</v>
      </c>
      <c r="F60" s="188">
        <v>0.1</v>
      </c>
    </row>
    <row r="61" spans="2:20" hidden="1" x14ac:dyDescent="0.25">
      <c r="B61" s="179"/>
      <c r="C61" s="179"/>
      <c r="D61" s="179"/>
      <c r="E61" s="179"/>
      <c r="F61" s="179"/>
    </row>
    <row r="62" spans="2:20" hidden="1" x14ac:dyDescent="0.25">
      <c r="B62" s="179"/>
      <c r="C62" s="179"/>
      <c r="D62" s="179"/>
      <c r="E62" s="179"/>
      <c r="F62" s="179"/>
    </row>
    <row r="63" spans="2:20" hidden="1" x14ac:dyDescent="0.25">
      <c r="B63" s="179"/>
      <c r="C63" s="179"/>
      <c r="D63" s="179"/>
      <c r="E63" s="179"/>
      <c r="F63" s="179"/>
    </row>
    <row r="64" spans="2:20" hidden="1" x14ac:dyDescent="0.25">
      <c r="B64" s="179"/>
      <c r="C64" s="179"/>
      <c r="D64" s="179"/>
      <c r="E64" s="179"/>
      <c r="F64" s="179"/>
    </row>
    <row r="65" spans="2:6" hidden="1" x14ac:dyDescent="0.25">
      <c r="B65" s="179"/>
      <c r="C65" s="179"/>
      <c r="D65" s="179"/>
      <c r="E65" s="179"/>
      <c r="F65" s="179"/>
    </row>
    <row r="66" spans="2:6" hidden="1" x14ac:dyDescent="0.25">
      <c r="B66" s="179"/>
      <c r="C66" s="179"/>
      <c r="D66" s="179"/>
      <c r="E66" s="179"/>
      <c r="F66" s="179"/>
    </row>
    <row r="67" spans="2:6" hidden="1" x14ac:dyDescent="0.25">
      <c r="B67" s="179"/>
      <c r="C67" s="179"/>
      <c r="D67" s="179"/>
      <c r="E67" s="179"/>
      <c r="F67" s="179"/>
    </row>
    <row r="68" spans="2:6" hidden="1" x14ac:dyDescent="0.25"/>
    <row r="71" spans="2:6" x14ac:dyDescent="0.25">
      <c r="B71" s="183" t="s">
        <v>372</v>
      </c>
      <c r="C71" s="183" t="s">
        <v>371</v>
      </c>
      <c r="D71" s="182" t="s">
        <v>370</v>
      </c>
      <c r="E71" s="181"/>
    </row>
    <row r="72" spans="2:6" x14ac:dyDescent="0.25">
      <c r="B72" s="118" t="s">
        <v>354</v>
      </c>
      <c r="C72" s="180">
        <f>INDEX('Below the Line'!$E$4:$E$20,MATCH(B72,'Below the Line'!$C$4:$C$20,0))</f>
        <v>823.75132959083601</v>
      </c>
      <c r="D72" s="172" t="s">
        <v>369</v>
      </c>
      <c r="E72" s="171"/>
    </row>
    <row r="73" spans="2:6" x14ac:dyDescent="0.25">
      <c r="B73" s="118" t="s">
        <v>334</v>
      </c>
      <c r="C73" s="180">
        <f>INDEX('Below the Line'!$E$4:$E$20,MATCH(B73,'Below the Line'!$C$4:$C$20,0))</f>
        <v>1493.1564099112707</v>
      </c>
      <c r="D73" s="172" t="s">
        <v>369</v>
      </c>
      <c r="E73" s="171"/>
    </row>
    <row r="74" spans="2:6" x14ac:dyDescent="0.25">
      <c r="B74" s="118" t="s">
        <v>332</v>
      </c>
      <c r="C74" s="180">
        <f>INDEX('Below the Line'!$E$4:$E$20,MATCH(B74,'Below the Line'!$C$4:$C$20,0))</f>
        <v>3151.0944966340862</v>
      </c>
      <c r="D74" s="172" t="s">
        <v>369</v>
      </c>
      <c r="E74" s="171"/>
    </row>
    <row r="75" spans="2:6" x14ac:dyDescent="0.25">
      <c r="B75" s="118" t="s">
        <v>329</v>
      </c>
      <c r="C75" s="180">
        <f>INDEX('Below the Line'!$E$4:$E$20,MATCH(B75,'Below the Line'!$C$4:$C$20,0))</f>
        <v>1000</v>
      </c>
      <c r="D75" s="172" t="s">
        <v>441</v>
      </c>
      <c r="E75" s="171"/>
    </row>
    <row r="76" spans="2:6" hidden="1" x14ac:dyDescent="0.25">
      <c r="B76" s="179"/>
      <c r="C76" s="179"/>
      <c r="D76" s="178"/>
      <c r="E76" s="177"/>
    </row>
    <row r="77" spans="2:6" hidden="1" x14ac:dyDescent="0.25">
      <c r="B77" s="179"/>
      <c r="C77" s="179"/>
      <c r="D77" s="178"/>
      <c r="E77" s="177"/>
    </row>
    <row r="78" spans="2:6" hidden="1" x14ac:dyDescent="0.25">
      <c r="B78" s="179"/>
      <c r="C78" s="179"/>
      <c r="D78" s="178"/>
      <c r="E78" s="177"/>
    </row>
    <row r="79" spans="2:6" hidden="1" x14ac:dyDescent="0.25">
      <c r="B79" s="179"/>
      <c r="C79" s="179"/>
      <c r="D79" s="178"/>
      <c r="E79" s="177"/>
    </row>
    <row r="80" spans="2:6" hidden="1" x14ac:dyDescent="0.25">
      <c r="B80" s="179"/>
      <c r="C80" s="179"/>
      <c r="D80" s="178"/>
      <c r="E80" s="177"/>
    </row>
    <row r="81" spans="2:9" x14ac:dyDescent="0.25">
      <c r="B81" s="176"/>
      <c r="C81" s="176"/>
      <c r="D81" s="175"/>
      <c r="E81" s="174"/>
    </row>
    <row r="82" spans="2:9" x14ac:dyDescent="0.25">
      <c r="B82" s="118" t="s">
        <v>368</v>
      </c>
      <c r="C82" s="173">
        <f>'Below the Line'!$D$35</f>
        <v>0.27379999999999999</v>
      </c>
      <c r="D82" s="172" t="s">
        <v>316</v>
      </c>
      <c r="E82" s="171"/>
    </row>
    <row r="83" spans="2:9" x14ac:dyDescent="0.25">
      <c r="B83" s="118" t="s">
        <v>367</v>
      </c>
      <c r="C83" s="173">
        <f>'Below the Line'!$D$43</f>
        <v>2.7100379121522307E-2</v>
      </c>
      <c r="D83" s="172" t="s">
        <v>314</v>
      </c>
      <c r="E83" s="171"/>
    </row>
    <row r="84" spans="2:9" x14ac:dyDescent="0.25">
      <c r="B84" s="118" t="s">
        <v>366</v>
      </c>
      <c r="C84" s="173">
        <f>'Below the Line'!$D$40</f>
        <v>0.12</v>
      </c>
      <c r="D84" s="172" t="s">
        <v>316</v>
      </c>
      <c r="E84" s="171"/>
    </row>
    <row r="89" spans="2:9" ht="15.75" thickBot="1" x14ac:dyDescent="0.3"/>
    <row r="90" spans="2:9" ht="27" thickBot="1" x14ac:dyDescent="0.45">
      <c r="B90" s="261" t="s">
        <v>460</v>
      </c>
      <c r="C90" s="260"/>
      <c r="D90" s="260"/>
      <c r="E90" s="260"/>
      <c r="F90" s="260"/>
      <c r="G90" s="296"/>
    </row>
    <row r="91" spans="2:9" ht="21" x14ac:dyDescent="0.35">
      <c r="B91" s="324" t="s">
        <v>382</v>
      </c>
      <c r="C91" s="196"/>
      <c r="D91" s="195" t="s">
        <v>381</v>
      </c>
      <c r="E91" s="323" t="s">
        <v>412</v>
      </c>
      <c r="F91" s="322"/>
      <c r="G91" s="321"/>
      <c r="H91" s="319"/>
      <c r="I91" s="319"/>
    </row>
    <row r="92" spans="2:9" ht="60" x14ac:dyDescent="0.25">
      <c r="B92" s="192" t="s">
        <v>379</v>
      </c>
      <c r="C92" s="192" t="s">
        <v>378</v>
      </c>
      <c r="D92" s="192" t="s">
        <v>377</v>
      </c>
      <c r="E92" s="192" t="s">
        <v>459</v>
      </c>
      <c r="F92" s="192" t="s">
        <v>458</v>
      </c>
      <c r="G92" s="192" t="s">
        <v>457</v>
      </c>
      <c r="H92" s="319"/>
      <c r="I92" s="319"/>
    </row>
    <row r="93" spans="2:9" x14ac:dyDescent="0.25">
      <c r="B93" s="118" t="s">
        <v>456</v>
      </c>
      <c r="C93" s="118" t="s">
        <v>456</v>
      </c>
      <c r="D93" s="186">
        <f>INDEX('[2]Salary lookup'!$F$5:$F$22,MATCH(C93,'[2]Salary lookup'!$B$5:$B$22,0))</f>
        <v>58616.063999999998</v>
      </c>
      <c r="E93" s="118">
        <v>1</v>
      </c>
      <c r="F93" s="118">
        <v>0</v>
      </c>
      <c r="G93" s="320">
        <v>0</v>
      </c>
      <c r="H93" s="319"/>
      <c r="I93" s="319"/>
    </row>
    <row r="94" spans="2:9" x14ac:dyDescent="0.25">
      <c r="B94" s="118" t="s">
        <v>455</v>
      </c>
      <c r="C94" s="118" t="s">
        <v>455</v>
      </c>
      <c r="D94" s="186">
        <f>INDEX('[2]Salary lookup'!$F$5:$F$22,MATCH(C94,'[2]Salary lookup'!$B$5:$B$22,0))</f>
        <v>101383.77600000001</v>
      </c>
      <c r="E94" s="118">
        <v>0</v>
      </c>
      <c r="F94" s="118">
        <v>0</v>
      </c>
      <c r="G94" s="118">
        <v>1</v>
      </c>
    </row>
    <row r="95" spans="2:9" x14ac:dyDescent="0.25">
      <c r="B95" s="118" t="s">
        <v>454</v>
      </c>
      <c r="C95" s="118" t="s">
        <v>454</v>
      </c>
      <c r="D95" s="186">
        <f>INDEX('[2]Salary lookup'!$F$5:$F$22,MATCH(C95,'[2]Salary lookup'!$B$5:$B$22,0))</f>
        <v>80606.448000000004</v>
      </c>
      <c r="E95" s="118">
        <v>0</v>
      </c>
      <c r="F95" s="118">
        <v>1</v>
      </c>
      <c r="G95" s="118">
        <v>0</v>
      </c>
    </row>
    <row r="96" spans="2:9" hidden="1" x14ac:dyDescent="0.25">
      <c r="B96" s="179"/>
      <c r="C96" s="179"/>
      <c r="D96" s="226"/>
      <c r="E96" s="179"/>
      <c r="F96" s="179"/>
      <c r="G96" s="179"/>
    </row>
    <row r="97" spans="2:7" hidden="1" x14ac:dyDescent="0.25">
      <c r="B97" s="179"/>
      <c r="C97" s="179"/>
      <c r="D97" s="226"/>
      <c r="E97" s="179"/>
      <c r="F97" s="179"/>
      <c r="G97" s="179"/>
    </row>
    <row r="98" spans="2:7" hidden="1" x14ac:dyDescent="0.25">
      <c r="B98" s="179"/>
      <c r="C98" s="179"/>
      <c r="D98" s="226"/>
      <c r="E98" s="179"/>
      <c r="F98" s="179"/>
      <c r="G98" s="179"/>
    </row>
    <row r="99" spans="2:7" hidden="1" x14ac:dyDescent="0.25">
      <c r="B99" s="179"/>
      <c r="C99" s="179"/>
      <c r="D99" s="226"/>
      <c r="E99" s="179"/>
      <c r="F99" s="179"/>
      <c r="G99" s="179"/>
    </row>
    <row r="100" spans="2:7" hidden="1" x14ac:dyDescent="0.25">
      <c r="B100" s="179"/>
      <c r="C100" s="179"/>
      <c r="D100" s="226"/>
      <c r="E100" s="179"/>
      <c r="F100" s="179"/>
      <c r="G100" s="179"/>
    </row>
    <row r="101" spans="2:7" hidden="1" x14ac:dyDescent="0.25"/>
    <row r="104" spans="2:7" x14ac:dyDescent="0.25">
      <c r="B104" s="183" t="s">
        <v>372</v>
      </c>
      <c r="C104" s="183" t="s">
        <v>371</v>
      </c>
      <c r="D104" s="269" t="s">
        <v>370</v>
      </c>
      <c r="E104" s="268"/>
    </row>
    <row r="105" spans="2:7" x14ac:dyDescent="0.25">
      <c r="B105" s="118" t="s">
        <v>360</v>
      </c>
      <c r="C105" s="180">
        <f>INDEX('Below the Line'!$E$4:$E$20,MATCH(B105,'Below the Line'!$C$4:$C$20,0))</f>
        <v>6221.9259542286536</v>
      </c>
      <c r="D105" s="307" t="s">
        <v>453</v>
      </c>
      <c r="E105" s="306"/>
    </row>
    <row r="106" spans="2:7" x14ac:dyDescent="0.25">
      <c r="B106" s="118" t="s">
        <v>350</v>
      </c>
      <c r="C106" s="180">
        <f>INDEX('Below the Line'!$E$4:$E$20,MATCH(B106,'Below the Line'!$C$4:$C$20,0))</f>
        <v>1741.693522928565</v>
      </c>
      <c r="D106" s="307" t="s">
        <v>453</v>
      </c>
      <c r="E106" s="306"/>
    </row>
    <row r="107" spans="2:7" hidden="1" x14ac:dyDescent="0.25">
      <c r="B107" s="179"/>
      <c r="C107" s="179"/>
      <c r="D107" s="178"/>
      <c r="E107" s="177"/>
    </row>
    <row r="108" spans="2:7" hidden="1" x14ac:dyDescent="0.25">
      <c r="B108" s="179"/>
      <c r="C108" s="179"/>
      <c r="D108" s="178"/>
      <c r="E108" s="177"/>
    </row>
    <row r="109" spans="2:7" hidden="1" x14ac:dyDescent="0.25">
      <c r="B109" s="179"/>
      <c r="C109" s="179"/>
      <c r="D109" s="178"/>
      <c r="E109" s="177"/>
    </row>
    <row r="110" spans="2:7" hidden="1" x14ac:dyDescent="0.25">
      <c r="B110" s="179"/>
      <c r="C110" s="179"/>
      <c r="D110" s="178"/>
      <c r="E110" s="177"/>
    </row>
    <row r="111" spans="2:7" hidden="1" x14ac:dyDescent="0.25">
      <c r="B111" s="179"/>
      <c r="C111" s="179"/>
      <c r="D111" s="178"/>
      <c r="E111" s="177"/>
    </row>
    <row r="112" spans="2:7" x14ac:dyDescent="0.25">
      <c r="B112" s="176"/>
      <c r="C112" s="176"/>
      <c r="D112" s="175"/>
      <c r="E112" s="174"/>
    </row>
    <row r="113" spans="2:5" x14ac:dyDescent="0.25">
      <c r="B113" s="118" t="s">
        <v>368</v>
      </c>
      <c r="C113" s="173">
        <f>'Below the Line'!$D$35</f>
        <v>0.27379999999999999</v>
      </c>
      <c r="D113" s="172" t="s">
        <v>316</v>
      </c>
      <c r="E113" s="171"/>
    </row>
    <row r="114" spans="2:5" x14ac:dyDescent="0.25">
      <c r="B114" s="118" t="s">
        <v>367</v>
      </c>
      <c r="C114" s="173">
        <f>'Below the Line'!$D$43</f>
        <v>2.7100379121522307E-2</v>
      </c>
      <c r="D114" s="172" t="s">
        <v>314</v>
      </c>
      <c r="E114" s="171"/>
    </row>
    <row r="115" spans="2:5" x14ac:dyDescent="0.25">
      <c r="B115" s="118" t="s">
        <v>366</v>
      </c>
      <c r="C115" s="173">
        <f>'Below the Line'!$D$40</f>
        <v>0.12</v>
      </c>
      <c r="D115" s="172" t="s">
        <v>316</v>
      </c>
      <c r="E115" s="171"/>
    </row>
    <row r="119" spans="2:5" ht="15.75" thickBot="1" x14ac:dyDescent="0.3"/>
    <row r="120" spans="2:5" ht="26.25" x14ac:dyDescent="0.4">
      <c r="B120" s="316" t="s">
        <v>300</v>
      </c>
      <c r="C120" s="315"/>
      <c r="D120" s="315"/>
      <c r="E120" s="259"/>
    </row>
    <row r="121" spans="2:5" ht="21" x14ac:dyDescent="0.35">
      <c r="B121" s="311" t="s">
        <v>382</v>
      </c>
      <c r="C121" s="311"/>
      <c r="D121" s="310" t="s">
        <v>381</v>
      </c>
      <c r="E121" s="309" t="s">
        <v>412</v>
      </c>
    </row>
    <row r="122" spans="2:5" x14ac:dyDescent="0.25">
      <c r="B122" s="318" t="s">
        <v>379</v>
      </c>
      <c r="C122" s="318" t="s">
        <v>378</v>
      </c>
      <c r="D122" s="318" t="s">
        <v>377</v>
      </c>
      <c r="E122" s="318" t="s">
        <v>300</v>
      </c>
    </row>
    <row r="123" spans="2:5" x14ac:dyDescent="0.25">
      <c r="B123" s="203" t="s">
        <v>376</v>
      </c>
      <c r="C123" s="118" t="s">
        <v>375</v>
      </c>
      <c r="D123" s="186">
        <f>INDEX('[2]Salary lookup'!$F$5:$F$22,MATCH(C123,'[2]Salary lookup'!$B$5:$B$22,0))</f>
        <v>79415.232000000018</v>
      </c>
      <c r="E123" s="188">
        <v>0.06</v>
      </c>
    </row>
    <row r="124" spans="2:5" x14ac:dyDescent="0.25">
      <c r="B124" s="317" t="s">
        <v>446</v>
      </c>
      <c r="C124" s="118" t="s">
        <v>388</v>
      </c>
      <c r="D124" s="186">
        <f>INDEX('[2]Salary lookup'!$F$5:$F$22,MATCH(C124,'[2]Salary lookup'!$B$5:$B$22,0))</f>
        <v>58616.063999999998</v>
      </c>
      <c r="E124" s="188">
        <v>1</v>
      </c>
    </row>
    <row r="125" spans="2:5" hidden="1" x14ac:dyDescent="0.25">
      <c r="B125" s="179"/>
      <c r="C125" s="179"/>
      <c r="D125" s="178"/>
      <c r="E125" s="177"/>
    </row>
    <row r="126" spans="2:5" hidden="1" x14ac:dyDescent="0.25">
      <c r="B126" s="179"/>
      <c r="C126" s="179"/>
      <c r="D126" s="178"/>
      <c r="E126" s="177"/>
    </row>
    <row r="127" spans="2:5" hidden="1" x14ac:dyDescent="0.25">
      <c r="B127" s="179"/>
      <c r="C127" s="179"/>
      <c r="D127" s="178"/>
      <c r="E127" s="177"/>
    </row>
    <row r="128" spans="2:5" hidden="1" x14ac:dyDescent="0.25">
      <c r="B128" s="179"/>
      <c r="C128" s="179"/>
      <c r="D128" s="178"/>
      <c r="E128" s="177"/>
    </row>
    <row r="129" spans="2:5" hidden="1" x14ac:dyDescent="0.25">
      <c r="B129" s="179"/>
      <c r="C129" s="179"/>
      <c r="D129" s="178"/>
      <c r="E129" s="177"/>
    </row>
    <row r="131" spans="2:5" x14ac:dyDescent="0.25">
      <c r="B131" s="183" t="s">
        <v>372</v>
      </c>
      <c r="C131" s="183" t="s">
        <v>371</v>
      </c>
      <c r="D131" s="269" t="s">
        <v>370</v>
      </c>
      <c r="E131" s="268"/>
    </row>
    <row r="132" spans="2:5" x14ac:dyDescent="0.25">
      <c r="B132" s="118" t="s">
        <v>356</v>
      </c>
      <c r="C132" s="180">
        <f>INDEX('Below the Line'!$E$4:$E$20,MATCH(B132,'Below the Line'!$C$4:$C$20,0))</f>
        <v>202.39734163733908</v>
      </c>
      <c r="D132" s="172" t="s">
        <v>369</v>
      </c>
      <c r="E132" s="171"/>
    </row>
    <row r="133" spans="2:5" x14ac:dyDescent="0.25">
      <c r="B133" s="118" t="s">
        <v>354</v>
      </c>
      <c r="C133" s="180">
        <f>INDEX('Below the Line'!$E$4:$E$20,MATCH(B133,'Below the Line'!$C$4:$C$20,0))</f>
        <v>823.75132959083601</v>
      </c>
      <c r="D133" s="172" t="s">
        <v>369</v>
      </c>
      <c r="E133" s="171"/>
    </row>
    <row r="134" spans="2:5" hidden="1" x14ac:dyDescent="0.25">
      <c r="B134" s="227"/>
      <c r="C134" s="179"/>
      <c r="D134" s="178"/>
      <c r="E134" s="177"/>
    </row>
    <row r="135" spans="2:5" hidden="1" x14ac:dyDescent="0.25">
      <c r="B135" s="179"/>
      <c r="C135" s="179"/>
      <c r="D135" s="178"/>
      <c r="E135" s="177"/>
    </row>
    <row r="136" spans="2:5" x14ac:dyDescent="0.25">
      <c r="B136" s="176"/>
      <c r="C136" s="176"/>
      <c r="D136" s="175"/>
      <c r="E136" s="174"/>
    </row>
    <row r="137" spans="2:5" x14ac:dyDescent="0.25">
      <c r="B137" s="118" t="s">
        <v>368</v>
      </c>
      <c r="C137" s="173">
        <f>'Below the Line'!$D$35</f>
        <v>0.27379999999999999</v>
      </c>
      <c r="D137" s="172" t="s">
        <v>316</v>
      </c>
      <c r="E137" s="171"/>
    </row>
    <row r="138" spans="2:5" x14ac:dyDescent="0.25">
      <c r="B138" s="118" t="s">
        <v>367</v>
      </c>
      <c r="C138" s="173">
        <f>'Below the Line'!$D$43</f>
        <v>2.7100379121522307E-2</v>
      </c>
      <c r="D138" s="172" t="s">
        <v>314</v>
      </c>
      <c r="E138" s="171"/>
    </row>
    <row r="139" spans="2:5" x14ac:dyDescent="0.25">
      <c r="B139" s="118" t="s">
        <v>366</v>
      </c>
      <c r="C139" s="173">
        <f>'Below the Line'!$D$40</f>
        <v>0.12</v>
      </c>
      <c r="D139" s="172" t="s">
        <v>316</v>
      </c>
      <c r="E139" s="171"/>
    </row>
    <row r="142" spans="2:5" ht="15.75" thickBot="1" x14ac:dyDescent="0.3"/>
    <row r="143" spans="2:5" ht="26.25" x14ac:dyDescent="0.4">
      <c r="B143" s="316" t="s">
        <v>290</v>
      </c>
      <c r="C143" s="315"/>
      <c r="D143" s="315"/>
      <c r="E143" s="259"/>
    </row>
    <row r="144" spans="2:5" ht="21" x14ac:dyDescent="0.35">
      <c r="B144" s="311" t="s">
        <v>382</v>
      </c>
      <c r="C144" s="311"/>
      <c r="D144" s="310" t="s">
        <v>381</v>
      </c>
      <c r="E144" s="309" t="s">
        <v>412</v>
      </c>
    </row>
    <row r="145" spans="2:5" x14ac:dyDescent="0.25">
      <c r="B145" s="318" t="s">
        <v>379</v>
      </c>
      <c r="C145" s="318" t="s">
        <v>378</v>
      </c>
      <c r="D145" s="318" t="s">
        <v>377</v>
      </c>
      <c r="E145" s="318" t="s">
        <v>300</v>
      </c>
    </row>
    <row r="146" spans="2:5" x14ac:dyDescent="0.25">
      <c r="B146" s="203" t="s">
        <v>376</v>
      </c>
      <c r="C146" s="118" t="s">
        <v>375</v>
      </c>
      <c r="D146" s="186">
        <f>INDEX('[2]Salary lookup'!$F$5:$F$22,MATCH(C146,'[2]Salary lookup'!$B$5:$B$22,0))</f>
        <v>79415.232000000018</v>
      </c>
      <c r="E146" s="188">
        <v>0.06</v>
      </c>
    </row>
    <row r="147" spans="2:5" x14ac:dyDescent="0.25">
      <c r="B147" s="317" t="s">
        <v>446</v>
      </c>
      <c r="C147" s="204" t="s">
        <v>373</v>
      </c>
      <c r="D147" s="186">
        <f>INDEX('[2]Salary lookup'!$F$5:$F$22,MATCH(C147,'[2]Salary lookup'!$B$5:$B$22,0))</f>
        <v>41600</v>
      </c>
      <c r="E147" s="188">
        <v>1</v>
      </c>
    </row>
    <row r="148" spans="2:5" hidden="1" x14ac:dyDescent="0.25">
      <c r="B148" s="179"/>
      <c r="C148" s="179"/>
      <c r="D148" s="178"/>
      <c r="E148" s="177"/>
    </row>
    <row r="149" spans="2:5" hidden="1" x14ac:dyDescent="0.25">
      <c r="B149" s="179"/>
      <c r="C149" s="179"/>
      <c r="D149" s="178"/>
      <c r="E149" s="177"/>
    </row>
    <row r="150" spans="2:5" hidden="1" x14ac:dyDescent="0.25">
      <c r="B150" s="179"/>
      <c r="C150" s="179"/>
      <c r="D150" s="178"/>
      <c r="E150" s="177"/>
    </row>
    <row r="151" spans="2:5" hidden="1" x14ac:dyDescent="0.25">
      <c r="B151" s="179"/>
      <c r="C151" s="179"/>
      <c r="D151" s="178"/>
      <c r="E151" s="177"/>
    </row>
    <row r="152" spans="2:5" hidden="1" x14ac:dyDescent="0.25">
      <c r="B152" s="179"/>
      <c r="C152" s="179"/>
      <c r="D152" s="178"/>
      <c r="E152" s="177"/>
    </row>
    <row r="154" spans="2:5" x14ac:dyDescent="0.25">
      <c r="B154" s="183" t="s">
        <v>372</v>
      </c>
      <c r="C154" s="183" t="s">
        <v>371</v>
      </c>
      <c r="D154" s="269" t="s">
        <v>370</v>
      </c>
      <c r="E154" s="268"/>
    </row>
    <row r="155" spans="2:5" x14ac:dyDescent="0.25">
      <c r="B155" s="118" t="s">
        <v>356</v>
      </c>
      <c r="C155" s="180">
        <f>INDEX('Below the Line'!$E$4:$E$20,MATCH(B155,'Below the Line'!$C$4:$C$20,0))</f>
        <v>202.39734163733908</v>
      </c>
      <c r="D155" s="172" t="s">
        <v>369</v>
      </c>
      <c r="E155" s="171"/>
    </row>
    <row r="156" spans="2:5" x14ac:dyDescent="0.25">
      <c r="B156" s="118" t="s">
        <v>354</v>
      </c>
      <c r="C156" s="180">
        <f>INDEX('Below the Line'!$E$4:$E$20,MATCH(B156,'Below the Line'!$C$4:$C$20,0))</f>
        <v>823.75132959083601</v>
      </c>
      <c r="D156" s="172" t="s">
        <v>369</v>
      </c>
      <c r="E156" s="171"/>
    </row>
    <row r="157" spans="2:5" hidden="1" x14ac:dyDescent="0.25">
      <c r="B157" s="227"/>
      <c r="C157" s="179"/>
      <c r="D157" s="178"/>
      <c r="E157" s="177"/>
    </row>
    <row r="158" spans="2:5" hidden="1" x14ac:dyDescent="0.25">
      <c r="B158" s="179"/>
      <c r="C158" s="179"/>
      <c r="D158" s="178"/>
      <c r="E158" s="177"/>
    </row>
    <row r="159" spans="2:5" x14ac:dyDescent="0.25">
      <c r="B159" s="176"/>
      <c r="C159" s="176"/>
      <c r="D159" s="175"/>
      <c r="E159" s="174"/>
    </row>
    <row r="160" spans="2:5" x14ac:dyDescent="0.25">
      <c r="B160" s="118" t="s">
        <v>368</v>
      </c>
      <c r="C160" s="173">
        <f>'Below the Line'!$D$35</f>
        <v>0.27379999999999999</v>
      </c>
      <c r="D160" s="172" t="s">
        <v>316</v>
      </c>
      <c r="E160" s="171"/>
    </row>
    <row r="161" spans="2:5" x14ac:dyDescent="0.25">
      <c r="B161" s="118" t="s">
        <v>367</v>
      </c>
      <c r="C161" s="173">
        <f>'Below the Line'!$D$43</f>
        <v>2.7100379121522307E-2</v>
      </c>
      <c r="D161" s="172" t="s">
        <v>314</v>
      </c>
      <c r="E161" s="171"/>
    </row>
    <row r="162" spans="2:5" x14ac:dyDescent="0.25">
      <c r="B162" s="118" t="s">
        <v>366</v>
      </c>
      <c r="C162" s="173">
        <f>'Below the Line'!$D$40</f>
        <v>0.12</v>
      </c>
      <c r="D162" s="172" t="s">
        <v>316</v>
      </c>
      <c r="E162" s="171"/>
    </row>
    <row r="165" spans="2:5" ht="15.75" thickBot="1" x14ac:dyDescent="0.3"/>
    <row r="166" spans="2:5" ht="26.25" x14ac:dyDescent="0.4">
      <c r="B166" s="316" t="s">
        <v>452</v>
      </c>
      <c r="C166" s="315"/>
      <c r="D166" s="315"/>
      <c r="E166" s="259"/>
    </row>
    <row r="167" spans="2:5" ht="21" x14ac:dyDescent="0.35">
      <c r="B167" s="311" t="s">
        <v>382</v>
      </c>
      <c r="C167" s="311"/>
      <c r="D167" s="310" t="s">
        <v>381</v>
      </c>
      <c r="E167" s="309" t="s">
        <v>412</v>
      </c>
    </row>
    <row r="168" spans="2:5" ht="30" x14ac:dyDescent="0.25">
      <c r="B168" s="318" t="s">
        <v>379</v>
      </c>
      <c r="C168" s="318" t="s">
        <v>378</v>
      </c>
      <c r="D168" s="318" t="s">
        <v>377</v>
      </c>
      <c r="E168" s="318" t="s">
        <v>451</v>
      </c>
    </row>
    <row r="169" spans="2:5" x14ac:dyDescent="0.25">
      <c r="B169" s="203" t="s">
        <v>376</v>
      </c>
      <c r="C169" s="118" t="s">
        <v>375</v>
      </c>
      <c r="D169" s="186">
        <f>INDEX('[2]Salary lookup'!$F$5:$F$22,MATCH(C169,'[2]Salary lookup'!$B$5:$B$22,0))</f>
        <v>79415.232000000018</v>
      </c>
      <c r="E169" s="188">
        <v>0.06</v>
      </c>
    </row>
    <row r="170" spans="2:5" x14ac:dyDescent="0.25">
      <c r="B170" s="317" t="s">
        <v>446</v>
      </c>
      <c r="C170" s="204" t="s">
        <v>373</v>
      </c>
      <c r="D170" s="186">
        <f>INDEX('[2]Salary lookup'!$F$5:$F$22,MATCH(C170,'[2]Salary lookup'!$B$5:$B$22,0))</f>
        <v>41600</v>
      </c>
      <c r="E170" s="188">
        <v>1</v>
      </c>
    </row>
    <row r="171" spans="2:5" hidden="1" x14ac:dyDescent="0.25">
      <c r="B171" s="179"/>
      <c r="C171" s="179"/>
      <c r="D171" s="179"/>
      <c r="E171" s="301"/>
    </row>
    <row r="172" spans="2:5" hidden="1" x14ac:dyDescent="0.25">
      <c r="B172" s="179"/>
      <c r="C172" s="179"/>
      <c r="D172" s="179"/>
      <c r="E172" s="301"/>
    </row>
    <row r="173" spans="2:5" hidden="1" x14ac:dyDescent="0.25">
      <c r="B173" s="179"/>
      <c r="C173" s="179"/>
      <c r="D173" s="179"/>
      <c r="E173" s="301"/>
    </row>
    <row r="174" spans="2:5" hidden="1" x14ac:dyDescent="0.25">
      <c r="B174" s="179"/>
      <c r="C174" s="179"/>
      <c r="D174" s="179"/>
      <c r="E174" s="301"/>
    </row>
    <row r="175" spans="2:5" hidden="1" x14ac:dyDescent="0.25">
      <c r="B175" s="179"/>
      <c r="C175" s="179"/>
      <c r="D175" s="179"/>
      <c r="E175" s="301"/>
    </row>
    <row r="177" spans="2:5" x14ac:dyDescent="0.25">
      <c r="B177" s="183" t="s">
        <v>372</v>
      </c>
      <c r="C177" s="183" t="s">
        <v>371</v>
      </c>
      <c r="D177" s="269" t="s">
        <v>370</v>
      </c>
      <c r="E177" s="268"/>
    </row>
    <row r="178" spans="2:5" x14ac:dyDescent="0.25">
      <c r="B178" s="118" t="s">
        <v>356</v>
      </c>
      <c r="C178" s="180">
        <f>INDEX('Below the Line'!$E$4:$E$20,MATCH(B178,'Below the Line'!$C$4:$C$20,0))</f>
        <v>202.39734163733908</v>
      </c>
      <c r="D178" s="172" t="s">
        <v>369</v>
      </c>
      <c r="E178" s="171"/>
    </row>
    <row r="179" spans="2:5" x14ac:dyDescent="0.25">
      <c r="B179" s="118" t="s">
        <v>354</v>
      </c>
      <c r="C179" s="180">
        <f>INDEX('Below the Line'!$E$4:$E$20,MATCH(B179,'Below the Line'!$C$4:$C$20,0))</f>
        <v>823.75132959083601</v>
      </c>
      <c r="D179" s="172" t="s">
        <v>369</v>
      </c>
      <c r="E179" s="171"/>
    </row>
    <row r="180" spans="2:5" hidden="1" x14ac:dyDescent="0.25">
      <c r="B180" s="227"/>
      <c r="C180" s="179"/>
      <c r="D180" s="178"/>
      <c r="E180" s="177"/>
    </row>
    <row r="181" spans="2:5" hidden="1" x14ac:dyDescent="0.25">
      <c r="B181" s="179"/>
      <c r="C181" s="179"/>
      <c r="D181" s="178"/>
      <c r="E181" s="177"/>
    </row>
    <row r="182" spans="2:5" x14ac:dyDescent="0.25">
      <c r="B182" s="176"/>
      <c r="C182" s="176"/>
      <c r="D182" s="175"/>
      <c r="E182" s="174"/>
    </row>
    <row r="183" spans="2:5" x14ac:dyDescent="0.25">
      <c r="B183" s="118" t="s">
        <v>368</v>
      </c>
      <c r="C183" s="173">
        <f>'Below the Line'!$D$35</f>
        <v>0.27379999999999999</v>
      </c>
      <c r="D183" s="172" t="s">
        <v>316</v>
      </c>
      <c r="E183" s="171"/>
    </row>
    <row r="184" spans="2:5" x14ac:dyDescent="0.25">
      <c r="B184" s="118" t="s">
        <v>367</v>
      </c>
      <c r="C184" s="173">
        <f>'Below the Line'!$D$43</f>
        <v>2.7100379121522307E-2</v>
      </c>
      <c r="D184" s="172" t="s">
        <v>314</v>
      </c>
      <c r="E184" s="171"/>
    </row>
    <row r="185" spans="2:5" x14ac:dyDescent="0.25">
      <c r="B185" s="118" t="s">
        <v>366</v>
      </c>
      <c r="C185" s="173">
        <f>'Below the Line'!$D$40</f>
        <v>0.12</v>
      </c>
      <c r="D185" s="172" t="s">
        <v>316</v>
      </c>
      <c r="E185" s="171"/>
    </row>
    <row r="189" spans="2:5" ht="15.75" thickBot="1" x14ac:dyDescent="0.3"/>
    <row r="190" spans="2:5" ht="26.25" x14ac:dyDescent="0.4">
      <c r="B190" s="316" t="s">
        <v>450</v>
      </c>
      <c r="C190" s="315"/>
      <c r="D190" s="315"/>
      <c r="E190" s="259"/>
    </row>
    <row r="191" spans="2:5" ht="21" x14ac:dyDescent="0.35">
      <c r="B191" s="311" t="s">
        <v>382</v>
      </c>
      <c r="C191" s="311"/>
      <c r="D191" s="310" t="s">
        <v>381</v>
      </c>
      <c r="E191" s="309" t="s">
        <v>412</v>
      </c>
    </row>
    <row r="192" spans="2:5" ht="45" x14ac:dyDescent="0.25">
      <c r="B192" s="192" t="s">
        <v>379</v>
      </c>
      <c r="C192" s="192" t="s">
        <v>378</v>
      </c>
      <c r="D192" s="192" t="s">
        <v>377</v>
      </c>
      <c r="E192" s="192" t="s">
        <v>449</v>
      </c>
    </row>
    <row r="193" spans="2:5" x14ac:dyDescent="0.25">
      <c r="B193" s="118" t="s">
        <v>376</v>
      </c>
      <c r="C193" s="118" t="s">
        <v>375</v>
      </c>
      <c r="D193" s="186">
        <f>INDEX('[2]Salary lookup'!$F$5:$F$22,MATCH(C193,'[2]Salary lookup'!$B$5:$B$22,0))</f>
        <v>79415.232000000018</v>
      </c>
      <c r="E193" s="188">
        <v>5.0099999999999999E-2</v>
      </c>
    </row>
    <row r="194" spans="2:5" x14ac:dyDescent="0.25">
      <c r="B194" s="118" t="s">
        <v>446</v>
      </c>
      <c r="C194" s="118" t="s">
        <v>373</v>
      </c>
      <c r="D194" s="186">
        <f>INDEX('[2]Salary lookup'!$F$5:$F$22,MATCH(C194,'[2]Salary lookup'!$B$5:$B$22,0))</f>
        <v>41600</v>
      </c>
      <c r="E194" s="188">
        <v>0.90439999999999998</v>
      </c>
    </row>
    <row r="195" spans="2:5" hidden="1" x14ac:dyDescent="0.25">
      <c r="B195" s="179"/>
      <c r="C195" s="179"/>
      <c r="D195" s="179"/>
      <c r="E195" s="301"/>
    </row>
    <row r="196" spans="2:5" hidden="1" x14ac:dyDescent="0.25">
      <c r="B196" s="179"/>
      <c r="C196" s="179"/>
      <c r="D196" s="179"/>
      <c r="E196" s="301"/>
    </row>
    <row r="197" spans="2:5" hidden="1" x14ac:dyDescent="0.25">
      <c r="B197" s="179"/>
      <c r="C197" s="179"/>
      <c r="D197" s="179"/>
      <c r="E197" s="301"/>
    </row>
    <row r="198" spans="2:5" hidden="1" x14ac:dyDescent="0.25">
      <c r="B198" s="179"/>
      <c r="C198" s="179"/>
      <c r="D198" s="179"/>
      <c r="E198" s="301"/>
    </row>
    <row r="199" spans="2:5" hidden="1" x14ac:dyDescent="0.25">
      <c r="B199" s="179"/>
      <c r="C199" s="179"/>
      <c r="D199" s="179"/>
      <c r="E199" s="301"/>
    </row>
    <row r="201" spans="2:5" x14ac:dyDescent="0.25">
      <c r="B201" s="183" t="s">
        <v>372</v>
      </c>
      <c r="C201" s="183" t="s">
        <v>371</v>
      </c>
      <c r="D201" s="269" t="s">
        <v>370</v>
      </c>
      <c r="E201" s="268"/>
    </row>
    <row r="202" spans="2:5" x14ac:dyDescent="0.25">
      <c r="B202" s="118" t="s">
        <v>334</v>
      </c>
      <c r="C202" s="180">
        <f>INDEX('Below the Line'!$E$4:$E$20,MATCH(B202,'Below the Line'!$C$4:$C$20,0))</f>
        <v>1493.1564099112707</v>
      </c>
      <c r="D202" s="172" t="s">
        <v>369</v>
      </c>
      <c r="E202" s="171"/>
    </row>
    <row r="203" spans="2:5" hidden="1" x14ac:dyDescent="0.25">
      <c r="B203" s="227"/>
      <c r="C203" s="179"/>
      <c r="D203" s="178"/>
      <c r="E203" s="177"/>
    </row>
    <row r="204" spans="2:5" hidden="1" x14ac:dyDescent="0.25">
      <c r="B204" s="179"/>
      <c r="C204" s="179"/>
      <c r="D204" s="178"/>
      <c r="E204" s="177"/>
    </row>
    <row r="205" spans="2:5" hidden="1" x14ac:dyDescent="0.25">
      <c r="B205" s="179"/>
      <c r="C205" s="179"/>
      <c r="D205" s="178"/>
      <c r="E205" s="177"/>
    </row>
    <row r="206" spans="2:5" hidden="1" x14ac:dyDescent="0.25">
      <c r="B206" s="179"/>
      <c r="C206" s="179"/>
      <c r="D206" s="178"/>
      <c r="E206" s="177"/>
    </row>
    <row r="207" spans="2:5" x14ac:dyDescent="0.25">
      <c r="B207" s="176"/>
      <c r="C207" s="176"/>
      <c r="D207" s="176"/>
      <c r="E207" s="176"/>
    </row>
    <row r="208" spans="2:5" x14ac:dyDescent="0.25">
      <c r="B208" s="118" t="s">
        <v>368</v>
      </c>
      <c r="C208" s="173">
        <f>'Below the Line'!$D$35</f>
        <v>0.27379999999999999</v>
      </c>
      <c r="D208" s="172" t="s">
        <v>316</v>
      </c>
      <c r="E208" s="171"/>
    </row>
    <row r="209" spans="2:5" x14ac:dyDescent="0.25">
      <c r="B209" s="118" t="s">
        <v>367</v>
      </c>
      <c r="C209" s="173">
        <f>'Below the Line'!$D$43</f>
        <v>2.7100379121522307E-2</v>
      </c>
      <c r="D209" s="307" t="s">
        <v>314</v>
      </c>
      <c r="E209" s="306"/>
    </row>
    <row r="210" spans="2:5" x14ac:dyDescent="0.25">
      <c r="B210" s="118" t="s">
        <v>366</v>
      </c>
      <c r="C210" s="173">
        <f>'Below the Line'!$D$40</f>
        <v>0.12</v>
      </c>
      <c r="D210" s="307" t="s">
        <v>316</v>
      </c>
      <c r="E210" s="306"/>
    </row>
    <row r="212" spans="2:5" ht="15.75" thickBot="1" x14ac:dyDescent="0.3"/>
    <row r="213" spans="2:5" ht="26.25" x14ac:dyDescent="0.4">
      <c r="B213" s="314" t="s">
        <v>448</v>
      </c>
      <c r="C213" s="313"/>
      <c r="D213" s="313"/>
      <c r="E213" s="312"/>
    </row>
    <row r="214" spans="2:5" ht="21" x14ac:dyDescent="0.35">
      <c r="B214" s="311" t="s">
        <v>382</v>
      </c>
      <c r="C214" s="311"/>
      <c r="D214" s="310" t="s">
        <v>381</v>
      </c>
      <c r="E214" s="309" t="s">
        <v>412</v>
      </c>
    </row>
    <row r="215" spans="2:5" ht="60" x14ac:dyDescent="0.25">
      <c r="B215" s="192" t="s">
        <v>379</v>
      </c>
      <c r="C215" s="192" t="s">
        <v>378</v>
      </c>
      <c r="D215" s="192" t="s">
        <v>377</v>
      </c>
      <c r="E215" s="192" t="s">
        <v>447</v>
      </c>
    </row>
    <row r="216" spans="2:5" x14ac:dyDescent="0.25">
      <c r="B216" s="118" t="s">
        <v>376</v>
      </c>
      <c r="C216" s="118" t="s">
        <v>375</v>
      </c>
      <c r="D216" s="186">
        <f>INDEX('[2]Salary lookup'!$F$5:$F$22,MATCH(C216,'[2]Salary lookup'!$B$5:$B$22,0))</f>
        <v>79415.232000000018</v>
      </c>
      <c r="E216" s="188">
        <v>0.05</v>
      </c>
    </row>
    <row r="217" spans="2:5" x14ac:dyDescent="0.25">
      <c r="B217" s="118" t="s">
        <v>446</v>
      </c>
      <c r="C217" s="118" t="s">
        <v>373</v>
      </c>
      <c r="D217" s="186">
        <f>INDEX('[2]Salary lookup'!$F$5:$F$22,MATCH(C217,'[2]Salary lookup'!$B$5:$B$22,0))</f>
        <v>41600</v>
      </c>
      <c r="E217" s="188">
        <v>0.05</v>
      </c>
    </row>
    <row r="218" spans="2:5" hidden="1" x14ac:dyDescent="0.25">
      <c r="B218" s="179"/>
      <c r="C218" s="179"/>
      <c r="D218" s="179"/>
      <c r="E218" s="179"/>
    </row>
    <row r="219" spans="2:5" hidden="1" x14ac:dyDescent="0.25">
      <c r="B219" s="179"/>
      <c r="C219" s="179"/>
      <c r="D219" s="179"/>
      <c r="E219" s="179"/>
    </row>
    <row r="220" spans="2:5" hidden="1" x14ac:dyDescent="0.25">
      <c r="B220" s="179"/>
      <c r="C220" s="179"/>
      <c r="D220" s="179"/>
      <c r="E220" s="179"/>
    </row>
    <row r="221" spans="2:5" hidden="1" x14ac:dyDescent="0.25">
      <c r="B221" s="179"/>
      <c r="C221" s="179"/>
      <c r="D221" s="179"/>
      <c r="E221" s="179"/>
    </row>
    <row r="222" spans="2:5" hidden="1" x14ac:dyDescent="0.25">
      <c r="B222" s="179"/>
      <c r="C222" s="179"/>
      <c r="D222" s="179"/>
      <c r="E222" s="179"/>
    </row>
    <row r="224" spans="2:5" x14ac:dyDescent="0.25">
      <c r="B224" s="183" t="s">
        <v>372</v>
      </c>
      <c r="C224" s="183" t="s">
        <v>371</v>
      </c>
      <c r="D224" s="269" t="s">
        <v>370</v>
      </c>
      <c r="E224" s="268"/>
    </row>
    <row r="225" spans="2:9" x14ac:dyDescent="0.25">
      <c r="B225" s="118" t="s">
        <v>334</v>
      </c>
      <c r="C225" s="186">
        <f>20.11*(1.06%+1)</f>
        <v>20.323165999999997</v>
      </c>
      <c r="D225" s="172" t="s">
        <v>445</v>
      </c>
      <c r="E225" s="171"/>
    </row>
    <row r="226" spans="2:9" hidden="1" x14ac:dyDescent="0.25">
      <c r="B226" s="227"/>
      <c r="C226" s="179"/>
      <c r="D226" s="178"/>
      <c r="E226" s="177"/>
    </row>
    <row r="227" spans="2:9" hidden="1" x14ac:dyDescent="0.25">
      <c r="B227" s="179"/>
      <c r="C227" s="179"/>
      <c r="D227" s="178"/>
      <c r="E227" s="177"/>
    </row>
    <row r="228" spans="2:9" hidden="1" x14ac:dyDescent="0.25">
      <c r="B228" s="179"/>
      <c r="C228" s="179"/>
      <c r="D228" s="178"/>
      <c r="E228" s="177"/>
    </row>
    <row r="229" spans="2:9" hidden="1" x14ac:dyDescent="0.25">
      <c r="B229" s="179"/>
      <c r="C229" s="179"/>
      <c r="D229" s="178"/>
      <c r="E229" s="177"/>
    </row>
    <row r="230" spans="2:9" x14ac:dyDescent="0.25">
      <c r="B230" s="176"/>
      <c r="C230" s="176"/>
      <c r="D230" s="308"/>
      <c r="E230" s="308"/>
    </row>
    <row r="231" spans="2:9" x14ac:dyDescent="0.25">
      <c r="B231" s="118" t="s">
        <v>368</v>
      </c>
      <c r="C231" s="173">
        <f>'Below the Line'!$D$35</f>
        <v>0.27379999999999999</v>
      </c>
      <c r="D231" s="172" t="s">
        <v>316</v>
      </c>
      <c r="E231" s="171"/>
    </row>
    <row r="232" spans="2:9" x14ac:dyDescent="0.25">
      <c r="B232" s="118" t="s">
        <v>367</v>
      </c>
      <c r="C232" s="173">
        <f>'Below the Line'!$D$43</f>
        <v>2.7100379121522307E-2</v>
      </c>
      <c r="D232" s="307" t="s">
        <v>314</v>
      </c>
      <c r="E232" s="306"/>
    </row>
    <row r="233" spans="2:9" x14ac:dyDescent="0.25">
      <c r="B233" s="118" t="s">
        <v>366</v>
      </c>
      <c r="C233" s="173">
        <f>'Below the Line'!$D$40</f>
        <v>0.12</v>
      </c>
      <c r="D233" s="307" t="s">
        <v>316</v>
      </c>
      <c r="E233" s="306"/>
    </row>
    <row r="236" spans="2:9" ht="15.75" thickBot="1" x14ac:dyDescent="0.3"/>
    <row r="237" spans="2:9" ht="27" thickBot="1" x14ac:dyDescent="0.45">
      <c r="B237" s="261" t="s">
        <v>444</v>
      </c>
      <c r="C237" s="260"/>
      <c r="D237" s="260"/>
      <c r="E237" s="260"/>
      <c r="F237" s="296"/>
    </row>
    <row r="238" spans="2:9" ht="42" x14ac:dyDescent="0.25">
      <c r="B238" s="257" t="s">
        <v>382</v>
      </c>
      <c r="C238" s="257"/>
      <c r="D238" s="305" t="s">
        <v>443</v>
      </c>
      <c r="E238" s="256" t="s">
        <v>381</v>
      </c>
      <c r="F238" s="256" t="s">
        <v>412</v>
      </c>
    </row>
    <row r="239" spans="2:9" ht="30" x14ac:dyDescent="0.25">
      <c r="B239" s="192" t="s">
        <v>379</v>
      </c>
      <c r="C239" s="192" t="s">
        <v>378</v>
      </c>
      <c r="D239" s="304" t="s">
        <v>442</v>
      </c>
      <c r="E239" s="192" t="s">
        <v>377</v>
      </c>
      <c r="F239" s="192" t="s">
        <v>282</v>
      </c>
      <c r="G239" s="303"/>
      <c r="H239" s="302"/>
      <c r="I239" s="302"/>
    </row>
    <row r="240" spans="2:9" x14ac:dyDescent="0.25">
      <c r="B240" s="118" t="s">
        <v>376</v>
      </c>
      <c r="C240" s="118" t="s">
        <v>375</v>
      </c>
      <c r="D240" s="282">
        <v>580</v>
      </c>
      <c r="E240" s="186">
        <f>INDEX('[2]Salary lookup'!$F$5:$F$22,MATCH(C240,'[2]Salary lookup'!$B$5:$B$22,0))</f>
        <v>79415.232000000018</v>
      </c>
      <c r="F240" s="188">
        <v>0.06</v>
      </c>
    </row>
    <row r="241" spans="2:6" x14ac:dyDescent="0.25">
      <c r="B241" s="118" t="s">
        <v>388</v>
      </c>
      <c r="C241" s="118" t="s">
        <v>388</v>
      </c>
      <c r="D241" s="282">
        <v>35</v>
      </c>
      <c r="E241" s="186">
        <f>INDEX('[2]Salary lookup'!$F$5:$F$22,MATCH(C241,'[2]Salary lookup'!$B$5:$B$22,0))</f>
        <v>58616.063999999998</v>
      </c>
      <c r="F241" s="188">
        <v>1.63</v>
      </c>
    </row>
    <row r="242" spans="2:6" hidden="1" x14ac:dyDescent="0.25">
      <c r="B242" s="179"/>
      <c r="C242" s="179"/>
      <c r="D242" s="179"/>
      <c r="E242" s="179"/>
      <c r="F242" s="301"/>
    </row>
    <row r="243" spans="2:6" hidden="1" x14ac:dyDescent="0.25">
      <c r="B243" s="179"/>
      <c r="C243" s="179"/>
      <c r="D243" s="179"/>
      <c r="E243" s="179"/>
      <c r="F243" s="301"/>
    </row>
    <row r="244" spans="2:6" hidden="1" x14ac:dyDescent="0.25">
      <c r="B244" s="179"/>
      <c r="C244" s="179"/>
      <c r="D244" s="179"/>
      <c r="E244" s="179"/>
      <c r="F244" s="301"/>
    </row>
    <row r="245" spans="2:6" hidden="1" x14ac:dyDescent="0.25">
      <c r="B245" s="179"/>
      <c r="C245" s="179"/>
      <c r="D245" s="179"/>
      <c r="E245" s="179"/>
      <c r="F245" s="301"/>
    </row>
    <row r="246" spans="2:6" hidden="1" x14ac:dyDescent="0.25">
      <c r="B246" s="179"/>
      <c r="C246" s="179"/>
      <c r="D246" s="179"/>
      <c r="E246" s="179"/>
      <c r="F246" s="301"/>
    </row>
    <row r="248" spans="2:6" x14ac:dyDescent="0.25">
      <c r="B248" s="183" t="s">
        <v>372</v>
      </c>
      <c r="C248" s="183" t="s">
        <v>371</v>
      </c>
      <c r="D248" s="269" t="s">
        <v>370</v>
      </c>
      <c r="E248" s="268"/>
    </row>
    <row r="249" spans="2:6" x14ac:dyDescent="0.25">
      <c r="B249" s="118" t="s">
        <v>360</v>
      </c>
      <c r="C249" s="180">
        <f>INDEX('Below the Line'!$E$4:$E$20,MATCH(B249,'Below the Line'!$C$4:$C$20,0))</f>
        <v>6221.9259542286536</v>
      </c>
      <c r="D249" s="172" t="s">
        <v>369</v>
      </c>
      <c r="E249" s="171"/>
    </row>
    <row r="250" spans="2:6" x14ac:dyDescent="0.25">
      <c r="B250" s="118" t="s">
        <v>356</v>
      </c>
      <c r="C250" s="180">
        <f>INDEX('Below the Line'!$E$4:$E$20,MATCH(B250,'Below the Line'!$C$4:$C$20,0))</f>
        <v>202.39734163733908</v>
      </c>
      <c r="D250" s="172" t="s">
        <v>369</v>
      </c>
      <c r="E250" s="171"/>
    </row>
    <row r="251" spans="2:6" x14ac:dyDescent="0.25">
      <c r="B251" s="118" t="s">
        <v>354</v>
      </c>
      <c r="C251" s="180">
        <f>INDEX('Below the Line'!$E$4:$E$20,MATCH(B251,'Below the Line'!$C$4:$C$20,0))</f>
        <v>823.75132959083601</v>
      </c>
      <c r="D251" s="172" t="s">
        <v>369</v>
      </c>
      <c r="E251" s="171"/>
    </row>
    <row r="252" spans="2:6" x14ac:dyDescent="0.25">
      <c r="B252" s="118" t="s">
        <v>350</v>
      </c>
      <c r="C252" s="180">
        <f>INDEX('Below the Line'!$E$4:$E$20,MATCH(B252,'Below the Line'!$C$4:$C$20,0))</f>
        <v>1741.693522928565</v>
      </c>
      <c r="D252" s="172" t="s">
        <v>369</v>
      </c>
      <c r="E252" s="171"/>
    </row>
    <row r="253" spans="2:6" x14ac:dyDescent="0.25">
      <c r="B253" s="118" t="s">
        <v>334</v>
      </c>
      <c r="C253" s="180">
        <f>INDEX('Below the Line'!$E$4:$E$20,MATCH(B253,'Below the Line'!$C$4:$C$20,0))</f>
        <v>1493.1564099112707</v>
      </c>
      <c r="D253" s="172" t="s">
        <v>369</v>
      </c>
      <c r="E253" s="171"/>
    </row>
    <row r="254" spans="2:6" x14ac:dyDescent="0.25">
      <c r="B254" s="118" t="s">
        <v>332</v>
      </c>
      <c r="C254" s="180">
        <f>INDEX('Below the Line'!$E$4:$E$20,MATCH(B254,'Below the Line'!$C$4:$C$20,0))</f>
        <v>3151.0944966340862</v>
      </c>
      <c r="D254" s="172" t="s">
        <v>369</v>
      </c>
      <c r="E254" s="171"/>
    </row>
    <row r="255" spans="2:6" x14ac:dyDescent="0.25">
      <c r="B255" s="118" t="s">
        <v>329</v>
      </c>
      <c r="C255" s="180">
        <f>INDEX('Below the Line'!$E$4:$E$20,MATCH(B255,'Below the Line'!$C$4:$C$20,0))</f>
        <v>1000</v>
      </c>
      <c r="D255" s="172" t="s">
        <v>441</v>
      </c>
      <c r="E255" s="171"/>
    </row>
    <row r="256" spans="2:6" hidden="1" x14ac:dyDescent="0.25">
      <c r="B256" s="179"/>
      <c r="C256" s="179"/>
      <c r="D256" s="300"/>
      <c r="E256" s="299"/>
    </row>
    <row r="257" spans="2:7" hidden="1" x14ac:dyDescent="0.25">
      <c r="B257" s="179"/>
      <c r="C257" s="179"/>
      <c r="D257" s="300"/>
      <c r="E257" s="299"/>
    </row>
    <row r="258" spans="2:7" hidden="1" x14ac:dyDescent="0.25">
      <c r="B258" s="179"/>
      <c r="C258" s="179"/>
      <c r="D258" s="300"/>
      <c r="E258" s="299"/>
    </row>
    <row r="259" spans="2:7" hidden="1" x14ac:dyDescent="0.25">
      <c r="B259" s="179"/>
      <c r="C259" s="179"/>
      <c r="D259" s="300"/>
      <c r="E259" s="299"/>
    </row>
    <row r="260" spans="2:7" hidden="1" x14ac:dyDescent="0.25">
      <c r="B260" s="179"/>
      <c r="C260" s="179"/>
      <c r="D260" s="300"/>
      <c r="E260" s="299"/>
    </row>
    <row r="261" spans="2:7" x14ac:dyDescent="0.25">
      <c r="B261" s="176"/>
      <c r="C261" s="176"/>
      <c r="D261" s="176"/>
      <c r="E261" s="176"/>
    </row>
    <row r="262" spans="2:7" x14ac:dyDescent="0.25">
      <c r="B262" s="118" t="s">
        <v>368</v>
      </c>
      <c r="C262" s="173">
        <f>'Below the Line'!$D$35</f>
        <v>0.27379999999999999</v>
      </c>
      <c r="D262" s="172" t="s">
        <v>316</v>
      </c>
      <c r="E262" s="171"/>
    </row>
    <row r="263" spans="2:7" x14ac:dyDescent="0.25">
      <c r="B263" s="118" t="s">
        <v>367</v>
      </c>
      <c r="C263" s="173">
        <f>'Below the Line'!$D$43</f>
        <v>2.7100379121522307E-2</v>
      </c>
      <c r="D263" s="209" t="s">
        <v>314</v>
      </c>
      <c r="E263" s="209"/>
    </row>
    <row r="264" spans="2:7" x14ac:dyDescent="0.25">
      <c r="B264" s="118" t="s">
        <v>366</v>
      </c>
      <c r="C264" s="173">
        <f>'Below the Line'!$D$40</f>
        <v>0.12</v>
      </c>
      <c r="D264" s="209" t="s">
        <v>316</v>
      </c>
      <c r="E264" s="209"/>
    </row>
    <row r="265" spans="2:7" x14ac:dyDescent="0.25">
      <c r="B265" s="298" t="s">
        <v>440</v>
      </c>
      <c r="C265" s="297">
        <v>35</v>
      </c>
      <c r="D265" s="172"/>
      <c r="E265" s="171"/>
    </row>
    <row r="269" spans="2:7" ht="15.75" thickBot="1" x14ac:dyDescent="0.3">
      <c r="E269" s="115"/>
    </row>
    <row r="270" spans="2:7" ht="27" thickBot="1" x14ac:dyDescent="0.45">
      <c r="B270" s="261" t="s">
        <v>439</v>
      </c>
      <c r="C270" s="260"/>
      <c r="D270" s="260"/>
      <c r="E270" s="260"/>
      <c r="F270" s="260"/>
      <c r="G270" s="296"/>
    </row>
    <row r="271" spans="2:7" ht="21" x14ac:dyDescent="0.35">
      <c r="B271" s="247" t="s">
        <v>382</v>
      </c>
      <c r="C271" s="247"/>
      <c r="D271" s="194" t="s">
        <v>381</v>
      </c>
      <c r="E271" s="246" t="s">
        <v>412</v>
      </c>
      <c r="F271" s="246"/>
      <c r="G271" s="246"/>
    </row>
    <row r="272" spans="2:7" x14ac:dyDescent="0.25">
      <c r="B272" s="192" t="s">
        <v>379</v>
      </c>
      <c r="C272" s="192" t="s">
        <v>378</v>
      </c>
      <c r="D272" s="192" t="s">
        <v>377</v>
      </c>
      <c r="E272" s="192" t="s">
        <v>438</v>
      </c>
      <c r="F272" s="192" t="s">
        <v>437</v>
      </c>
      <c r="G272" s="192" t="s">
        <v>436</v>
      </c>
    </row>
    <row r="273" spans="2:7" x14ac:dyDescent="0.25">
      <c r="B273" s="222" t="s">
        <v>388</v>
      </c>
      <c r="C273" s="222" t="s">
        <v>388</v>
      </c>
      <c r="D273" s="186">
        <f>INDEX('[2]Salary lookup'!$F$5:$F$22,MATCH(C273,'[2]Salary lookup'!$B$5:$B$22,0))</f>
        <v>58616.063999999998</v>
      </c>
      <c r="E273" s="295">
        <v>0.15</v>
      </c>
      <c r="F273" s="295">
        <v>0.15</v>
      </c>
      <c r="G273" s="295">
        <v>0.15</v>
      </c>
    </row>
    <row r="274" spans="2:7" hidden="1" x14ac:dyDescent="0.25">
      <c r="B274" s="179"/>
      <c r="C274" s="179"/>
      <c r="D274" s="179"/>
      <c r="E274" s="179"/>
      <c r="F274" s="179"/>
      <c r="G274" s="179"/>
    </row>
    <row r="275" spans="2:7" hidden="1" x14ac:dyDescent="0.25">
      <c r="B275" s="179"/>
      <c r="C275" s="179"/>
      <c r="D275" s="179"/>
      <c r="E275" s="179"/>
      <c r="F275" s="179"/>
      <c r="G275" s="179"/>
    </row>
    <row r="276" spans="2:7" hidden="1" x14ac:dyDescent="0.25">
      <c r="B276" s="179"/>
      <c r="C276" s="294"/>
      <c r="D276" s="179"/>
      <c r="E276" s="179"/>
      <c r="F276" s="179"/>
      <c r="G276" s="179"/>
    </row>
    <row r="277" spans="2:7" hidden="1" x14ac:dyDescent="0.25">
      <c r="B277" s="179"/>
      <c r="C277" s="294"/>
      <c r="D277" s="179"/>
      <c r="E277" s="179"/>
      <c r="F277" s="179"/>
      <c r="G277" s="179"/>
    </row>
    <row r="279" spans="2:7" x14ac:dyDescent="0.25">
      <c r="B279" s="183" t="s">
        <v>372</v>
      </c>
      <c r="C279" s="183" t="s">
        <v>371</v>
      </c>
      <c r="D279" s="269" t="s">
        <v>370</v>
      </c>
      <c r="E279" s="268"/>
    </row>
    <row r="280" spans="2:7" x14ac:dyDescent="0.25">
      <c r="B280" s="293" t="s">
        <v>350</v>
      </c>
      <c r="C280" s="180">
        <f>INDEX('Below the Line'!$E$4:$E$23,MATCH(B280,'Below the Line'!$C$4:$C$23,0))</f>
        <v>1741.693522928565</v>
      </c>
      <c r="D280" s="172" t="s">
        <v>369</v>
      </c>
      <c r="E280" s="171"/>
    </row>
    <row r="281" spans="2:7" x14ac:dyDescent="0.25">
      <c r="B281" s="293" t="s">
        <v>360</v>
      </c>
      <c r="C281" s="180">
        <f>INDEX('Below the Line'!$E$4:$E$23,MATCH(B281,'Below the Line'!$C$4:$C$23,0))</f>
        <v>6221.9259542286536</v>
      </c>
      <c r="D281" s="172" t="s">
        <v>369</v>
      </c>
      <c r="E281" s="171"/>
    </row>
    <row r="282" spans="2:7" hidden="1" x14ac:dyDescent="0.25">
      <c r="B282" s="179"/>
      <c r="C282" s="179"/>
      <c r="D282" s="179"/>
      <c r="E282" s="179"/>
    </row>
    <row r="283" spans="2:7" hidden="1" x14ac:dyDescent="0.25">
      <c r="B283" s="179"/>
      <c r="C283" s="179"/>
      <c r="D283" s="179"/>
      <c r="E283" s="179"/>
    </row>
    <row r="284" spans="2:7" hidden="1" x14ac:dyDescent="0.25">
      <c r="B284" s="179"/>
      <c r="C284" s="179"/>
      <c r="D284" s="179"/>
      <c r="E284" s="179"/>
    </row>
    <row r="285" spans="2:7" hidden="1" x14ac:dyDescent="0.25">
      <c r="B285" s="179"/>
      <c r="C285" s="179"/>
      <c r="D285" s="179"/>
      <c r="E285" s="179"/>
    </row>
    <row r="286" spans="2:7" x14ac:dyDescent="0.25">
      <c r="B286" s="119"/>
      <c r="C286" s="119"/>
      <c r="D286" s="292"/>
      <c r="E286" s="292"/>
    </row>
    <row r="287" spans="2:7" x14ac:dyDescent="0.25">
      <c r="B287" s="291" t="s">
        <v>328</v>
      </c>
      <c r="C287" s="180">
        <f>INDEX('Below the Line'!$E$4:$E$23,MATCH(B287,'Below the Line'!$C$4:$C$23,0))</f>
        <v>26905.669366364942</v>
      </c>
      <c r="D287" s="290" t="s">
        <v>435</v>
      </c>
      <c r="E287" s="290"/>
    </row>
    <row r="288" spans="2:7" x14ac:dyDescent="0.25">
      <c r="B288" s="291" t="s">
        <v>326</v>
      </c>
      <c r="C288" s="180">
        <f>INDEX('Below the Line'!$E$4:$E$23,MATCH(B288,'Below the Line'!$C$4:$C$23,0))</f>
        <v>36688.899475940932</v>
      </c>
      <c r="D288" s="290" t="s">
        <v>435</v>
      </c>
      <c r="E288" s="290"/>
    </row>
    <row r="289" spans="2:16" x14ac:dyDescent="0.25">
      <c r="B289" s="291" t="s">
        <v>324</v>
      </c>
      <c r="C289" s="180">
        <f>INDEX('Below the Line'!$E$4:$E$23,MATCH(B289,'Below the Line'!$C$4:$C$23,0))</f>
        <v>46472.129585516923</v>
      </c>
      <c r="D289" s="290" t="s">
        <v>435</v>
      </c>
      <c r="E289" s="290"/>
    </row>
    <row r="290" spans="2:16" x14ac:dyDescent="0.25">
      <c r="B290" s="176"/>
      <c r="C290" s="176"/>
      <c r="D290" s="176"/>
      <c r="E290" s="176"/>
    </row>
    <row r="291" spans="2:16" x14ac:dyDescent="0.25">
      <c r="B291" s="118" t="s">
        <v>368</v>
      </c>
      <c r="C291" s="173">
        <f>'Below the Line'!$D$35</f>
        <v>0.27379999999999999</v>
      </c>
      <c r="D291" s="172" t="s">
        <v>316</v>
      </c>
      <c r="E291" s="171"/>
    </row>
    <row r="292" spans="2:16" x14ac:dyDescent="0.25">
      <c r="B292" s="118" t="s">
        <v>367</v>
      </c>
      <c r="C292" s="173">
        <f>'Below the Line'!$D$43</f>
        <v>2.7100379121522307E-2</v>
      </c>
      <c r="D292" s="209" t="s">
        <v>314</v>
      </c>
      <c r="E292" s="209"/>
    </row>
    <row r="293" spans="2:16" x14ac:dyDescent="0.25">
      <c r="B293" s="118" t="s">
        <v>366</v>
      </c>
      <c r="C293" s="173">
        <f>'Below the Line'!$D$40</f>
        <v>0.12</v>
      </c>
      <c r="D293" s="209" t="s">
        <v>316</v>
      </c>
      <c r="E293" s="209"/>
    </row>
    <row r="296" spans="2:16" ht="15.75" thickBot="1" x14ac:dyDescent="0.3"/>
    <row r="297" spans="2:16" ht="27" thickBot="1" x14ac:dyDescent="0.3">
      <c r="B297" s="289" t="s">
        <v>434</v>
      </c>
      <c r="C297" s="288"/>
      <c r="D297" s="288"/>
      <c r="E297" s="288"/>
      <c r="F297" s="288"/>
      <c r="G297" s="288"/>
      <c r="H297" s="288"/>
      <c r="I297" s="288"/>
      <c r="J297" s="288"/>
      <c r="K297" s="288"/>
      <c r="L297" s="288"/>
      <c r="M297" s="288"/>
      <c r="N297" s="288"/>
      <c r="O297" s="288"/>
      <c r="P297" s="287"/>
    </row>
    <row r="298" spans="2:16" ht="21" x14ac:dyDescent="0.35">
      <c r="B298" s="247" t="s">
        <v>382</v>
      </c>
      <c r="C298" s="247"/>
      <c r="D298" s="194" t="s">
        <v>381</v>
      </c>
      <c r="E298" s="246" t="s">
        <v>412</v>
      </c>
      <c r="F298" s="246"/>
      <c r="G298" s="246"/>
      <c r="H298" s="246"/>
      <c r="I298" s="246"/>
      <c r="J298" s="246"/>
      <c r="K298" s="246"/>
      <c r="L298" s="246"/>
      <c r="M298" s="246"/>
      <c r="N298" s="246"/>
      <c r="O298" s="246"/>
      <c r="P298" s="246"/>
    </row>
    <row r="299" spans="2:16" ht="105" x14ac:dyDescent="0.25">
      <c r="B299" s="192" t="s">
        <v>379</v>
      </c>
      <c r="C299" s="192" t="s">
        <v>378</v>
      </c>
      <c r="D299" s="192" t="s">
        <v>377</v>
      </c>
      <c r="E299" s="243" t="s">
        <v>433</v>
      </c>
      <c r="F299" s="243" t="s">
        <v>432</v>
      </c>
      <c r="G299" s="286" t="s">
        <v>431</v>
      </c>
      <c r="H299" s="285" t="s">
        <v>430</v>
      </c>
      <c r="I299" s="285" t="s">
        <v>429</v>
      </c>
      <c r="J299" s="285" t="s">
        <v>428</v>
      </c>
      <c r="K299" s="284" t="s">
        <v>427</v>
      </c>
      <c r="L299" s="284" t="s">
        <v>426</v>
      </c>
      <c r="M299" s="284" t="s">
        <v>425</v>
      </c>
      <c r="N299" s="283" t="s">
        <v>424</v>
      </c>
      <c r="O299" s="283" t="s">
        <v>423</v>
      </c>
      <c r="P299" s="283" t="s">
        <v>422</v>
      </c>
    </row>
    <row r="300" spans="2:16" x14ac:dyDescent="0.25">
      <c r="B300" s="118" t="s">
        <v>376</v>
      </c>
      <c r="C300" s="118" t="s">
        <v>375</v>
      </c>
      <c r="D300" s="186">
        <f>INDEX('[2]Salary lookup'!$F$5:$F$23,MATCH(C300,'[2]Salary lookup'!$B$5:$B$23,0))</f>
        <v>79415.232000000018</v>
      </c>
      <c r="E300" s="235">
        <v>8</v>
      </c>
      <c r="F300" s="234">
        <v>5</v>
      </c>
      <c r="G300" s="220">
        <f>($C$321/E300)*(F300/$C$321)</f>
        <v>0.625</v>
      </c>
      <c r="H300" s="235">
        <v>8</v>
      </c>
      <c r="I300" s="234">
        <v>5</v>
      </c>
      <c r="J300" s="220">
        <f>($C$321/H300)*(I300/$C$321)</f>
        <v>0.625</v>
      </c>
      <c r="K300" s="188">
        <v>8</v>
      </c>
      <c r="L300" s="282">
        <v>2</v>
      </c>
      <c r="M300" s="220">
        <f>($C$321/K300)*(L300/$C$321)</f>
        <v>0.25</v>
      </c>
      <c r="N300" s="236">
        <v>8</v>
      </c>
      <c r="O300" s="234">
        <v>2</v>
      </c>
      <c r="P300" s="220">
        <f>($C$321/N300)*(O300/$C$321)</f>
        <v>0.25</v>
      </c>
    </row>
    <row r="301" spans="2:16" x14ac:dyDescent="0.25">
      <c r="B301" s="118" t="s">
        <v>421</v>
      </c>
      <c r="C301" s="118" t="s">
        <v>420</v>
      </c>
      <c r="D301" s="186">
        <f>INDEX('[2]Salary lookup'!$F$5:$F$23,MATCH(C301,'[2]Salary lookup'!$B$5:$B$23,0))</f>
        <v>83967.52</v>
      </c>
      <c r="E301" s="220">
        <v>0</v>
      </c>
      <c r="F301" s="220">
        <v>0</v>
      </c>
      <c r="G301" s="220">
        <v>0</v>
      </c>
      <c r="H301" s="235">
        <v>5</v>
      </c>
      <c r="I301" s="234">
        <v>5</v>
      </c>
      <c r="J301" s="220">
        <f>($C$321/H301)*(I301/$C$321)</f>
        <v>1</v>
      </c>
      <c r="K301" s="188">
        <v>10</v>
      </c>
      <c r="L301" s="282">
        <v>2</v>
      </c>
      <c r="M301" s="220">
        <f>($C$321/K301)*(L301/$C$321)</f>
        <v>0.2</v>
      </c>
      <c r="N301" s="236">
        <v>10</v>
      </c>
      <c r="O301" s="234">
        <v>2</v>
      </c>
      <c r="P301" s="220">
        <f>($C$321/N301)*(O301/$C$321)</f>
        <v>0.2</v>
      </c>
    </row>
    <row r="302" spans="2:16" x14ac:dyDescent="0.25">
      <c r="B302" s="118" t="s">
        <v>419</v>
      </c>
      <c r="C302" s="118" t="s">
        <v>373</v>
      </c>
      <c r="D302" s="281">
        <f>INDEX('[2]Salary lookup'!$F$5:$F$23,MATCH(C302,'[2]Salary lookup'!$B$5:$B$23,0))</f>
        <v>41600</v>
      </c>
      <c r="E302" s="234">
        <v>25</v>
      </c>
      <c r="F302" s="234">
        <v>5</v>
      </c>
      <c r="G302" s="220">
        <f>($C$321/E302)*(F302/$C$321)</f>
        <v>0.2</v>
      </c>
      <c r="H302" s="279">
        <v>25</v>
      </c>
      <c r="I302" s="279">
        <v>5</v>
      </c>
      <c r="J302" s="220">
        <f>($C$321/H302)*(I302/$C$321)</f>
        <v>0.2</v>
      </c>
      <c r="K302" s="280">
        <v>25</v>
      </c>
      <c r="L302" s="280">
        <v>2</v>
      </c>
      <c r="M302" s="220">
        <f>($C$321/K302)*(L302/$C$321)</f>
        <v>8.0000000000000016E-2</v>
      </c>
      <c r="N302" s="279">
        <v>25</v>
      </c>
      <c r="O302" s="234">
        <v>2</v>
      </c>
      <c r="P302" s="220">
        <f>($C$321/N302)*(O302/$C$321)</f>
        <v>8.0000000000000016E-2</v>
      </c>
    </row>
    <row r="303" spans="2:16" x14ac:dyDescent="0.25">
      <c r="B303" s="278" t="s">
        <v>373</v>
      </c>
      <c r="C303" s="278" t="s">
        <v>373</v>
      </c>
      <c r="D303" s="277">
        <f>INDEX('[2]Salary lookup'!$F$5:$F$23,MATCH(C303,'[2]Salary lookup'!$B$5:$B$23,0))</f>
        <v>41600</v>
      </c>
      <c r="E303" s="275">
        <v>2.5</v>
      </c>
      <c r="F303" s="271">
        <v>7</v>
      </c>
      <c r="G303" s="276">
        <v>7</v>
      </c>
      <c r="H303" s="275">
        <v>2.5</v>
      </c>
      <c r="I303" s="271">
        <v>7</v>
      </c>
      <c r="J303" s="270">
        <v>7.3</v>
      </c>
      <c r="K303" s="274">
        <v>2.5</v>
      </c>
      <c r="L303" s="273">
        <v>2</v>
      </c>
      <c r="M303" s="270">
        <v>2.63</v>
      </c>
      <c r="N303" s="272">
        <v>2</v>
      </c>
      <c r="O303" s="271">
        <v>2</v>
      </c>
      <c r="P303" s="270">
        <v>3.69</v>
      </c>
    </row>
    <row r="304" spans="2:16" hidden="1" x14ac:dyDescent="0.25">
      <c r="B304" s="179"/>
      <c r="C304" s="179"/>
      <c r="D304" s="179"/>
      <c r="E304" s="179"/>
      <c r="F304" s="179"/>
      <c r="G304" s="179"/>
      <c r="H304" s="179"/>
      <c r="I304" s="179"/>
      <c r="J304" s="179"/>
      <c r="K304" s="179"/>
      <c r="L304" s="179"/>
      <c r="M304" s="179"/>
      <c r="N304" s="179"/>
      <c r="O304" s="179"/>
      <c r="P304" s="179"/>
    </row>
    <row r="305" spans="2:16" hidden="1" x14ac:dyDescent="0.25">
      <c r="B305" s="179"/>
      <c r="C305" s="179"/>
      <c r="D305" s="179"/>
      <c r="E305" s="179"/>
      <c r="F305" s="179"/>
      <c r="G305" s="179"/>
      <c r="H305" s="179"/>
      <c r="I305" s="179"/>
      <c r="J305" s="179"/>
      <c r="K305" s="179"/>
      <c r="L305" s="179"/>
      <c r="M305" s="179"/>
      <c r="N305" s="179"/>
      <c r="O305" s="179"/>
      <c r="P305" s="179"/>
    </row>
    <row r="306" spans="2:16" hidden="1" x14ac:dyDescent="0.25">
      <c r="B306" s="179"/>
      <c r="C306" s="179"/>
      <c r="D306" s="179"/>
      <c r="E306" s="179"/>
      <c r="F306" s="179"/>
      <c r="G306" s="179"/>
      <c r="H306" s="179"/>
      <c r="I306" s="179"/>
      <c r="J306" s="179"/>
      <c r="K306" s="179"/>
      <c r="L306" s="179"/>
      <c r="M306" s="179"/>
      <c r="N306" s="179"/>
      <c r="O306" s="179"/>
      <c r="P306" s="179"/>
    </row>
    <row r="307" spans="2:16" hidden="1" x14ac:dyDescent="0.25">
      <c r="B307" s="179"/>
      <c r="C307" s="179"/>
      <c r="D307" s="179"/>
      <c r="E307" s="179"/>
      <c r="F307" s="179"/>
      <c r="G307" s="179"/>
      <c r="H307" s="179"/>
      <c r="I307" s="179"/>
      <c r="J307" s="179"/>
      <c r="K307" s="179"/>
      <c r="L307" s="179"/>
      <c r="M307" s="179"/>
      <c r="N307" s="179"/>
      <c r="O307" s="179"/>
      <c r="P307" s="179"/>
    </row>
    <row r="310" spans="2:16" x14ac:dyDescent="0.25">
      <c r="B310" s="183" t="s">
        <v>372</v>
      </c>
      <c r="C310" s="183" t="s">
        <v>371</v>
      </c>
      <c r="D310" s="269" t="s">
        <v>370</v>
      </c>
      <c r="E310" s="268"/>
    </row>
    <row r="311" spans="2:16" x14ac:dyDescent="0.25">
      <c r="B311" s="118" t="s">
        <v>360</v>
      </c>
      <c r="C311" s="180">
        <f>INDEX('Below the Line'!$E$4:$E$23,MATCH(B311,'Below the Line'!$C$4:$C$23,0))</f>
        <v>6221.9259542286536</v>
      </c>
      <c r="D311" s="172" t="s">
        <v>369</v>
      </c>
      <c r="E311" s="171"/>
    </row>
    <row r="312" spans="2:16" x14ac:dyDescent="0.25">
      <c r="B312" s="118" t="s">
        <v>332</v>
      </c>
      <c r="C312" s="180">
        <f>INDEX('Below the Line'!$E$4:$E$23,MATCH(B312,'Below the Line'!$C$4:$C$23,0))</f>
        <v>3151.0944966340862</v>
      </c>
      <c r="D312" s="172" t="s">
        <v>369</v>
      </c>
      <c r="E312" s="171"/>
    </row>
    <row r="313" spans="2:16" hidden="1" x14ac:dyDescent="0.25">
      <c r="B313" s="179"/>
      <c r="C313" s="179"/>
      <c r="D313" s="178"/>
      <c r="E313" s="177"/>
      <c r="G313" s="263"/>
      <c r="H313" s="267"/>
      <c r="I313" s="262"/>
    </row>
    <row r="314" spans="2:16" hidden="1" x14ac:dyDescent="0.25">
      <c r="B314" s="179"/>
      <c r="C314" s="179"/>
      <c r="D314" s="178"/>
      <c r="E314" s="177"/>
      <c r="G314" s="263"/>
      <c r="H314" s="267"/>
      <c r="I314" s="262"/>
    </row>
    <row r="315" spans="2:16" hidden="1" x14ac:dyDescent="0.25">
      <c r="B315" s="179"/>
      <c r="C315" s="179"/>
      <c r="D315" s="178"/>
      <c r="E315" s="177"/>
      <c r="G315" s="263"/>
      <c r="H315" s="267"/>
      <c r="I315" s="262"/>
    </row>
    <row r="316" spans="2:16" hidden="1" x14ac:dyDescent="0.25">
      <c r="B316" s="179"/>
      <c r="C316" s="179"/>
      <c r="D316" s="178"/>
      <c r="E316" s="177"/>
      <c r="G316" s="263"/>
      <c r="H316" s="266"/>
      <c r="I316" s="262"/>
    </row>
    <row r="317" spans="2:16" x14ac:dyDescent="0.25">
      <c r="B317" s="176"/>
      <c r="C317" s="176"/>
      <c r="D317" s="176"/>
      <c r="E317" s="176"/>
    </row>
    <row r="318" spans="2:16" x14ac:dyDescent="0.25">
      <c r="B318" s="118" t="s">
        <v>368</v>
      </c>
      <c r="C318" s="173">
        <f>'Below the Line'!$D$35</f>
        <v>0.27379999999999999</v>
      </c>
      <c r="D318" s="172" t="s">
        <v>316</v>
      </c>
      <c r="E318" s="171"/>
    </row>
    <row r="319" spans="2:16" x14ac:dyDescent="0.25">
      <c r="B319" s="118" t="s">
        <v>367</v>
      </c>
      <c r="C319" s="173">
        <f>'Below the Line'!$D$43</f>
        <v>2.7100379121522307E-2</v>
      </c>
      <c r="D319" s="209" t="s">
        <v>314</v>
      </c>
      <c r="E319" s="209"/>
    </row>
    <row r="320" spans="2:16" x14ac:dyDescent="0.25">
      <c r="B320" s="118" t="s">
        <v>366</v>
      </c>
      <c r="C320" s="173">
        <f>'Below the Line'!$D$40</f>
        <v>0.12</v>
      </c>
      <c r="D320" s="209" t="s">
        <v>316</v>
      </c>
      <c r="E320" s="209"/>
      <c r="G320" s="263"/>
      <c r="H320" s="264"/>
      <c r="I320" s="262"/>
    </row>
    <row r="321" spans="2:9" x14ac:dyDescent="0.25">
      <c r="B321" s="265" t="s">
        <v>418</v>
      </c>
      <c r="C321" s="265">
        <v>5</v>
      </c>
      <c r="D321" s="265"/>
      <c r="E321" s="265"/>
      <c r="G321" s="263"/>
      <c r="H321" s="264"/>
      <c r="I321" s="262"/>
    </row>
    <row r="322" spans="2:9" x14ac:dyDescent="0.25">
      <c r="B322" s="118" t="s">
        <v>417</v>
      </c>
      <c r="C322" s="173">
        <v>0.9</v>
      </c>
      <c r="D322" s="118"/>
      <c r="E322" s="118"/>
      <c r="G322" s="263"/>
      <c r="H322" s="262"/>
      <c r="I322" s="262"/>
    </row>
    <row r="327" spans="2:9" ht="15.75" thickBot="1" x14ac:dyDescent="0.3"/>
    <row r="328" spans="2:9" ht="27" thickBot="1" x14ac:dyDescent="0.45">
      <c r="B328" s="261" t="s">
        <v>416</v>
      </c>
      <c r="C328" s="260"/>
      <c r="D328" s="260"/>
      <c r="E328" s="259"/>
      <c r="F328" s="258"/>
    </row>
    <row r="329" spans="2:9" ht="21" x14ac:dyDescent="0.25">
      <c r="B329" s="257" t="s">
        <v>382</v>
      </c>
      <c r="C329" s="257"/>
      <c r="D329" s="256" t="s">
        <v>381</v>
      </c>
      <c r="E329" s="255" t="s">
        <v>412</v>
      </c>
    </row>
    <row r="330" spans="2:9" ht="30" x14ac:dyDescent="0.25">
      <c r="B330" s="192" t="s">
        <v>379</v>
      </c>
      <c r="C330" s="192" t="s">
        <v>378</v>
      </c>
      <c r="D330" s="192" t="s">
        <v>377</v>
      </c>
      <c r="E330" s="192" t="s">
        <v>416</v>
      </c>
    </row>
    <row r="331" spans="2:9" x14ac:dyDescent="0.25">
      <c r="B331" s="118" t="s">
        <v>376</v>
      </c>
      <c r="C331" s="118" t="s">
        <v>375</v>
      </c>
      <c r="D331" s="186">
        <f>INDEX('[2]Salary lookup'!$F$5:$F$23,MATCH(C331,'[2]Salary lookup'!$B$5:$B$23,0))</f>
        <v>79415.232000000018</v>
      </c>
      <c r="E331" s="254">
        <v>0.25</v>
      </c>
    </row>
    <row r="332" spans="2:9" x14ac:dyDescent="0.25">
      <c r="B332" s="118" t="s">
        <v>388</v>
      </c>
      <c r="C332" s="118" t="s">
        <v>388</v>
      </c>
      <c r="D332" s="186">
        <f>INDEX('[2]Salary lookup'!$F$5:$F$23,MATCH(C332,'[2]Salary lookup'!$B$5:$B$23,0))</f>
        <v>58616.063999999998</v>
      </c>
      <c r="E332" s="254">
        <v>2</v>
      </c>
    </row>
    <row r="333" spans="2:9" hidden="1" x14ac:dyDescent="0.25">
      <c r="B333" s="179"/>
      <c r="C333" s="179"/>
      <c r="D333" s="179"/>
      <c r="E333" s="179"/>
    </row>
    <row r="334" spans="2:9" hidden="1" x14ac:dyDescent="0.25">
      <c r="B334" s="179"/>
      <c r="C334" s="179"/>
      <c r="D334" s="179"/>
      <c r="E334" s="179"/>
    </row>
    <row r="337" spans="2:16" x14ac:dyDescent="0.25">
      <c r="B337" s="184" t="s">
        <v>372</v>
      </c>
      <c r="C337" s="184" t="s">
        <v>371</v>
      </c>
      <c r="D337" s="253" t="s">
        <v>370</v>
      </c>
      <c r="E337" s="253"/>
    </row>
    <row r="338" spans="2:16" x14ac:dyDescent="0.25">
      <c r="B338" s="118" t="s">
        <v>323</v>
      </c>
      <c r="C338" s="180">
        <f>INDEX('Below the Line'!$E$4:$E$26,MATCH(B338,'Below the Line'!$C$4:$C$26,0))</f>
        <v>43580.103799999997</v>
      </c>
      <c r="D338" s="172" t="s">
        <v>415</v>
      </c>
      <c r="E338" s="171"/>
    </row>
    <row r="339" spans="2:16" x14ac:dyDescent="0.25">
      <c r="B339" s="118" t="s">
        <v>322</v>
      </c>
      <c r="C339" s="180">
        <f>INDEX('Below the Line'!$E$4:$E$26,MATCH(B339,'Below the Line'!$C$4:$C$26,0))</f>
        <v>21500</v>
      </c>
      <c r="D339" s="172" t="s">
        <v>414</v>
      </c>
      <c r="E339" s="171"/>
      <c r="F339" s="155"/>
    </row>
    <row r="340" spans="2:16" x14ac:dyDescent="0.25">
      <c r="B340" s="118" t="s">
        <v>321</v>
      </c>
      <c r="C340" s="180">
        <f>INDEX('Below the Line'!$E$4:$E$26,MATCH(B340,'Below the Line'!$C$4:$C$26,0))</f>
        <v>1000</v>
      </c>
      <c r="D340" s="172" t="s">
        <v>414</v>
      </c>
      <c r="E340" s="171"/>
      <c r="F340" s="155"/>
    </row>
    <row r="341" spans="2:16" hidden="1" x14ac:dyDescent="0.25">
      <c r="B341" s="179"/>
      <c r="C341" s="179"/>
      <c r="D341" s="252"/>
      <c r="E341" s="252"/>
    </row>
    <row r="342" spans="2:16" hidden="1" x14ac:dyDescent="0.25">
      <c r="B342" s="179"/>
      <c r="C342" s="179"/>
      <c r="D342" s="252"/>
      <c r="E342" s="252"/>
    </row>
    <row r="343" spans="2:16" hidden="1" x14ac:dyDescent="0.25">
      <c r="B343" s="179"/>
      <c r="C343" s="179"/>
      <c r="D343" s="252"/>
      <c r="E343" s="252"/>
    </row>
    <row r="344" spans="2:16" x14ac:dyDescent="0.25">
      <c r="B344" s="176"/>
      <c r="C344" s="176"/>
      <c r="D344" s="176"/>
      <c r="E344" s="176"/>
    </row>
    <row r="345" spans="2:16" x14ac:dyDescent="0.25">
      <c r="B345" s="118" t="s">
        <v>368</v>
      </c>
      <c r="C345" s="173">
        <f>'Below the Line'!$D$35</f>
        <v>0.27379999999999999</v>
      </c>
      <c r="D345" s="172" t="s">
        <v>316</v>
      </c>
      <c r="E345" s="171"/>
    </row>
    <row r="346" spans="2:16" x14ac:dyDescent="0.25">
      <c r="B346" s="118" t="s">
        <v>367</v>
      </c>
      <c r="C346" s="173">
        <f>'Below the Line'!$D$43</f>
        <v>2.7100379121522307E-2</v>
      </c>
      <c r="D346" s="209" t="s">
        <v>314</v>
      </c>
      <c r="E346" s="209"/>
    </row>
    <row r="347" spans="2:16" x14ac:dyDescent="0.25">
      <c r="B347" s="118" t="s">
        <v>366</v>
      </c>
      <c r="C347" s="173">
        <f>'Below the Line'!$D$40</f>
        <v>0.12</v>
      </c>
      <c r="D347" s="209" t="s">
        <v>316</v>
      </c>
      <c r="E347" s="209"/>
    </row>
    <row r="350" spans="2:16" ht="15.75" thickBot="1" x14ac:dyDescent="0.3"/>
    <row r="351" spans="2:16" ht="27" thickBot="1" x14ac:dyDescent="0.3">
      <c r="B351" s="251" t="s">
        <v>413</v>
      </c>
      <c r="C351" s="250"/>
      <c r="D351" s="250"/>
      <c r="E351" s="250"/>
      <c r="F351" s="250"/>
      <c r="G351" s="250"/>
      <c r="H351" s="250"/>
      <c r="I351" s="250"/>
      <c r="J351" s="250"/>
      <c r="K351" s="250"/>
      <c r="L351" s="250"/>
      <c r="M351" s="249"/>
      <c r="N351" s="248"/>
      <c r="O351" s="248"/>
      <c r="P351" s="248"/>
    </row>
    <row r="352" spans="2:16" ht="21" x14ac:dyDescent="0.35">
      <c r="B352" s="247" t="s">
        <v>382</v>
      </c>
      <c r="C352" s="247"/>
      <c r="D352" s="194" t="s">
        <v>381</v>
      </c>
      <c r="E352" s="246" t="s">
        <v>412</v>
      </c>
      <c r="F352" s="246"/>
      <c r="G352" s="246"/>
      <c r="H352" s="246"/>
      <c r="I352" s="246"/>
      <c r="J352" s="246"/>
      <c r="K352" s="246"/>
      <c r="L352" s="246"/>
      <c r="M352" s="246"/>
      <c r="N352" s="245"/>
      <c r="O352" s="245"/>
      <c r="P352" s="245"/>
    </row>
    <row r="353" spans="2:15" ht="45" x14ac:dyDescent="0.25">
      <c r="B353" s="192" t="s">
        <v>379</v>
      </c>
      <c r="C353" s="192" t="s">
        <v>378</v>
      </c>
      <c r="D353" s="192" t="s">
        <v>377</v>
      </c>
      <c r="E353" s="244" t="s">
        <v>411</v>
      </c>
      <c r="F353" s="243" t="s">
        <v>410</v>
      </c>
      <c r="G353" s="242" t="s">
        <v>409</v>
      </c>
      <c r="H353" s="241" t="s">
        <v>408</v>
      </c>
      <c r="I353" s="241" t="s">
        <v>407</v>
      </c>
      <c r="J353" s="240" t="s">
        <v>406</v>
      </c>
      <c r="K353" s="239" t="s">
        <v>405</v>
      </c>
      <c r="L353" s="238" t="s">
        <v>404</v>
      </c>
      <c r="M353" s="237"/>
      <c r="N353" s="237"/>
      <c r="O353" s="237"/>
    </row>
    <row r="354" spans="2:15" x14ac:dyDescent="0.25">
      <c r="B354" s="203" t="s">
        <v>376</v>
      </c>
      <c r="C354" s="118" t="s">
        <v>375</v>
      </c>
      <c r="D354" s="186">
        <f>INDEX('[2]Salary lookup'!$F$5:$F$23,MATCH(C354,'[2]Salary lookup'!$B$5:$B$23,0))</f>
        <v>79415.232000000018</v>
      </c>
      <c r="E354" s="236">
        <v>0.20793500000000001</v>
      </c>
      <c r="F354" s="236">
        <v>0.20793500000000001</v>
      </c>
      <c r="G354" s="185">
        <v>0.45454499999999998</v>
      </c>
      <c r="H354" s="188">
        <v>0.17141010000000001</v>
      </c>
      <c r="I354" s="188">
        <v>0.57834859999999999</v>
      </c>
      <c r="J354" s="188">
        <v>0.69090910000000005</v>
      </c>
      <c r="K354" s="188">
        <v>0.54186582999999999</v>
      </c>
      <c r="L354" s="231">
        <v>0.56619470000000005</v>
      </c>
      <c r="M354" s="230"/>
      <c r="N354" s="229"/>
      <c r="O354" s="228"/>
    </row>
    <row r="355" spans="2:15" x14ac:dyDescent="0.25">
      <c r="B355" s="203" t="s">
        <v>403</v>
      </c>
      <c r="C355" s="204" t="s">
        <v>402</v>
      </c>
      <c r="D355" s="186">
        <f>INDEX('[2]Salary lookup'!$F$5:$F$23,MATCH(C355,'[2]Salary lookup'!$B$5:$B$23,0))</f>
        <v>80606.448000000004</v>
      </c>
      <c r="E355" s="235"/>
      <c r="F355" s="234"/>
      <c r="G355" s="220">
        <v>0.65</v>
      </c>
      <c r="H355" s="188">
        <v>0.52</v>
      </c>
      <c r="I355" s="188">
        <v>1.02</v>
      </c>
      <c r="J355" s="188">
        <v>1.0900000000000001</v>
      </c>
      <c r="K355" s="188">
        <v>1.47</v>
      </c>
      <c r="L355" s="233">
        <v>1.0900000000000001</v>
      </c>
      <c r="M355" s="230"/>
      <c r="N355" s="229"/>
      <c r="O355" s="228"/>
    </row>
    <row r="356" spans="2:15" x14ac:dyDescent="0.25">
      <c r="B356" s="203" t="s">
        <v>391</v>
      </c>
      <c r="C356" s="118" t="s">
        <v>397</v>
      </c>
      <c r="D356" s="186">
        <f>INDEX('[2]Salary lookup'!$F$5:$F$23,MATCH(C356,'[2]Salary lookup'!$B$5:$B$23,0))</f>
        <v>64330.864000000001</v>
      </c>
      <c r="E356" s="188">
        <v>0.45</v>
      </c>
      <c r="F356" s="188">
        <v>0.7</v>
      </c>
      <c r="G356" s="188">
        <v>0.64</v>
      </c>
      <c r="H356" s="188">
        <v>0.51</v>
      </c>
      <c r="I356" s="188">
        <v>1.02</v>
      </c>
      <c r="J356" s="188">
        <v>1.0900000000000001</v>
      </c>
      <c r="K356" s="188">
        <v>1.48</v>
      </c>
      <c r="L356" s="233">
        <v>1.0900000000000001</v>
      </c>
      <c r="M356" s="230"/>
      <c r="N356" s="229"/>
      <c r="O356" s="228"/>
    </row>
    <row r="357" spans="2:15" x14ac:dyDescent="0.25">
      <c r="B357" s="189" t="s">
        <v>390</v>
      </c>
      <c r="C357" s="118" t="s">
        <v>386</v>
      </c>
      <c r="D357" s="186">
        <f>INDEX('[2]Salary lookup'!$F$5:$F$23,MATCH(C357,'[2]Salary lookup'!$B$5:$B$23,0))</f>
        <v>53206.566400000003</v>
      </c>
      <c r="E357" s="188">
        <v>0.95</v>
      </c>
      <c r="F357" s="188">
        <v>1.62</v>
      </c>
      <c r="G357" s="188">
        <v>1.05</v>
      </c>
      <c r="H357" s="188">
        <v>1.91</v>
      </c>
      <c r="I357" s="188"/>
      <c r="J357" s="188">
        <v>1.21</v>
      </c>
      <c r="K357" s="188">
        <v>3.79</v>
      </c>
      <c r="L357" s="233">
        <v>2.39</v>
      </c>
      <c r="M357" s="232"/>
      <c r="N357" s="229"/>
      <c r="O357" s="228"/>
    </row>
    <row r="358" spans="2:15" x14ac:dyDescent="0.25">
      <c r="B358" s="189" t="s">
        <v>401</v>
      </c>
      <c r="C358" s="118" t="s">
        <v>373</v>
      </c>
      <c r="D358" s="186">
        <f>INDEX('[2]Salary lookup'!$F$5:$F$23,MATCH(C358,'[2]Salary lookup'!$B$5:$B$23,0))</f>
        <v>41600</v>
      </c>
      <c r="E358" s="188">
        <v>0.13539999999999999</v>
      </c>
      <c r="F358" s="188">
        <v>0.13539999999999999</v>
      </c>
      <c r="G358" s="188">
        <v>0.25</v>
      </c>
      <c r="H358" s="188">
        <v>0.1656</v>
      </c>
      <c r="I358" s="188">
        <v>0.13059999999999999</v>
      </c>
      <c r="J358" s="188">
        <v>0.2049</v>
      </c>
      <c r="K358" s="188">
        <v>0.33460000000000001</v>
      </c>
      <c r="L358" s="231">
        <v>0.47349999999999998</v>
      </c>
      <c r="M358" s="230"/>
      <c r="N358" s="229"/>
      <c r="O358" s="228"/>
    </row>
    <row r="359" spans="2:15" hidden="1" x14ac:dyDescent="0.25">
      <c r="B359" s="179"/>
      <c r="C359" s="179"/>
      <c r="D359" s="179"/>
      <c r="E359" s="227"/>
      <c r="F359" s="227"/>
      <c r="G359" s="227"/>
      <c r="H359" s="227"/>
      <c r="I359" s="227"/>
      <c r="J359" s="227"/>
      <c r="K359" s="227"/>
      <c r="L359" s="226"/>
    </row>
    <row r="360" spans="2:15" hidden="1" x14ac:dyDescent="0.25">
      <c r="B360" s="179"/>
      <c r="C360" s="179"/>
      <c r="D360" s="179"/>
      <c r="E360" s="179"/>
      <c r="F360" s="179"/>
      <c r="G360" s="179"/>
      <c r="H360" s="179"/>
      <c r="I360" s="179"/>
      <c r="J360" s="179"/>
      <c r="K360" s="179"/>
      <c r="L360" s="226"/>
    </row>
    <row r="362" spans="2:15" ht="15.75" thickBot="1" x14ac:dyDescent="0.3"/>
    <row r="363" spans="2:15" x14ac:dyDescent="0.25">
      <c r="B363" s="219" t="s">
        <v>372</v>
      </c>
      <c r="C363" s="218" t="s">
        <v>371</v>
      </c>
      <c r="D363" s="217" t="s">
        <v>370</v>
      </c>
      <c r="E363" s="216"/>
    </row>
    <row r="364" spans="2:15" x14ac:dyDescent="0.25">
      <c r="B364" s="215" t="s">
        <v>360</v>
      </c>
      <c r="C364" s="180">
        <f>INDEX('Below the Line'!$E$4:$E$23,MATCH(B364,'Below the Line'!$C$4:$C$23,0))</f>
        <v>6221.9259542286536</v>
      </c>
      <c r="D364" s="172" t="s">
        <v>369</v>
      </c>
      <c r="E364" s="211"/>
    </row>
    <row r="365" spans="2:15" x14ac:dyDescent="0.25">
      <c r="B365" s="215" t="s">
        <v>356</v>
      </c>
      <c r="C365" s="180">
        <f>INDEX('Below the Line'!$E$4:$E$23,MATCH(B365,'Below the Line'!$C$4:$C$23,0))</f>
        <v>202.39734163733908</v>
      </c>
      <c r="D365" s="172" t="s">
        <v>369</v>
      </c>
      <c r="E365" s="211"/>
    </row>
    <row r="366" spans="2:15" x14ac:dyDescent="0.25">
      <c r="B366" s="215" t="s">
        <v>354</v>
      </c>
      <c r="C366" s="180">
        <f>INDEX('Below the Line'!$E$4:$E$23,MATCH(B366,'Below the Line'!$C$4:$C$23,0))</f>
        <v>823.75132959083601</v>
      </c>
      <c r="D366" s="172" t="s">
        <v>369</v>
      </c>
      <c r="E366" s="211"/>
    </row>
    <row r="367" spans="2:15" x14ac:dyDescent="0.25">
      <c r="B367" s="215" t="s">
        <v>352</v>
      </c>
      <c r="C367" s="180">
        <f>INDEX('Below the Line'!$E$4:$E$23,MATCH(B367,'Below the Line'!$C$4:$C$23,0))</f>
        <v>726.26821565114597</v>
      </c>
      <c r="D367" s="172" t="s">
        <v>369</v>
      </c>
      <c r="E367" s="211"/>
    </row>
    <row r="368" spans="2:15" x14ac:dyDescent="0.25">
      <c r="B368" s="215" t="s">
        <v>350</v>
      </c>
      <c r="C368" s="180">
        <f>INDEX('Below the Line'!$E$4:$E$23,MATCH(B368,'Below the Line'!$C$4:$C$23,0))</f>
        <v>1741.693522928565</v>
      </c>
      <c r="D368" s="172" t="s">
        <v>369</v>
      </c>
      <c r="E368" s="211"/>
    </row>
    <row r="369" spans="2:6" x14ac:dyDescent="0.25">
      <c r="B369" s="215" t="s">
        <v>342</v>
      </c>
      <c r="C369" s="180">
        <f>INDEX('Below the Line'!$E$4:$E$23,MATCH(B369,'Below the Line'!$C$4:$C$23,0))</f>
        <v>1858.2779275952644</v>
      </c>
      <c r="D369" s="172" t="s">
        <v>369</v>
      </c>
      <c r="E369" s="211"/>
    </row>
    <row r="370" spans="2:6" x14ac:dyDescent="0.25">
      <c r="B370" s="215" t="s">
        <v>334</v>
      </c>
      <c r="C370" s="180">
        <f>INDEX('Below the Line'!$E$4:$E$23,MATCH(B370,'Below the Line'!$C$4:$C$23,0))</f>
        <v>1493.1564099112707</v>
      </c>
      <c r="D370" s="172" t="s">
        <v>369</v>
      </c>
      <c r="E370" s="211"/>
    </row>
    <row r="371" spans="2:6" x14ac:dyDescent="0.25">
      <c r="B371" s="214"/>
      <c r="C371" s="176"/>
      <c r="D371" s="213"/>
      <c r="E371" s="212"/>
    </row>
    <row r="372" spans="2:6" x14ac:dyDescent="0.25">
      <c r="B372" s="210" t="s">
        <v>368</v>
      </c>
      <c r="C372" s="173">
        <f>'Below the Line'!$D$35</f>
        <v>0.27379999999999999</v>
      </c>
      <c r="D372" s="172" t="s">
        <v>316</v>
      </c>
      <c r="E372" s="211"/>
    </row>
    <row r="373" spans="2:6" x14ac:dyDescent="0.25">
      <c r="B373" s="210" t="s">
        <v>367</v>
      </c>
      <c r="C373" s="173">
        <f>'Below the Line'!$D$43</f>
        <v>2.7100379121522307E-2</v>
      </c>
      <c r="D373" s="209" t="s">
        <v>314</v>
      </c>
      <c r="E373" s="208"/>
    </row>
    <row r="374" spans="2:6" x14ac:dyDescent="0.25">
      <c r="B374" s="210" t="s">
        <v>366</v>
      </c>
      <c r="C374" s="173">
        <f>'Below the Line'!$D$40</f>
        <v>0.12</v>
      </c>
      <c r="D374" s="209" t="s">
        <v>316</v>
      </c>
      <c r="E374" s="208"/>
    </row>
    <row r="375" spans="2:6" ht="15.75" thickBot="1" x14ac:dyDescent="0.3">
      <c r="B375" s="207" t="s">
        <v>394</v>
      </c>
      <c r="C375" s="206">
        <v>10</v>
      </c>
      <c r="D375" s="206"/>
      <c r="E375" s="205"/>
    </row>
    <row r="378" spans="2:6" ht="15.75" thickBot="1" x14ac:dyDescent="0.3"/>
    <row r="379" spans="2:6" ht="27" thickBot="1" x14ac:dyDescent="0.45">
      <c r="B379" s="199" t="s">
        <v>400</v>
      </c>
      <c r="C379" s="198"/>
      <c r="D379" s="198"/>
      <c r="E379" s="198"/>
      <c r="F379" s="225"/>
    </row>
    <row r="380" spans="2:6" ht="21" x14ac:dyDescent="0.35">
      <c r="B380" s="197" t="s">
        <v>382</v>
      </c>
      <c r="C380" s="196"/>
      <c r="D380" s="195" t="s">
        <v>381</v>
      </c>
      <c r="E380" s="224" t="s">
        <v>399</v>
      </c>
      <c r="F380" s="194" t="s">
        <v>380</v>
      </c>
    </row>
    <row r="381" spans="2:6" x14ac:dyDescent="0.25">
      <c r="B381" s="183" t="s">
        <v>379</v>
      </c>
      <c r="C381" s="184" t="s">
        <v>378</v>
      </c>
      <c r="D381" s="193" t="s">
        <v>377</v>
      </c>
      <c r="E381" s="223"/>
      <c r="F381" s="192"/>
    </row>
    <row r="382" spans="2:6" x14ac:dyDescent="0.25">
      <c r="B382" s="191" t="s">
        <v>376</v>
      </c>
      <c r="C382" s="222" t="s">
        <v>375</v>
      </c>
      <c r="D382" s="186">
        <f>INDEX('[2]Salary lookup'!$F$5:$F$22,MATCH(C382,'[2]Salary lookup'!$B$5:$B$22,0))</f>
        <v>79415.232000000018</v>
      </c>
      <c r="E382" s="188">
        <v>228.57142857142856</v>
      </c>
      <c r="F382" s="188">
        <v>0.14000000000000001</v>
      </c>
    </row>
    <row r="383" spans="2:6" x14ac:dyDescent="0.25">
      <c r="B383" s="221" t="s">
        <v>398</v>
      </c>
      <c r="C383" s="118" t="s">
        <v>397</v>
      </c>
      <c r="D383" s="186">
        <f>INDEX('[2]Salary lookup'!$F$5:$F$22,MATCH(C383,'[2]Salary lookup'!$B$5:$B$22,0))</f>
        <v>64330.864000000001</v>
      </c>
      <c r="E383" s="188">
        <v>246.15384615384613</v>
      </c>
      <c r="F383" s="188">
        <v>0.13</v>
      </c>
    </row>
    <row r="384" spans="2:6" x14ac:dyDescent="0.25">
      <c r="B384" s="189" t="s">
        <v>390</v>
      </c>
      <c r="C384" s="118" t="s">
        <v>386</v>
      </c>
      <c r="D384" s="186">
        <f>INDEX('[2]Salary lookup'!$F$5:$F$22,MATCH(C384,'[2]Salary lookup'!$B$5:$B$22,0))</f>
        <v>53206.566400000003</v>
      </c>
      <c r="E384" s="185"/>
      <c r="F384" s="188">
        <v>1</v>
      </c>
    </row>
    <row r="385" spans="2:6" x14ac:dyDescent="0.25">
      <c r="B385" s="189" t="s">
        <v>373</v>
      </c>
      <c r="C385" s="118" t="s">
        <v>373</v>
      </c>
      <c r="D385" s="186">
        <f>INDEX('[2]Salary lookup'!$F$5:$F$22,MATCH(C385,'[2]Salary lookup'!$B$5:$B$22,0))</f>
        <v>41600</v>
      </c>
      <c r="E385" s="188">
        <v>12.851405622489958</v>
      </c>
      <c r="F385" s="185">
        <v>1.49</v>
      </c>
    </row>
    <row r="386" spans="2:6" x14ac:dyDescent="0.25">
      <c r="B386" s="187" t="s">
        <v>396</v>
      </c>
      <c r="C386" s="118" t="s">
        <v>373</v>
      </c>
      <c r="D386" s="186">
        <f>INDEX('[2]Salary lookup'!$F$5:$F$22,MATCH(C386,'[2]Salary lookup'!$B$5:$B$22,0))</f>
        <v>41600</v>
      </c>
      <c r="E386" s="188">
        <v>1066.6666666666667</v>
      </c>
      <c r="F386" s="220">
        <v>0.03</v>
      </c>
    </row>
    <row r="387" spans="2:6" hidden="1" x14ac:dyDescent="0.25">
      <c r="B387" s="179"/>
      <c r="C387" s="179"/>
      <c r="D387" s="179"/>
      <c r="E387" s="179"/>
      <c r="F387" s="179"/>
    </row>
    <row r="388" spans="2:6" hidden="1" x14ac:dyDescent="0.25">
      <c r="B388" s="179"/>
      <c r="C388" s="179"/>
      <c r="D388" s="179"/>
      <c r="E388" s="179"/>
      <c r="F388" s="179"/>
    </row>
    <row r="391" spans="2:6" x14ac:dyDescent="0.25">
      <c r="B391" s="183" t="s">
        <v>372</v>
      </c>
      <c r="C391" s="183" t="s">
        <v>371</v>
      </c>
      <c r="D391" s="182" t="s">
        <v>370</v>
      </c>
      <c r="E391" s="181"/>
    </row>
    <row r="392" spans="2:6" x14ac:dyDescent="0.25">
      <c r="B392" t="s">
        <v>340</v>
      </c>
      <c r="C392" s="180">
        <f>INDEX('Below the Line'!$E$4:$E$23,MATCH(B392,'Below the Line'!$C$4:$C$23,0))</f>
        <v>1475.3908322281168</v>
      </c>
      <c r="D392" s="172" t="s">
        <v>369</v>
      </c>
      <c r="E392" s="171"/>
    </row>
    <row r="393" spans="2:6" hidden="1" x14ac:dyDescent="0.25">
      <c r="B393" s="179"/>
      <c r="C393" s="179"/>
      <c r="D393" s="178"/>
      <c r="E393" s="177"/>
    </row>
    <row r="394" spans="2:6" hidden="1" x14ac:dyDescent="0.25">
      <c r="B394" s="179"/>
      <c r="C394" s="179"/>
      <c r="D394" s="178"/>
      <c r="E394" s="177"/>
    </row>
    <row r="395" spans="2:6" x14ac:dyDescent="0.25">
      <c r="B395" s="176"/>
      <c r="C395" s="176"/>
      <c r="D395" s="175"/>
      <c r="E395" s="174"/>
    </row>
    <row r="396" spans="2:6" x14ac:dyDescent="0.25">
      <c r="B396" s="118" t="s">
        <v>368</v>
      </c>
      <c r="C396" s="173">
        <f>'Below the Line'!$D$35</f>
        <v>0.27379999999999999</v>
      </c>
      <c r="D396" s="172" t="s">
        <v>316</v>
      </c>
      <c r="E396" s="171"/>
    </row>
    <row r="397" spans="2:6" x14ac:dyDescent="0.25">
      <c r="B397" s="118" t="s">
        <v>367</v>
      </c>
      <c r="C397" s="173">
        <f>'Below the Line'!$D$43</f>
        <v>2.7100379121522307E-2</v>
      </c>
      <c r="D397" s="172" t="s">
        <v>314</v>
      </c>
      <c r="E397" s="171"/>
    </row>
    <row r="398" spans="2:6" x14ac:dyDescent="0.25">
      <c r="B398" s="118" t="s">
        <v>366</v>
      </c>
      <c r="C398" s="173">
        <f>'Below the Line'!$D$40</f>
        <v>0.12</v>
      </c>
      <c r="D398" s="172" t="s">
        <v>316</v>
      </c>
      <c r="E398" s="171"/>
    </row>
    <row r="400" spans="2:6" ht="15.75" thickBot="1" x14ac:dyDescent="0.3"/>
    <row r="401" spans="2:5" ht="27" thickBot="1" x14ac:dyDescent="0.45">
      <c r="B401" s="199" t="s">
        <v>395</v>
      </c>
      <c r="C401" s="198"/>
      <c r="D401" s="198"/>
      <c r="E401" s="198"/>
    </row>
    <row r="402" spans="2:5" ht="21" x14ac:dyDescent="0.35">
      <c r="B402" s="197" t="s">
        <v>382</v>
      </c>
      <c r="C402" s="196"/>
      <c r="D402" s="195" t="s">
        <v>381</v>
      </c>
      <c r="E402" s="194" t="s">
        <v>380</v>
      </c>
    </row>
    <row r="403" spans="2:5" x14ac:dyDescent="0.25">
      <c r="B403" s="183" t="s">
        <v>379</v>
      </c>
      <c r="C403" s="184" t="s">
        <v>378</v>
      </c>
      <c r="D403" s="193" t="s">
        <v>377</v>
      </c>
      <c r="E403" s="192"/>
    </row>
    <row r="404" spans="2:5" x14ac:dyDescent="0.25">
      <c r="B404" s="191" t="s">
        <v>376</v>
      </c>
      <c r="C404" s="190" t="s">
        <v>375</v>
      </c>
      <c r="D404" s="186">
        <f>INDEX('[2]Salary lookup'!$F$5:$F$22,MATCH(C404,'[2]Salary lookup'!$B$5:$B$22,0))</f>
        <v>79415.232000000018</v>
      </c>
      <c r="E404" s="188">
        <v>0.01</v>
      </c>
    </row>
    <row r="405" spans="2:5" x14ac:dyDescent="0.25">
      <c r="B405" s="203" t="s">
        <v>391</v>
      </c>
      <c r="C405" s="203" t="s">
        <v>391</v>
      </c>
      <c r="D405" s="186">
        <f>INDEX('[2]Salary lookup'!$F$5:$F$22,MATCH(C405,'[2]Salary lookup'!$B$5:$B$22,0))</f>
        <v>64330.864000000001</v>
      </c>
      <c r="E405" s="188">
        <v>0.09</v>
      </c>
    </row>
    <row r="406" spans="2:5" x14ac:dyDescent="0.25">
      <c r="B406" s="189" t="s">
        <v>390</v>
      </c>
      <c r="C406" s="118" t="s">
        <v>386</v>
      </c>
      <c r="D406" s="186">
        <f>INDEX('[2]Salary lookup'!$F$5:$F$22,MATCH(C406,'[2]Salary lookup'!$B$5:$B$22,0))</f>
        <v>53206.566400000003</v>
      </c>
      <c r="E406" s="185">
        <v>0.1</v>
      </c>
    </row>
    <row r="407" spans="2:5" hidden="1" x14ac:dyDescent="0.25">
      <c r="B407" s="179"/>
      <c r="C407" s="179"/>
      <c r="D407" s="179"/>
      <c r="E407" s="179"/>
    </row>
    <row r="408" spans="2:5" hidden="1" x14ac:dyDescent="0.25">
      <c r="B408" s="179"/>
      <c r="C408" s="179"/>
      <c r="D408" s="179"/>
      <c r="E408" s="179"/>
    </row>
    <row r="410" spans="2:5" ht="15.75" thickBot="1" x14ac:dyDescent="0.3"/>
    <row r="411" spans="2:5" x14ac:dyDescent="0.25">
      <c r="B411" s="219" t="s">
        <v>372</v>
      </c>
      <c r="C411" s="218" t="s">
        <v>371</v>
      </c>
      <c r="D411" s="217" t="s">
        <v>370</v>
      </c>
      <c r="E411" s="216"/>
    </row>
    <row r="412" spans="2:5" x14ac:dyDescent="0.25">
      <c r="B412" s="215" t="s">
        <v>360</v>
      </c>
      <c r="C412" s="180">
        <f>INDEX('Below the Line'!$E$4:$E$23,MATCH(B412,'Below the Line'!$C$4:$C$23,0))</f>
        <v>6221.9259542286536</v>
      </c>
      <c r="D412" s="172" t="s">
        <v>369</v>
      </c>
      <c r="E412" s="211"/>
    </row>
    <row r="413" spans="2:5" x14ac:dyDescent="0.25">
      <c r="B413" s="215" t="s">
        <v>356</v>
      </c>
      <c r="C413" s="180">
        <f>INDEX('Below the Line'!$E$4:$E$23,MATCH(B413,'Below the Line'!$C$4:$C$23,0))</f>
        <v>202.39734163733908</v>
      </c>
      <c r="D413" s="172" t="s">
        <v>369</v>
      </c>
      <c r="E413" s="211"/>
    </row>
    <row r="414" spans="2:5" x14ac:dyDescent="0.25">
      <c r="B414" s="215" t="s">
        <v>354</v>
      </c>
      <c r="C414" s="180">
        <f>INDEX('Below the Line'!$E$4:$E$23,MATCH(B414,'Below the Line'!$C$4:$C$23,0))</f>
        <v>823.75132959083601</v>
      </c>
      <c r="D414" s="172" t="s">
        <v>369</v>
      </c>
      <c r="E414" s="211"/>
    </row>
    <row r="415" spans="2:5" x14ac:dyDescent="0.25">
      <c r="B415" s="215" t="s">
        <v>352</v>
      </c>
      <c r="C415" s="180">
        <f>INDEX('Below the Line'!$E$4:$E$23,MATCH(B415,'Below the Line'!$C$4:$C$23,0))</f>
        <v>726.26821565114597</v>
      </c>
      <c r="D415" s="172" t="s">
        <v>369</v>
      </c>
      <c r="E415" s="211"/>
    </row>
    <row r="416" spans="2:5" x14ac:dyDescent="0.25">
      <c r="B416" s="215" t="s">
        <v>350</v>
      </c>
      <c r="C416" s="180">
        <f>INDEX('Below the Line'!$E$4:$E$23,MATCH(B416,'Below the Line'!$C$4:$C$23,0))</f>
        <v>1741.693522928565</v>
      </c>
      <c r="D416" s="172" t="s">
        <v>369</v>
      </c>
      <c r="E416" s="211"/>
    </row>
    <row r="417" spans="2:5" x14ac:dyDescent="0.25">
      <c r="B417" s="215" t="s">
        <v>342</v>
      </c>
      <c r="C417" s="180">
        <f>INDEX('Below the Line'!$E$4:$E$23,MATCH(B417,'Below the Line'!$C$4:$C$23,0))</f>
        <v>1858.2779275952644</v>
      </c>
      <c r="D417" s="172" t="s">
        <v>369</v>
      </c>
      <c r="E417" s="211"/>
    </row>
    <row r="418" spans="2:5" x14ac:dyDescent="0.25">
      <c r="B418" s="215" t="s">
        <v>334</v>
      </c>
      <c r="C418" s="180">
        <f>INDEX('Below the Line'!$E$4:$E$23,MATCH(B418,'Below the Line'!$C$4:$C$23,0))</f>
        <v>1493.1564099112707</v>
      </c>
      <c r="D418" s="172" t="s">
        <v>369</v>
      </c>
      <c r="E418" s="211"/>
    </row>
    <row r="419" spans="2:5" x14ac:dyDescent="0.25">
      <c r="B419" s="214"/>
      <c r="C419" s="176"/>
      <c r="D419" s="213"/>
      <c r="E419" s="212"/>
    </row>
    <row r="420" spans="2:5" x14ac:dyDescent="0.25">
      <c r="B420" s="210" t="s">
        <v>368</v>
      </c>
      <c r="C420" s="173">
        <f>'Below the Line'!$D$35</f>
        <v>0.27379999999999999</v>
      </c>
      <c r="D420" s="172" t="s">
        <v>316</v>
      </c>
      <c r="E420" s="211"/>
    </row>
    <row r="421" spans="2:5" x14ac:dyDescent="0.25">
      <c r="B421" s="210" t="s">
        <v>367</v>
      </c>
      <c r="C421" s="173">
        <f>'Below the Line'!$D$43</f>
        <v>2.7100379121522307E-2</v>
      </c>
      <c r="D421" s="209" t="s">
        <v>314</v>
      </c>
      <c r="E421" s="208"/>
    </row>
    <row r="422" spans="2:5" x14ac:dyDescent="0.25">
      <c r="B422" s="210" t="s">
        <v>366</v>
      </c>
      <c r="C422" s="173">
        <f>'Below the Line'!$D$40</f>
        <v>0.12</v>
      </c>
      <c r="D422" s="209" t="s">
        <v>316</v>
      </c>
      <c r="E422" s="208"/>
    </row>
    <row r="423" spans="2:5" ht="15.75" thickBot="1" x14ac:dyDescent="0.3">
      <c r="B423" s="207" t="s">
        <v>394</v>
      </c>
      <c r="C423" s="206">
        <v>10</v>
      </c>
      <c r="D423" s="206"/>
      <c r="E423" s="205"/>
    </row>
    <row r="425" spans="2:5" ht="15.75" thickBot="1" x14ac:dyDescent="0.3"/>
    <row r="426" spans="2:5" ht="27" thickBot="1" x14ac:dyDescent="0.45">
      <c r="B426" s="199" t="s">
        <v>393</v>
      </c>
      <c r="C426" s="198"/>
      <c r="D426" s="198"/>
      <c r="E426" s="198"/>
    </row>
    <row r="427" spans="2:5" ht="21" x14ac:dyDescent="0.35">
      <c r="B427" s="197" t="s">
        <v>382</v>
      </c>
      <c r="C427" s="196"/>
      <c r="D427" s="195" t="s">
        <v>381</v>
      </c>
      <c r="E427" s="194" t="s">
        <v>380</v>
      </c>
    </row>
    <row r="428" spans="2:5" x14ac:dyDescent="0.25">
      <c r="B428" s="183" t="s">
        <v>379</v>
      </c>
      <c r="C428" s="184" t="s">
        <v>378</v>
      </c>
      <c r="D428" s="193" t="s">
        <v>377</v>
      </c>
      <c r="E428" s="192"/>
    </row>
    <row r="429" spans="2:5" x14ac:dyDescent="0.25">
      <c r="B429" s="191" t="s">
        <v>376</v>
      </c>
      <c r="C429" s="190" t="s">
        <v>375</v>
      </c>
      <c r="D429" s="186">
        <f>INDEX('[2]Salary lookup'!$F$5:$F$22,MATCH(C429,'[2]Salary lookup'!$B$5:$B$22,0))</f>
        <v>79415.232000000018</v>
      </c>
      <c r="E429" s="188">
        <v>0.01</v>
      </c>
    </row>
    <row r="430" spans="2:5" x14ac:dyDescent="0.25">
      <c r="B430" s="203" t="s">
        <v>391</v>
      </c>
      <c r="C430" s="203" t="s">
        <v>391</v>
      </c>
      <c r="D430" s="186">
        <f>INDEX('[2]Salary lookup'!$F$5:$F$22,MATCH(C430,'[2]Salary lookup'!$B$5:$B$22,0))</f>
        <v>64330.864000000001</v>
      </c>
      <c r="E430" s="188">
        <v>0.09</v>
      </c>
    </row>
    <row r="431" spans="2:5" x14ac:dyDescent="0.25">
      <c r="B431" s="189" t="s">
        <v>390</v>
      </c>
      <c r="C431" s="118" t="s">
        <v>386</v>
      </c>
      <c r="D431" s="186">
        <f>INDEX('[2]Salary lookup'!$F$5:$F$22,MATCH(C431,'[2]Salary lookup'!$B$5:$B$22,0))</f>
        <v>53206.566400000003</v>
      </c>
      <c r="E431" s="185">
        <v>0.1</v>
      </c>
    </row>
    <row r="432" spans="2:5" hidden="1" x14ac:dyDescent="0.25">
      <c r="B432" s="179"/>
      <c r="C432" s="179"/>
      <c r="D432" s="179"/>
      <c r="E432" s="179"/>
    </row>
    <row r="433" spans="2:5" hidden="1" x14ac:dyDescent="0.25">
      <c r="B433" s="179"/>
      <c r="C433" s="179"/>
      <c r="D433" s="179"/>
      <c r="E433" s="179"/>
    </row>
    <row r="435" spans="2:5" x14ac:dyDescent="0.25">
      <c r="B435" s="184" t="s">
        <v>372</v>
      </c>
      <c r="C435" s="183" t="s">
        <v>371</v>
      </c>
      <c r="D435" s="182" t="s">
        <v>370</v>
      </c>
      <c r="E435" s="181"/>
    </row>
    <row r="436" spans="2:5" x14ac:dyDescent="0.25">
      <c r="B436" s="118" t="s">
        <v>360</v>
      </c>
      <c r="C436" s="180">
        <f>INDEX('Below the Line'!$E$4:$E$23,MATCH(B436,'Below the Line'!$C$4:$C$23,0))</f>
        <v>6221.9259542286536</v>
      </c>
      <c r="D436" s="172" t="s">
        <v>369</v>
      </c>
      <c r="E436" s="171"/>
    </row>
    <row r="437" spans="2:5" x14ac:dyDescent="0.25">
      <c r="B437" s="118" t="s">
        <v>334</v>
      </c>
      <c r="C437" s="180">
        <f>INDEX('Below the Line'!$E$4:$E$23,MATCH(B437,'Below the Line'!$C$4:$C$23,0))</f>
        <v>1493.1564099112707</v>
      </c>
      <c r="D437" s="172" t="s">
        <v>369</v>
      </c>
      <c r="E437" s="171"/>
    </row>
    <row r="438" spans="2:5" hidden="1" x14ac:dyDescent="0.25">
      <c r="B438" s="179"/>
      <c r="C438" s="179"/>
      <c r="D438" s="178"/>
      <c r="E438" s="177"/>
    </row>
    <row r="439" spans="2:5" x14ac:dyDescent="0.25">
      <c r="B439" s="176"/>
      <c r="C439" s="176"/>
      <c r="D439" s="175"/>
      <c r="E439" s="174"/>
    </row>
    <row r="440" spans="2:5" x14ac:dyDescent="0.25">
      <c r="B440" s="118" t="s">
        <v>368</v>
      </c>
      <c r="C440" s="173">
        <f>'Below the Line'!$D$35</f>
        <v>0.27379999999999999</v>
      </c>
      <c r="D440" s="172" t="s">
        <v>316</v>
      </c>
      <c r="E440" s="171"/>
    </row>
    <row r="441" spans="2:5" x14ac:dyDescent="0.25">
      <c r="B441" s="118" t="s">
        <v>367</v>
      </c>
      <c r="C441" s="173">
        <f>'Below the Line'!$D$43</f>
        <v>2.7100379121522307E-2</v>
      </c>
      <c r="D441" s="172" t="s">
        <v>314</v>
      </c>
      <c r="E441" s="171"/>
    </row>
    <row r="442" spans="2:5" x14ac:dyDescent="0.25">
      <c r="B442" s="118" t="s">
        <v>366</v>
      </c>
      <c r="C442" s="173">
        <f>'Below the Line'!$D$40</f>
        <v>0.12</v>
      </c>
      <c r="D442" s="172" t="s">
        <v>316</v>
      </c>
      <c r="E442" s="171"/>
    </row>
    <row r="444" spans="2:5" ht="15.75" thickBot="1" x14ac:dyDescent="0.3"/>
    <row r="445" spans="2:5" ht="27" thickBot="1" x14ac:dyDescent="0.45">
      <c r="B445" s="199" t="s">
        <v>392</v>
      </c>
      <c r="C445" s="198"/>
      <c r="D445" s="198"/>
      <c r="E445" s="198"/>
    </row>
    <row r="446" spans="2:5" ht="21" x14ac:dyDescent="0.35">
      <c r="B446" s="197" t="s">
        <v>382</v>
      </c>
      <c r="C446" s="196"/>
      <c r="D446" s="195" t="s">
        <v>381</v>
      </c>
      <c r="E446" s="194" t="s">
        <v>380</v>
      </c>
    </row>
    <row r="447" spans="2:5" x14ac:dyDescent="0.25">
      <c r="B447" s="183" t="s">
        <v>379</v>
      </c>
      <c r="C447" s="184" t="s">
        <v>378</v>
      </c>
      <c r="D447" s="193" t="s">
        <v>377</v>
      </c>
      <c r="E447" s="192"/>
    </row>
    <row r="448" spans="2:5" x14ac:dyDescent="0.25">
      <c r="B448" s="191" t="s">
        <v>376</v>
      </c>
      <c r="C448" s="190" t="s">
        <v>375</v>
      </c>
      <c r="D448" s="186">
        <f>INDEX('[2]Salary lookup'!$F$5:$F$22,MATCH(C448,'[2]Salary lookup'!$B$5:$B$22,0))</f>
        <v>79415.232000000018</v>
      </c>
      <c r="E448" s="188">
        <v>0.01</v>
      </c>
    </row>
    <row r="449" spans="2:5" x14ac:dyDescent="0.25">
      <c r="B449" s="203" t="s">
        <v>391</v>
      </c>
      <c r="C449" s="203" t="s">
        <v>391</v>
      </c>
      <c r="D449" s="186">
        <f>INDEX('[2]Salary lookup'!$F$5:$F$22,MATCH(C449,'[2]Salary lookup'!$B$5:$B$22,0))</f>
        <v>64330.864000000001</v>
      </c>
      <c r="E449" s="188">
        <v>7.0000000000000007E-2</v>
      </c>
    </row>
    <row r="450" spans="2:5" x14ac:dyDescent="0.25">
      <c r="B450" s="189" t="s">
        <v>390</v>
      </c>
      <c r="C450" s="118" t="s">
        <v>386</v>
      </c>
      <c r="D450" s="186">
        <f>INDEX('[2]Salary lookup'!$F$5:$F$22,MATCH(C450,'[2]Salary lookup'!$B$5:$B$22,0))</f>
        <v>53206.566400000003</v>
      </c>
      <c r="E450" s="185">
        <v>0.08</v>
      </c>
    </row>
    <row r="451" spans="2:5" hidden="1" x14ac:dyDescent="0.25">
      <c r="B451" s="179"/>
      <c r="C451" s="179"/>
      <c r="D451" s="179"/>
      <c r="E451" s="179"/>
    </row>
    <row r="452" spans="2:5" hidden="1" x14ac:dyDescent="0.25">
      <c r="B452" s="179"/>
      <c r="C452" s="179"/>
      <c r="D452" s="179"/>
      <c r="E452" s="179"/>
    </row>
    <row r="454" spans="2:5" x14ac:dyDescent="0.25">
      <c r="B454" s="184" t="s">
        <v>372</v>
      </c>
      <c r="C454" s="183" t="s">
        <v>371</v>
      </c>
      <c r="D454" s="182" t="s">
        <v>370</v>
      </c>
      <c r="E454" s="181"/>
    </row>
    <row r="455" spans="2:5" x14ac:dyDescent="0.25">
      <c r="B455" s="118" t="s">
        <v>360</v>
      </c>
      <c r="C455" s="180">
        <f>INDEX('Below the Line'!$E$4:$E$23,MATCH(B455,'Below the Line'!$C$4:$C$23,0))</f>
        <v>6221.9259542286536</v>
      </c>
      <c r="D455" s="172" t="s">
        <v>369</v>
      </c>
      <c r="E455" s="171"/>
    </row>
    <row r="456" spans="2:5" x14ac:dyDescent="0.25">
      <c r="B456" s="118" t="s">
        <v>334</v>
      </c>
      <c r="C456" s="180">
        <f>INDEX('Below the Line'!$E$4:$E$23,MATCH(B456,'Below the Line'!$C$4:$C$23,0))</f>
        <v>1493.1564099112707</v>
      </c>
      <c r="D456" s="172" t="s">
        <v>369</v>
      </c>
      <c r="E456" s="171"/>
    </row>
    <row r="457" spans="2:5" hidden="1" x14ac:dyDescent="0.25">
      <c r="B457" s="179"/>
      <c r="C457" s="179"/>
      <c r="D457" s="178"/>
      <c r="E457" s="177"/>
    </row>
    <row r="458" spans="2:5" x14ac:dyDescent="0.25">
      <c r="B458" s="176"/>
      <c r="C458" s="176"/>
      <c r="D458" s="175"/>
      <c r="E458" s="174"/>
    </row>
    <row r="459" spans="2:5" x14ac:dyDescent="0.25">
      <c r="B459" s="118" t="s">
        <v>368</v>
      </c>
      <c r="C459" s="173">
        <f>'Below the Line'!$D$35</f>
        <v>0.27379999999999999</v>
      </c>
      <c r="D459" s="172" t="s">
        <v>316</v>
      </c>
      <c r="E459" s="171"/>
    </row>
    <row r="460" spans="2:5" x14ac:dyDescent="0.25">
      <c r="B460" s="118" t="s">
        <v>367</v>
      </c>
      <c r="C460" s="173">
        <f>'Below the Line'!$D$43</f>
        <v>2.7100379121522307E-2</v>
      </c>
      <c r="D460" s="172" t="s">
        <v>314</v>
      </c>
      <c r="E460" s="171"/>
    </row>
    <row r="461" spans="2:5" x14ac:dyDescent="0.25">
      <c r="B461" s="118" t="s">
        <v>366</v>
      </c>
      <c r="C461" s="173">
        <f>'Below the Line'!$D$40</f>
        <v>0.12</v>
      </c>
      <c r="D461" s="172" t="s">
        <v>316</v>
      </c>
      <c r="E461" s="171"/>
    </row>
    <row r="464" spans="2:5" ht="15.75" thickBot="1" x14ac:dyDescent="0.3"/>
    <row r="465" spans="2:5" ht="27" thickBot="1" x14ac:dyDescent="0.45">
      <c r="B465" s="199" t="s">
        <v>389</v>
      </c>
      <c r="C465" s="198"/>
      <c r="D465" s="198"/>
      <c r="E465" s="198"/>
    </row>
    <row r="466" spans="2:5" ht="21" x14ac:dyDescent="0.35">
      <c r="B466" s="197" t="s">
        <v>382</v>
      </c>
      <c r="C466" s="196"/>
      <c r="D466" s="195" t="s">
        <v>381</v>
      </c>
      <c r="E466" s="194" t="s">
        <v>380</v>
      </c>
    </row>
    <row r="467" spans="2:5" x14ac:dyDescent="0.25">
      <c r="B467" s="183" t="s">
        <v>379</v>
      </c>
      <c r="C467" s="184" t="s">
        <v>378</v>
      </c>
      <c r="D467" s="193" t="s">
        <v>377</v>
      </c>
      <c r="E467" s="192"/>
    </row>
    <row r="468" spans="2:5" x14ac:dyDescent="0.25">
      <c r="B468" s="204" t="s">
        <v>388</v>
      </c>
      <c r="C468" s="204" t="s">
        <v>388</v>
      </c>
      <c r="D468" s="186">
        <f>INDEX('[2]Salary lookup'!$F$5:$F$22,MATCH(C468,'[2]Salary lookup'!$B$5:$B$22,0))</f>
        <v>58616.063999999998</v>
      </c>
      <c r="E468" s="188">
        <v>0.6</v>
      </c>
    </row>
    <row r="469" spans="2:5" x14ac:dyDescent="0.25">
      <c r="B469" s="203" t="s">
        <v>387</v>
      </c>
      <c r="C469" s="203" t="s">
        <v>386</v>
      </c>
      <c r="D469" s="186">
        <f>INDEX('[2]Salary lookup'!$F$5:$F$22,MATCH(C469,'[2]Salary lookup'!$B$5:$B$22,0))</f>
        <v>53206.566400000003</v>
      </c>
      <c r="E469" s="188">
        <v>1</v>
      </c>
    </row>
    <row r="470" spans="2:5" hidden="1" x14ac:dyDescent="0.25">
      <c r="B470" s="202"/>
      <c r="C470" s="179"/>
      <c r="D470" s="201"/>
      <c r="E470" s="200"/>
    </row>
    <row r="471" spans="2:5" hidden="1" x14ac:dyDescent="0.25">
      <c r="B471" s="179"/>
      <c r="C471" s="179"/>
      <c r="D471" s="179"/>
      <c r="E471" s="179"/>
    </row>
    <row r="472" spans="2:5" hidden="1" x14ac:dyDescent="0.25">
      <c r="B472" s="179"/>
      <c r="C472" s="179"/>
      <c r="D472" s="179"/>
      <c r="E472" s="179"/>
    </row>
    <row r="474" spans="2:5" x14ac:dyDescent="0.25">
      <c r="B474" s="184" t="s">
        <v>372</v>
      </c>
      <c r="C474" s="183" t="s">
        <v>371</v>
      </c>
      <c r="D474" s="182" t="s">
        <v>370</v>
      </c>
      <c r="E474" s="181"/>
    </row>
    <row r="475" spans="2:5" x14ac:dyDescent="0.25">
      <c r="B475" s="118" t="s">
        <v>385</v>
      </c>
      <c r="C475" s="180">
        <f>'Below the Line'!E7+'Below the Line'!E9+'Below the Line'!E10+'Below the Line'!E11</f>
        <v>3746.5055912389603</v>
      </c>
      <c r="D475" s="172" t="s">
        <v>384</v>
      </c>
      <c r="E475" s="171"/>
    </row>
    <row r="476" spans="2:5" x14ac:dyDescent="0.25">
      <c r="B476" t="s">
        <v>356</v>
      </c>
      <c r="C476" s="180">
        <f>INDEX('Below the Line'!$E$4:$E$23,MATCH(B476,'Below the Line'!$C$4:$C$23,0))</f>
        <v>202.39734163733908</v>
      </c>
      <c r="D476" s="172" t="s">
        <v>369</v>
      </c>
      <c r="E476" s="171"/>
    </row>
    <row r="477" spans="2:5" hidden="1" x14ac:dyDescent="0.25">
      <c r="B477" s="179"/>
      <c r="C477" s="179"/>
      <c r="D477" s="178"/>
      <c r="E477" s="177"/>
    </row>
    <row r="478" spans="2:5" x14ac:dyDescent="0.25">
      <c r="B478" s="176"/>
      <c r="C478" s="176"/>
      <c r="D478" s="175"/>
      <c r="E478" s="174"/>
    </row>
    <row r="479" spans="2:5" x14ac:dyDescent="0.25">
      <c r="B479" s="118" t="s">
        <v>368</v>
      </c>
      <c r="C479" s="173">
        <f>'Below the Line'!$D$35</f>
        <v>0.27379999999999999</v>
      </c>
      <c r="D479" s="172" t="s">
        <v>316</v>
      </c>
      <c r="E479" s="171"/>
    </row>
    <row r="480" spans="2:5" x14ac:dyDescent="0.25">
      <c r="B480" s="118" t="s">
        <v>367</v>
      </c>
      <c r="C480" s="173">
        <f>'Below the Line'!$D$43</f>
        <v>2.7100379121522307E-2</v>
      </c>
      <c r="D480" s="172" t="s">
        <v>314</v>
      </c>
      <c r="E480" s="171"/>
    </row>
    <row r="481" spans="2:5" x14ac:dyDescent="0.25">
      <c r="B481" s="118" t="s">
        <v>366</v>
      </c>
      <c r="C481" s="173">
        <f>'Below the Line'!$D$40</f>
        <v>0.12</v>
      </c>
      <c r="D481" s="172" t="s">
        <v>316</v>
      </c>
      <c r="E481" s="171"/>
    </row>
    <row r="483" spans="2:5" ht="15.75" thickBot="1" x14ac:dyDescent="0.3"/>
    <row r="484" spans="2:5" ht="27" thickBot="1" x14ac:dyDescent="0.45">
      <c r="B484" s="199" t="s">
        <v>383</v>
      </c>
      <c r="C484" s="198"/>
      <c r="D484" s="198"/>
      <c r="E484" s="198"/>
    </row>
    <row r="485" spans="2:5" ht="21" x14ac:dyDescent="0.35">
      <c r="B485" s="197" t="s">
        <v>382</v>
      </c>
      <c r="C485" s="196"/>
      <c r="D485" s="195" t="s">
        <v>381</v>
      </c>
      <c r="E485" s="194" t="s">
        <v>380</v>
      </c>
    </row>
    <row r="486" spans="2:5" x14ac:dyDescent="0.25">
      <c r="B486" s="183" t="s">
        <v>379</v>
      </c>
      <c r="C486" s="184" t="s">
        <v>378</v>
      </c>
      <c r="D486" s="193" t="s">
        <v>377</v>
      </c>
      <c r="E486" s="192"/>
    </row>
    <row r="487" spans="2:5" x14ac:dyDescent="0.25">
      <c r="B487" s="191" t="s">
        <v>376</v>
      </c>
      <c r="C487" s="190" t="s">
        <v>375</v>
      </c>
      <c r="D487" s="186">
        <f>INDEX('[2]Salary lookup'!$F$5:$F$22,MATCH(C487,'[2]Salary lookup'!$B$5:$B$22,0))</f>
        <v>79415.232000000018</v>
      </c>
      <c r="E487" s="188">
        <v>1</v>
      </c>
    </row>
    <row r="488" spans="2:5" x14ac:dyDescent="0.25">
      <c r="B488" s="189" t="s">
        <v>373</v>
      </c>
      <c r="C488" s="118" t="s">
        <v>373</v>
      </c>
      <c r="D488" s="186">
        <f>INDEX('[2]Salary lookup'!$F$5:$F$22,MATCH(C488,'[2]Salary lookup'!$B$5:$B$22,0))</f>
        <v>41600</v>
      </c>
      <c r="E488" s="188">
        <v>3</v>
      </c>
    </row>
    <row r="489" spans="2:5" x14ac:dyDescent="0.25">
      <c r="B489" s="187" t="s">
        <v>374</v>
      </c>
      <c r="C489" s="118" t="s">
        <v>373</v>
      </c>
      <c r="D489" s="186">
        <f>INDEX('[2]Salary lookup'!$F$5:$F$22,MATCH(C489,'[2]Salary lookup'!$B$5:$B$22,0))</f>
        <v>41600</v>
      </c>
      <c r="E489" s="185">
        <v>1</v>
      </c>
    </row>
    <row r="490" spans="2:5" hidden="1" x14ac:dyDescent="0.25">
      <c r="B490" s="179"/>
      <c r="C490" s="179"/>
      <c r="D490" s="179"/>
      <c r="E490" s="179"/>
    </row>
    <row r="491" spans="2:5" hidden="1" x14ac:dyDescent="0.25">
      <c r="B491" s="179"/>
      <c r="C491" s="179"/>
      <c r="D491" s="179"/>
      <c r="E491" s="179"/>
    </row>
    <row r="493" spans="2:5" x14ac:dyDescent="0.25">
      <c r="B493" s="184" t="s">
        <v>372</v>
      </c>
      <c r="C493" s="183" t="s">
        <v>371</v>
      </c>
      <c r="D493" s="182" t="s">
        <v>370</v>
      </c>
      <c r="E493" s="181"/>
    </row>
    <row r="494" spans="2:5" x14ac:dyDescent="0.25">
      <c r="B494" t="s">
        <v>332</v>
      </c>
      <c r="C494" s="180">
        <f>INDEX('Below the Line'!$E$4:$E$23,MATCH(B494,'Below the Line'!$C$4:$C$23,0))</f>
        <v>3151.0944966340862</v>
      </c>
      <c r="D494" s="172" t="s">
        <v>369</v>
      </c>
      <c r="E494" s="171"/>
    </row>
    <row r="495" spans="2:5" x14ac:dyDescent="0.25">
      <c r="B495" t="s">
        <v>340</v>
      </c>
      <c r="C495" s="180">
        <f>INDEX('Below the Line'!$E$4:$E$23,MATCH(B495,'Below the Line'!$C$4:$C$23,0))</f>
        <v>1475.3908322281168</v>
      </c>
      <c r="D495" s="172" t="s">
        <v>369</v>
      </c>
      <c r="E495" s="171"/>
    </row>
    <row r="496" spans="2:5" hidden="1" x14ac:dyDescent="0.25">
      <c r="B496" s="179"/>
      <c r="C496" s="179"/>
      <c r="D496" s="178"/>
      <c r="E496" s="177"/>
    </row>
    <row r="497" spans="2:5" x14ac:dyDescent="0.25">
      <c r="B497" s="176"/>
      <c r="C497" s="176"/>
      <c r="D497" s="175"/>
      <c r="E497" s="174"/>
    </row>
    <row r="498" spans="2:5" x14ac:dyDescent="0.25">
      <c r="B498" s="118" t="s">
        <v>368</v>
      </c>
      <c r="C498" s="173">
        <f>'Below the Line'!$D$35</f>
        <v>0.27379999999999999</v>
      </c>
      <c r="D498" s="172" t="s">
        <v>316</v>
      </c>
      <c r="E498" s="171"/>
    </row>
    <row r="499" spans="2:5" x14ac:dyDescent="0.25">
      <c r="B499" s="118" t="s">
        <v>367</v>
      </c>
      <c r="C499" s="173">
        <f>'Below the Line'!$D$43</f>
        <v>2.7100379121522307E-2</v>
      </c>
      <c r="D499" s="172" t="s">
        <v>314</v>
      </c>
      <c r="E499" s="171"/>
    </row>
    <row r="500" spans="2:5" x14ac:dyDescent="0.25">
      <c r="B500" s="118" t="s">
        <v>366</v>
      </c>
      <c r="C500" s="173">
        <f>'Below the Line'!$D$40</f>
        <v>0.12</v>
      </c>
      <c r="D500" s="172" t="s">
        <v>316</v>
      </c>
      <c r="E500" s="171"/>
    </row>
  </sheetData>
  <mergeCells count="254">
    <mergeCell ref="D500:E500"/>
    <mergeCell ref="D476:E476"/>
    <mergeCell ref="D477:E477"/>
    <mergeCell ref="D478:E478"/>
    <mergeCell ref="D479:E479"/>
    <mergeCell ref="D480:E480"/>
    <mergeCell ref="D481:E481"/>
    <mergeCell ref="B484:E484"/>
    <mergeCell ref="B485:C485"/>
    <mergeCell ref="D493:E493"/>
    <mergeCell ref="D494:E494"/>
    <mergeCell ref="D495:E495"/>
    <mergeCell ref="D496:E496"/>
    <mergeCell ref="D497:E497"/>
    <mergeCell ref="D498:E498"/>
    <mergeCell ref="D499:E499"/>
    <mergeCell ref="D460:E460"/>
    <mergeCell ref="D461:E461"/>
    <mergeCell ref="B465:E465"/>
    <mergeCell ref="B466:C466"/>
    <mergeCell ref="D474:E474"/>
    <mergeCell ref="D475:E475"/>
    <mergeCell ref="D454:E454"/>
    <mergeCell ref="D455:E455"/>
    <mergeCell ref="D456:E456"/>
    <mergeCell ref="D457:E457"/>
    <mergeCell ref="D458:E458"/>
    <mergeCell ref="D459:E459"/>
    <mergeCell ref="D439:E439"/>
    <mergeCell ref="D440:E440"/>
    <mergeCell ref="D441:E441"/>
    <mergeCell ref="D442:E442"/>
    <mergeCell ref="B445:E445"/>
    <mergeCell ref="B446:C446"/>
    <mergeCell ref="B426:E426"/>
    <mergeCell ref="B427:C427"/>
    <mergeCell ref="D435:E435"/>
    <mergeCell ref="D436:E436"/>
    <mergeCell ref="D437:E437"/>
    <mergeCell ref="D438:E438"/>
    <mergeCell ref="D417:E417"/>
    <mergeCell ref="D418:E418"/>
    <mergeCell ref="B401:E401"/>
    <mergeCell ref="D420:E420"/>
    <mergeCell ref="D421:E421"/>
    <mergeCell ref="D422:E422"/>
    <mergeCell ref="D411:E411"/>
    <mergeCell ref="D412:E412"/>
    <mergeCell ref="D413:E413"/>
    <mergeCell ref="D414:E414"/>
    <mergeCell ref="D415:E415"/>
    <mergeCell ref="D416:E416"/>
    <mergeCell ref="D397:E397"/>
    <mergeCell ref="D398:E398"/>
    <mergeCell ref="B379:F379"/>
    <mergeCell ref="B402:C402"/>
    <mergeCell ref="D391:E391"/>
    <mergeCell ref="D392:E392"/>
    <mergeCell ref="D393:E393"/>
    <mergeCell ref="D394:E394"/>
    <mergeCell ref="D372:E372"/>
    <mergeCell ref="D373:E373"/>
    <mergeCell ref="D374:E374"/>
    <mergeCell ref="D370:E370"/>
    <mergeCell ref="D395:E395"/>
    <mergeCell ref="D396:E396"/>
    <mergeCell ref="D364:E364"/>
    <mergeCell ref="D365:E365"/>
    <mergeCell ref="D366:E366"/>
    <mergeCell ref="D367:E367"/>
    <mergeCell ref="D368:E368"/>
    <mergeCell ref="D369:E369"/>
    <mergeCell ref="B328:E328"/>
    <mergeCell ref="D337:E337"/>
    <mergeCell ref="D340:E340"/>
    <mergeCell ref="D339:E339"/>
    <mergeCell ref="D338:E338"/>
    <mergeCell ref="D341:E341"/>
    <mergeCell ref="D342:E342"/>
    <mergeCell ref="D343:E343"/>
    <mergeCell ref="D345:E345"/>
    <mergeCell ref="D346:E346"/>
    <mergeCell ref="D347:E347"/>
    <mergeCell ref="B329:C329"/>
    <mergeCell ref="B352:C352"/>
    <mergeCell ref="E352:P352"/>
    <mergeCell ref="B351:M351"/>
    <mergeCell ref="D363:E363"/>
    <mergeCell ref="B380:C380"/>
    <mergeCell ref="D315:E315"/>
    <mergeCell ref="D316:E316"/>
    <mergeCell ref="D318:E318"/>
    <mergeCell ref="D319:E319"/>
    <mergeCell ref="D320:E320"/>
    <mergeCell ref="D254:E254"/>
    <mergeCell ref="D264:E264"/>
    <mergeCell ref="D263:E263"/>
    <mergeCell ref="B213:E213"/>
    <mergeCell ref="B214:C214"/>
    <mergeCell ref="D224:E224"/>
    <mergeCell ref="D225:E225"/>
    <mergeCell ref="D226:E226"/>
    <mergeCell ref="D227:E227"/>
    <mergeCell ref="D50:E50"/>
    <mergeCell ref="D47:E47"/>
    <mergeCell ref="D49:E49"/>
    <mergeCell ref="D291:E291"/>
    <mergeCell ref="D292:E292"/>
    <mergeCell ref="D293:E293"/>
    <mergeCell ref="D286:E286"/>
    <mergeCell ref="D204:E204"/>
    <mergeCell ref="D205:E205"/>
    <mergeCell ref="D206:E206"/>
    <mergeCell ref="D287:E287"/>
    <mergeCell ref="D288:E288"/>
    <mergeCell ref="D289:E289"/>
    <mergeCell ref="D280:E280"/>
    <mergeCell ref="D281:E281"/>
    <mergeCell ref="D51:E51"/>
    <mergeCell ref="D208:E208"/>
    <mergeCell ref="D253:E253"/>
    <mergeCell ref="D262:E262"/>
    <mergeCell ref="D255:E255"/>
    <mergeCell ref="B298:C298"/>
    <mergeCell ref="D311:E311"/>
    <mergeCell ref="D312:E312"/>
    <mergeCell ref="D313:E313"/>
    <mergeCell ref="D314:E314"/>
    <mergeCell ref="D265:E265"/>
    <mergeCell ref="B271:C271"/>
    <mergeCell ref="E271:G271"/>
    <mergeCell ref="B270:G270"/>
    <mergeCell ref="D279:E279"/>
    <mergeCell ref="D42:E42"/>
    <mergeCell ref="D41:E41"/>
    <mergeCell ref="D40:E40"/>
    <mergeCell ref="D39:E39"/>
    <mergeCell ref="D38:E38"/>
    <mergeCell ref="D37:E37"/>
    <mergeCell ref="D21:E21"/>
    <mergeCell ref="D20:E20"/>
    <mergeCell ref="D14:E14"/>
    <mergeCell ref="D19:E19"/>
    <mergeCell ref="B24:AB24"/>
    <mergeCell ref="D36:E36"/>
    <mergeCell ref="D231:E231"/>
    <mergeCell ref="D232:E232"/>
    <mergeCell ref="D233:E233"/>
    <mergeCell ref="D230:E230"/>
    <mergeCell ref="B237:F237"/>
    <mergeCell ref="B2:E2"/>
    <mergeCell ref="B3:C3"/>
    <mergeCell ref="B56:C56"/>
    <mergeCell ref="D13:E13"/>
    <mergeCell ref="D22:E22"/>
    <mergeCell ref="B55:F55"/>
    <mergeCell ref="D71:E71"/>
    <mergeCell ref="D72:E72"/>
    <mergeCell ref="D81:E81"/>
    <mergeCell ref="D82:E82"/>
    <mergeCell ref="D76:E76"/>
    <mergeCell ref="D77:E77"/>
    <mergeCell ref="D78:E78"/>
    <mergeCell ref="B25:B26"/>
    <mergeCell ref="E25:AB25"/>
    <mergeCell ref="B91:C91"/>
    <mergeCell ref="E91:G91"/>
    <mergeCell ref="B90:G90"/>
    <mergeCell ref="D84:E84"/>
    <mergeCell ref="D83:E83"/>
    <mergeCell ref="D43:E43"/>
    <mergeCell ref="D44:E44"/>
    <mergeCell ref="D45:E45"/>
    <mergeCell ref="D109:E109"/>
    <mergeCell ref="D110:E110"/>
    <mergeCell ref="D106:E106"/>
    <mergeCell ref="D105:E105"/>
    <mergeCell ref="D25:D26"/>
    <mergeCell ref="C25:C26"/>
    <mergeCell ref="E56:F56"/>
    <mergeCell ref="D73:E73"/>
    <mergeCell ref="D74:E74"/>
    <mergeCell ref="D75:E75"/>
    <mergeCell ref="B121:C121"/>
    <mergeCell ref="B120:E120"/>
    <mergeCell ref="D125:E125"/>
    <mergeCell ref="D111:E111"/>
    <mergeCell ref="D112:E112"/>
    <mergeCell ref="D113:E113"/>
    <mergeCell ref="D114:E114"/>
    <mergeCell ref="D115:E115"/>
    <mergeCell ref="D126:E126"/>
    <mergeCell ref="D127:E127"/>
    <mergeCell ref="D128:E128"/>
    <mergeCell ref="D129:E129"/>
    <mergeCell ref="D136:E136"/>
    <mergeCell ref="D79:E79"/>
    <mergeCell ref="D80:E80"/>
    <mergeCell ref="D104:E104"/>
    <mergeCell ref="D107:E107"/>
    <mergeCell ref="D108:E108"/>
    <mergeCell ref="D137:E137"/>
    <mergeCell ref="D138:E138"/>
    <mergeCell ref="D139:E139"/>
    <mergeCell ref="D131:E131"/>
    <mergeCell ref="D132:E132"/>
    <mergeCell ref="D133:E133"/>
    <mergeCell ref="D134:E134"/>
    <mergeCell ref="D135:E135"/>
    <mergeCell ref="D151:E151"/>
    <mergeCell ref="D152:E152"/>
    <mergeCell ref="D154:E154"/>
    <mergeCell ref="D155:E155"/>
    <mergeCell ref="D156:E156"/>
    <mergeCell ref="B143:E143"/>
    <mergeCell ref="B144:C144"/>
    <mergeCell ref="D148:E148"/>
    <mergeCell ref="D149:E149"/>
    <mergeCell ref="D150:E150"/>
    <mergeCell ref="D162:E162"/>
    <mergeCell ref="B166:E166"/>
    <mergeCell ref="B167:C167"/>
    <mergeCell ref="D157:E157"/>
    <mergeCell ref="D158:E158"/>
    <mergeCell ref="D159:E159"/>
    <mergeCell ref="D160:E160"/>
    <mergeCell ref="D161:E161"/>
    <mergeCell ref="D251:E251"/>
    <mergeCell ref="D252:E252"/>
    <mergeCell ref="D210:E210"/>
    <mergeCell ref="B190:E190"/>
    <mergeCell ref="B191:C191"/>
    <mergeCell ref="D201:E201"/>
    <mergeCell ref="D202:E202"/>
    <mergeCell ref="D203:E203"/>
    <mergeCell ref="D228:E228"/>
    <mergeCell ref="D229:E229"/>
    <mergeCell ref="D177:E177"/>
    <mergeCell ref="D178:E178"/>
    <mergeCell ref="D310:E310"/>
    <mergeCell ref="E298:P298"/>
    <mergeCell ref="B297:P297"/>
    <mergeCell ref="D209:E209"/>
    <mergeCell ref="B238:C238"/>
    <mergeCell ref="D248:E248"/>
    <mergeCell ref="D249:E249"/>
    <mergeCell ref="D250:E250"/>
    <mergeCell ref="D185:E185"/>
    <mergeCell ref="D179:E179"/>
    <mergeCell ref="D180:E180"/>
    <mergeCell ref="D181:E181"/>
    <mergeCell ref="D182:E182"/>
    <mergeCell ref="D183:E183"/>
    <mergeCell ref="D184:E18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66F0B-488A-43E4-8429-C6FF15B55FD6}">
  <sheetPr>
    <pageSetUpPr fitToPage="1"/>
  </sheetPr>
  <dimension ref="B1:DR222"/>
  <sheetViews>
    <sheetView zoomScaleNormal="100" workbookViewId="0">
      <selection activeCell="J16" sqref="J16"/>
    </sheetView>
  </sheetViews>
  <sheetFormatPr defaultColWidth="9.140625" defaultRowHeight="15" x14ac:dyDescent="0.25"/>
  <cols>
    <col min="1" max="1" width="2.85546875" style="361" customWidth="1"/>
    <col min="2" max="2" width="3.28515625" style="361" hidden="1" customWidth="1"/>
    <col min="3" max="3" width="9.42578125" style="361" customWidth="1"/>
    <col min="4" max="4" width="33.28515625" style="361" bestFit="1" customWidth="1"/>
    <col min="5" max="5" width="12.140625" style="361" bestFit="1" customWidth="1"/>
    <col min="6" max="6" width="7.7109375" style="361" bestFit="1" customWidth="1"/>
    <col min="7" max="7" width="10.7109375" style="362" bestFit="1" customWidth="1"/>
    <col min="8" max="8" width="11.7109375" style="362" bestFit="1" customWidth="1"/>
    <col min="9" max="9" width="33.28515625" style="361" bestFit="1" customWidth="1"/>
    <col min="10" max="10" width="11.7109375" style="361" bestFit="1" customWidth="1"/>
    <col min="11" max="11" width="9.140625" style="361" bestFit="1" customWidth="1"/>
    <col min="12" max="12" width="9.5703125" style="362" bestFit="1" customWidth="1"/>
    <col min="13" max="13" width="9.85546875" style="361" bestFit="1" customWidth="1"/>
    <col min="14" max="14" width="33.28515625" style="361" bestFit="1" customWidth="1"/>
    <col min="15" max="15" width="11.7109375" style="361" bestFit="1" customWidth="1"/>
    <col min="16" max="16" width="7.7109375" style="361" bestFit="1" customWidth="1"/>
    <col min="17" max="17" width="9.5703125" style="362" bestFit="1" customWidth="1"/>
    <col min="18" max="18" width="11" style="362" customWidth="1"/>
    <col min="19" max="19" width="33.28515625" style="362" bestFit="1" customWidth="1"/>
    <col min="20" max="20" width="11.7109375" style="362" bestFit="1" customWidth="1"/>
    <col min="21" max="21" width="7.7109375" style="362" bestFit="1" customWidth="1"/>
    <col min="22" max="22" width="9.5703125" style="362" bestFit="1" customWidth="1"/>
    <col min="23" max="23" width="13.5703125" style="362" customWidth="1"/>
    <col min="24" max="24" width="33.28515625" style="362" bestFit="1" customWidth="1"/>
    <col min="25" max="25" width="11.7109375" style="362" bestFit="1" customWidth="1"/>
    <col min="26" max="26" width="7.7109375" style="362" bestFit="1" customWidth="1"/>
    <col min="27" max="27" width="11.7109375" style="362" bestFit="1" customWidth="1"/>
    <col min="28" max="28" width="13.5703125" style="362" customWidth="1"/>
    <col min="29" max="29" width="33.28515625" style="362" bestFit="1" customWidth="1"/>
    <col min="30" max="30" width="11.7109375" style="362" bestFit="1" customWidth="1"/>
    <col min="31" max="31" width="7.7109375" style="362" bestFit="1" customWidth="1"/>
    <col min="32" max="32" width="11.7109375" style="362" bestFit="1" customWidth="1"/>
    <col min="33" max="33" width="13.5703125" style="362" customWidth="1"/>
    <col min="34" max="34" width="33.28515625" style="362" bestFit="1" customWidth="1"/>
    <col min="35" max="35" width="11.7109375" style="362" bestFit="1" customWidth="1"/>
    <col min="36" max="36" width="7.7109375" style="362" bestFit="1" customWidth="1"/>
    <col min="37" max="37" width="11.7109375" style="362" bestFit="1" customWidth="1"/>
    <col min="38" max="38" width="13.5703125" style="362" customWidth="1"/>
    <col min="39" max="39" width="33.28515625" style="362" bestFit="1" customWidth="1"/>
    <col min="40" max="40" width="11.7109375" style="362" bestFit="1" customWidth="1"/>
    <col min="41" max="41" width="7.7109375" style="362" bestFit="1" customWidth="1"/>
    <col min="42" max="42" width="11.7109375" style="362" bestFit="1" customWidth="1"/>
    <col min="43" max="43" width="13.5703125" style="362" customWidth="1"/>
    <col min="44" max="44" width="33.28515625" style="362" bestFit="1" customWidth="1"/>
    <col min="45" max="45" width="11.7109375" style="362" bestFit="1" customWidth="1"/>
    <col min="46" max="46" width="7.7109375" style="362" bestFit="1" customWidth="1"/>
    <col min="47" max="47" width="11.7109375" style="362" bestFit="1" customWidth="1"/>
    <col min="48" max="48" width="13.5703125" style="362" customWidth="1"/>
    <col min="49" max="49" width="33.28515625" style="362" bestFit="1" customWidth="1"/>
    <col min="50" max="50" width="11.7109375" style="362" bestFit="1" customWidth="1"/>
    <col min="51" max="51" width="7.7109375" style="362" bestFit="1" customWidth="1"/>
    <col min="52" max="52" width="11.7109375" style="362" bestFit="1" customWidth="1"/>
    <col min="53" max="53" width="13.5703125" style="362" customWidth="1"/>
    <col min="54" max="54" width="33.28515625" style="362" bestFit="1" customWidth="1"/>
    <col min="55" max="55" width="11.7109375" style="362" bestFit="1" customWidth="1"/>
    <col min="56" max="56" width="7.7109375" style="362" bestFit="1" customWidth="1"/>
    <col min="57" max="57" width="11.7109375" style="362" bestFit="1" customWidth="1"/>
    <col min="58" max="58" width="13.5703125" style="362" customWidth="1"/>
    <col min="59" max="59" width="33.28515625" style="362" bestFit="1" customWidth="1"/>
    <col min="60" max="60" width="11.7109375" style="362" bestFit="1" customWidth="1"/>
    <col min="61" max="61" width="7.7109375" style="362" bestFit="1" customWidth="1"/>
    <col min="62" max="62" width="11.7109375" style="362" bestFit="1" customWidth="1"/>
    <col min="63" max="63" width="13.5703125" style="362" customWidth="1"/>
    <col min="64" max="64" width="33.28515625" style="362" bestFit="1" customWidth="1"/>
    <col min="65" max="65" width="11.7109375" style="361" bestFit="1" customWidth="1"/>
    <col min="66" max="66" width="7.7109375" style="361" bestFit="1" customWidth="1"/>
    <col min="67" max="67" width="11.7109375" style="361" bestFit="1" customWidth="1"/>
    <col min="68" max="68" width="12.7109375" style="361" customWidth="1"/>
    <col min="69" max="69" width="33.28515625" style="361" bestFit="1" customWidth="1"/>
    <col min="70" max="70" width="11.7109375" style="361" bestFit="1" customWidth="1"/>
    <col min="71" max="71" width="7.7109375" style="361" bestFit="1" customWidth="1"/>
    <col min="72" max="72" width="11.7109375" style="361" bestFit="1" customWidth="1"/>
    <col min="73" max="73" width="13.5703125" style="361" customWidth="1"/>
    <col min="74" max="74" width="33.28515625" style="361" bestFit="1" customWidth="1"/>
    <col min="75" max="75" width="11.7109375" style="361" bestFit="1" customWidth="1"/>
    <col min="76" max="76" width="7.7109375" style="361" bestFit="1" customWidth="1"/>
    <col min="77" max="77" width="11.7109375" style="361" bestFit="1" customWidth="1"/>
    <col min="78" max="78" width="9.140625" style="361" customWidth="1"/>
    <col min="79" max="79" width="33.28515625" style="361" bestFit="1" customWidth="1"/>
    <col min="80" max="80" width="11.7109375" style="361" bestFit="1" customWidth="1"/>
    <col min="81" max="81" width="7.7109375" style="361" bestFit="1" customWidth="1"/>
    <col min="82" max="82" width="11.7109375" style="361" bestFit="1" customWidth="1"/>
    <col min="83" max="83" width="9.140625" style="361"/>
    <col min="84" max="84" width="33.28515625" style="361" bestFit="1" customWidth="1"/>
    <col min="85" max="85" width="11.7109375" style="361" bestFit="1" customWidth="1"/>
    <col min="86" max="86" width="7.7109375" style="361" bestFit="1" customWidth="1"/>
    <col min="87" max="87" width="11.7109375" style="361" bestFit="1" customWidth="1"/>
    <col min="88" max="88" width="9.140625" style="361"/>
    <col min="89" max="89" width="33.28515625" style="361" bestFit="1" customWidth="1"/>
    <col min="90" max="90" width="11.7109375" style="361" bestFit="1" customWidth="1"/>
    <col min="91" max="91" width="7.7109375" style="361" bestFit="1" customWidth="1"/>
    <col min="92" max="92" width="11.7109375" style="361" bestFit="1" customWidth="1"/>
    <col min="93" max="93" width="9.140625" style="361"/>
    <col min="94" max="94" width="33.28515625" style="361" customWidth="1"/>
    <col min="95" max="95" width="11.7109375" style="361" customWidth="1"/>
    <col min="96" max="96" width="7.7109375" style="361" customWidth="1"/>
    <col min="97" max="97" width="11.7109375" style="361" customWidth="1"/>
    <col min="98" max="98" width="9.140625" style="361" customWidth="1"/>
    <col min="99" max="99" width="33.28515625" style="361" customWidth="1"/>
    <col min="100" max="100" width="11.7109375" style="361" customWidth="1"/>
    <col min="101" max="101" width="7.7109375" style="361" customWidth="1"/>
    <col min="102" max="102" width="11.7109375" style="361" customWidth="1"/>
    <col min="103" max="103" width="9.140625" style="361" customWidth="1"/>
    <col min="104" max="104" width="33.28515625" style="361" customWidth="1"/>
    <col min="105" max="105" width="11.7109375" style="361" customWidth="1"/>
    <col min="106" max="106" width="7.7109375" style="361" customWidth="1"/>
    <col min="107" max="107" width="11.7109375" style="361" customWidth="1"/>
    <col min="108" max="108" width="9.140625" style="361" customWidth="1"/>
    <col min="109" max="109" width="33.28515625" style="361" customWidth="1"/>
    <col min="110" max="110" width="11.7109375" style="361" customWidth="1"/>
    <col min="111" max="111" width="7.7109375" style="361" customWidth="1"/>
    <col min="112" max="112" width="11.7109375" style="361" customWidth="1"/>
    <col min="113" max="113" width="9.140625" style="361" customWidth="1"/>
    <col min="114" max="114" width="33.28515625" style="361" customWidth="1"/>
    <col min="115" max="115" width="11.7109375" style="361" customWidth="1"/>
    <col min="116" max="116" width="7.7109375" style="361" customWidth="1"/>
    <col min="117" max="117" width="11.7109375" style="361" customWidth="1"/>
    <col min="118" max="118" width="9.140625" style="361" customWidth="1"/>
    <col min="119" max="119" width="33.28515625" style="361" customWidth="1"/>
    <col min="120" max="120" width="11.7109375" style="361" customWidth="1"/>
    <col min="121" max="121" width="7.7109375" style="361" customWidth="1"/>
    <col min="122" max="122" width="11.7109375" style="361" customWidth="1"/>
    <col min="123" max="16384" width="9.140625" style="361"/>
  </cols>
  <sheetData>
    <row r="1" spans="2:122" ht="15.75" thickBot="1" x14ac:dyDescent="0.3"/>
    <row r="2" spans="2:122" ht="15.75" thickBot="1" x14ac:dyDescent="0.3">
      <c r="G2" s="361"/>
      <c r="H2" s="361"/>
      <c r="I2" s="445" t="s">
        <v>532</v>
      </c>
      <c r="J2" s="444"/>
      <c r="K2" s="443" t="s">
        <v>377</v>
      </c>
      <c r="L2" s="443" t="s">
        <v>380</v>
      </c>
      <c r="M2" s="442" t="s">
        <v>504</v>
      </c>
    </row>
    <row r="3" spans="2:122" x14ac:dyDescent="0.25">
      <c r="G3" s="361"/>
      <c r="H3" s="361"/>
      <c r="I3" s="441" t="s">
        <v>388</v>
      </c>
      <c r="J3" s="440"/>
      <c r="K3" s="439">
        <f>INDEX('Master Lookup'!$D$27:$D$28,MATCH(I3,'Master Lookup'!$C$27:$C$28,0))</f>
        <v>58616.063999999998</v>
      </c>
      <c r="L3" s="438">
        <v>0.25</v>
      </c>
      <c r="M3" s="428">
        <f>L3*K3</f>
        <v>14654.016</v>
      </c>
    </row>
    <row r="4" spans="2:122" x14ac:dyDescent="0.25">
      <c r="G4" s="361"/>
      <c r="H4" s="361"/>
      <c r="I4" s="403" t="s">
        <v>368</v>
      </c>
      <c r="J4" s="437"/>
      <c r="K4" s="430">
        <f>INDEX('Master Lookup'!$C$49:$C$51,MATCH(I4,'Master Lookup'!$B$49:$B$51,0))</f>
        <v>0.27379999999999999</v>
      </c>
      <c r="L4" s="436"/>
      <c r="M4" s="435">
        <f>K4*M3</f>
        <v>4012.2695807999999</v>
      </c>
    </row>
    <row r="5" spans="2:122" x14ac:dyDescent="0.25">
      <c r="G5" s="361"/>
      <c r="H5" s="361"/>
      <c r="I5" s="409" t="s">
        <v>502</v>
      </c>
      <c r="J5" s="412"/>
      <c r="K5" s="434"/>
      <c r="L5" s="433"/>
      <c r="M5" s="432">
        <f>M3+M4</f>
        <v>18666.285580799999</v>
      </c>
    </row>
    <row r="6" spans="2:122" x14ac:dyDescent="0.25">
      <c r="G6" s="361"/>
      <c r="H6" s="361"/>
      <c r="I6" s="167" t="s">
        <v>367</v>
      </c>
      <c r="J6" s="431"/>
      <c r="K6" s="430">
        <f>INDEX('Master Lookup'!$C$49:$C$51,MATCH(I6,'Master Lookup'!$B$49:$B$51,0))</f>
        <v>2.7100379121522307E-2</v>
      </c>
      <c r="L6" s="429"/>
      <c r="M6" s="428">
        <f>M5*(K6)</f>
        <v>505.86341603028518</v>
      </c>
    </row>
    <row r="7" spans="2:122" x14ac:dyDescent="0.25">
      <c r="G7" s="361"/>
      <c r="H7" s="361"/>
      <c r="I7" s="387" t="s">
        <v>531</v>
      </c>
      <c r="J7" s="386"/>
      <c r="K7" s="386"/>
      <c r="L7" s="386"/>
      <c r="M7" s="427">
        <f>SUM(M5:M6)</f>
        <v>19172.148996830285</v>
      </c>
    </row>
    <row r="8" spans="2:122" ht="15.75" thickBot="1" x14ac:dyDescent="0.3">
      <c r="G8" s="361"/>
      <c r="H8" s="361"/>
      <c r="I8" s="426" t="s">
        <v>530</v>
      </c>
      <c r="J8" s="383"/>
      <c r="K8" s="425"/>
      <c r="L8" s="383"/>
      <c r="M8" s="424">
        <f>M7/12</f>
        <v>1597.6790830691905</v>
      </c>
    </row>
    <row r="12" spans="2:122" ht="15.75" thickBot="1" x14ac:dyDescent="0.3"/>
    <row r="13" spans="2:122" x14ac:dyDescent="0.25">
      <c r="D13" s="423" t="s">
        <v>529</v>
      </c>
      <c r="E13" s="422"/>
      <c r="F13" s="422"/>
      <c r="G13" s="421"/>
      <c r="H13" s="361"/>
      <c r="I13" s="423" t="s">
        <v>528</v>
      </c>
      <c r="J13" s="422"/>
      <c r="K13" s="422"/>
      <c r="L13" s="421"/>
      <c r="N13" s="423" t="s">
        <v>527</v>
      </c>
      <c r="O13" s="422"/>
      <c r="P13" s="422"/>
      <c r="Q13" s="421"/>
      <c r="R13" s="366"/>
      <c r="S13" s="423" t="s">
        <v>526</v>
      </c>
      <c r="T13" s="422"/>
      <c r="U13" s="422"/>
      <c r="V13" s="421"/>
      <c r="W13" s="361"/>
      <c r="X13" s="423" t="s">
        <v>525</v>
      </c>
      <c r="Y13" s="422"/>
      <c r="Z13" s="422"/>
      <c r="AA13" s="421"/>
      <c r="AB13" s="361"/>
      <c r="AC13" s="423" t="s">
        <v>524</v>
      </c>
      <c r="AD13" s="422"/>
      <c r="AE13" s="422"/>
      <c r="AF13" s="421"/>
      <c r="AG13" s="366"/>
      <c r="AH13" s="423" t="s">
        <v>523</v>
      </c>
      <c r="AI13" s="422"/>
      <c r="AJ13" s="422"/>
      <c r="AK13" s="421"/>
      <c r="AL13" s="361"/>
      <c r="AM13" s="423" t="s">
        <v>522</v>
      </c>
      <c r="AN13" s="422"/>
      <c r="AO13" s="422"/>
      <c r="AP13" s="421"/>
      <c r="AQ13" s="361"/>
      <c r="AR13" s="423" t="s">
        <v>521</v>
      </c>
      <c r="AS13" s="422"/>
      <c r="AT13" s="422"/>
      <c r="AU13" s="421"/>
      <c r="AV13" s="366"/>
      <c r="AW13" s="423" t="s">
        <v>520</v>
      </c>
      <c r="AX13" s="422"/>
      <c r="AY13" s="422"/>
      <c r="AZ13" s="421"/>
      <c r="BA13" s="361"/>
      <c r="BB13" s="423" t="s">
        <v>519</v>
      </c>
      <c r="BC13" s="422"/>
      <c r="BD13" s="422"/>
      <c r="BE13" s="421"/>
      <c r="BF13" s="361"/>
      <c r="BG13" s="423" t="s">
        <v>518</v>
      </c>
      <c r="BH13" s="422"/>
      <c r="BI13" s="422"/>
      <c r="BJ13" s="421"/>
      <c r="BK13" s="366"/>
      <c r="BL13" s="423" t="s">
        <v>517</v>
      </c>
      <c r="BM13" s="422"/>
      <c r="BN13" s="422"/>
      <c r="BO13" s="421"/>
      <c r="BQ13" s="423" t="s">
        <v>516</v>
      </c>
      <c r="BR13" s="422"/>
      <c r="BS13" s="422"/>
      <c r="BT13" s="421"/>
      <c r="BV13" s="423" t="s">
        <v>515</v>
      </c>
      <c r="BW13" s="422"/>
      <c r="BX13" s="422"/>
      <c r="BY13" s="421"/>
      <c r="CA13" s="423" t="s">
        <v>514</v>
      </c>
      <c r="CB13" s="422"/>
      <c r="CC13" s="422"/>
      <c r="CD13" s="421"/>
      <c r="CF13" s="423" t="s">
        <v>513</v>
      </c>
      <c r="CG13" s="422"/>
      <c r="CH13" s="422"/>
      <c r="CI13" s="421"/>
      <c r="CK13" s="423" t="s">
        <v>512</v>
      </c>
      <c r="CL13" s="422"/>
      <c r="CM13" s="422"/>
      <c r="CN13" s="421"/>
      <c r="CP13" s="423" t="s">
        <v>511</v>
      </c>
      <c r="CQ13" s="422"/>
      <c r="CR13" s="422"/>
      <c r="CS13" s="421"/>
      <c r="CU13" s="423" t="s">
        <v>510</v>
      </c>
      <c r="CV13" s="422"/>
      <c r="CW13" s="422"/>
      <c r="CX13" s="421"/>
      <c r="CZ13" s="423" t="s">
        <v>509</v>
      </c>
      <c r="DA13" s="422"/>
      <c r="DB13" s="422"/>
      <c r="DC13" s="421"/>
      <c r="DE13" s="423" t="s">
        <v>508</v>
      </c>
      <c r="DF13" s="422"/>
      <c r="DG13" s="422"/>
      <c r="DH13" s="421"/>
      <c r="DJ13" s="423" t="s">
        <v>507</v>
      </c>
      <c r="DK13" s="422"/>
      <c r="DL13" s="422"/>
      <c r="DM13" s="421"/>
      <c r="DO13" s="423" t="s">
        <v>506</v>
      </c>
      <c r="DP13" s="422"/>
      <c r="DQ13" s="422"/>
      <c r="DR13" s="421"/>
    </row>
    <row r="14" spans="2:122" x14ac:dyDescent="0.25">
      <c r="D14" s="409"/>
      <c r="E14" s="420" t="s">
        <v>377</v>
      </c>
      <c r="F14" s="419" t="s">
        <v>380</v>
      </c>
      <c r="G14" s="418" t="s">
        <v>505</v>
      </c>
      <c r="H14" s="361"/>
      <c r="I14" s="409"/>
      <c r="J14" s="420" t="s">
        <v>377</v>
      </c>
      <c r="K14" s="419" t="s">
        <v>380</v>
      </c>
      <c r="L14" s="418" t="s">
        <v>505</v>
      </c>
      <c r="N14" s="409"/>
      <c r="O14" s="420" t="s">
        <v>377</v>
      </c>
      <c r="P14" s="419" t="s">
        <v>380</v>
      </c>
      <c r="Q14" s="418" t="s">
        <v>505</v>
      </c>
      <c r="R14" s="364"/>
      <c r="S14" s="409"/>
      <c r="T14" s="420" t="s">
        <v>377</v>
      </c>
      <c r="U14" s="419" t="s">
        <v>380</v>
      </c>
      <c r="V14" s="418" t="s">
        <v>505</v>
      </c>
      <c r="W14" s="361"/>
      <c r="X14" s="409"/>
      <c r="Y14" s="420" t="s">
        <v>377</v>
      </c>
      <c r="Z14" s="419" t="s">
        <v>380</v>
      </c>
      <c r="AA14" s="418" t="s">
        <v>505</v>
      </c>
      <c r="AB14" s="361"/>
      <c r="AC14" s="409"/>
      <c r="AD14" s="420" t="s">
        <v>377</v>
      </c>
      <c r="AE14" s="419" t="s">
        <v>380</v>
      </c>
      <c r="AF14" s="418" t="s">
        <v>505</v>
      </c>
      <c r="AG14" s="364"/>
      <c r="AH14" s="409"/>
      <c r="AI14" s="420" t="s">
        <v>377</v>
      </c>
      <c r="AJ14" s="419" t="s">
        <v>380</v>
      </c>
      <c r="AK14" s="418" t="s">
        <v>505</v>
      </c>
      <c r="AL14" s="361"/>
      <c r="AM14" s="409"/>
      <c r="AN14" s="420" t="s">
        <v>377</v>
      </c>
      <c r="AO14" s="419" t="s">
        <v>380</v>
      </c>
      <c r="AP14" s="418" t="s">
        <v>505</v>
      </c>
      <c r="AQ14" s="361"/>
      <c r="AR14" s="409"/>
      <c r="AS14" s="420" t="s">
        <v>377</v>
      </c>
      <c r="AT14" s="419" t="s">
        <v>380</v>
      </c>
      <c r="AU14" s="418" t="s">
        <v>505</v>
      </c>
      <c r="AV14" s="364"/>
      <c r="AW14" s="409"/>
      <c r="AX14" s="420" t="s">
        <v>377</v>
      </c>
      <c r="AY14" s="419" t="s">
        <v>380</v>
      </c>
      <c r="AZ14" s="418" t="s">
        <v>505</v>
      </c>
      <c r="BA14" s="361"/>
      <c r="BB14" s="409"/>
      <c r="BC14" s="420" t="s">
        <v>377</v>
      </c>
      <c r="BD14" s="419" t="s">
        <v>380</v>
      </c>
      <c r="BE14" s="418" t="s">
        <v>505</v>
      </c>
      <c r="BF14" s="361"/>
      <c r="BG14" s="409"/>
      <c r="BH14" s="420" t="s">
        <v>377</v>
      </c>
      <c r="BI14" s="419" t="s">
        <v>380</v>
      </c>
      <c r="BJ14" s="418" t="s">
        <v>505</v>
      </c>
      <c r="BK14" s="364"/>
      <c r="BL14" s="409"/>
      <c r="BM14" s="420" t="s">
        <v>377</v>
      </c>
      <c r="BN14" s="419" t="s">
        <v>380</v>
      </c>
      <c r="BO14" s="418" t="s">
        <v>505</v>
      </c>
      <c r="BQ14" s="409"/>
      <c r="BR14" s="420" t="s">
        <v>377</v>
      </c>
      <c r="BS14" s="419" t="s">
        <v>380</v>
      </c>
      <c r="BT14" s="418" t="s">
        <v>505</v>
      </c>
      <c r="BV14" s="409"/>
      <c r="BW14" s="420" t="s">
        <v>377</v>
      </c>
      <c r="BX14" s="419" t="s">
        <v>380</v>
      </c>
      <c r="BY14" s="418" t="s">
        <v>505</v>
      </c>
      <c r="CA14" s="409"/>
      <c r="CB14" s="420" t="s">
        <v>377</v>
      </c>
      <c r="CC14" s="419" t="s">
        <v>380</v>
      </c>
      <c r="CD14" s="418" t="s">
        <v>505</v>
      </c>
      <c r="CF14" s="409"/>
      <c r="CG14" s="420" t="s">
        <v>377</v>
      </c>
      <c r="CH14" s="419" t="s">
        <v>380</v>
      </c>
      <c r="CI14" s="418" t="s">
        <v>504</v>
      </c>
      <c r="CK14" s="409"/>
      <c r="CL14" s="420" t="s">
        <v>377</v>
      </c>
      <c r="CM14" s="419" t="s">
        <v>380</v>
      </c>
      <c r="CN14" s="418" t="s">
        <v>504</v>
      </c>
      <c r="CP14" s="409"/>
      <c r="CQ14" s="420" t="s">
        <v>377</v>
      </c>
      <c r="CR14" s="419" t="s">
        <v>380</v>
      </c>
      <c r="CS14" s="418" t="s">
        <v>504</v>
      </c>
      <c r="CU14" s="409"/>
      <c r="CV14" s="420" t="s">
        <v>377</v>
      </c>
      <c r="CW14" s="419" t="s">
        <v>380</v>
      </c>
      <c r="CX14" s="418" t="s">
        <v>504</v>
      </c>
      <c r="CZ14" s="409"/>
      <c r="DA14" s="420" t="s">
        <v>377</v>
      </c>
      <c r="DB14" s="419" t="s">
        <v>380</v>
      </c>
      <c r="DC14" s="418" t="s">
        <v>504</v>
      </c>
      <c r="DE14" s="409"/>
      <c r="DF14" s="420" t="s">
        <v>377</v>
      </c>
      <c r="DG14" s="419" t="s">
        <v>380</v>
      </c>
      <c r="DH14" s="418" t="s">
        <v>504</v>
      </c>
      <c r="DJ14" s="409"/>
      <c r="DK14" s="420" t="s">
        <v>377</v>
      </c>
      <c r="DL14" s="419" t="s">
        <v>380</v>
      </c>
      <c r="DM14" s="418" t="s">
        <v>504</v>
      </c>
      <c r="DO14" s="409"/>
      <c r="DP14" s="420" t="s">
        <v>377</v>
      </c>
      <c r="DQ14" s="419" t="s">
        <v>380</v>
      </c>
      <c r="DR14" s="418" t="s">
        <v>504</v>
      </c>
    </row>
    <row r="15" spans="2:122" x14ac:dyDescent="0.25">
      <c r="B15" s="361">
        <v>1</v>
      </c>
      <c r="D15" s="167" t="str">
        <f>IF(INDEX('Master Lookup'!$C$27:$C$34,$B15)=0,"",INDEX('Master Lookup'!$C$27:$C$34,$B15))</f>
        <v>Program Management</v>
      </c>
      <c r="E15" s="404">
        <f>IFERROR(INDEX('Master Lookup'!$D$27:$D$34,MATCH(D15,'Master Lookup'!$C$27:$C$34,0)),"")</f>
        <v>79415.232000000018</v>
      </c>
      <c r="F15" s="361">
        <f>IFERROR(INDEX('Master Lookup'!$E$27:$E$34,MATCH(D15,'Master Lookup'!$C$27:$C$34,0)),"")</f>
        <v>0.08</v>
      </c>
      <c r="G15" s="398">
        <f>IFERROR(E15*F15,0)</f>
        <v>6353.2185600000012</v>
      </c>
      <c r="I15" s="167" t="str">
        <f>IF(INDEX('Master Lookup'!$C$27:$C$34,$B15)=0,"",INDEX('Master Lookup'!$C$27:$C$34,$B15))</f>
        <v>Program Management</v>
      </c>
      <c r="J15" s="404">
        <f>IFERROR(INDEX('Master Lookup'!$D$27:$D$34,MATCH(I15,'Master Lookup'!$C$27:$C$34,0)),"")</f>
        <v>79415.232000000018</v>
      </c>
      <c r="K15" s="361">
        <f>IFERROR(INDEX('Master Lookup'!$F$27:$F$34,MATCH(I15,'Master Lookup'!$C$27:$C$34,0)),"")</f>
        <v>0.16</v>
      </c>
      <c r="L15" s="398">
        <f>IFERROR(J15*K15,0)</f>
        <v>12706.437120000002</v>
      </c>
      <c r="N15" s="167" t="str">
        <f>IF(INDEX('Master Lookup'!$C$27:$C$34,$B15)=0,"",INDEX('Master Lookup'!$C$27:$C$34,$B15))</f>
        <v>Program Management</v>
      </c>
      <c r="O15" s="404">
        <f>IFERROR(INDEX('Master Lookup'!$D$27:$D$34,MATCH(N15,'Master Lookup'!$C$27:$C$34,0)),"")</f>
        <v>79415.232000000018</v>
      </c>
      <c r="P15" s="361">
        <f>IFERROR(INDEX('Master Lookup'!$G$27:$G$34,MATCH(N15,'Master Lookup'!$C$27:$C$34,0)),"")</f>
        <v>0.24</v>
      </c>
      <c r="Q15" s="398">
        <f>IFERROR(O15*P15,0)</f>
        <v>19059.655680000003</v>
      </c>
      <c r="S15" s="167" t="str">
        <f>IF(INDEX('Master Lookup'!$C$27:$C$34,$B15)=0,"",INDEX('Master Lookup'!$C$27:$C$34,$B15))</f>
        <v>Program Management</v>
      </c>
      <c r="T15" s="404">
        <f>IFERROR(INDEX('Master Lookup'!$D$27:$D$34,MATCH(S15,'Master Lookup'!$C$27:$C$34,0)),"")</f>
        <v>79415.232000000018</v>
      </c>
      <c r="U15" s="361">
        <f>IFERROR(INDEX('Master Lookup'!$H$27:$H$34,MATCH(S15,'Master Lookup'!$C$27:$C$34,0)),"")</f>
        <v>0.32</v>
      </c>
      <c r="V15" s="398">
        <f>IFERROR(T15*U15,0)</f>
        <v>25412.874240000005</v>
      </c>
      <c r="X15" s="167" t="str">
        <f>IF(INDEX('Master Lookup'!$C$27:$C$34,$B15)=0,"",INDEX('Master Lookup'!$C$27:$C$34,$B15))</f>
        <v>Program Management</v>
      </c>
      <c r="Y15" s="404">
        <f>IFERROR(INDEX('Master Lookup'!$D$27:$D$34,MATCH(X15,'Master Lookup'!$C$27:$C$34,0)),"")</f>
        <v>79415.232000000018</v>
      </c>
      <c r="Z15" s="361">
        <f>IFERROR(INDEX('Master Lookup'!$I$27:$I$34,MATCH(X15,'Master Lookup'!$C$27:$C$34,0)),"")</f>
        <v>0.33750000000000002</v>
      </c>
      <c r="AA15" s="398">
        <f>IFERROR(Y15*Z15,0)</f>
        <v>26802.640800000008</v>
      </c>
      <c r="AC15" s="167" t="str">
        <f>IF(INDEX('Master Lookup'!$C$27:$C$34,$B15)=0,"",INDEX('Master Lookup'!$C$27:$C$34,$B15))</f>
        <v>Program Management</v>
      </c>
      <c r="AD15" s="404">
        <f>IFERROR(INDEX('Master Lookup'!$D$27:$D$34,MATCH(AC15,'Master Lookup'!$C$27:$C$34,0)),"")</f>
        <v>79415.232000000018</v>
      </c>
      <c r="AE15" s="361">
        <f>IFERROR(INDEX('Master Lookup'!$J$27:$J$34,MATCH(AC15,'Master Lookup'!$C$27:$C$34,0)),"")</f>
        <v>0.36</v>
      </c>
      <c r="AF15" s="398">
        <f>IFERROR(AD15*AE15,0)</f>
        <v>28589.483520000005</v>
      </c>
      <c r="AH15" s="167" t="str">
        <f>IF(INDEX('Master Lookup'!$C$27:$C$34,$B15)=0,"",INDEX('Master Lookup'!$C$27:$C$34,$B15))</f>
        <v>Program Management</v>
      </c>
      <c r="AI15" s="404">
        <f>IFERROR(INDEX('Master Lookup'!$D$27:$D$34,MATCH(AH15,'Master Lookup'!$C$27:$C$34,0)),"")</f>
        <v>79415.232000000018</v>
      </c>
      <c r="AJ15" s="361">
        <f>IFERROR(INDEX('Master Lookup'!$K$27:$K$34,MATCH(AH15,'Master Lookup'!$C$27:$C$34,0)),"")</f>
        <v>0.38500000000000001</v>
      </c>
      <c r="AK15" s="398">
        <f>IFERROR(AI15*AJ15,0)</f>
        <v>30574.864320000008</v>
      </c>
      <c r="AM15" s="167" t="str">
        <f>IF(INDEX('Master Lookup'!$C$27:$C$34,$B15)=0,"",INDEX('Master Lookup'!$C$27:$C$34,$B15))</f>
        <v>Program Management</v>
      </c>
      <c r="AN15" s="404">
        <f>IFERROR(INDEX('Master Lookup'!$D$27:$D$34,MATCH(AM15,'Master Lookup'!$C$27:$C$34,0)),"")</f>
        <v>79415.232000000018</v>
      </c>
      <c r="AO15" s="361">
        <f>IFERROR(INDEX('Master Lookup'!$L$27:$L$34,MATCH(AM15,'Master Lookup'!$C$27:$C$34,0)),"")</f>
        <v>0.42</v>
      </c>
      <c r="AP15" s="398">
        <f>IFERROR(AN15*AO15,0)</f>
        <v>33354.397440000008</v>
      </c>
      <c r="AR15" s="167" t="str">
        <f>IF(INDEX('Master Lookup'!$C$27:$C$34,$B15)=0,"",INDEX('Master Lookup'!$C$27:$C$34,$B15))</f>
        <v>Program Management</v>
      </c>
      <c r="AS15" s="404">
        <f>IFERROR(INDEX('Master Lookup'!$D$27:$D$34,MATCH(AR15,'Master Lookup'!$C$27:$C$34,0)),"")</f>
        <v>79415.232000000018</v>
      </c>
      <c r="AT15" s="361">
        <f>IFERROR(INDEX('Master Lookup'!$M$27:$M$34,MATCH(AR15,'Master Lookup'!$C$27:$C$34,0)),"")</f>
        <v>0.47249999999999998</v>
      </c>
      <c r="AU15" s="398">
        <f>IFERROR(AS15*AT15,0)</f>
        <v>37523.697120000004</v>
      </c>
      <c r="AW15" s="167" t="str">
        <f>IF(INDEX('Master Lookup'!$C$27:$C$34,$B15)=0,"",INDEX('Master Lookup'!$C$27:$C$34,$B15))</f>
        <v>Program Management</v>
      </c>
      <c r="AX15" s="404">
        <f>IFERROR(INDEX('Master Lookup'!$D$27:$D$34,MATCH(AW15,'Master Lookup'!$C$27:$C$34,0)),"")</f>
        <v>79415.232000000018</v>
      </c>
      <c r="AY15" s="361">
        <f>IFERROR(INDEX('Master Lookup'!$N$27:$N$34,MATCH(AW15,'Master Lookup'!$C$27:$C$34,0)),"")</f>
        <v>0.52</v>
      </c>
      <c r="AZ15" s="398">
        <f>IFERROR(AX15*AY15,0)</f>
        <v>41295.920640000011</v>
      </c>
      <c r="BB15" s="167" t="str">
        <f>IF(INDEX('Master Lookup'!$C$27:$C$34,$B15)=0,"",INDEX('Master Lookup'!$C$27:$C$34,$B15))</f>
        <v>Program Management</v>
      </c>
      <c r="BC15" s="404">
        <f>IFERROR(INDEX('Master Lookup'!$D$27:$D$34,MATCH(BB15,'Master Lookup'!$C$27:$C$34,0)),"")</f>
        <v>79415.232000000018</v>
      </c>
      <c r="BD15" s="361">
        <f>IFERROR(INDEX('Master Lookup'!$O$27:$O$34,MATCH(BB15,'Master Lookup'!$C$27:$C$34,0)),"")</f>
        <v>0.57199999999999995</v>
      </c>
      <c r="BE15" s="398">
        <f>IFERROR(BC15*BD15,0)</f>
        <v>45425.512704000008</v>
      </c>
      <c r="BG15" s="167" t="str">
        <f>IF(INDEX('Master Lookup'!$C$27:$C$34,$B15)=0,"",INDEX('Master Lookup'!$C$27:$C$34,$B15))</f>
        <v>Program Management</v>
      </c>
      <c r="BH15" s="404">
        <f>IFERROR(INDEX('Master Lookup'!$D$27:$D$34,MATCH(BG15,'Master Lookup'!$C$27:$C$34,0)),"")</f>
        <v>79415.232000000018</v>
      </c>
      <c r="BI15" s="361">
        <f>IFERROR(INDEX('Master Lookup'!$P$27:$P$34,MATCH(BG15,'Master Lookup'!$C$27:$C$34,0)),"")</f>
        <v>0.61799999999999999</v>
      </c>
      <c r="BJ15" s="398">
        <f>IFERROR(BH15*BI15,0)</f>
        <v>49078.613376000008</v>
      </c>
      <c r="BL15" s="167" t="str">
        <f>IF(INDEX('Master Lookup'!$C$27:$C$34,$B15)=0,"",INDEX('Master Lookup'!$C$27:$C$34,$B15))</f>
        <v>Program Management</v>
      </c>
      <c r="BM15" s="404">
        <f>IFERROR(INDEX('Master Lookup'!$D$27:$D$34,MATCH(BL15,'Master Lookup'!$C$27:$C$34,0)),"")</f>
        <v>79415.232000000018</v>
      </c>
      <c r="BN15" s="361">
        <f>IFERROR(INDEX('Master Lookup'!$Q$27:$Q$34,MATCH(BL15,'Master Lookup'!$C$27:$C$34,0)),"")</f>
        <v>0.66949999999999998</v>
      </c>
      <c r="BO15" s="398">
        <f>IFERROR(BM15*BN15,0)</f>
        <v>53168.497824000013</v>
      </c>
      <c r="BQ15" s="167" t="str">
        <f>IF(INDEX('Master Lookup'!$C$27:$C$34,$B15)=0,"",INDEX('Master Lookup'!$C$27:$C$34,$B15))</f>
        <v>Program Management</v>
      </c>
      <c r="BR15" s="404">
        <f>IFERROR(INDEX('Master Lookup'!$D$27:$D$34,MATCH(BQ15,'Master Lookup'!$C$27:$C$34,0)),"")</f>
        <v>79415.232000000018</v>
      </c>
      <c r="BS15" s="361">
        <f>IFERROR(INDEX('Master Lookup'!$R$27:$R$34,MATCH(BQ15,'Master Lookup'!$C$27:$C$34,0)),"")</f>
        <v>0.71399999999999997</v>
      </c>
      <c r="BT15" s="398">
        <f>IFERROR(BR15*BS15,0)</f>
        <v>56702.475648000007</v>
      </c>
      <c r="BV15" s="167" t="str">
        <f>IF(INDEX('Master Lookup'!$C$27:$C$34,$B15)=0,"",INDEX('Master Lookup'!$C$27:$C$34,$B15))</f>
        <v>Program Management</v>
      </c>
      <c r="BW15" s="404">
        <f>IFERROR(INDEX('Master Lookup'!$D$27:$D$34,MATCH(BV15,'Master Lookup'!$C$27:$C$34,0)),"")</f>
        <v>79415.232000000018</v>
      </c>
      <c r="BX15" s="361">
        <f>IFERROR(INDEX('Master Lookup'!$S$27:$S$34,MATCH(BV15,'Master Lookup'!$C$27:$C$34,0)),"")</f>
        <v>0.76500000000000001</v>
      </c>
      <c r="BY15" s="398">
        <f>IFERROR(BW15*BX15,0)</f>
        <v>60752.652480000012</v>
      </c>
      <c r="CA15" s="167" t="str">
        <f>IF(INDEX('Master Lookup'!$C$27:$C$34,$B15)=0,"",INDEX('Master Lookup'!$C$27:$C$34,$B15))</f>
        <v>Program Management</v>
      </c>
      <c r="CB15" s="404">
        <f>IFERROR(INDEX('Master Lookup'!$D$27:$D$34,MATCH(CA15,'Master Lookup'!$C$27:$C$34,0)),"")</f>
        <v>79415.232000000018</v>
      </c>
      <c r="CC15" s="361">
        <f>IFERROR(INDEX('Master Lookup'!$T$27:$T$34,MATCH(CA15,'Master Lookup'!$C$27:$C$34,0)),"")</f>
        <v>0.8</v>
      </c>
      <c r="CD15" s="398">
        <f>IFERROR(CB15*CC15,0)</f>
        <v>63532.185600000019</v>
      </c>
      <c r="CF15" s="167" t="str">
        <f>IF(INDEX('Master Lookup'!$C$27:$C$34,$B15)=0,"",INDEX('Master Lookup'!$C$27:$C$34,$B15))</f>
        <v>Program Management</v>
      </c>
      <c r="CG15" s="404">
        <f>IFERROR(INDEX('Master Lookup'!$D$27:$D$34,MATCH(CF15,'Master Lookup'!$C$27:$C$34,0)),"")</f>
        <v>79415.232000000018</v>
      </c>
      <c r="CH15" s="361">
        <f>IFERROR(INDEX('Master Lookup'!$U$27:$U$34,MATCH(CF15,'Master Lookup'!$C$27:$C$34,0)),"")</f>
        <v>0.81</v>
      </c>
      <c r="CI15" s="398">
        <f>IFERROR(CG15*CH15,0)</f>
        <v>64326.33792000002</v>
      </c>
      <c r="CK15" s="167" t="str">
        <f>IF(INDEX('Master Lookup'!$C$27:$C$34,$B15)=0,"",INDEX('Master Lookup'!$C$27:$C$34,$B15))</f>
        <v>Program Management</v>
      </c>
      <c r="CL15" s="404">
        <f>IFERROR(INDEX('Master Lookup'!$D$27:$D$34,MATCH(CK15,'Master Lookup'!$C$27:$C$34,0)),"")</f>
        <v>79415.232000000018</v>
      </c>
      <c r="CM15" s="361">
        <f>IFERROR(INDEX('Master Lookup'!$V$27:$V$34,MATCH(CK15,'Master Lookup'!$C$27:$C$34,0)),"")</f>
        <v>0.81</v>
      </c>
      <c r="CN15" s="398">
        <f>IFERROR(CL15*CM15,0)</f>
        <v>64326.33792000002</v>
      </c>
      <c r="CP15" s="167" t="str">
        <f>IF(INDEX('Master Lookup'!$C$27:$C$34,$B15)=0,"",INDEX('Master Lookup'!$C$27:$C$34,$B15))</f>
        <v>Program Management</v>
      </c>
      <c r="CQ15" s="404">
        <f>IFERROR(INDEX('Master Lookup'!$D$27:$D$34,MATCH(CP15,'Master Lookup'!$C$27:$C$34,0)),"")</f>
        <v>79415.232000000018</v>
      </c>
      <c r="CR15" s="361">
        <f>IFERROR(INDEX('Master Lookup'!$W$27:$W$34,MATCH(CP15,'Master Lookup'!$C$27:$C$34,0)),"")</f>
        <v>0.81</v>
      </c>
      <c r="CS15" s="398">
        <f>IFERROR(CQ15*CR15,0)</f>
        <v>64326.33792000002</v>
      </c>
      <c r="CU15" s="167" t="str">
        <f>IF(INDEX('Master Lookup'!$C$27:$C$34,$B15)=0,"",INDEX('Master Lookup'!$C$27:$C$34,$B15))</f>
        <v>Program Management</v>
      </c>
      <c r="CV15" s="404">
        <f>IFERROR(INDEX('Master Lookup'!$D$27:$D$34,MATCH(CU15,'Master Lookup'!$C$27:$C$34,0)),"")</f>
        <v>79415.232000000018</v>
      </c>
      <c r="CW15" s="361">
        <f>IFERROR(INDEX('Master Lookup'!$X$27:$X$34,MATCH(CU15,'Master Lookup'!$C$27:$C$34,0)),"")</f>
        <v>0.8</v>
      </c>
      <c r="CX15" s="398">
        <f>IFERROR(CV15*CW15,0)</f>
        <v>63532.185600000019</v>
      </c>
      <c r="CZ15" s="167" t="str">
        <f>IF(INDEX('Master Lookup'!$C$27:$C$34,$B15)=0,"",INDEX('Master Lookup'!$C$27:$C$34,$B15))</f>
        <v>Program Management</v>
      </c>
      <c r="DA15" s="404">
        <f>IFERROR(INDEX('Master Lookup'!$D$27:$D$34,MATCH(CZ15,'Master Lookup'!$C$27:$C$34,0)),"")</f>
        <v>79415.232000000018</v>
      </c>
      <c r="DB15" s="361">
        <f>IFERROR(INDEX('Master Lookup'!$Y$27:$Y$34,MATCH(CZ15,'Master Lookup'!$C$27:$C$34,0)),"")</f>
        <v>0.79</v>
      </c>
      <c r="DC15" s="398">
        <f>IFERROR(DA15*DB15,0)</f>
        <v>62738.033280000018</v>
      </c>
      <c r="DE15" s="167" t="str">
        <f>IF(INDEX('Master Lookup'!$C$27:$C$34,$B15)=0,"",INDEX('Master Lookup'!$C$27:$C$34,$B15))</f>
        <v>Program Management</v>
      </c>
      <c r="DF15" s="404">
        <f>IFERROR(INDEX('Master Lookup'!$D$27:$D$34,MATCH(DE15,'Master Lookup'!$C$27:$C$34,0)),"")</f>
        <v>79415.232000000018</v>
      </c>
      <c r="DG15" s="361">
        <f>IFERROR(INDEX('Master Lookup'!$Z$27:$Z$34,MATCH(DE15,'Master Lookup'!$C$27:$C$34,0)),"")</f>
        <v>0.77</v>
      </c>
      <c r="DH15" s="398">
        <f>IFERROR(DF15*DG15,0)</f>
        <v>61149.728640000016</v>
      </c>
      <c r="DJ15" s="167" t="str">
        <f>IF(INDEX('Master Lookup'!$C$27:$C$34,$B15)=0,"",INDEX('Master Lookup'!$C$27:$C$34,$B15))</f>
        <v>Program Management</v>
      </c>
      <c r="DK15" s="404">
        <f>IFERROR(INDEX('Master Lookup'!$D$27:$D$34,MATCH(DJ15,'Master Lookup'!$C$27:$C$34,0)),"")</f>
        <v>79415.232000000018</v>
      </c>
      <c r="DL15" s="361">
        <f>IFERROR(INDEX('Master Lookup'!$AA$27:$AA$34,MATCH(DJ15,'Master Lookup'!$C$27:$C$34,0)),"")</f>
        <v>0.75</v>
      </c>
      <c r="DM15" s="398">
        <f>IFERROR(DK15*DL15,0)</f>
        <v>59561.424000000014</v>
      </c>
      <c r="DO15" s="167" t="str">
        <f>IF(INDEX('Master Lookup'!$C$27:$C$34,$B15)=0,"",INDEX('Master Lookup'!$C$27:$C$34,$B15))</f>
        <v>Program Management</v>
      </c>
      <c r="DP15" s="404">
        <f>IFERROR(INDEX('Master Lookup'!$D$27:$D$34,MATCH(DO15,'Master Lookup'!$C$27:$C$34,0)),"")</f>
        <v>79415.232000000018</v>
      </c>
      <c r="DQ15" s="361">
        <f>IFERROR(INDEX('Master Lookup'!$AB$27:$AB$34,MATCH(DO15,'Master Lookup'!$C$27:$C$34,0)),"")</f>
        <v>0.72</v>
      </c>
      <c r="DR15" s="398">
        <f>IFERROR(DP15*DQ15,0)</f>
        <v>57178.96704000001</v>
      </c>
    </row>
    <row r="16" spans="2:122" x14ac:dyDescent="0.25">
      <c r="B16" s="361">
        <v>2</v>
      </c>
      <c r="D16" s="167" t="str">
        <f>IF(INDEX('Master Lookup'!$C$27:$C$34,$B16)=0,"",INDEX('Master Lookup'!$C$27:$C$34,$B16))</f>
        <v>Case Worker</v>
      </c>
      <c r="E16" s="404">
        <f>IFERROR(INDEX('Master Lookup'!$D$27:$D$34,MATCH(D16,'Master Lookup'!$C$27:$C$34,0)),"")</f>
        <v>58616.063999999998</v>
      </c>
      <c r="F16" s="361">
        <f>IFERROR(INDEX('Master Lookup'!$E$27:$E$34,MATCH(D16,'Master Lookup'!$C$27:$C$34,0)),"")</f>
        <v>0.5</v>
      </c>
      <c r="G16" s="398">
        <f>IFERROR(E16*F16,0)</f>
        <v>29308.031999999999</v>
      </c>
      <c r="I16" s="167" t="str">
        <f>IF(INDEX('Master Lookup'!$C$27:$C$34,$B16)=0,"",INDEX('Master Lookup'!$C$27:$C$34,$B16))</f>
        <v>Case Worker</v>
      </c>
      <c r="J16" s="404">
        <f>IFERROR(INDEX('Master Lookup'!$D$27:$D$34,MATCH(I16,'Master Lookup'!$C$27:$C$34,0)),"")</f>
        <v>58616.063999999998</v>
      </c>
      <c r="K16" s="361">
        <f>IFERROR(INDEX('Master Lookup'!$F$27:$F$34,MATCH(I16,'Master Lookup'!$C$27:$C$34,0)),"")</f>
        <v>1</v>
      </c>
      <c r="L16" s="398">
        <f>IFERROR(J16*K16,0)</f>
        <v>58616.063999999998</v>
      </c>
      <c r="N16" s="167" t="str">
        <f>IF(INDEX('Master Lookup'!$C$27:$C$34,$B16)=0,"",INDEX('Master Lookup'!$C$27:$C$34,$B16))</f>
        <v>Case Worker</v>
      </c>
      <c r="O16" s="404">
        <f>IFERROR(INDEX('Master Lookup'!$D$27:$D$34,MATCH(N16,'Master Lookup'!$C$27:$C$34,0)),"")</f>
        <v>58616.063999999998</v>
      </c>
      <c r="P16" s="361">
        <f>IFERROR(INDEX('Master Lookup'!$G$27:$G$34,MATCH(N16,'Master Lookup'!$C$27:$C$34,0)),"")</f>
        <v>1.5</v>
      </c>
      <c r="Q16" s="398">
        <f>IFERROR(O16*P16,0)</f>
        <v>87924.09599999999</v>
      </c>
      <c r="S16" s="167" t="str">
        <f>IF(INDEX('Master Lookup'!$C$27:$C$34,$B16)=0,"",INDEX('Master Lookup'!$C$27:$C$34,$B16))</f>
        <v>Case Worker</v>
      </c>
      <c r="T16" s="404">
        <f>IFERROR(INDEX('Master Lookup'!$D$27:$D$34,MATCH(S16,'Master Lookup'!$C$27:$C$34,0)),"")</f>
        <v>58616.063999999998</v>
      </c>
      <c r="U16" s="361">
        <f>IFERROR(INDEX('Master Lookup'!$H$27:$H$34,MATCH(S16,'Master Lookup'!$C$27:$C$34,0)),"")</f>
        <v>2</v>
      </c>
      <c r="V16" s="398">
        <f>IFERROR(T16*U16,0)</f>
        <v>117232.128</v>
      </c>
      <c r="X16" s="167" t="str">
        <f>IF(INDEX('Master Lookup'!$C$27:$C$34,$B16)=0,"",INDEX('Master Lookup'!$C$27:$C$34,$B16))</f>
        <v>Case Worker</v>
      </c>
      <c r="Y16" s="404">
        <f>IFERROR(INDEX('Master Lookup'!$D$27:$D$34,MATCH(X16,'Master Lookup'!$C$27:$C$34,0)),"")</f>
        <v>58616.063999999998</v>
      </c>
      <c r="Z16" s="361">
        <f>IFERROR(INDEX('Master Lookup'!$I$27:$I$34,MATCH(X16,'Master Lookup'!$C$27:$C$34,0)),"")</f>
        <v>2.5</v>
      </c>
      <c r="AA16" s="398">
        <f>IFERROR(Y16*Z16,0)</f>
        <v>146540.16</v>
      </c>
      <c r="AC16" s="167" t="str">
        <f>IF(INDEX('Master Lookup'!$C$27:$C$34,$B16)=0,"",INDEX('Master Lookup'!$C$27:$C$34,$B16))</f>
        <v>Case Worker</v>
      </c>
      <c r="AD16" s="404">
        <f>IFERROR(INDEX('Master Lookup'!$D$27:$D$34,MATCH(AC16,'Master Lookup'!$C$27:$C$34,0)),"")</f>
        <v>58616.063999999998</v>
      </c>
      <c r="AE16" s="361">
        <f>IFERROR(INDEX('Master Lookup'!$J$27:$J$34,MATCH(AC16,'Master Lookup'!$C$27:$C$34,0)),"")</f>
        <v>3</v>
      </c>
      <c r="AF16" s="398">
        <f>IFERROR(AD16*AE16,0)</f>
        <v>175848.19199999998</v>
      </c>
      <c r="AH16" s="167" t="str">
        <f>IF(INDEX('Master Lookup'!$C$27:$C$34,$B16)=0,"",INDEX('Master Lookup'!$C$27:$C$34,$B16))</f>
        <v>Case Worker</v>
      </c>
      <c r="AI16" s="404">
        <f>IFERROR(INDEX('Master Lookup'!$D$27:$D$34,MATCH(AH16,'Master Lookup'!$C$27:$C$34,0)),"")</f>
        <v>58616.063999999998</v>
      </c>
      <c r="AJ16" s="361">
        <f>IFERROR(INDEX('Master Lookup'!$K$27:$K$34,MATCH(AH16,'Master Lookup'!$C$27:$C$34,0)),"")</f>
        <v>3.5</v>
      </c>
      <c r="AK16" s="398">
        <f>IFERROR(AI16*AJ16,0)</f>
        <v>205156.22399999999</v>
      </c>
      <c r="AM16" s="167" t="str">
        <f>IF(INDEX('Master Lookup'!$C$27:$C$34,$B16)=0,"",INDEX('Master Lookup'!$C$27:$C$34,$B16))</f>
        <v>Case Worker</v>
      </c>
      <c r="AN16" s="404">
        <f>IFERROR(INDEX('Master Lookup'!$D$27:$D$34,MATCH(AM16,'Master Lookup'!$C$27:$C$34,0)),"")</f>
        <v>58616.063999999998</v>
      </c>
      <c r="AO16" s="361">
        <f>IFERROR(INDEX('Master Lookup'!$L$27:$L$34,MATCH(AM16,'Master Lookup'!$C$27:$C$34,0)),"")</f>
        <v>4</v>
      </c>
      <c r="AP16" s="398">
        <f>IFERROR(AN16*AO16,0)</f>
        <v>234464.25599999999</v>
      </c>
      <c r="AR16" s="167" t="str">
        <f>IF(INDEX('Master Lookup'!$C$27:$C$34,$B16)=0,"",INDEX('Master Lookup'!$C$27:$C$34,$B16))</f>
        <v>Case Worker</v>
      </c>
      <c r="AS16" s="404">
        <f>IFERROR(INDEX('Master Lookup'!$D$27:$D$34,MATCH(AR16,'Master Lookup'!$C$27:$C$34,0)),"")</f>
        <v>58616.063999999998</v>
      </c>
      <c r="AT16" s="361">
        <f>IFERROR(INDEX('Master Lookup'!$M$27:$M$34,MATCH(AR16,'Master Lookup'!$C$27:$C$34,0)),"")</f>
        <v>4.5</v>
      </c>
      <c r="AU16" s="398">
        <f>IFERROR(AS16*AT16,0)</f>
        <v>263772.288</v>
      </c>
      <c r="AW16" s="167" t="str">
        <f>IF(INDEX('Master Lookup'!$C$27:$C$34,$B16)=0,"",INDEX('Master Lookup'!$C$27:$C$34,$B16))</f>
        <v>Case Worker</v>
      </c>
      <c r="AX16" s="404">
        <f>IFERROR(INDEX('Master Lookup'!$D$27:$D$34,MATCH(AW16,'Master Lookup'!$C$27:$C$34,0)),"")</f>
        <v>58616.063999999998</v>
      </c>
      <c r="AY16" s="361">
        <f>IFERROR(INDEX('Master Lookup'!$N$27:$N$34,MATCH(AW16,'Master Lookup'!$C$27:$C$34,0)),"")</f>
        <v>5</v>
      </c>
      <c r="AZ16" s="398">
        <f>IFERROR(AX16*AY16,0)</f>
        <v>293080.32000000001</v>
      </c>
      <c r="BB16" s="167" t="str">
        <f>IF(INDEX('Master Lookup'!$C$27:$C$34,$B16)=0,"",INDEX('Master Lookup'!$C$27:$C$34,$B16))</f>
        <v>Case Worker</v>
      </c>
      <c r="BC16" s="404">
        <f>IFERROR(INDEX('Master Lookup'!$D$27:$D$34,MATCH(BB16,'Master Lookup'!$C$27:$C$34,0)),"")</f>
        <v>58616.063999999998</v>
      </c>
      <c r="BD16" s="361">
        <f>IFERROR(INDEX('Master Lookup'!$O$27:$O$34,MATCH(BB16,'Master Lookup'!$C$27:$C$34,0)),"")</f>
        <v>5.5</v>
      </c>
      <c r="BE16" s="398">
        <f>IFERROR(BC16*BD16,0)</f>
        <v>322388.35200000001</v>
      </c>
      <c r="BG16" s="167" t="str">
        <f>IF(INDEX('Master Lookup'!$C$27:$C$34,$B16)=0,"",INDEX('Master Lookup'!$C$27:$C$34,$B16))</f>
        <v>Case Worker</v>
      </c>
      <c r="BH16" s="404">
        <f>IFERROR(INDEX('Master Lookup'!$D$27:$D$34,MATCH(BG16,'Master Lookup'!$C$27:$C$34,0)),"")</f>
        <v>58616.063999999998</v>
      </c>
      <c r="BI16" s="361">
        <f>IFERROR(INDEX('Master Lookup'!$P$27:$P$34,MATCH(BG16,'Master Lookup'!$C$27:$C$34,0)),"")</f>
        <v>6</v>
      </c>
      <c r="BJ16" s="398">
        <f>IFERROR(BH16*BI16,0)</f>
        <v>351696.38399999996</v>
      </c>
      <c r="BL16" s="167" t="str">
        <f>IF(INDEX('Master Lookup'!$C$27:$C$34,$B16)=0,"",INDEX('Master Lookup'!$C$27:$C$34,$B16))</f>
        <v>Case Worker</v>
      </c>
      <c r="BM16" s="404">
        <f>IFERROR(INDEX('Master Lookup'!$D$27:$D$34,MATCH(BL16,'Master Lookup'!$C$27:$C$34,0)),"")</f>
        <v>58616.063999999998</v>
      </c>
      <c r="BN16" s="361">
        <f>IFERROR(INDEX('Master Lookup'!$Q$27:$Q$34,MATCH(BL16,'Master Lookup'!$C$27:$C$34,0)),"")</f>
        <v>6.5</v>
      </c>
      <c r="BO16" s="398">
        <f>IFERROR(BM16*BN16,0)</f>
        <v>381004.41599999997</v>
      </c>
      <c r="BQ16" s="167" t="str">
        <f>IF(INDEX('Master Lookup'!$C$27:$C$34,$B16)=0,"",INDEX('Master Lookup'!$C$27:$C$34,$B16))</f>
        <v>Case Worker</v>
      </c>
      <c r="BR16" s="404">
        <f>IFERROR(INDEX('Master Lookup'!$D$27:$D$34,MATCH(BQ16,'Master Lookup'!$C$27:$C$34,0)),"")</f>
        <v>58616.063999999998</v>
      </c>
      <c r="BS16" s="361">
        <f>IFERROR(INDEX('Master Lookup'!$R$27:$R$34,MATCH(BQ16,'Master Lookup'!$C$27:$C$34,0)),"")</f>
        <v>7</v>
      </c>
      <c r="BT16" s="398">
        <f>IFERROR(BR16*BS16,0)</f>
        <v>410312.44799999997</v>
      </c>
      <c r="BV16" s="167" t="str">
        <f>IF(INDEX('Master Lookup'!$C$27:$C$34,$B16)=0,"",INDEX('Master Lookup'!$C$27:$C$34,$B16))</f>
        <v>Case Worker</v>
      </c>
      <c r="BW16" s="404">
        <f>IFERROR(INDEX('Master Lookup'!$D$27:$D$34,MATCH(BV16,'Master Lookup'!$C$27:$C$34,0)),"")</f>
        <v>58616.063999999998</v>
      </c>
      <c r="BX16" s="361">
        <f>IFERROR(INDEX('Master Lookup'!$S$27:$S$34,MATCH(BV16,'Master Lookup'!$C$27:$C$34,0)),"")</f>
        <v>7.5</v>
      </c>
      <c r="BY16" s="398">
        <f>IFERROR(BW16*BX16,0)</f>
        <v>439620.48</v>
      </c>
      <c r="CA16" s="167" t="str">
        <f>IF(INDEX('Master Lookup'!$C$27:$C$34,$B16)=0,"",INDEX('Master Lookup'!$C$27:$C$34,$B16))</f>
        <v>Case Worker</v>
      </c>
      <c r="CB16" s="404">
        <f>IFERROR(INDEX('Master Lookup'!$D$27:$D$34,MATCH(CA16,'Master Lookup'!$C$27:$C$34,0)),"")</f>
        <v>58616.063999999998</v>
      </c>
      <c r="CC16" s="361">
        <f>IFERROR(INDEX('Master Lookup'!$T$27:$T$34,MATCH(CA16,'Master Lookup'!$C$27:$C$34,0)),"")</f>
        <v>8</v>
      </c>
      <c r="CD16" s="398">
        <f>IFERROR(CB16*CC16,0)</f>
        <v>468928.51199999999</v>
      </c>
      <c r="CF16" s="167" t="str">
        <f>IF(INDEX('Master Lookup'!$C$27:$C$34,$B16)=0,"",INDEX('Master Lookup'!$C$27:$C$34,$B16))</f>
        <v>Case Worker</v>
      </c>
      <c r="CG16" s="404">
        <f>IFERROR(INDEX('Master Lookup'!$D$27:$D$34,MATCH(CF16,'Master Lookup'!$C$27:$C$34,0)),"")</f>
        <v>58616.063999999998</v>
      </c>
      <c r="CH16" s="361">
        <f>IFERROR(INDEX('Master Lookup'!$U$27:$U$34,MATCH(CF16,'Master Lookup'!$C$27:$C$34,0)),"")</f>
        <v>8.5</v>
      </c>
      <c r="CI16" s="398">
        <f>IFERROR(CG16*CH16,0)</f>
        <v>498236.54399999999</v>
      </c>
      <c r="CK16" s="167" t="str">
        <f>IF(INDEX('Master Lookup'!$C$27:$C$34,$B16)=0,"",INDEX('Master Lookup'!$C$27:$C$34,$B16))</f>
        <v>Case Worker</v>
      </c>
      <c r="CL16" s="404">
        <f>IFERROR(INDEX('Master Lookup'!$D$27:$D$34,MATCH(CK16,'Master Lookup'!$C$27:$C$34,0)),"")</f>
        <v>58616.063999999998</v>
      </c>
      <c r="CM16" s="361">
        <f>IFERROR(INDEX('Master Lookup'!$V$27:$V$34,MATCH(CK16,'Master Lookup'!$C$27:$C$34,0)),"")</f>
        <v>9</v>
      </c>
      <c r="CN16" s="398">
        <f>IFERROR(CL16*CM16,0)</f>
        <v>527544.576</v>
      </c>
      <c r="CP16" s="167" t="str">
        <f>IF(INDEX('Master Lookup'!$C$27:$C$34,$B16)=0,"",INDEX('Master Lookup'!$C$27:$C$34,$B16))</f>
        <v>Case Worker</v>
      </c>
      <c r="CQ16" s="404">
        <f>IFERROR(INDEX('Master Lookup'!$D$27:$D$34,MATCH(CP16,'Master Lookup'!$C$27:$C$34,0)),"")</f>
        <v>58616.063999999998</v>
      </c>
      <c r="CR16" s="361">
        <f>IFERROR(INDEX('Master Lookup'!$W$27:$W$34,MATCH(CP16,'Master Lookup'!$C$27:$C$34,0)),"")</f>
        <v>9.5</v>
      </c>
      <c r="CS16" s="398">
        <f>IFERROR(CQ16*CR16,0)</f>
        <v>556852.60800000001</v>
      </c>
      <c r="CU16" s="167" t="str">
        <f>IF(INDEX('Master Lookup'!$C$27:$C$34,$B16)=0,"",INDEX('Master Lookup'!$C$27:$C$34,$B16))</f>
        <v>Case Worker</v>
      </c>
      <c r="CV16" s="404">
        <f>IFERROR(INDEX('Master Lookup'!$D$27:$D$34,MATCH(CU16,'Master Lookup'!$C$27:$C$34,0)),"")</f>
        <v>58616.063999999998</v>
      </c>
      <c r="CW16" s="361">
        <f>IFERROR(INDEX('Master Lookup'!$X$27:$X$34,MATCH(CU16,'Master Lookup'!$C$27:$C$34,0)),"")</f>
        <v>10</v>
      </c>
      <c r="CX16" s="398">
        <f>IFERROR(CV16*CW16,0)</f>
        <v>586160.64000000001</v>
      </c>
      <c r="CZ16" s="167" t="str">
        <f>IF(INDEX('Master Lookup'!$C$27:$C$34,$B16)=0,"",INDEX('Master Lookup'!$C$27:$C$34,$B16))</f>
        <v>Case Worker</v>
      </c>
      <c r="DA16" s="404">
        <f>IFERROR(INDEX('Master Lookup'!$D$27:$D$34,MATCH(CZ16,'Master Lookup'!$C$27:$C$34,0)),"")</f>
        <v>58616.063999999998</v>
      </c>
      <c r="DB16" s="361">
        <f>IFERROR(INDEX('Master Lookup'!$Y$27:$Y$34,MATCH(CZ16,'Master Lookup'!$C$27:$C$34,0)),"")</f>
        <v>10.5</v>
      </c>
      <c r="DC16" s="398">
        <f>IFERROR(DA16*DB16,0)</f>
        <v>615468.67200000002</v>
      </c>
      <c r="DE16" s="167" t="str">
        <f>IF(INDEX('Master Lookup'!$C$27:$C$34,$B16)=0,"",INDEX('Master Lookup'!$C$27:$C$34,$B16))</f>
        <v>Case Worker</v>
      </c>
      <c r="DF16" s="404">
        <f>IFERROR(INDEX('Master Lookup'!$D$27:$D$34,MATCH(DE16,'Master Lookup'!$C$27:$C$34,0)),"")</f>
        <v>58616.063999999998</v>
      </c>
      <c r="DG16" s="361">
        <f>IFERROR(INDEX('Master Lookup'!$Z$27:$Z$34,MATCH(DE16,'Master Lookup'!$C$27:$C$34,0)),"")</f>
        <v>11</v>
      </c>
      <c r="DH16" s="398">
        <f>IFERROR(DF16*DG16,0)</f>
        <v>644776.70400000003</v>
      </c>
      <c r="DJ16" s="167" t="str">
        <f>IF(INDEX('Master Lookup'!$C$27:$C$34,$B16)=0,"",INDEX('Master Lookup'!$C$27:$C$34,$B16))</f>
        <v>Case Worker</v>
      </c>
      <c r="DK16" s="404">
        <f>IFERROR(INDEX('Master Lookup'!$D$27:$D$34,MATCH(DJ16,'Master Lookup'!$C$27:$C$34,0)),"")</f>
        <v>58616.063999999998</v>
      </c>
      <c r="DL16" s="361">
        <f>IFERROR(INDEX('Master Lookup'!$AA$27:$AA$34,MATCH(DJ16,'Master Lookup'!$C$27:$C$34,0)),"")</f>
        <v>11.5</v>
      </c>
      <c r="DM16" s="398">
        <f>IFERROR(DK16*DL16,0)</f>
        <v>674084.73600000003</v>
      </c>
      <c r="DO16" s="167" t="str">
        <f>IF(INDEX('Master Lookup'!$C$27:$C$34,$B16)=0,"",INDEX('Master Lookup'!$C$27:$C$34,$B16))</f>
        <v>Case Worker</v>
      </c>
      <c r="DP16" s="404">
        <f>IFERROR(INDEX('Master Lookup'!$D$27:$D$34,MATCH(DO16,'Master Lookup'!$C$27:$C$34,0)),"")</f>
        <v>58616.063999999998</v>
      </c>
      <c r="DQ16" s="361">
        <f>IFERROR(INDEX('Master Lookup'!$AB$27:$AB$34,MATCH(DO16,'Master Lookup'!$C$27:$C$34,0)),"")</f>
        <v>12</v>
      </c>
      <c r="DR16" s="398">
        <f>IFERROR(DP16*DQ16,0)</f>
        <v>703392.76799999992</v>
      </c>
    </row>
    <row r="17" spans="2:122" hidden="1" x14ac:dyDescent="0.25">
      <c r="B17" s="361">
        <v>3</v>
      </c>
      <c r="D17" s="408" t="str">
        <f>IF(INDEX('Master Lookup'!$C$27:$C$34,$B17)=0,"",INDEX('Master Lookup'!$C$27:$C$34,$B17))</f>
        <v/>
      </c>
      <c r="E17" s="407" t="str">
        <f>IFERROR(INDEX('Master Lookup'!$D$27:$D$34,MATCH(D17,'Master Lookup'!$C$27:$C$34,0)),"")</f>
        <v/>
      </c>
      <c r="F17" s="406" t="str">
        <f>IFERROR(INDEX('Master Lookup'!$E$27:$E$34,MATCH(D17,'Master Lookup'!$C$27:$C$34,0)),"")</f>
        <v/>
      </c>
      <c r="G17" s="405">
        <f>IFERROR(E17*F17,0)</f>
        <v>0</v>
      </c>
      <c r="I17" s="408" t="str">
        <f>IF(INDEX('Master Lookup'!$C$27:$C$34,$B17)=0,"",INDEX('Master Lookup'!$C$27:$C$34,$B17))</f>
        <v/>
      </c>
      <c r="J17" s="407" t="str">
        <f>IFERROR(INDEX('Master Lookup'!$D$27:$D$34,MATCH(I17,'Master Lookup'!$C$27:$C$34,0)),"")</f>
        <v/>
      </c>
      <c r="K17" s="406" t="str">
        <f>IFERROR(INDEX('Master Lookup'!$F$27:$F$34,MATCH(I17,'Master Lookup'!$C$27:$C$34,0)),"")</f>
        <v/>
      </c>
      <c r="L17" s="405">
        <f>IFERROR(J17*K17,0)</f>
        <v>0</v>
      </c>
      <c r="N17" s="408" t="str">
        <f>IF(INDEX('Master Lookup'!$C$27:$C$34,$B17)=0,"",INDEX('Master Lookup'!$C$27:$C$34,$B17))</f>
        <v/>
      </c>
      <c r="O17" s="407" t="str">
        <f>IFERROR(INDEX('Master Lookup'!$D$27:$D$34,MATCH(N17,'Master Lookup'!$C$27:$C$34,0)),"")</f>
        <v/>
      </c>
      <c r="P17" s="406" t="str">
        <f>IFERROR(INDEX('Master Lookup'!$G$27:$G$34,MATCH(N17,'Master Lookup'!$C$27:$C$34,0)),"")</f>
        <v/>
      </c>
      <c r="Q17" s="405">
        <f>IFERROR(O17*P17,0)</f>
        <v>0</v>
      </c>
      <c r="S17" s="408" t="str">
        <f>IF(INDEX('Master Lookup'!$C$27:$C$34,$B17)=0,"",INDEX('Master Lookup'!$C$27:$C$34,$B17))</f>
        <v/>
      </c>
      <c r="T17" s="407" t="str">
        <f>IFERROR(INDEX('Master Lookup'!$D$27:$D$34,MATCH(S17,'Master Lookup'!$C$27:$C$34,0)),"")</f>
        <v/>
      </c>
      <c r="U17" s="406" t="str">
        <f>IFERROR(INDEX('Master Lookup'!$H$27:$H$34,MATCH(S17,'Master Lookup'!$C$27:$C$34,0)),"")</f>
        <v/>
      </c>
      <c r="V17" s="405">
        <f>IFERROR(T17*U17,0)</f>
        <v>0</v>
      </c>
      <c r="X17" s="408" t="str">
        <f>IF(INDEX('Master Lookup'!$C$27:$C$34,$B17)=0,"",INDEX('Master Lookup'!$C$27:$C$34,$B17))</f>
        <v/>
      </c>
      <c r="Y17" s="407" t="str">
        <f>IFERROR(INDEX('Master Lookup'!$D$27:$D$34,MATCH(X17,'Master Lookup'!$C$27:$C$34,0)),"")</f>
        <v/>
      </c>
      <c r="Z17" s="406" t="str">
        <f>IFERROR(INDEX('Master Lookup'!$I$27:$I$34,MATCH(X17,'Master Lookup'!$C$27:$C$34,0)),"")</f>
        <v/>
      </c>
      <c r="AA17" s="405">
        <f>IFERROR(Y17*Z17,0)</f>
        <v>0</v>
      </c>
      <c r="AC17" s="408" t="str">
        <f>IF(INDEX('Master Lookup'!$C$27:$C$34,$B17)=0,"",INDEX('Master Lookup'!$C$27:$C$34,$B17))</f>
        <v/>
      </c>
      <c r="AD17" s="407" t="str">
        <f>IFERROR(INDEX('Master Lookup'!$D$27:$D$34,MATCH(AC17,'Master Lookup'!$C$27:$C$34,0)),"")</f>
        <v/>
      </c>
      <c r="AE17" s="406" t="str">
        <f>IFERROR(INDEX('Master Lookup'!$J$27:$J$34,MATCH(AC17,'Master Lookup'!$C$27:$C$34,0)),"")</f>
        <v/>
      </c>
      <c r="AF17" s="405">
        <f>IFERROR(AD17*AE17,0)</f>
        <v>0</v>
      </c>
      <c r="AH17" s="408" t="str">
        <f>IF(INDEX('Master Lookup'!$C$27:$C$34,$B17)=0,"",INDEX('Master Lookup'!$C$27:$C$34,$B17))</f>
        <v/>
      </c>
      <c r="AI17" s="407" t="str">
        <f>IFERROR(INDEX('Master Lookup'!$D$27:$D$34,MATCH(AH17,'Master Lookup'!$C$27:$C$34,0)),"")</f>
        <v/>
      </c>
      <c r="AJ17" s="406" t="str">
        <f>IFERROR(INDEX('Master Lookup'!$K$27:$K$34,MATCH(AH17,'Master Lookup'!$C$27:$C$34,0)),"")</f>
        <v/>
      </c>
      <c r="AK17" s="405">
        <f>IFERROR(AI17*AJ17,0)</f>
        <v>0</v>
      </c>
      <c r="AM17" s="408" t="str">
        <f>IF(INDEX('Master Lookup'!$C$27:$C$34,$B17)=0,"",INDEX('Master Lookup'!$C$27:$C$34,$B17))</f>
        <v/>
      </c>
      <c r="AN17" s="407" t="str">
        <f>IFERROR(INDEX('Master Lookup'!$D$27:$D$34,MATCH(AM17,'Master Lookup'!$C$27:$C$34,0)),"")</f>
        <v/>
      </c>
      <c r="AO17" s="406" t="str">
        <f>IFERROR(INDEX('Master Lookup'!$L$27:$L$34,MATCH(AM17,'Master Lookup'!$C$27:$C$34,0)),"")</f>
        <v/>
      </c>
      <c r="AP17" s="405">
        <f>IFERROR(AN17*AO17,0)</f>
        <v>0</v>
      </c>
      <c r="AR17" s="408" t="str">
        <f>IF(INDEX('Master Lookup'!$C$27:$C$34,$B17)=0,"",INDEX('Master Lookup'!$C$27:$C$34,$B17))</f>
        <v/>
      </c>
      <c r="AS17" s="407" t="str">
        <f>IFERROR(INDEX('Master Lookup'!$D$27:$D$34,MATCH(AR17,'Master Lookup'!$C$27:$C$34,0)),"")</f>
        <v/>
      </c>
      <c r="AT17" s="406" t="str">
        <f>IFERROR(INDEX('Master Lookup'!$M$27:$M$34,MATCH(AR17,'Master Lookup'!$C$27:$C$34,0)),"")</f>
        <v/>
      </c>
      <c r="AU17" s="405">
        <f>IFERROR(AS17*AT17,0)</f>
        <v>0</v>
      </c>
      <c r="AW17" s="408" t="str">
        <f>IF(INDEX('Master Lookup'!$C$27:$C$34,$B17)=0,"",INDEX('Master Lookup'!$C$27:$C$34,$B17))</f>
        <v/>
      </c>
      <c r="AX17" s="407" t="str">
        <f>IFERROR(INDEX('Master Lookup'!$D$27:$D$34,MATCH(AW17,'Master Lookup'!$C$27:$C$34,0)),"")</f>
        <v/>
      </c>
      <c r="AY17" s="406" t="str">
        <f>IFERROR(INDEX('Master Lookup'!$N$27:$N$34,MATCH(AW17,'Master Lookup'!$C$27:$C$34,0)),"")</f>
        <v/>
      </c>
      <c r="AZ17" s="405">
        <f>IFERROR(AX17*AY17,0)</f>
        <v>0</v>
      </c>
      <c r="BB17" s="408" t="str">
        <f>IF(INDEX('Master Lookup'!$C$27:$C$34,$B17)=0,"",INDEX('Master Lookup'!$C$27:$C$34,$B17))</f>
        <v/>
      </c>
      <c r="BC17" s="407" t="str">
        <f>IFERROR(INDEX('Master Lookup'!$D$27:$D$34,MATCH(BB17,'Master Lookup'!$C$27:$C$34,0)),"")</f>
        <v/>
      </c>
      <c r="BD17" s="406" t="str">
        <f>IFERROR(INDEX('Master Lookup'!$O$27:$O$34,MATCH(BB17,'Master Lookup'!$C$27:$C$34,0)),"")</f>
        <v/>
      </c>
      <c r="BE17" s="405">
        <f>IFERROR(BC17*BD17,0)</f>
        <v>0</v>
      </c>
      <c r="BG17" s="408" t="str">
        <f>IF(INDEX('Master Lookup'!$C$27:$C$34,$B17)=0,"",INDEX('Master Lookup'!$C$27:$C$34,$B17))</f>
        <v/>
      </c>
      <c r="BH17" s="407" t="str">
        <f>IFERROR(INDEX('Master Lookup'!$D$27:$D$34,MATCH(BG17,'Master Lookup'!$C$27:$C$34,0)),"")</f>
        <v/>
      </c>
      <c r="BI17" s="406" t="str">
        <f>IFERROR(INDEX('Master Lookup'!$P$27:$P$34,MATCH(BG17,'Master Lookup'!$C$27:$C$34,0)),"")</f>
        <v/>
      </c>
      <c r="BJ17" s="405">
        <f>IFERROR(BH17*BI17,0)</f>
        <v>0</v>
      </c>
      <c r="BL17" s="408" t="str">
        <f>IF(INDEX('Master Lookup'!$C$27:$C$34,$B17)=0,"",INDEX('Master Lookup'!$C$27:$C$34,$B17))</f>
        <v/>
      </c>
      <c r="BM17" s="407" t="str">
        <f>IFERROR(INDEX('Master Lookup'!$D$27:$D$34,MATCH(BL17,'Master Lookup'!$C$27:$C$34,0)),"")</f>
        <v/>
      </c>
      <c r="BN17" s="406" t="str">
        <f>IFERROR(INDEX('Master Lookup'!$Q$27:$Q$34,MATCH(BL17,'Master Lookup'!$C$27:$C$34,0)),"")</f>
        <v/>
      </c>
      <c r="BO17" s="405">
        <f>IFERROR(BM17*BN17,0)</f>
        <v>0</v>
      </c>
      <c r="BQ17" s="408" t="str">
        <f>IF(INDEX('Master Lookup'!$C$27:$C$34,$B17)=0,"",INDEX('Master Lookup'!$C$27:$C$34,$B17))</f>
        <v/>
      </c>
      <c r="BR17" s="407" t="str">
        <f>IFERROR(INDEX('Master Lookup'!$D$27:$D$34,MATCH(BQ17,'Master Lookup'!$C$27:$C$34,0)),"")</f>
        <v/>
      </c>
      <c r="BS17" s="406" t="str">
        <f>IFERROR(INDEX('Master Lookup'!$R$27:$R$34,MATCH(BQ17,'Master Lookup'!$C$27:$C$34,0)),"")</f>
        <v/>
      </c>
      <c r="BT17" s="405">
        <f>IFERROR(BR17*BS17,0)</f>
        <v>0</v>
      </c>
      <c r="BV17" s="408" t="str">
        <f>IF(INDEX('Master Lookup'!$C$27:$C$34,$B17)=0,"",INDEX('Master Lookup'!$C$27:$C$34,$B17))</f>
        <v/>
      </c>
      <c r="BW17" s="407" t="str">
        <f>IFERROR(INDEX('Master Lookup'!$D$27:$D$34,MATCH(BV17,'Master Lookup'!$C$27:$C$34,0)),"")</f>
        <v/>
      </c>
      <c r="BX17" s="406" t="str">
        <f>IFERROR(INDEX('Master Lookup'!$S$27:$S$34,MATCH(BV17,'Master Lookup'!$C$27:$C$34,0)),"")</f>
        <v/>
      </c>
      <c r="BY17" s="405">
        <f>IFERROR(BW17*BX17,0)</f>
        <v>0</v>
      </c>
      <c r="CA17" s="408" t="str">
        <f>IF(INDEX('Master Lookup'!$C$27:$C$34,$B17)=0,"",INDEX('Master Lookup'!$C$27:$C$34,$B17))</f>
        <v/>
      </c>
      <c r="CB17" s="407" t="str">
        <f>IFERROR(INDEX('Master Lookup'!$D$27:$D$34,MATCH(CA17,'Master Lookup'!$C$27:$C$34,0)),"")</f>
        <v/>
      </c>
      <c r="CC17" s="406" t="str">
        <f>IFERROR(INDEX('Master Lookup'!$T$27:$T$34,MATCH(CA17,'Master Lookup'!$C$27:$C$34,0)),"")</f>
        <v/>
      </c>
      <c r="CD17" s="405">
        <f>IFERROR(CB17*CC17,0)</f>
        <v>0</v>
      </c>
      <c r="CF17" s="408" t="str">
        <f>IF(INDEX('Master Lookup'!$C$27:$C$34,$B17)=0,"",INDEX('Master Lookup'!$C$27:$C$34,$B17))</f>
        <v/>
      </c>
      <c r="CG17" s="407" t="str">
        <f>IFERROR(INDEX('Master Lookup'!$D$27:$D$34,MATCH(CF17,'Master Lookup'!$C$27:$C$34,0)),"")</f>
        <v/>
      </c>
      <c r="CH17" s="406" t="str">
        <f>IFERROR(INDEX('Master Lookup'!$U$27:$U$34,MATCH(CF17,'Master Lookup'!$C$27:$C$34,0)),"")</f>
        <v/>
      </c>
      <c r="CI17" s="405">
        <f>IFERROR(CG17*CH17,0)</f>
        <v>0</v>
      </c>
      <c r="CK17" s="408" t="str">
        <f>IF(INDEX('Master Lookup'!$C$27:$C$34,$B17)=0,"",INDEX('Master Lookup'!$C$27:$C$34,$B17))</f>
        <v/>
      </c>
      <c r="CL17" s="407" t="str">
        <f>IFERROR(INDEX('Master Lookup'!$D$27:$D$34,MATCH(CK17,'Master Lookup'!$C$27:$C$34,0)),"")</f>
        <v/>
      </c>
      <c r="CM17" s="406" t="str">
        <f>IFERROR(INDEX('Master Lookup'!$V$27:$V$34,MATCH(CK17,'Master Lookup'!$C$27:$C$34,0)),"")</f>
        <v/>
      </c>
      <c r="CN17" s="405">
        <f>IFERROR(CL17*CM17,0)</f>
        <v>0</v>
      </c>
      <c r="CP17" s="408" t="str">
        <f>IF(INDEX('Master Lookup'!$C$27:$C$34,$B17)=0,"",INDEX('Master Lookup'!$C$27:$C$34,$B17))</f>
        <v/>
      </c>
      <c r="CQ17" s="407" t="str">
        <f>IFERROR(INDEX('Master Lookup'!$D$27:$D$34,MATCH(CP17,'Master Lookup'!$C$27:$C$34,0)),"")</f>
        <v/>
      </c>
      <c r="CR17" s="406" t="str">
        <f>IFERROR(INDEX('Master Lookup'!$W$27:$W$34,MATCH(CP17,'Master Lookup'!$C$27:$C$34,0)),"")</f>
        <v/>
      </c>
      <c r="CS17" s="405">
        <f>IFERROR(CQ17*CR17,0)</f>
        <v>0</v>
      </c>
      <c r="CU17" s="408" t="str">
        <f>IF(INDEX('Master Lookup'!$C$27:$C$34,$B17)=0,"",INDEX('Master Lookup'!$C$27:$C$34,$B17))</f>
        <v/>
      </c>
      <c r="CV17" s="407" t="str">
        <f>IFERROR(INDEX('Master Lookup'!$D$27:$D$34,MATCH(CU17,'Master Lookup'!$C$27:$C$34,0)),"")</f>
        <v/>
      </c>
      <c r="CW17" s="406" t="str">
        <f>IFERROR(INDEX('Master Lookup'!$X$27:$X$34,MATCH(CU17,'Master Lookup'!$C$27:$C$34,0)),"")</f>
        <v/>
      </c>
      <c r="CX17" s="405">
        <f>IFERROR(CV17*CW17,0)</f>
        <v>0</v>
      </c>
      <c r="CZ17" s="408" t="str">
        <f>IF(INDEX('Master Lookup'!$C$27:$C$34,$B17)=0,"",INDEX('Master Lookup'!$C$27:$C$34,$B17))</f>
        <v/>
      </c>
      <c r="DA17" s="407" t="str">
        <f>IFERROR(INDEX('Master Lookup'!$D$27:$D$34,MATCH(CZ17,'Master Lookup'!$C$27:$C$34,0)),"")</f>
        <v/>
      </c>
      <c r="DB17" s="406" t="str">
        <f>IFERROR(INDEX('Master Lookup'!$Y$27:$Y$34,MATCH(CZ17,'Master Lookup'!$C$27:$C$34,0)),"")</f>
        <v/>
      </c>
      <c r="DC17" s="405">
        <f>IFERROR(DA17*DB17,0)</f>
        <v>0</v>
      </c>
      <c r="DE17" s="408" t="str">
        <f>IF(INDEX('Master Lookup'!$C$27:$C$34,$B17)=0,"",INDEX('Master Lookup'!$C$27:$C$34,$B17))</f>
        <v/>
      </c>
      <c r="DF17" s="407" t="str">
        <f>IFERROR(INDEX('Master Lookup'!$D$27:$D$34,MATCH(DE17,'Master Lookup'!$C$27:$C$34,0)),"")</f>
        <v/>
      </c>
      <c r="DG17" s="406" t="str">
        <f>IFERROR(INDEX('Master Lookup'!$Z$27:$Z$34,MATCH(DE17,'Master Lookup'!$C$27:$C$34,0)),"")</f>
        <v/>
      </c>
      <c r="DH17" s="405">
        <f>IFERROR(DF17*DG17,0)</f>
        <v>0</v>
      </c>
      <c r="DJ17" s="408" t="str">
        <f>IF(INDEX('Master Lookup'!$C$27:$C$34,$B17)=0,"",INDEX('Master Lookup'!$C$27:$C$34,$B17))</f>
        <v/>
      </c>
      <c r="DK17" s="407" t="str">
        <f>IFERROR(INDEX('Master Lookup'!$D$27:$D$34,MATCH(DJ17,'Master Lookup'!$C$27:$C$34,0)),"")</f>
        <v/>
      </c>
      <c r="DL17" s="406" t="str">
        <f>IFERROR(INDEX('Master Lookup'!$AA$27:$AA$34,MATCH(DJ17,'Master Lookup'!$C$27:$C$34,0)),"")</f>
        <v/>
      </c>
      <c r="DM17" s="405">
        <f>IFERROR(DK17*DL17,0)</f>
        <v>0</v>
      </c>
      <c r="DO17" s="408" t="str">
        <f>IF(INDEX('Master Lookup'!$C$27:$C$34,$B17)=0,"",INDEX('Master Lookup'!$C$27:$C$34,$B17))</f>
        <v/>
      </c>
      <c r="DP17" s="407" t="str">
        <f>IFERROR(INDEX('Master Lookup'!$D$27:$D$34,MATCH(DO17,'Master Lookup'!$C$27:$C$34,0)),"")</f>
        <v/>
      </c>
      <c r="DQ17" s="406" t="str">
        <f>IFERROR(INDEX('Master Lookup'!$AB$27:$AB$34,MATCH(DO17,'Master Lookup'!$C$27:$C$34,0)),"")</f>
        <v/>
      </c>
      <c r="DR17" s="405">
        <f>IFERROR(DP17*DQ17,0)</f>
        <v>0</v>
      </c>
    </row>
    <row r="18" spans="2:122" hidden="1" x14ac:dyDescent="0.25">
      <c r="B18" s="361">
        <v>4</v>
      </c>
      <c r="D18" s="408" t="str">
        <f>IF(INDEX('Master Lookup'!$C$27:$C$34,$B18)=0,"",INDEX('Master Lookup'!$C$27:$C$34,$B18))</f>
        <v/>
      </c>
      <c r="E18" s="407" t="str">
        <f>IFERROR(INDEX('Master Lookup'!$D$27:$D$34,MATCH(D18,'Master Lookup'!$C$27:$C$34,0)),"")</f>
        <v/>
      </c>
      <c r="F18" s="406" t="str">
        <f>IFERROR(INDEX('Master Lookup'!$E$27:$E$34,MATCH(D18,'Master Lookup'!$C$27:$C$34,0)),"")</f>
        <v/>
      </c>
      <c r="G18" s="405">
        <f>IFERROR(E18*F18,0)</f>
        <v>0</v>
      </c>
      <c r="I18" s="408" t="str">
        <f>IF(INDEX('Master Lookup'!$C$27:$C$34,$B18)=0,"",INDEX('Master Lookup'!$C$27:$C$34,$B18))</f>
        <v/>
      </c>
      <c r="J18" s="407" t="str">
        <f>IFERROR(INDEX('Master Lookup'!$D$27:$D$34,MATCH(I18,'Master Lookup'!$C$27:$C$34,0)),"")</f>
        <v/>
      </c>
      <c r="K18" s="406" t="str">
        <f>IFERROR(INDEX('Master Lookup'!$F$27:$F$34,MATCH(I18,'Master Lookup'!$C$27:$C$34,0)),"")</f>
        <v/>
      </c>
      <c r="L18" s="405">
        <f>IFERROR(J18*K18,0)</f>
        <v>0</v>
      </c>
      <c r="N18" s="408" t="str">
        <f>IF(INDEX('Master Lookup'!$C$27:$C$34,$B18)=0,"",INDEX('Master Lookup'!$C$27:$C$34,$B18))</f>
        <v/>
      </c>
      <c r="O18" s="407" t="str">
        <f>IFERROR(INDEX('Master Lookup'!$D$27:$D$34,MATCH(N18,'Master Lookup'!$C$27:$C$34,0)),"")</f>
        <v/>
      </c>
      <c r="P18" s="406" t="str">
        <f>IFERROR(INDEX('Master Lookup'!$G$27:$G$34,MATCH(N18,'Master Lookup'!$C$27:$C$34,0)),"")</f>
        <v/>
      </c>
      <c r="Q18" s="405">
        <f>IFERROR(O18*P18,0)</f>
        <v>0</v>
      </c>
      <c r="S18" s="408" t="str">
        <f>IF(INDEX('Master Lookup'!$C$27:$C$34,$B18)=0,"",INDEX('Master Lookup'!$C$27:$C$34,$B18))</f>
        <v/>
      </c>
      <c r="T18" s="407" t="str">
        <f>IFERROR(INDEX('Master Lookup'!$D$27:$D$34,MATCH(S18,'Master Lookup'!$C$27:$C$34,0)),"")</f>
        <v/>
      </c>
      <c r="U18" s="406" t="str">
        <f>IFERROR(INDEX('Master Lookup'!$H$27:$H$34,MATCH(S18,'Master Lookup'!$C$27:$C$34,0)),"")</f>
        <v/>
      </c>
      <c r="V18" s="405">
        <f>IFERROR(T18*U18,0)</f>
        <v>0</v>
      </c>
      <c r="X18" s="408" t="str">
        <f>IF(INDEX('Master Lookup'!$C$27:$C$34,$B18)=0,"",INDEX('Master Lookup'!$C$27:$C$34,$B18))</f>
        <v/>
      </c>
      <c r="Y18" s="407" t="str">
        <f>IFERROR(INDEX('Master Lookup'!$D$27:$D$34,MATCH(X18,'Master Lookup'!$C$27:$C$34,0)),"")</f>
        <v/>
      </c>
      <c r="Z18" s="406" t="str">
        <f>IFERROR(INDEX('Master Lookup'!$I$27:$I$34,MATCH(X18,'Master Lookup'!$C$27:$C$34,0)),"")</f>
        <v/>
      </c>
      <c r="AA18" s="405">
        <f>IFERROR(Y18*Z18,0)</f>
        <v>0</v>
      </c>
      <c r="AC18" s="408" t="str">
        <f>IF(INDEX('Master Lookup'!$C$27:$C$34,$B18)=0,"",INDEX('Master Lookup'!$C$27:$C$34,$B18))</f>
        <v/>
      </c>
      <c r="AD18" s="407" t="str">
        <f>IFERROR(INDEX('Master Lookup'!$D$27:$D$34,MATCH(AC18,'Master Lookup'!$C$27:$C$34,0)),"")</f>
        <v/>
      </c>
      <c r="AE18" s="406" t="str">
        <f>IFERROR(INDEX('Master Lookup'!$J$27:$J$34,MATCH(AC18,'Master Lookup'!$C$27:$C$34,0)),"")</f>
        <v/>
      </c>
      <c r="AF18" s="405">
        <f>IFERROR(AD18*AE18,0)</f>
        <v>0</v>
      </c>
      <c r="AH18" s="408" t="str">
        <f>IF(INDEX('Master Lookup'!$C$27:$C$34,$B18)=0,"",INDEX('Master Lookup'!$C$27:$C$34,$B18))</f>
        <v/>
      </c>
      <c r="AI18" s="407" t="str">
        <f>IFERROR(INDEX('Master Lookup'!$D$27:$D$34,MATCH(AH18,'Master Lookup'!$C$27:$C$34,0)),"")</f>
        <v/>
      </c>
      <c r="AJ18" s="406" t="str">
        <f>IFERROR(INDEX('Master Lookup'!$K$27:$K$34,MATCH(AH18,'Master Lookup'!$C$27:$C$34,0)),"")</f>
        <v/>
      </c>
      <c r="AK18" s="405">
        <f>IFERROR(AI18*AJ18,0)</f>
        <v>0</v>
      </c>
      <c r="AM18" s="408" t="str">
        <f>IF(INDEX('Master Lookup'!$C$27:$C$34,$B18)=0,"",INDEX('Master Lookup'!$C$27:$C$34,$B18))</f>
        <v/>
      </c>
      <c r="AN18" s="407" t="str">
        <f>IFERROR(INDEX('Master Lookup'!$D$27:$D$34,MATCH(AM18,'Master Lookup'!$C$27:$C$34,0)),"")</f>
        <v/>
      </c>
      <c r="AO18" s="406" t="str">
        <f>IFERROR(INDEX('Master Lookup'!$L$27:$L$34,MATCH(AM18,'Master Lookup'!$C$27:$C$34,0)),"")</f>
        <v/>
      </c>
      <c r="AP18" s="405">
        <f>IFERROR(AN18*AO18,0)</f>
        <v>0</v>
      </c>
      <c r="AR18" s="408" t="str">
        <f>IF(INDEX('Master Lookup'!$C$27:$C$34,$B18)=0,"",INDEX('Master Lookup'!$C$27:$C$34,$B18))</f>
        <v/>
      </c>
      <c r="AS18" s="407" t="str">
        <f>IFERROR(INDEX('Master Lookup'!$D$27:$D$34,MATCH(AR18,'Master Lookup'!$C$27:$C$34,0)),"")</f>
        <v/>
      </c>
      <c r="AT18" s="406" t="str">
        <f>IFERROR(INDEX('Master Lookup'!$M$27:$M$34,MATCH(AR18,'Master Lookup'!$C$27:$C$34,0)),"")</f>
        <v/>
      </c>
      <c r="AU18" s="405">
        <f>IFERROR(AS18*AT18,0)</f>
        <v>0</v>
      </c>
      <c r="AW18" s="408" t="str">
        <f>IF(INDEX('Master Lookup'!$C$27:$C$34,$B18)=0,"",INDEX('Master Lookup'!$C$27:$C$34,$B18))</f>
        <v/>
      </c>
      <c r="AX18" s="407" t="str">
        <f>IFERROR(INDEX('Master Lookup'!$D$27:$D$34,MATCH(AW18,'Master Lookup'!$C$27:$C$34,0)),"")</f>
        <v/>
      </c>
      <c r="AY18" s="406" t="str">
        <f>IFERROR(INDEX('Master Lookup'!$N$27:$N$34,MATCH(AW18,'Master Lookup'!$C$27:$C$34,0)),"")</f>
        <v/>
      </c>
      <c r="AZ18" s="405">
        <f>IFERROR(AX18*AY18,0)</f>
        <v>0</v>
      </c>
      <c r="BB18" s="408" t="str">
        <f>IF(INDEX('Master Lookup'!$C$27:$C$34,$B18)=0,"",INDEX('Master Lookup'!$C$27:$C$34,$B18))</f>
        <v/>
      </c>
      <c r="BC18" s="407" t="str">
        <f>IFERROR(INDEX('Master Lookup'!$D$27:$D$34,MATCH(BB18,'Master Lookup'!$C$27:$C$34,0)),"")</f>
        <v/>
      </c>
      <c r="BD18" s="406" t="str">
        <f>IFERROR(INDEX('Master Lookup'!$O$27:$O$34,MATCH(BB18,'Master Lookup'!$C$27:$C$34,0)),"")</f>
        <v/>
      </c>
      <c r="BE18" s="405">
        <f>IFERROR(BC18*BD18,0)</f>
        <v>0</v>
      </c>
      <c r="BG18" s="408" t="str">
        <f>IF(INDEX('Master Lookup'!$C$27:$C$34,$B18)=0,"",INDEX('Master Lookup'!$C$27:$C$34,$B18))</f>
        <v/>
      </c>
      <c r="BH18" s="407" t="str">
        <f>IFERROR(INDEX('Master Lookup'!$D$27:$D$34,MATCH(BG18,'Master Lookup'!$C$27:$C$34,0)),"")</f>
        <v/>
      </c>
      <c r="BI18" s="406" t="str">
        <f>IFERROR(INDEX('Master Lookup'!$P$27:$P$34,MATCH(BG18,'Master Lookup'!$C$27:$C$34,0)),"")</f>
        <v/>
      </c>
      <c r="BJ18" s="405">
        <f>IFERROR(BH18*BI18,0)</f>
        <v>0</v>
      </c>
      <c r="BL18" s="408" t="str">
        <f>IF(INDEX('Master Lookup'!$C$27:$C$34,$B18)=0,"",INDEX('Master Lookup'!$C$27:$C$34,$B18))</f>
        <v/>
      </c>
      <c r="BM18" s="407" t="str">
        <f>IFERROR(INDEX('Master Lookup'!$D$27:$D$34,MATCH(BL18,'Master Lookup'!$C$27:$C$34,0)),"")</f>
        <v/>
      </c>
      <c r="BN18" s="406" t="str">
        <f>IFERROR(INDEX('Master Lookup'!$Q$27:$Q$34,MATCH(BL18,'Master Lookup'!$C$27:$C$34,0)),"")</f>
        <v/>
      </c>
      <c r="BO18" s="405">
        <f>IFERROR(BM18*BN18,0)</f>
        <v>0</v>
      </c>
      <c r="BQ18" s="408" t="str">
        <f>IF(INDEX('Master Lookup'!$C$27:$C$34,$B18)=0,"",INDEX('Master Lookup'!$C$27:$C$34,$B18))</f>
        <v/>
      </c>
      <c r="BR18" s="407" t="str">
        <f>IFERROR(INDEX('Master Lookup'!$D$27:$D$34,MATCH(BQ18,'Master Lookup'!$C$27:$C$34,0)),"")</f>
        <v/>
      </c>
      <c r="BS18" s="406" t="str">
        <f>IFERROR(INDEX('Master Lookup'!$R$27:$R$34,MATCH(BQ18,'Master Lookup'!$C$27:$C$34,0)),"")</f>
        <v/>
      </c>
      <c r="BT18" s="405">
        <f>IFERROR(BR18*BS18,0)</f>
        <v>0</v>
      </c>
      <c r="BV18" s="408" t="str">
        <f>IF(INDEX('Master Lookup'!$C$27:$C$34,$B18)=0,"",INDEX('Master Lookup'!$C$27:$C$34,$B18))</f>
        <v/>
      </c>
      <c r="BW18" s="407" t="str">
        <f>IFERROR(INDEX('Master Lookup'!$D$27:$D$34,MATCH(BV18,'Master Lookup'!$C$27:$C$34,0)),"")</f>
        <v/>
      </c>
      <c r="BX18" s="406" t="str">
        <f>IFERROR(INDEX('Master Lookup'!$S$27:$S$34,MATCH(BV18,'Master Lookup'!$C$27:$C$34,0)),"")</f>
        <v/>
      </c>
      <c r="BY18" s="405">
        <f>IFERROR(BW18*BX18,0)</f>
        <v>0</v>
      </c>
      <c r="CA18" s="408" t="str">
        <f>IF(INDEX('Master Lookup'!$C$27:$C$34,$B18)=0,"",INDEX('Master Lookup'!$C$27:$C$34,$B18))</f>
        <v/>
      </c>
      <c r="CB18" s="407" t="str">
        <f>IFERROR(INDEX('Master Lookup'!$D$27:$D$34,MATCH(CA18,'Master Lookup'!$C$27:$C$34,0)),"")</f>
        <v/>
      </c>
      <c r="CC18" s="406" t="str">
        <f>IFERROR(INDEX('Master Lookup'!$T$27:$T$34,MATCH(CA18,'Master Lookup'!$C$27:$C$34,0)),"")</f>
        <v/>
      </c>
      <c r="CD18" s="405">
        <f>IFERROR(CB18*CC18,0)</f>
        <v>0</v>
      </c>
      <c r="CF18" s="408" t="str">
        <f>IF(INDEX('Master Lookup'!$C$27:$C$34,$B18)=0,"",INDEX('Master Lookup'!$C$27:$C$34,$B18))</f>
        <v/>
      </c>
      <c r="CG18" s="407" t="str">
        <f>IFERROR(INDEX('Master Lookup'!$D$27:$D$34,MATCH(CF18,'Master Lookup'!$C$27:$C$34,0)),"")</f>
        <v/>
      </c>
      <c r="CH18" s="406" t="str">
        <f>IFERROR(INDEX('Master Lookup'!$U$27:$U$34,MATCH(CF18,'Master Lookup'!$C$27:$C$34,0)),"")</f>
        <v/>
      </c>
      <c r="CI18" s="405">
        <f>IFERROR(CG18*CH18,0)</f>
        <v>0</v>
      </c>
      <c r="CK18" s="408" t="str">
        <f>IF(INDEX('Master Lookup'!$C$27:$C$34,$B18)=0,"",INDEX('Master Lookup'!$C$27:$C$34,$B18))</f>
        <v/>
      </c>
      <c r="CL18" s="407" t="str">
        <f>IFERROR(INDEX('Master Lookup'!$D$27:$D$34,MATCH(CK18,'Master Lookup'!$C$27:$C$34,0)),"")</f>
        <v/>
      </c>
      <c r="CM18" s="406" t="str">
        <f>IFERROR(INDEX('Master Lookup'!$V$27:$V$34,MATCH(CK18,'Master Lookup'!$C$27:$C$34,0)),"")</f>
        <v/>
      </c>
      <c r="CN18" s="405">
        <f>IFERROR(CL18*CM18,0)</f>
        <v>0</v>
      </c>
      <c r="CP18" s="408" t="str">
        <f>IF(INDEX('Master Lookup'!$C$27:$C$34,$B18)=0,"",INDEX('Master Lookup'!$C$27:$C$34,$B18))</f>
        <v/>
      </c>
      <c r="CQ18" s="407" t="str">
        <f>IFERROR(INDEX('Master Lookup'!$D$27:$D$34,MATCH(CP18,'Master Lookup'!$C$27:$C$34,0)),"")</f>
        <v/>
      </c>
      <c r="CR18" s="406" t="str">
        <f>IFERROR(INDEX('Master Lookup'!$W$27:$W$34,MATCH(CP18,'Master Lookup'!$C$27:$C$34,0)),"")</f>
        <v/>
      </c>
      <c r="CS18" s="405">
        <f>IFERROR(CQ18*CR18,0)</f>
        <v>0</v>
      </c>
      <c r="CU18" s="408" t="str">
        <f>IF(INDEX('Master Lookup'!$C$27:$C$34,$B18)=0,"",INDEX('Master Lookup'!$C$27:$C$34,$B18))</f>
        <v/>
      </c>
      <c r="CV18" s="407" t="str">
        <f>IFERROR(INDEX('Master Lookup'!$D$27:$D$34,MATCH(CU18,'Master Lookup'!$C$27:$C$34,0)),"")</f>
        <v/>
      </c>
      <c r="CW18" s="406" t="str">
        <f>IFERROR(INDEX('Master Lookup'!$X$27:$X$34,MATCH(CU18,'Master Lookup'!$C$27:$C$34,0)),"")</f>
        <v/>
      </c>
      <c r="CX18" s="405">
        <f>IFERROR(CV18*CW18,0)</f>
        <v>0</v>
      </c>
      <c r="CZ18" s="408" t="str">
        <f>IF(INDEX('Master Lookup'!$C$27:$C$34,$B18)=0,"",INDEX('Master Lookup'!$C$27:$C$34,$B18))</f>
        <v/>
      </c>
      <c r="DA18" s="407" t="str">
        <f>IFERROR(INDEX('Master Lookup'!$D$27:$D$34,MATCH(CZ18,'Master Lookup'!$C$27:$C$34,0)),"")</f>
        <v/>
      </c>
      <c r="DB18" s="406" t="str">
        <f>IFERROR(INDEX('Master Lookup'!$Y$27:$Y$34,MATCH(CZ18,'Master Lookup'!$C$27:$C$34,0)),"")</f>
        <v/>
      </c>
      <c r="DC18" s="405">
        <f>IFERROR(DA18*DB18,0)</f>
        <v>0</v>
      </c>
      <c r="DE18" s="408" t="str">
        <f>IF(INDEX('Master Lookup'!$C$27:$C$34,$B18)=0,"",INDEX('Master Lookup'!$C$27:$C$34,$B18))</f>
        <v/>
      </c>
      <c r="DF18" s="407" t="str">
        <f>IFERROR(INDEX('Master Lookup'!$D$27:$D$34,MATCH(DE18,'Master Lookup'!$C$27:$C$34,0)),"")</f>
        <v/>
      </c>
      <c r="DG18" s="406" t="str">
        <f>IFERROR(INDEX('Master Lookup'!$Z$27:$Z$34,MATCH(DE18,'Master Lookup'!$C$27:$C$34,0)),"")</f>
        <v/>
      </c>
      <c r="DH18" s="405">
        <f>IFERROR(DF18*DG18,0)</f>
        <v>0</v>
      </c>
      <c r="DJ18" s="408" t="str">
        <f>IF(INDEX('Master Lookup'!$C$27:$C$34,$B18)=0,"",INDEX('Master Lookup'!$C$27:$C$34,$B18))</f>
        <v/>
      </c>
      <c r="DK18" s="407" t="str">
        <f>IFERROR(INDEX('Master Lookup'!$D$27:$D$34,MATCH(DJ18,'Master Lookup'!$C$27:$C$34,0)),"")</f>
        <v/>
      </c>
      <c r="DL18" s="406" t="str">
        <f>IFERROR(INDEX('Master Lookup'!$AA$27:$AA$34,MATCH(DJ18,'Master Lookup'!$C$27:$C$34,0)),"")</f>
        <v/>
      </c>
      <c r="DM18" s="405">
        <f>IFERROR(DK18*DL18,0)</f>
        <v>0</v>
      </c>
      <c r="DO18" s="408" t="str">
        <f>IF(INDEX('Master Lookup'!$C$27:$C$34,$B18)=0,"",INDEX('Master Lookup'!$C$27:$C$34,$B18))</f>
        <v/>
      </c>
      <c r="DP18" s="407" t="str">
        <f>IFERROR(INDEX('Master Lookup'!$D$27:$D$34,MATCH(DO18,'Master Lookup'!$C$27:$C$34,0)),"")</f>
        <v/>
      </c>
      <c r="DQ18" s="406" t="str">
        <f>IFERROR(INDEX('Master Lookup'!$AB$27:$AB$34,MATCH(DO18,'Master Lookup'!$C$27:$C$34,0)),"")</f>
        <v/>
      </c>
      <c r="DR18" s="405">
        <f>IFERROR(DP18*DQ18,0)</f>
        <v>0</v>
      </c>
    </row>
    <row r="19" spans="2:122" hidden="1" x14ac:dyDescent="0.25">
      <c r="B19" s="361">
        <v>5</v>
      </c>
      <c r="D19" s="408" t="str">
        <f>IF(INDEX('Master Lookup'!$C$27:$C$34,$B19)=0,"",INDEX('Master Lookup'!$C$27:$C$34,$B19))</f>
        <v/>
      </c>
      <c r="E19" s="407" t="str">
        <f>IFERROR(INDEX('Master Lookup'!$D$27:$D$34,MATCH(D19,'Master Lookup'!$C$27:$C$34,0)),"")</f>
        <v/>
      </c>
      <c r="F19" s="406" t="str">
        <f>IFERROR(INDEX('Master Lookup'!$E$27:$E$34,MATCH(D19,'Master Lookup'!$C$27:$C$34,0)),"")</f>
        <v/>
      </c>
      <c r="G19" s="405">
        <f>IFERROR(E19*F19,0)</f>
        <v>0</v>
      </c>
      <c r="I19" s="408" t="str">
        <f>IF(INDEX('Master Lookup'!$C$27:$C$34,$B19)=0,"",INDEX('Master Lookup'!$C$27:$C$34,$B19))</f>
        <v/>
      </c>
      <c r="J19" s="407" t="str">
        <f>IFERROR(INDEX('Master Lookup'!$D$27:$D$34,MATCH(I19,'Master Lookup'!$C$27:$C$34,0)),"")</f>
        <v/>
      </c>
      <c r="K19" s="406" t="str">
        <f>IFERROR(INDEX('Master Lookup'!$F$27:$F$34,MATCH(I19,'Master Lookup'!$C$27:$C$34,0)),"")</f>
        <v/>
      </c>
      <c r="L19" s="405">
        <f>IFERROR(J19*K19,0)</f>
        <v>0</v>
      </c>
      <c r="N19" s="408" t="str">
        <f>IF(INDEX('Master Lookup'!$C$27:$C$34,$B19)=0,"",INDEX('Master Lookup'!$C$27:$C$34,$B19))</f>
        <v/>
      </c>
      <c r="O19" s="407" t="str">
        <f>IFERROR(INDEX('Master Lookup'!$D$27:$D$34,MATCH(N19,'Master Lookup'!$C$27:$C$34,0)),"")</f>
        <v/>
      </c>
      <c r="P19" s="406" t="str">
        <f>IFERROR(INDEX('Master Lookup'!$G$27:$G$34,MATCH(N19,'Master Lookup'!$C$27:$C$34,0)),"")</f>
        <v/>
      </c>
      <c r="Q19" s="405">
        <f>IFERROR(O19*P19,0)</f>
        <v>0</v>
      </c>
      <c r="S19" s="408" t="str">
        <f>IF(INDEX('Master Lookup'!$C$27:$C$34,$B19)=0,"",INDEX('Master Lookup'!$C$27:$C$34,$B19))</f>
        <v/>
      </c>
      <c r="T19" s="407" t="str">
        <f>IFERROR(INDEX('Master Lookup'!$D$27:$D$34,MATCH(S19,'Master Lookup'!$C$27:$C$34,0)),"")</f>
        <v/>
      </c>
      <c r="U19" s="406" t="str">
        <f>IFERROR(INDEX('Master Lookup'!$H$27:$H$34,MATCH(S19,'Master Lookup'!$C$27:$C$34,0)),"")</f>
        <v/>
      </c>
      <c r="V19" s="405">
        <f>IFERROR(T19*U19,0)</f>
        <v>0</v>
      </c>
      <c r="X19" s="408" t="str">
        <f>IF(INDEX('Master Lookup'!$C$27:$C$34,$B19)=0,"",INDEX('Master Lookup'!$C$27:$C$34,$B19))</f>
        <v/>
      </c>
      <c r="Y19" s="407" t="str">
        <f>IFERROR(INDEX('Master Lookup'!$D$27:$D$34,MATCH(X19,'Master Lookup'!$C$27:$C$34,0)),"")</f>
        <v/>
      </c>
      <c r="Z19" s="406" t="str">
        <f>IFERROR(INDEX('Master Lookup'!$I$27:$I$34,MATCH(X19,'Master Lookup'!$C$27:$C$34,0)),"")</f>
        <v/>
      </c>
      <c r="AA19" s="405">
        <f>IFERROR(Y19*Z19,0)</f>
        <v>0</v>
      </c>
      <c r="AC19" s="408" t="str">
        <f>IF(INDEX('Master Lookup'!$C$27:$C$34,$B19)=0,"",INDEX('Master Lookup'!$C$27:$C$34,$B19))</f>
        <v/>
      </c>
      <c r="AD19" s="407" t="str">
        <f>IFERROR(INDEX('Master Lookup'!$D$27:$D$34,MATCH(AC19,'Master Lookup'!$C$27:$C$34,0)),"")</f>
        <v/>
      </c>
      <c r="AE19" s="406" t="str">
        <f>IFERROR(INDEX('Master Lookup'!$J$27:$J$34,MATCH(AC19,'Master Lookup'!$C$27:$C$34,0)),"")</f>
        <v/>
      </c>
      <c r="AF19" s="405">
        <f>IFERROR(AD19*AE19,0)</f>
        <v>0</v>
      </c>
      <c r="AH19" s="408" t="str">
        <f>IF(INDEX('Master Lookup'!$C$27:$C$34,$B19)=0,"",INDEX('Master Lookup'!$C$27:$C$34,$B19))</f>
        <v/>
      </c>
      <c r="AI19" s="407" t="str">
        <f>IFERROR(INDEX('Master Lookup'!$D$27:$D$34,MATCH(AH19,'Master Lookup'!$C$27:$C$34,0)),"")</f>
        <v/>
      </c>
      <c r="AJ19" s="406" t="str">
        <f>IFERROR(INDEX('Master Lookup'!$K$27:$K$34,MATCH(AH19,'Master Lookup'!$C$27:$C$34,0)),"")</f>
        <v/>
      </c>
      <c r="AK19" s="405">
        <f>IFERROR(AI19*AJ19,0)</f>
        <v>0</v>
      </c>
      <c r="AM19" s="408" t="str">
        <f>IF(INDEX('Master Lookup'!$C$27:$C$34,$B19)=0,"",INDEX('Master Lookup'!$C$27:$C$34,$B19))</f>
        <v/>
      </c>
      <c r="AN19" s="407" t="str">
        <f>IFERROR(INDEX('Master Lookup'!$D$27:$D$34,MATCH(AM19,'Master Lookup'!$C$27:$C$34,0)),"")</f>
        <v/>
      </c>
      <c r="AO19" s="406" t="str">
        <f>IFERROR(INDEX('Master Lookup'!$L$27:$L$34,MATCH(AM19,'Master Lookup'!$C$27:$C$34,0)),"")</f>
        <v/>
      </c>
      <c r="AP19" s="405">
        <f>IFERROR(AN19*AO19,0)</f>
        <v>0</v>
      </c>
      <c r="AR19" s="408" t="str">
        <f>IF(INDEX('Master Lookup'!$C$27:$C$34,$B19)=0,"",INDEX('Master Lookup'!$C$27:$C$34,$B19))</f>
        <v/>
      </c>
      <c r="AS19" s="407" t="str">
        <f>IFERROR(INDEX('Master Lookup'!$D$27:$D$34,MATCH(AR19,'Master Lookup'!$C$27:$C$34,0)),"")</f>
        <v/>
      </c>
      <c r="AT19" s="406" t="str">
        <f>IFERROR(INDEX('Master Lookup'!$M$27:$M$34,MATCH(AR19,'Master Lookup'!$C$27:$C$34,0)),"")</f>
        <v/>
      </c>
      <c r="AU19" s="405">
        <f>IFERROR(AS19*AT19,0)</f>
        <v>0</v>
      </c>
      <c r="AW19" s="408" t="str">
        <f>IF(INDEX('Master Lookup'!$C$27:$C$34,$B19)=0,"",INDEX('Master Lookup'!$C$27:$C$34,$B19))</f>
        <v/>
      </c>
      <c r="AX19" s="407" t="str">
        <f>IFERROR(INDEX('Master Lookup'!$D$27:$D$34,MATCH(AW19,'Master Lookup'!$C$27:$C$34,0)),"")</f>
        <v/>
      </c>
      <c r="AY19" s="406" t="str">
        <f>IFERROR(INDEX('Master Lookup'!$N$27:$N$34,MATCH(AW19,'Master Lookup'!$C$27:$C$34,0)),"")</f>
        <v/>
      </c>
      <c r="AZ19" s="405">
        <f>IFERROR(AX19*AY19,0)</f>
        <v>0</v>
      </c>
      <c r="BB19" s="408" t="str">
        <f>IF(INDEX('Master Lookup'!$C$27:$C$34,$B19)=0,"",INDEX('Master Lookup'!$C$27:$C$34,$B19))</f>
        <v/>
      </c>
      <c r="BC19" s="407" t="str">
        <f>IFERROR(INDEX('Master Lookup'!$D$27:$D$34,MATCH(BB19,'Master Lookup'!$C$27:$C$34,0)),"")</f>
        <v/>
      </c>
      <c r="BD19" s="406" t="str">
        <f>IFERROR(INDEX('Master Lookup'!$O$27:$O$34,MATCH(BB19,'Master Lookup'!$C$27:$C$34,0)),"")</f>
        <v/>
      </c>
      <c r="BE19" s="405">
        <f>IFERROR(BC19*BD19,0)</f>
        <v>0</v>
      </c>
      <c r="BG19" s="408" t="str">
        <f>IF(INDEX('Master Lookup'!$C$27:$C$34,$B19)=0,"",INDEX('Master Lookup'!$C$27:$C$34,$B19))</f>
        <v/>
      </c>
      <c r="BH19" s="407" t="str">
        <f>IFERROR(INDEX('Master Lookup'!$D$27:$D$34,MATCH(BG19,'Master Lookup'!$C$27:$C$34,0)),"")</f>
        <v/>
      </c>
      <c r="BI19" s="406" t="str">
        <f>IFERROR(INDEX('Master Lookup'!$P$27:$P$34,MATCH(BG19,'Master Lookup'!$C$27:$C$34,0)),"")</f>
        <v/>
      </c>
      <c r="BJ19" s="405">
        <f>IFERROR(BH19*BI19,0)</f>
        <v>0</v>
      </c>
      <c r="BL19" s="408" t="str">
        <f>IF(INDEX('Master Lookup'!$C$27:$C$34,$B19)=0,"",INDEX('Master Lookup'!$C$27:$C$34,$B19))</f>
        <v/>
      </c>
      <c r="BM19" s="407" t="str">
        <f>IFERROR(INDEX('Master Lookup'!$D$27:$D$34,MATCH(BL19,'Master Lookup'!$C$27:$C$34,0)),"")</f>
        <v/>
      </c>
      <c r="BN19" s="406" t="str">
        <f>IFERROR(INDEX('Master Lookup'!$Q$27:$Q$34,MATCH(BL19,'Master Lookup'!$C$27:$C$34,0)),"")</f>
        <v/>
      </c>
      <c r="BO19" s="405">
        <f>IFERROR(BM19*BN19,0)</f>
        <v>0</v>
      </c>
      <c r="BQ19" s="408" t="str">
        <f>IF(INDEX('Master Lookup'!$C$27:$C$34,$B19)=0,"",INDEX('Master Lookup'!$C$27:$C$34,$B19))</f>
        <v/>
      </c>
      <c r="BR19" s="407" t="str">
        <f>IFERROR(INDEX('Master Lookup'!$D$27:$D$34,MATCH(BQ19,'Master Lookup'!$C$27:$C$34,0)),"")</f>
        <v/>
      </c>
      <c r="BS19" s="406" t="str">
        <f>IFERROR(INDEX('Master Lookup'!$R$27:$R$34,MATCH(BQ19,'Master Lookup'!$C$27:$C$34,0)),"")</f>
        <v/>
      </c>
      <c r="BT19" s="405">
        <f>IFERROR(BR19*BS19,0)</f>
        <v>0</v>
      </c>
      <c r="BV19" s="408" t="str">
        <f>IF(INDEX('Master Lookup'!$C$27:$C$34,$B19)=0,"",INDEX('Master Lookup'!$C$27:$C$34,$B19))</f>
        <v/>
      </c>
      <c r="BW19" s="407" t="str">
        <f>IFERROR(INDEX('Master Lookup'!$D$27:$D$34,MATCH(BV19,'Master Lookup'!$C$27:$C$34,0)),"")</f>
        <v/>
      </c>
      <c r="BX19" s="406" t="str">
        <f>IFERROR(INDEX('Master Lookup'!$S$27:$S$34,MATCH(BV19,'Master Lookup'!$C$27:$C$34,0)),"")</f>
        <v/>
      </c>
      <c r="BY19" s="405">
        <f>IFERROR(BW19*BX19,0)</f>
        <v>0</v>
      </c>
      <c r="CA19" s="408" t="str">
        <f>IF(INDEX('Master Lookup'!$C$27:$C$34,$B19)=0,"",INDEX('Master Lookup'!$C$27:$C$34,$B19))</f>
        <v/>
      </c>
      <c r="CB19" s="407" t="str">
        <f>IFERROR(INDEX('Master Lookup'!$D$27:$D$34,MATCH(CA19,'Master Lookup'!$C$27:$C$34,0)),"")</f>
        <v/>
      </c>
      <c r="CC19" s="406" t="str">
        <f>IFERROR(INDEX('Master Lookup'!$T$27:$T$34,MATCH(CA19,'Master Lookup'!$C$27:$C$34,0)),"")</f>
        <v/>
      </c>
      <c r="CD19" s="405">
        <f>IFERROR(CB19*CC19,0)</f>
        <v>0</v>
      </c>
      <c r="CF19" s="408" t="str">
        <f>IF(INDEX('Master Lookup'!$C$27:$C$34,$B19)=0,"",INDEX('Master Lookup'!$C$27:$C$34,$B19))</f>
        <v/>
      </c>
      <c r="CG19" s="407" t="str">
        <f>IFERROR(INDEX('Master Lookup'!$D$27:$D$34,MATCH(CF19,'Master Lookup'!$C$27:$C$34,0)),"")</f>
        <v/>
      </c>
      <c r="CH19" s="406" t="str">
        <f>IFERROR(INDEX('Master Lookup'!$U$27:$U$34,MATCH(CF19,'Master Lookup'!$C$27:$C$34,0)),"")</f>
        <v/>
      </c>
      <c r="CI19" s="405">
        <f>IFERROR(CG19*CH19,0)</f>
        <v>0</v>
      </c>
      <c r="CK19" s="408" t="str">
        <f>IF(INDEX('Master Lookup'!$C$27:$C$34,$B19)=0,"",INDEX('Master Lookup'!$C$27:$C$34,$B19))</f>
        <v/>
      </c>
      <c r="CL19" s="407" t="str">
        <f>IFERROR(INDEX('Master Lookup'!$D$27:$D$34,MATCH(CK19,'Master Lookup'!$C$27:$C$34,0)),"")</f>
        <v/>
      </c>
      <c r="CM19" s="406" t="str">
        <f>IFERROR(INDEX('Master Lookup'!$V$27:$V$34,MATCH(CK19,'Master Lookup'!$C$27:$C$34,0)),"")</f>
        <v/>
      </c>
      <c r="CN19" s="405">
        <f>IFERROR(CL19*CM19,0)</f>
        <v>0</v>
      </c>
      <c r="CP19" s="408" t="str">
        <f>IF(INDEX('Master Lookup'!$C$27:$C$34,$B19)=0,"",INDEX('Master Lookup'!$C$27:$C$34,$B19))</f>
        <v/>
      </c>
      <c r="CQ19" s="407" t="str">
        <f>IFERROR(INDEX('Master Lookup'!$D$27:$D$34,MATCH(CP19,'Master Lookup'!$C$27:$C$34,0)),"")</f>
        <v/>
      </c>
      <c r="CR19" s="406" t="str">
        <f>IFERROR(INDEX('Master Lookup'!$W$27:$W$34,MATCH(CP19,'Master Lookup'!$C$27:$C$34,0)),"")</f>
        <v/>
      </c>
      <c r="CS19" s="405">
        <f>IFERROR(CQ19*CR19,0)</f>
        <v>0</v>
      </c>
      <c r="CU19" s="408" t="str">
        <f>IF(INDEX('Master Lookup'!$C$27:$C$34,$B19)=0,"",INDEX('Master Lookup'!$C$27:$C$34,$B19))</f>
        <v/>
      </c>
      <c r="CV19" s="407" t="str">
        <f>IFERROR(INDEX('Master Lookup'!$D$27:$D$34,MATCH(CU19,'Master Lookup'!$C$27:$C$34,0)),"")</f>
        <v/>
      </c>
      <c r="CW19" s="406" t="str">
        <f>IFERROR(INDEX('Master Lookup'!$X$27:$X$34,MATCH(CU19,'Master Lookup'!$C$27:$C$34,0)),"")</f>
        <v/>
      </c>
      <c r="CX19" s="405">
        <f>IFERROR(CV19*CW19,0)</f>
        <v>0</v>
      </c>
      <c r="CZ19" s="408" t="str">
        <f>IF(INDEX('Master Lookup'!$C$27:$C$34,$B19)=0,"",INDEX('Master Lookup'!$C$27:$C$34,$B19))</f>
        <v/>
      </c>
      <c r="DA19" s="407" t="str">
        <f>IFERROR(INDEX('Master Lookup'!$D$27:$D$34,MATCH(CZ19,'Master Lookup'!$C$27:$C$34,0)),"")</f>
        <v/>
      </c>
      <c r="DB19" s="406" t="str">
        <f>IFERROR(INDEX('Master Lookup'!$Y$27:$Y$34,MATCH(CZ19,'Master Lookup'!$C$27:$C$34,0)),"")</f>
        <v/>
      </c>
      <c r="DC19" s="405">
        <f>IFERROR(DA19*DB19,0)</f>
        <v>0</v>
      </c>
      <c r="DE19" s="408" t="str">
        <f>IF(INDEX('Master Lookup'!$C$27:$C$34,$B19)=0,"",INDEX('Master Lookup'!$C$27:$C$34,$B19))</f>
        <v/>
      </c>
      <c r="DF19" s="407" t="str">
        <f>IFERROR(INDEX('Master Lookup'!$D$27:$D$34,MATCH(DE19,'Master Lookup'!$C$27:$C$34,0)),"")</f>
        <v/>
      </c>
      <c r="DG19" s="406" t="str">
        <f>IFERROR(INDEX('Master Lookup'!$Z$27:$Z$34,MATCH(DE19,'Master Lookup'!$C$27:$C$34,0)),"")</f>
        <v/>
      </c>
      <c r="DH19" s="405">
        <f>IFERROR(DF19*DG19,0)</f>
        <v>0</v>
      </c>
      <c r="DJ19" s="408" t="str">
        <f>IF(INDEX('Master Lookup'!$C$27:$C$34,$B19)=0,"",INDEX('Master Lookup'!$C$27:$C$34,$B19))</f>
        <v/>
      </c>
      <c r="DK19" s="407" t="str">
        <f>IFERROR(INDEX('Master Lookup'!$D$27:$D$34,MATCH(DJ19,'Master Lookup'!$C$27:$C$34,0)),"")</f>
        <v/>
      </c>
      <c r="DL19" s="406" t="str">
        <f>IFERROR(INDEX('Master Lookup'!$AA$27:$AA$34,MATCH(DJ19,'Master Lookup'!$C$27:$C$34,0)),"")</f>
        <v/>
      </c>
      <c r="DM19" s="405">
        <f>IFERROR(DK19*DL19,0)</f>
        <v>0</v>
      </c>
      <c r="DO19" s="408" t="str">
        <f>IF(INDEX('Master Lookup'!$C$27:$C$34,$B19)=0,"",INDEX('Master Lookup'!$C$27:$C$34,$B19))</f>
        <v/>
      </c>
      <c r="DP19" s="407" t="str">
        <f>IFERROR(INDEX('Master Lookup'!$D$27:$D$34,MATCH(DO19,'Master Lookup'!$C$27:$C$34,0)),"")</f>
        <v/>
      </c>
      <c r="DQ19" s="406" t="str">
        <f>IFERROR(INDEX('Master Lookup'!$AB$27:$AB$34,MATCH(DO19,'Master Lookup'!$C$27:$C$34,0)),"")</f>
        <v/>
      </c>
      <c r="DR19" s="405">
        <f>IFERROR(DP19*DQ19,0)</f>
        <v>0</v>
      </c>
    </row>
    <row r="20" spans="2:122" hidden="1" x14ac:dyDescent="0.25">
      <c r="B20" s="361">
        <v>6</v>
      </c>
      <c r="D20" s="408" t="str">
        <f>IF(INDEX('Master Lookup'!$C$27:$C$34,$B20)=0,"",INDEX('Master Lookup'!$C$27:$C$34,$B20))</f>
        <v/>
      </c>
      <c r="E20" s="407" t="str">
        <f>IFERROR(INDEX('Master Lookup'!$D$27:$D$34,MATCH(D20,'Master Lookup'!$C$27:$C$34,0)),"")</f>
        <v/>
      </c>
      <c r="F20" s="406" t="str">
        <f>IFERROR(INDEX('Master Lookup'!$E$27:$E$34,MATCH(D20,'Master Lookup'!$C$27:$C$34,0)),"")</f>
        <v/>
      </c>
      <c r="G20" s="405">
        <f>IFERROR(E20*F20,0)</f>
        <v>0</v>
      </c>
      <c r="I20" s="408" t="str">
        <f>IF(INDEX('Master Lookup'!$C$27:$C$34,$B20)=0,"",INDEX('Master Lookup'!$C$27:$C$34,$B20))</f>
        <v/>
      </c>
      <c r="J20" s="407" t="str">
        <f>IFERROR(INDEX('Master Lookup'!$D$27:$D$34,MATCH(I20,'Master Lookup'!$C$27:$C$34,0)),"")</f>
        <v/>
      </c>
      <c r="K20" s="406" t="str">
        <f>IFERROR(INDEX('Master Lookup'!$F$27:$F$34,MATCH(I20,'Master Lookup'!$C$27:$C$34,0)),"")</f>
        <v/>
      </c>
      <c r="L20" s="405">
        <f>IFERROR(J20*K20,0)</f>
        <v>0</v>
      </c>
      <c r="N20" s="408" t="str">
        <f>IF(INDEX('Master Lookup'!$C$27:$C$34,$B20)=0,"",INDEX('Master Lookup'!$C$27:$C$34,$B20))</f>
        <v/>
      </c>
      <c r="O20" s="407" t="str">
        <f>IFERROR(INDEX('Master Lookup'!$D$27:$D$34,MATCH(N20,'Master Lookup'!$C$27:$C$34,0)),"")</f>
        <v/>
      </c>
      <c r="P20" s="406" t="str">
        <f>IFERROR(INDEX('Master Lookup'!$G$27:$G$34,MATCH(N20,'Master Lookup'!$C$27:$C$34,0)),"")</f>
        <v/>
      </c>
      <c r="Q20" s="405">
        <f>IFERROR(O20*P20,0)</f>
        <v>0</v>
      </c>
      <c r="S20" s="408" t="str">
        <f>IF(INDEX('Master Lookup'!$C$27:$C$34,$B20)=0,"",INDEX('Master Lookup'!$C$27:$C$34,$B20))</f>
        <v/>
      </c>
      <c r="T20" s="407" t="str">
        <f>IFERROR(INDEX('Master Lookup'!$D$27:$D$34,MATCH(S20,'Master Lookup'!$C$27:$C$34,0)),"")</f>
        <v/>
      </c>
      <c r="U20" s="406" t="str">
        <f>IFERROR(INDEX('Master Lookup'!$H$27:$H$34,MATCH(S20,'Master Lookup'!$C$27:$C$34,0)),"")</f>
        <v/>
      </c>
      <c r="V20" s="405">
        <f>IFERROR(T20*U20,0)</f>
        <v>0</v>
      </c>
      <c r="X20" s="408" t="str">
        <f>IF(INDEX('Master Lookup'!$C$27:$C$34,$B20)=0,"",INDEX('Master Lookup'!$C$27:$C$34,$B20))</f>
        <v/>
      </c>
      <c r="Y20" s="407" t="str">
        <f>IFERROR(INDEX('Master Lookup'!$D$27:$D$34,MATCH(X20,'Master Lookup'!$C$27:$C$34,0)),"")</f>
        <v/>
      </c>
      <c r="Z20" s="406" t="str">
        <f>IFERROR(INDEX('Master Lookup'!$I$27:$I$34,MATCH(X20,'Master Lookup'!$C$27:$C$34,0)),"")</f>
        <v/>
      </c>
      <c r="AA20" s="405">
        <f>IFERROR(Y20*Z20,0)</f>
        <v>0</v>
      </c>
      <c r="AC20" s="408" t="str">
        <f>IF(INDEX('Master Lookup'!$C$27:$C$34,$B20)=0,"",INDEX('Master Lookup'!$C$27:$C$34,$B20))</f>
        <v/>
      </c>
      <c r="AD20" s="407" t="str">
        <f>IFERROR(INDEX('Master Lookup'!$D$27:$D$34,MATCH(AC20,'Master Lookup'!$C$27:$C$34,0)),"")</f>
        <v/>
      </c>
      <c r="AE20" s="406" t="str">
        <f>IFERROR(INDEX('Master Lookup'!$J$27:$J$34,MATCH(AC20,'Master Lookup'!$C$27:$C$34,0)),"")</f>
        <v/>
      </c>
      <c r="AF20" s="405">
        <f>IFERROR(AD20*AE20,0)</f>
        <v>0</v>
      </c>
      <c r="AH20" s="408" t="str">
        <f>IF(INDEX('Master Lookup'!$C$27:$C$34,$B20)=0,"",INDEX('Master Lookup'!$C$27:$C$34,$B20))</f>
        <v/>
      </c>
      <c r="AI20" s="407" t="str">
        <f>IFERROR(INDEX('Master Lookup'!$D$27:$D$34,MATCH(AH20,'Master Lookup'!$C$27:$C$34,0)),"")</f>
        <v/>
      </c>
      <c r="AJ20" s="406" t="str">
        <f>IFERROR(INDEX('Master Lookup'!$K$27:$K$34,MATCH(AH20,'Master Lookup'!$C$27:$C$34,0)),"")</f>
        <v/>
      </c>
      <c r="AK20" s="405">
        <f>IFERROR(AI20*AJ20,0)</f>
        <v>0</v>
      </c>
      <c r="AM20" s="408" t="str">
        <f>IF(INDEX('Master Lookup'!$C$27:$C$34,$B20)=0,"",INDEX('Master Lookup'!$C$27:$C$34,$B20))</f>
        <v/>
      </c>
      <c r="AN20" s="407" t="str">
        <f>IFERROR(INDEX('Master Lookup'!$D$27:$D$34,MATCH(AM20,'Master Lookup'!$C$27:$C$34,0)),"")</f>
        <v/>
      </c>
      <c r="AO20" s="406" t="str">
        <f>IFERROR(INDEX('Master Lookup'!$L$27:$L$34,MATCH(AM20,'Master Lookup'!$C$27:$C$34,0)),"")</f>
        <v/>
      </c>
      <c r="AP20" s="405">
        <f>IFERROR(AN20*AO20,0)</f>
        <v>0</v>
      </c>
      <c r="AR20" s="408" t="str">
        <f>IF(INDEX('Master Lookup'!$C$27:$C$34,$B20)=0,"",INDEX('Master Lookup'!$C$27:$C$34,$B20))</f>
        <v/>
      </c>
      <c r="AS20" s="407" t="str">
        <f>IFERROR(INDEX('Master Lookup'!$D$27:$D$34,MATCH(AR20,'Master Lookup'!$C$27:$C$34,0)),"")</f>
        <v/>
      </c>
      <c r="AT20" s="406" t="str">
        <f>IFERROR(INDEX('Master Lookup'!$M$27:$M$34,MATCH(AR20,'Master Lookup'!$C$27:$C$34,0)),"")</f>
        <v/>
      </c>
      <c r="AU20" s="405">
        <f>IFERROR(AS20*AT20,0)</f>
        <v>0</v>
      </c>
      <c r="AW20" s="408" t="str">
        <f>IF(INDEX('Master Lookup'!$C$27:$C$34,$B20)=0,"",INDEX('Master Lookup'!$C$27:$C$34,$B20))</f>
        <v/>
      </c>
      <c r="AX20" s="407" t="str">
        <f>IFERROR(INDEX('Master Lookup'!$D$27:$D$34,MATCH(AW20,'Master Lookup'!$C$27:$C$34,0)),"")</f>
        <v/>
      </c>
      <c r="AY20" s="406" t="str">
        <f>IFERROR(INDEX('Master Lookup'!$N$27:$N$34,MATCH(AW20,'Master Lookup'!$C$27:$C$34,0)),"")</f>
        <v/>
      </c>
      <c r="AZ20" s="405">
        <f>IFERROR(AX20*AY20,0)</f>
        <v>0</v>
      </c>
      <c r="BB20" s="408" t="str">
        <f>IF(INDEX('Master Lookup'!$C$27:$C$34,$B20)=0,"",INDEX('Master Lookup'!$C$27:$C$34,$B20))</f>
        <v/>
      </c>
      <c r="BC20" s="407" t="str">
        <f>IFERROR(INDEX('Master Lookup'!$D$27:$D$34,MATCH(BB20,'Master Lookup'!$C$27:$C$34,0)),"")</f>
        <v/>
      </c>
      <c r="BD20" s="406" t="str">
        <f>IFERROR(INDEX('Master Lookup'!$O$27:$O$34,MATCH(BB20,'Master Lookup'!$C$27:$C$34,0)),"")</f>
        <v/>
      </c>
      <c r="BE20" s="405">
        <f>IFERROR(BC20*BD20,0)</f>
        <v>0</v>
      </c>
      <c r="BG20" s="408" t="str">
        <f>IF(INDEX('Master Lookup'!$C$27:$C$34,$B20)=0,"",INDEX('Master Lookup'!$C$27:$C$34,$B20))</f>
        <v/>
      </c>
      <c r="BH20" s="407" t="str">
        <f>IFERROR(INDEX('Master Lookup'!$D$27:$D$34,MATCH(BG20,'Master Lookup'!$C$27:$C$34,0)),"")</f>
        <v/>
      </c>
      <c r="BI20" s="406" t="str">
        <f>IFERROR(INDEX('Master Lookup'!$P$27:$P$34,MATCH(BG20,'Master Lookup'!$C$27:$C$34,0)),"")</f>
        <v/>
      </c>
      <c r="BJ20" s="405">
        <f>IFERROR(BH20*BI20,0)</f>
        <v>0</v>
      </c>
      <c r="BL20" s="408" t="str">
        <f>IF(INDEX('Master Lookup'!$C$27:$C$34,$B20)=0,"",INDEX('Master Lookup'!$C$27:$C$34,$B20))</f>
        <v/>
      </c>
      <c r="BM20" s="407" t="str">
        <f>IFERROR(INDEX('Master Lookup'!$D$27:$D$34,MATCH(BL20,'Master Lookup'!$C$27:$C$34,0)),"")</f>
        <v/>
      </c>
      <c r="BN20" s="406" t="str">
        <f>IFERROR(INDEX('Master Lookup'!$Q$27:$Q$34,MATCH(BL20,'Master Lookup'!$C$27:$C$34,0)),"")</f>
        <v/>
      </c>
      <c r="BO20" s="405">
        <f>IFERROR(BM20*BN20,0)</f>
        <v>0</v>
      </c>
      <c r="BQ20" s="408" t="str">
        <f>IF(INDEX('Master Lookup'!$C$27:$C$34,$B20)=0,"",INDEX('Master Lookup'!$C$27:$C$34,$B20))</f>
        <v/>
      </c>
      <c r="BR20" s="407" t="str">
        <f>IFERROR(INDEX('Master Lookup'!$D$27:$D$34,MATCH(BQ20,'Master Lookup'!$C$27:$C$34,0)),"")</f>
        <v/>
      </c>
      <c r="BS20" s="406" t="str">
        <f>IFERROR(INDEX('Master Lookup'!$R$27:$R$34,MATCH(BQ20,'Master Lookup'!$C$27:$C$34,0)),"")</f>
        <v/>
      </c>
      <c r="BT20" s="405">
        <f>IFERROR(BR20*BS20,0)</f>
        <v>0</v>
      </c>
      <c r="BV20" s="408" t="str">
        <f>IF(INDEX('Master Lookup'!$C$27:$C$34,$B20)=0,"",INDEX('Master Lookup'!$C$27:$C$34,$B20))</f>
        <v/>
      </c>
      <c r="BW20" s="407" t="str">
        <f>IFERROR(INDEX('Master Lookup'!$D$27:$D$34,MATCH(BV20,'Master Lookup'!$C$27:$C$34,0)),"")</f>
        <v/>
      </c>
      <c r="BX20" s="406" t="str">
        <f>IFERROR(INDEX('Master Lookup'!$S$27:$S$34,MATCH(BV20,'Master Lookup'!$C$27:$C$34,0)),"")</f>
        <v/>
      </c>
      <c r="BY20" s="405">
        <f>IFERROR(BW20*BX20,0)</f>
        <v>0</v>
      </c>
      <c r="CA20" s="408" t="str">
        <f>IF(INDEX('Master Lookup'!$C$27:$C$34,$B20)=0,"",INDEX('Master Lookup'!$C$27:$C$34,$B20))</f>
        <v/>
      </c>
      <c r="CB20" s="407" t="str">
        <f>IFERROR(INDEX('Master Lookup'!$D$27:$D$34,MATCH(CA20,'Master Lookup'!$C$27:$C$34,0)),"")</f>
        <v/>
      </c>
      <c r="CC20" s="406" t="str">
        <f>IFERROR(INDEX('Master Lookup'!$T$27:$T$34,MATCH(CA20,'Master Lookup'!$C$27:$C$34,0)),"")</f>
        <v/>
      </c>
      <c r="CD20" s="405">
        <f>IFERROR(CB20*CC20,0)</f>
        <v>0</v>
      </c>
      <c r="CF20" s="408" t="str">
        <f>IF(INDEX('Master Lookup'!$C$27:$C$34,$B20)=0,"",INDEX('Master Lookup'!$C$27:$C$34,$B20))</f>
        <v/>
      </c>
      <c r="CG20" s="407" t="str">
        <f>IFERROR(INDEX('Master Lookup'!$D$27:$D$34,MATCH(CF20,'Master Lookup'!$C$27:$C$34,0)),"")</f>
        <v/>
      </c>
      <c r="CH20" s="406" t="str">
        <f>IFERROR(INDEX('Master Lookup'!$U$27:$U$34,MATCH(CF20,'Master Lookup'!$C$27:$C$34,0)),"")</f>
        <v/>
      </c>
      <c r="CI20" s="405">
        <f>IFERROR(CG20*CH20,0)</f>
        <v>0</v>
      </c>
      <c r="CK20" s="408" t="str">
        <f>IF(INDEX('Master Lookup'!$C$27:$C$34,$B20)=0,"",INDEX('Master Lookup'!$C$27:$C$34,$B20))</f>
        <v/>
      </c>
      <c r="CL20" s="407" t="str">
        <f>IFERROR(INDEX('Master Lookup'!$D$27:$D$34,MATCH(CK20,'Master Lookup'!$C$27:$C$34,0)),"")</f>
        <v/>
      </c>
      <c r="CM20" s="406" t="str">
        <f>IFERROR(INDEX('Master Lookup'!$V$27:$V$34,MATCH(CK20,'Master Lookup'!$C$27:$C$34,0)),"")</f>
        <v/>
      </c>
      <c r="CN20" s="405">
        <f>IFERROR(CL20*CM20,0)</f>
        <v>0</v>
      </c>
      <c r="CP20" s="408" t="str">
        <f>IF(INDEX('Master Lookup'!$C$27:$C$34,$B20)=0,"",INDEX('Master Lookup'!$C$27:$C$34,$B20))</f>
        <v/>
      </c>
      <c r="CQ20" s="407" t="str">
        <f>IFERROR(INDEX('Master Lookup'!$D$27:$D$34,MATCH(CP20,'Master Lookup'!$C$27:$C$34,0)),"")</f>
        <v/>
      </c>
      <c r="CR20" s="406" t="str">
        <f>IFERROR(INDEX('Master Lookup'!$W$27:$W$34,MATCH(CP20,'Master Lookup'!$C$27:$C$34,0)),"")</f>
        <v/>
      </c>
      <c r="CS20" s="405">
        <f>IFERROR(CQ20*CR20,0)</f>
        <v>0</v>
      </c>
      <c r="CU20" s="408" t="str">
        <f>IF(INDEX('Master Lookup'!$C$27:$C$34,$B20)=0,"",INDEX('Master Lookup'!$C$27:$C$34,$B20))</f>
        <v/>
      </c>
      <c r="CV20" s="407" t="str">
        <f>IFERROR(INDEX('Master Lookup'!$D$27:$D$34,MATCH(CU20,'Master Lookup'!$C$27:$C$34,0)),"")</f>
        <v/>
      </c>
      <c r="CW20" s="406" t="str">
        <f>IFERROR(INDEX('Master Lookup'!$X$27:$X$34,MATCH(CU20,'Master Lookup'!$C$27:$C$34,0)),"")</f>
        <v/>
      </c>
      <c r="CX20" s="405">
        <f>IFERROR(CV20*CW20,0)</f>
        <v>0</v>
      </c>
      <c r="CZ20" s="408" t="str">
        <f>IF(INDEX('Master Lookup'!$C$27:$C$34,$B20)=0,"",INDEX('Master Lookup'!$C$27:$C$34,$B20))</f>
        <v/>
      </c>
      <c r="DA20" s="407" t="str">
        <f>IFERROR(INDEX('Master Lookup'!$D$27:$D$34,MATCH(CZ20,'Master Lookup'!$C$27:$C$34,0)),"")</f>
        <v/>
      </c>
      <c r="DB20" s="406" t="str">
        <f>IFERROR(INDEX('Master Lookup'!$Y$27:$Y$34,MATCH(CZ20,'Master Lookup'!$C$27:$C$34,0)),"")</f>
        <v/>
      </c>
      <c r="DC20" s="405">
        <f>IFERROR(DA20*DB20,0)</f>
        <v>0</v>
      </c>
      <c r="DE20" s="408" t="str">
        <f>IF(INDEX('Master Lookup'!$C$27:$C$34,$B20)=0,"",INDEX('Master Lookup'!$C$27:$C$34,$B20))</f>
        <v/>
      </c>
      <c r="DF20" s="407" t="str">
        <f>IFERROR(INDEX('Master Lookup'!$D$27:$D$34,MATCH(DE20,'Master Lookup'!$C$27:$C$34,0)),"")</f>
        <v/>
      </c>
      <c r="DG20" s="406" t="str">
        <f>IFERROR(INDEX('Master Lookup'!$Z$27:$Z$34,MATCH(DE20,'Master Lookup'!$C$27:$C$34,0)),"")</f>
        <v/>
      </c>
      <c r="DH20" s="405">
        <f>IFERROR(DF20*DG20,0)</f>
        <v>0</v>
      </c>
      <c r="DJ20" s="408" t="str">
        <f>IF(INDEX('Master Lookup'!$C$27:$C$34,$B20)=0,"",INDEX('Master Lookup'!$C$27:$C$34,$B20))</f>
        <v/>
      </c>
      <c r="DK20" s="407" t="str">
        <f>IFERROR(INDEX('Master Lookup'!$D$27:$D$34,MATCH(DJ20,'Master Lookup'!$C$27:$C$34,0)),"")</f>
        <v/>
      </c>
      <c r="DL20" s="406" t="str">
        <f>IFERROR(INDEX('Master Lookup'!$AA$27:$AA$34,MATCH(DJ20,'Master Lookup'!$C$27:$C$34,0)),"")</f>
        <v/>
      </c>
      <c r="DM20" s="405">
        <f>IFERROR(DK20*DL20,0)</f>
        <v>0</v>
      </c>
      <c r="DO20" s="408" t="str">
        <f>IF(INDEX('Master Lookup'!$C$27:$C$34,$B20)=0,"",INDEX('Master Lookup'!$C$27:$C$34,$B20))</f>
        <v/>
      </c>
      <c r="DP20" s="407" t="str">
        <f>IFERROR(INDEX('Master Lookup'!$D$27:$D$34,MATCH(DO20,'Master Lookup'!$C$27:$C$34,0)),"")</f>
        <v/>
      </c>
      <c r="DQ20" s="406" t="str">
        <f>IFERROR(INDEX('Master Lookup'!$AB$27:$AB$34,MATCH(DO20,'Master Lookup'!$C$27:$C$34,0)),"")</f>
        <v/>
      </c>
      <c r="DR20" s="405">
        <f>IFERROR(DP20*DQ20,0)</f>
        <v>0</v>
      </c>
    </row>
    <row r="21" spans="2:122" hidden="1" x14ac:dyDescent="0.25">
      <c r="B21" s="361">
        <v>7</v>
      </c>
      <c r="D21" s="408" t="str">
        <f>IF(INDEX('Master Lookup'!$C$27:$C$34,$B21)=0,"",INDEX('Master Lookup'!$C$27:$C$34,$B21))</f>
        <v/>
      </c>
      <c r="E21" s="407" t="str">
        <f>IFERROR(INDEX('Master Lookup'!$D$27:$D$34,MATCH(D21,'Master Lookup'!$C$27:$C$34,0)),"")</f>
        <v/>
      </c>
      <c r="F21" s="406" t="str">
        <f>IFERROR(INDEX('Master Lookup'!$E$27:$E$34,MATCH(D21,'Master Lookup'!$C$27:$C$34,0)),"")</f>
        <v/>
      </c>
      <c r="G21" s="405">
        <f>IFERROR(E21*F21,0)</f>
        <v>0</v>
      </c>
      <c r="I21" s="408" t="str">
        <f>IF(INDEX('Master Lookup'!$C$27:$C$34,$B21)=0,"",INDEX('Master Lookup'!$C$27:$C$34,$B21))</f>
        <v/>
      </c>
      <c r="J21" s="407" t="str">
        <f>IFERROR(INDEX('Master Lookup'!$D$27:$D$34,MATCH(I21,'Master Lookup'!$C$27:$C$34,0)),"")</f>
        <v/>
      </c>
      <c r="K21" s="406" t="str">
        <f>IFERROR(INDEX('Master Lookup'!$F$27:$F$34,MATCH(I21,'Master Lookup'!$C$27:$C$34,0)),"")</f>
        <v/>
      </c>
      <c r="L21" s="405">
        <f>IFERROR(J21*K21,0)</f>
        <v>0</v>
      </c>
      <c r="N21" s="408" t="str">
        <f>IF(INDEX('Master Lookup'!$C$27:$C$34,$B21)=0,"",INDEX('Master Lookup'!$C$27:$C$34,$B21))</f>
        <v/>
      </c>
      <c r="O21" s="407" t="str">
        <f>IFERROR(INDEX('Master Lookup'!$D$27:$D$34,MATCH(N21,'Master Lookup'!$C$27:$C$34,0)),"")</f>
        <v/>
      </c>
      <c r="P21" s="406" t="str">
        <f>IFERROR(INDEX('Master Lookup'!$G$27:$G$34,MATCH(N21,'Master Lookup'!$C$27:$C$34,0)),"")</f>
        <v/>
      </c>
      <c r="Q21" s="405">
        <f>IFERROR(O21*P21,0)</f>
        <v>0</v>
      </c>
      <c r="S21" s="408" t="str">
        <f>IF(INDEX('Master Lookup'!$C$27:$C$34,$B21)=0,"",INDEX('Master Lookup'!$C$27:$C$34,$B21))</f>
        <v/>
      </c>
      <c r="T21" s="407" t="str">
        <f>IFERROR(INDEX('Master Lookup'!$D$27:$D$34,MATCH(S21,'Master Lookup'!$C$27:$C$34,0)),"")</f>
        <v/>
      </c>
      <c r="U21" s="406" t="str">
        <f>IFERROR(INDEX('Master Lookup'!$H$27:$H$34,MATCH(S21,'Master Lookup'!$C$27:$C$34,0)),"")</f>
        <v/>
      </c>
      <c r="V21" s="405">
        <f>IFERROR(T21*U21,0)</f>
        <v>0</v>
      </c>
      <c r="X21" s="408" t="str">
        <f>IF(INDEX('Master Lookup'!$C$27:$C$34,$B21)=0,"",INDEX('Master Lookup'!$C$27:$C$34,$B21))</f>
        <v/>
      </c>
      <c r="Y21" s="407" t="str">
        <f>IFERROR(INDEX('Master Lookup'!$D$27:$D$34,MATCH(X21,'Master Lookup'!$C$27:$C$34,0)),"")</f>
        <v/>
      </c>
      <c r="Z21" s="406" t="str">
        <f>IFERROR(INDEX('Master Lookup'!$I$27:$I$34,MATCH(X21,'Master Lookup'!$C$27:$C$34,0)),"")</f>
        <v/>
      </c>
      <c r="AA21" s="405">
        <f>IFERROR(Y21*Z21,0)</f>
        <v>0</v>
      </c>
      <c r="AC21" s="408" t="str">
        <f>IF(INDEX('Master Lookup'!$C$27:$C$34,$B21)=0,"",INDEX('Master Lookup'!$C$27:$C$34,$B21))</f>
        <v/>
      </c>
      <c r="AD21" s="407" t="str">
        <f>IFERROR(INDEX('Master Lookup'!$D$27:$D$34,MATCH(AC21,'Master Lookup'!$C$27:$C$34,0)),"")</f>
        <v/>
      </c>
      <c r="AE21" s="406" t="str">
        <f>IFERROR(INDEX('Master Lookup'!$J$27:$J$34,MATCH(AC21,'Master Lookup'!$C$27:$C$34,0)),"")</f>
        <v/>
      </c>
      <c r="AF21" s="405">
        <f>IFERROR(AD21*AE21,0)</f>
        <v>0</v>
      </c>
      <c r="AH21" s="408" t="str">
        <f>IF(INDEX('Master Lookup'!$C$27:$C$34,$B21)=0,"",INDEX('Master Lookup'!$C$27:$C$34,$B21))</f>
        <v/>
      </c>
      <c r="AI21" s="407" t="str">
        <f>IFERROR(INDEX('Master Lookup'!$D$27:$D$34,MATCH(AH21,'Master Lookup'!$C$27:$C$34,0)),"")</f>
        <v/>
      </c>
      <c r="AJ21" s="406" t="str">
        <f>IFERROR(INDEX('Master Lookup'!$K$27:$K$34,MATCH(AH21,'Master Lookup'!$C$27:$C$34,0)),"")</f>
        <v/>
      </c>
      <c r="AK21" s="405">
        <f>IFERROR(AI21*AJ21,0)</f>
        <v>0</v>
      </c>
      <c r="AM21" s="408" t="str">
        <f>IF(INDEX('Master Lookup'!$C$27:$C$34,$B21)=0,"",INDEX('Master Lookup'!$C$27:$C$34,$B21))</f>
        <v/>
      </c>
      <c r="AN21" s="407" t="str">
        <f>IFERROR(INDEX('Master Lookup'!$D$27:$D$34,MATCH(AM21,'Master Lookup'!$C$27:$C$34,0)),"")</f>
        <v/>
      </c>
      <c r="AO21" s="406" t="str">
        <f>IFERROR(INDEX('Master Lookup'!$L$27:$L$34,MATCH(AM21,'Master Lookup'!$C$27:$C$34,0)),"")</f>
        <v/>
      </c>
      <c r="AP21" s="405">
        <f>IFERROR(AN21*AO21,0)</f>
        <v>0</v>
      </c>
      <c r="AR21" s="408" t="str">
        <f>IF(INDEX('Master Lookup'!$C$27:$C$34,$B21)=0,"",INDEX('Master Lookup'!$C$27:$C$34,$B21))</f>
        <v/>
      </c>
      <c r="AS21" s="407" t="str">
        <f>IFERROR(INDEX('Master Lookup'!$D$27:$D$34,MATCH(AR21,'Master Lookup'!$C$27:$C$34,0)),"")</f>
        <v/>
      </c>
      <c r="AT21" s="406" t="str">
        <f>IFERROR(INDEX('Master Lookup'!$M$27:$M$34,MATCH(AR21,'Master Lookup'!$C$27:$C$34,0)),"")</f>
        <v/>
      </c>
      <c r="AU21" s="405">
        <f>IFERROR(AS21*AT21,0)</f>
        <v>0</v>
      </c>
      <c r="AW21" s="408" t="str">
        <f>IF(INDEX('Master Lookup'!$C$27:$C$34,$B21)=0,"",INDEX('Master Lookup'!$C$27:$C$34,$B21))</f>
        <v/>
      </c>
      <c r="AX21" s="407" t="str">
        <f>IFERROR(INDEX('Master Lookup'!$D$27:$D$34,MATCH(AW21,'Master Lookup'!$C$27:$C$34,0)),"")</f>
        <v/>
      </c>
      <c r="AY21" s="406" t="str">
        <f>IFERROR(INDEX('Master Lookup'!$N$27:$N$34,MATCH(AW21,'Master Lookup'!$C$27:$C$34,0)),"")</f>
        <v/>
      </c>
      <c r="AZ21" s="405">
        <f>IFERROR(AX21*AY21,0)</f>
        <v>0</v>
      </c>
      <c r="BB21" s="408" t="str">
        <f>IF(INDEX('Master Lookup'!$C$27:$C$34,$B21)=0,"",INDEX('Master Lookup'!$C$27:$C$34,$B21))</f>
        <v/>
      </c>
      <c r="BC21" s="407" t="str">
        <f>IFERROR(INDEX('Master Lookup'!$D$27:$D$34,MATCH(BB21,'Master Lookup'!$C$27:$C$34,0)),"")</f>
        <v/>
      </c>
      <c r="BD21" s="406" t="str">
        <f>IFERROR(INDEX('Master Lookup'!$O$27:$O$34,MATCH(BB21,'Master Lookup'!$C$27:$C$34,0)),"")</f>
        <v/>
      </c>
      <c r="BE21" s="405">
        <f>IFERROR(BC21*BD21,0)</f>
        <v>0</v>
      </c>
      <c r="BG21" s="408" t="str">
        <f>IF(INDEX('Master Lookup'!$C$27:$C$34,$B21)=0,"",INDEX('Master Lookup'!$C$27:$C$34,$B21))</f>
        <v/>
      </c>
      <c r="BH21" s="407" t="str">
        <f>IFERROR(INDEX('Master Lookup'!$D$27:$D$34,MATCH(BG21,'Master Lookup'!$C$27:$C$34,0)),"")</f>
        <v/>
      </c>
      <c r="BI21" s="406" t="str">
        <f>IFERROR(INDEX('Master Lookup'!$P$27:$P$34,MATCH(BG21,'Master Lookup'!$C$27:$C$34,0)),"")</f>
        <v/>
      </c>
      <c r="BJ21" s="405">
        <f>IFERROR(BH21*BI21,0)</f>
        <v>0</v>
      </c>
      <c r="BL21" s="408" t="str">
        <f>IF(INDEX('Master Lookup'!$C$27:$C$34,$B21)=0,"",INDEX('Master Lookup'!$C$27:$C$34,$B21))</f>
        <v/>
      </c>
      <c r="BM21" s="407" t="str">
        <f>IFERROR(INDEX('Master Lookup'!$D$27:$D$34,MATCH(BL21,'Master Lookup'!$C$27:$C$34,0)),"")</f>
        <v/>
      </c>
      <c r="BN21" s="406" t="str">
        <f>IFERROR(INDEX('Master Lookup'!$Q$27:$Q$34,MATCH(BL21,'Master Lookup'!$C$27:$C$34,0)),"")</f>
        <v/>
      </c>
      <c r="BO21" s="405">
        <f>IFERROR(BM21*BN21,0)</f>
        <v>0</v>
      </c>
      <c r="BQ21" s="408" t="str">
        <f>IF(INDEX('Master Lookup'!$C$27:$C$34,$B21)=0,"",INDEX('Master Lookup'!$C$27:$C$34,$B21))</f>
        <v/>
      </c>
      <c r="BR21" s="407" t="str">
        <f>IFERROR(INDEX('Master Lookup'!$D$27:$D$34,MATCH(BQ21,'Master Lookup'!$C$27:$C$34,0)),"")</f>
        <v/>
      </c>
      <c r="BS21" s="406" t="str">
        <f>IFERROR(INDEX('Master Lookup'!$R$27:$R$34,MATCH(BQ21,'Master Lookup'!$C$27:$C$34,0)),"")</f>
        <v/>
      </c>
      <c r="BT21" s="405">
        <f>IFERROR(BR21*BS21,0)</f>
        <v>0</v>
      </c>
      <c r="BV21" s="408" t="str">
        <f>IF(INDEX('Master Lookup'!$C$27:$C$34,$B21)=0,"",INDEX('Master Lookup'!$C$27:$C$34,$B21))</f>
        <v/>
      </c>
      <c r="BW21" s="407" t="str">
        <f>IFERROR(INDEX('Master Lookup'!$D$27:$D$34,MATCH(BV21,'Master Lookup'!$C$27:$C$34,0)),"")</f>
        <v/>
      </c>
      <c r="BX21" s="406" t="str">
        <f>IFERROR(INDEX('Master Lookup'!$S$27:$S$34,MATCH(BV21,'Master Lookup'!$C$27:$C$34,0)),"")</f>
        <v/>
      </c>
      <c r="BY21" s="405">
        <f>IFERROR(BW21*BX21,0)</f>
        <v>0</v>
      </c>
      <c r="CA21" s="408" t="str">
        <f>IF(INDEX('Master Lookup'!$C$27:$C$34,$B21)=0,"",INDEX('Master Lookup'!$C$27:$C$34,$B21))</f>
        <v/>
      </c>
      <c r="CB21" s="407" t="str">
        <f>IFERROR(INDEX('Master Lookup'!$D$27:$D$34,MATCH(CA21,'Master Lookup'!$C$27:$C$34,0)),"")</f>
        <v/>
      </c>
      <c r="CC21" s="406" t="str">
        <f>IFERROR(INDEX('Master Lookup'!$T$27:$T$34,MATCH(CA21,'Master Lookup'!$C$27:$C$34,0)),"")</f>
        <v/>
      </c>
      <c r="CD21" s="405">
        <f>IFERROR(CB21*CC21,0)</f>
        <v>0</v>
      </c>
      <c r="CF21" s="408" t="str">
        <f>IF(INDEX('Master Lookup'!$C$27:$C$34,$B21)=0,"",INDEX('Master Lookup'!$C$27:$C$34,$B21))</f>
        <v/>
      </c>
      <c r="CG21" s="407" t="str">
        <f>IFERROR(INDEX('Master Lookup'!$D$27:$D$34,MATCH(CF21,'Master Lookup'!$C$27:$C$34,0)),"")</f>
        <v/>
      </c>
      <c r="CH21" s="406" t="str">
        <f>IFERROR(INDEX('Master Lookup'!$U$27:$U$34,MATCH(CF21,'Master Lookup'!$C$27:$C$34,0)),"")</f>
        <v/>
      </c>
      <c r="CI21" s="405">
        <f>IFERROR(CG21*CH21,0)</f>
        <v>0</v>
      </c>
      <c r="CK21" s="408" t="str">
        <f>IF(INDEX('Master Lookup'!$C$27:$C$34,$B21)=0,"",INDEX('Master Lookup'!$C$27:$C$34,$B21))</f>
        <v/>
      </c>
      <c r="CL21" s="407" t="str">
        <f>IFERROR(INDEX('Master Lookup'!$D$27:$D$34,MATCH(CK21,'Master Lookup'!$C$27:$C$34,0)),"")</f>
        <v/>
      </c>
      <c r="CM21" s="406" t="str">
        <f>IFERROR(INDEX('Master Lookup'!$V$27:$V$34,MATCH(CK21,'Master Lookup'!$C$27:$C$34,0)),"")</f>
        <v/>
      </c>
      <c r="CN21" s="405">
        <f>IFERROR(CL21*CM21,0)</f>
        <v>0</v>
      </c>
      <c r="CP21" s="408" t="str">
        <f>IF(INDEX('Master Lookup'!$C$27:$C$34,$B21)=0,"",INDEX('Master Lookup'!$C$27:$C$34,$B21))</f>
        <v/>
      </c>
      <c r="CQ21" s="407" t="str">
        <f>IFERROR(INDEX('Master Lookup'!$D$27:$D$34,MATCH(CP21,'Master Lookup'!$C$27:$C$34,0)),"")</f>
        <v/>
      </c>
      <c r="CR21" s="406" t="str">
        <f>IFERROR(INDEX('Master Lookup'!$W$27:$W$34,MATCH(CP21,'Master Lookup'!$C$27:$C$34,0)),"")</f>
        <v/>
      </c>
      <c r="CS21" s="405">
        <f>IFERROR(CQ21*CR21,0)</f>
        <v>0</v>
      </c>
      <c r="CU21" s="408" t="str">
        <f>IF(INDEX('Master Lookup'!$C$27:$C$34,$B21)=0,"",INDEX('Master Lookup'!$C$27:$C$34,$B21))</f>
        <v/>
      </c>
      <c r="CV21" s="407" t="str">
        <f>IFERROR(INDEX('Master Lookup'!$D$27:$D$34,MATCH(CU21,'Master Lookup'!$C$27:$C$34,0)),"")</f>
        <v/>
      </c>
      <c r="CW21" s="406" t="str">
        <f>IFERROR(INDEX('Master Lookup'!$X$27:$X$34,MATCH(CU21,'Master Lookup'!$C$27:$C$34,0)),"")</f>
        <v/>
      </c>
      <c r="CX21" s="405">
        <f>IFERROR(CV21*CW21,0)</f>
        <v>0</v>
      </c>
      <c r="CZ21" s="408" t="str">
        <f>IF(INDEX('Master Lookup'!$C$27:$C$34,$B21)=0,"",INDEX('Master Lookup'!$C$27:$C$34,$B21))</f>
        <v/>
      </c>
      <c r="DA21" s="407" t="str">
        <f>IFERROR(INDEX('Master Lookup'!$D$27:$D$34,MATCH(CZ21,'Master Lookup'!$C$27:$C$34,0)),"")</f>
        <v/>
      </c>
      <c r="DB21" s="406" t="str">
        <f>IFERROR(INDEX('Master Lookup'!$Y$27:$Y$34,MATCH(CZ21,'Master Lookup'!$C$27:$C$34,0)),"")</f>
        <v/>
      </c>
      <c r="DC21" s="405">
        <f>IFERROR(DA21*DB21,0)</f>
        <v>0</v>
      </c>
      <c r="DE21" s="408" t="str">
        <f>IF(INDEX('Master Lookup'!$C$27:$C$34,$B21)=0,"",INDEX('Master Lookup'!$C$27:$C$34,$B21))</f>
        <v/>
      </c>
      <c r="DF21" s="407" t="str">
        <f>IFERROR(INDEX('Master Lookup'!$D$27:$D$34,MATCH(DE21,'Master Lookup'!$C$27:$C$34,0)),"")</f>
        <v/>
      </c>
      <c r="DG21" s="406" t="str">
        <f>IFERROR(INDEX('Master Lookup'!$Z$27:$Z$34,MATCH(DE21,'Master Lookup'!$C$27:$C$34,0)),"")</f>
        <v/>
      </c>
      <c r="DH21" s="405">
        <f>IFERROR(DF21*DG21,0)</f>
        <v>0</v>
      </c>
      <c r="DJ21" s="408" t="str">
        <f>IF(INDEX('Master Lookup'!$C$27:$C$34,$B21)=0,"",INDEX('Master Lookup'!$C$27:$C$34,$B21))</f>
        <v/>
      </c>
      <c r="DK21" s="407" t="str">
        <f>IFERROR(INDEX('Master Lookup'!$D$27:$D$34,MATCH(DJ21,'Master Lookup'!$C$27:$C$34,0)),"")</f>
        <v/>
      </c>
      <c r="DL21" s="406" t="str">
        <f>IFERROR(INDEX('Master Lookup'!$AA$27:$AA$34,MATCH(DJ21,'Master Lookup'!$C$27:$C$34,0)),"")</f>
        <v/>
      </c>
      <c r="DM21" s="405">
        <f>IFERROR(DK21*DL21,0)</f>
        <v>0</v>
      </c>
      <c r="DO21" s="408" t="str">
        <f>IF(INDEX('Master Lookup'!$C$27:$C$34,$B21)=0,"",INDEX('Master Lookup'!$C$27:$C$34,$B21))</f>
        <v/>
      </c>
      <c r="DP21" s="407" t="str">
        <f>IFERROR(INDEX('Master Lookup'!$D$27:$D$34,MATCH(DO21,'Master Lookup'!$C$27:$C$34,0)),"")</f>
        <v/>
      </c>
      <c r="DQ21" s="406" t="str">
        <f>IFERROR(INDEX('Master Lookup'!$AB$27:$AB$34,MATCH(DO21,'Master Lookup'!$C$27:$C$34,0)),"")</f>
        <v/>
      </c>
      <c r="DR21" s="405">
        <f>IFERROR(DP21*DQ21,0)</f>
        <v>0</v>
      </c>
    </row>
    <row r="22" spans="2:122" s="413" customFormat="1" x14ac:dyDescent="0.25">
      <c r="B22" s="361">
        <v>8</v>
      </c>
      <c r="D22" s="416" t="str">
        <f>IF(INDEX('Master Lookup'!$C$27:$C$34,$B22)=0,"",INDEX('Master Lookup'!$C$27:$C$34,$B22))</f>
        <v>BTL Scale</v>
      </c>
      <c r="E22" s="415"/>
      <c r="F22" s="413">
        <f>IFERROR(INDEX('Master Lookup'!$E$27:$E$34,MATCH(D22,'Master Lookup'!$C$27:$C$34,0)),"")</f>
        <v>2.5</v>
      </c>
      <c r="G22" s="414"/>
      <c r="I22" s="416" t="str">
        <f>IF(INDEX('Master Lookup'!$C$27:$C$34,$B22)=0,"",INDEX('Master Lookup'!$C$27:$C$34,$B22))</f>
        <v>BTL Scale</v>
      </c>
      <c r="J22" s="415"/>
      <c r="K22" s="413">
        <f>IFERROR(INDEX('Master Lookup'!$F$27:$F$34,MATCH(I22,'Master Lookup'!$C$27:$C$34,0)),"")</f>
        <v>2.5</v>
      </c>
      <c r="L22" s="414"/>
      <c r="N22" s="416" t="str">
        <f>IF(INDEX('Master Lookup'!$C$27:$C$34,$B22)=0,"",INDEX('Master Lookup'!$C$27:$C$34,$B22))</f>
        <v>BTL Scale</v>
      </c>
      <c r="O22" s="415"/>
      <c r="P22" s="413">
        <f>IFERROR(INDEX('Master Lookup'!$G$27:$G$34,MATCH(N22,'Master Lookup'!$C$27:$C$34,0)),"")</f>
        <v>2.5</v>
      </c>
      <c r="Q22" s="414"/>
      <c r="S22" s="416" t="str">
        <f>IF(INDEX('Master Lookup'!$C$27:$C$34,$B22)=0,"",INDEX('Master Lookup'!$C$27:$C$34,$B22))</f>
        <v>BTL Scale</v>
      </c>
      <c r="T22" s="415"/>
      <c r="U22" s="413">
        <f>IFERROR(INDEX('Master Lookup'!$H$27:$H$34,MATCH(S22,'Master Lookup'!$C$27:$C$34,0)),"")</f>
        <v>2.5</v>
      </c>
      <c r="V22" s="414"/>
      <c r="X22" s="416" t="str">
        <f>IF(INDEX('Master Lookup'!$C$27:$C$34,$B22)=0,"",INDEX('Master Lookup'!$C$27:$C$34,$B22))</f>
        <v>BTL Scale</v>
      </c>
      <c r="Y22" s="415"/>
      <c r="Z22" s="417">
        <f>IFERROR(INDEX('Master Lookup'!$I$27:$I$34,MATCH(X22,'Master Lookup'!$C$27:$C$34,0)),"")</f>
        <v>2.2000000000000002</v>
      </c>
      <c r="AA22" s="414"/>
      <c r="AC22" s="416" t="str">
        <f>IF(INDEX('Master Lookup'!$C$27:$C$34,$B22)=0,"",INDEX('Master Lookup'!$C$27:$C$34,$B22))</f>
        <v>BTL Scale</v>
      </c>
      <c r="AD22" s="415"/>
      <c r="AE22" s="413">
        <f>IFERROR(INDEX('Master Lookup'!$J$27:$J$34,MATCH(AC22,'Master Lookup'!$C$27:$C$34,0)),"")</f>
        <v>2.1312500000000001</v>
      </c>
      <c r="AF22" s="414"/>
      <c r="AH22" s="416" t="str">
        <f>IF(INDEX('Master Lookup'!$C$27:$C$34,$B22)=0,"",INDEX('Master Lookup'!$C$27:$C$34,$B22))</f>
        <v>BTL Scale</v>
      </c>
      <c r="AI22" s="415"/>
      <c r="AJ22" s="413">
        <f>IFERROR(INDEX('Master Lookup'!$K$27:$K$34,MATCH(AH22,'Master Lookup'!$C$27:$C$34,0)),"")</f>
        <v>2.0620535714285713</v>
      </c>
      <c r="AK22" s="414"/>
      <c r="AM22" s="416" t="str">
        <f>IF(INDEX('Master Lookup'!$C$27:$C$34,$B22)=0,"",INDEX('Master Lookup'!$C$27:$C$34,$B22))</f>
        <v>BTL Scale</v>
      </c>
      <c r="AN22" s="415"/>
      <c r="AO22" s="413">
        <f>IFERROR(INDEX('Master Lookup'!$L$27:$L$34,MATCH(AM22,'Master Lookup'!$C$27:$C$34,0)),"")</f>
        <v>1.9761346726190476</v>
      </c>
      <c r="AP22" s="414"/>
      <c r="AR22" s="416" t="str">
        <f>IF(INDEX('Master Lookup'!$C$27:$C$34,$B22)=0,"",INDEX('Master Lookup'!$C$27:$C$34,$B22))</f>
        <v>BTL Scale</v>
      </c>
      <c r="AS22" s="415"/>
      <c r="AT22" s="413">
        <f>IFERROR(INDEX('Master Lookup'!$M$27:$M$34,MATCH(AR22,'Master Lookup'!$C$27:$C$34,0)),"")</f>
        <v>1.8663494130291005</v>
      </c>
      <c r="AU22" s="414"/>
      <c r="AW22" s="416" t="str">
        <f>IF(INDEX('Master Lookup'!$C$27:$C$34,$B22)=0,"",INDEX('Master Lookup'!$C$27:$C$34,$B22))</f>
        <v>BTL Scale</v>
      </c>
      <c r="AX22" s="415"/>
      <c r="AY22" s="413">
        <f>IFERROR(INDEX('Master Lookup'!$N$27:$N$34,MATCH(AW22,'Master Lookup'!$C$27:$C$34,0)),"")</f>
        <v>1.7811074927224828</v>
      </c>
      <c r="AZ22" s="414"/>
      <c r="BB22" s="416" t="str">
        <f>IF(INDEX('Master Lookup'!$C$27:$C$34,$B22)=0,"",INDEX('Master Lookup'!$C$27:$C$34,$B22))</f>
        <v>BTL Scale</v>
      </c>
      <c r="BC22" s="415"/>
      <c r="BD22" s="413">
        <f>IFERROR(INDEX('Master Lookup'!$O$27:$O$34,MATCH(BB22,'Master Lookup'!$C$27:$C$34,0)),"")</f>
        <v>1.7001480612350972</v>
      </c>
      <c r="BE22" s="414"/>
      <c r="BG22" s="416" t="str">
        <f>IF(INDEX('Master Lookup'!$C$27:$C$34,$B22)=0,"",INDEX('Master Lookup'!$C$27:$C$34,$B22))</f>
        <v>BTL Scale</v>
      </c>
      <c r="BH22" s="415"/>
      <c r="BI22" s="413">
        <f>IFERROR(INDEX('Master Lookup'!$P$27:$P$34,MATCH(BG22,'Master Lookup'!$C$27:$C$34,0)),"")</f>
        <v>1.6579653153792102</v>
      </c>
      <c r="BJ22" s="414"/>
      <c r="BL22" s="416" t="str">
        <f>IF(INDEX('Master Lookup'!$C$27:$C$34,$B22)=0,"",INDEX('Master Lookup'!$C$27:$C$34,$B22))</f>
        <v>BTL Scale</v>
      </c>
      <c r="BM22" s="415"/>
      <c r="BN22" s="413">
        <f>IFERROR(INDEX('Master Lookup'!$Q$27:$Q$34,MATCH(BL22,'Master Lookup'!$C$27:$C$34,0)),"")</f>
        <v>1.6154533842156407</v>
      </c>
      <c r="BO22" s="414"/>
      <c r="BQ22" s="416" t="str">
        <f>IF(INDEX('Master Lookup'!$C$27:$C$34,$B22)=0,"",INDEX('Master Lookup'!$C$27:$C$34,$B22))</f>
        <v>BTL Scale</v>
      </c>
      <c r="BR22" s="415"/>
      <c r="BS22" s="413">
        <f>IFERROR(INDEX('Master Lookup'!$R$27:$R$34,MATCH(BQ22,'Master Lookup'!$C$27:$C$34,0)),"")</f>
        <v>1.5818923778675567</v>
      </c>
      <c r="BT22" s="414"/>
      <c r="BV22" s="416" t="str">
        <f>IF(INDEX('Master Lookup'!$C$27:$C$34,$B22)=0,"",INDEX('Master Lookup'!$C$27:$C$34,$B22))</f>
        <v>BTL Scale</v>
      </c>
      <c r="BW22" s="415"/>
      <c r="BX22" s="413">
        <f>IFERROR(INDEX('Master Lookup'!$S$27:$S$34,MATCH(BV22,'Master Lookup'!$C$27:$C$34,0)),"")</f>
        <v>1.5467392139149443</v>
      </c>
      <c r="BY22" s="414"/>
      <c r="CA22" s="416" t="str">
        <f>IF(INDEX('Master Lookup'!$C$27:$C$34,$B22)=0,"",INDEX('Master Lookup'!$C$27:$C$34,$B22))</f>
        <v>BTL Scale</v>
      </c>
      <c r="CB22" s="415"/>
      <c r="CC22" s="413">
        <f>IFERROR(INDEX('Master Lookup'!$T$27:$T$34,MATCH(CA22,'Master Lookup'!$C$27:$C$34,0)),"")</f>
        <v>1.5241826003786847</v>
      </c>
      <c r="CD22" s="414"/>
      <c r="CF22" s="416" t="str">
        <f>IF(INDEX('Master Lookup'!$C$27:$C$34,$B22)=0,"",INDEX('Master Lookup'!$C$27:$C$34,$B22))</f>
        <v>BTL Scale</v>
      </c>
      <c r="CG22" s="415"/>
      <c r="CH22" s="413">
        <f>IFERROR(INDEX('Master Lookup'!$U$27:$U$34,MATCH(CF22,'Master Lookup'!$C$27:$C$34,0)),"")</f>
        <v>1.5179102439985255</v>
      </c>
      <c r="CI22" s="414"/>
      <c r="CK22" s="416" t="str">
        <f>IF(INDEX('Master Lookup'!$C$27:$C$34,$B22)=0,"",INDEX('Master Lookup'!$C$27:$C$34,$B22))</f>
        <v>BTL Scale</v>
      </c>
      <c r="CL22" s="415"/>
      <c r="CM22" s="413">
        <f>IFERROR(INDEX('Master Lookup'!$V$27:$V$34,MATCH(CK22,'Master Lookup'!$C$27:$C$34,0)),"")</f>
        <v>1.5179102439985255</v>
      </c>
      <c r="CN22" s="414"/>
      <c r="CP22" s="416" t="str">
        <f>IF(INDEX('Master Lookup'!$C$27:$C$34,$B22)=0,"",INDEX('Master Lookup'!$C$27:$C$34,$B22))</f>
        <v>BTL Scale</v>
      </c>
      <c r="CQ22" s="415"/>
      <c r="CR22" s="413">
        <f>IFERROR(INDEX('Master Lookup'!$W$27:$W$34,MATCH(CP22,'Master Lookup'!$C$27:$C$34,0)),"")</f>
        <v>1.5179102439985255</v>
      </c>
      <c r="CS22" s="414"/>
      <c r="CU22" s="416" t="str">
        <f>IF(INDEX('Master Lookup'!$C$27:$C$34,$B22)=0,"",INDEX('Master Lookup'!$C$27:$C$34,$B22))</f>
        <v>BTL Scale</v>
      </c>
      <c r="CV22" s="415"/>
      <c r="CW22" s="413">
        <f>IFERROR(INDEX('Master Lookup'!$X$27:$X$34,MATCH(CU22,'Master Lookup'!$C$27:$C$34,0)),"")</f>
        <v>1.523331352012806</v>
      </c>
      <c r="CX22" s="414"/>
      <c r="CZ22" s="416" t="str">
        <f>IF(INDEX('Master Lookup'!$C$27:$C$34,$B22)=0,"",INDEX('Master Lookup'!$C$27:$C$34,$B22))</f>
        <v>BTL Scale</v>
      </c>
      <c r="DA22" s="415"/>
      <c r="DB22" s="413">
        <f>IFERROR(INDEX('Master Lookup'!$Y$27:$Y$34,MATCH(CZ22,'Master Lookup'!$C$27:$C$34,0)),"")</f>
        <v>1.5288406878247873</v>
      </c>
      <c r="DC22" s="414"/>
      <c r="DE22" s="416" t="str">
        <f>IF(INDEX('Master Lookup'!$C$27:$C$34,$B22)=0,"",INDEX('Master Lookup'!$C$27:$C$34,$B22))</f>
        <v>BTL Scale</v>
      </c>
      <c r="DF22" s="415"/>
      <c r="DG22" s="413">
        <f>IFERROR(INDEX('Master Lookup'!$Z$27:$Z$34,MATCH(DE22,'Master Lookup'!$C$27:$C$34,0)),"")</f>
        <v>1.5401864443207041</v>
      </c>
      <c r="DH22" s="414"/>
      <c r="DJ22" s="416" t="str">
        <f>IF(INDEX('Master Lookup'!$C$27:$C$34,$B22)=0,"",INDEX('Master Lookup'!$C$27:$C$34,$B22))</f>
        <v>BTL Scale</v>
      </c>
      <c r="DK22" s="415"/>
      <c r="DL22" s="413">
        <f>IFERROR(INDEX('Master Lookup'!$AA$27:$AA$34,MATCH(DJ22,'Master Lookup'!$C$27:$C$34,0)),"")</f>
        <v>1.5519211981821952</v>
      </c>
      <c r="DM22" s="414"/>
      <c r="DO22" s="416" t="str">
        <f>IF(INDEX('Master Lookup'!$C$27:$C$34,$B22)=0,"",INDEX('Master Lookup'!$C$27:$C$34,$B22))</f>
        <v>BTL Scale</v>
      </c>
      <c r="DP22" s="415"/>
      <c r="DQ22" s="413">
        <f>IFERROR(INDEX('Master Lookup'!$AB$27:$AB$34,MATCH(DO22,'Master Lookup'!$C$27:$C$34,0)),"")</f>
        <v>1.5703964505415069</v>
      </c>
      <c r="DR22" s="414"/>
    </row>
    <row r="23" spans="2:122" x14ac:dyDescent="0.25">
      <c r="D23" s="409" t="s">
        <v>503</v>
      </c>
      <c r="E23" s="412"/>
      <c r="F23" s="412">
        <f>SUM(F15:F21)</f>
        <v>0.57999999999999996</v>
      </c>
      <c r="G23" s="410">
        <f>SUM(G15:G21)</f>
        <v>35661.25056</v>
      </c>
      <c r="I23" s="409" t="s">
        <v>503</v>
      </c>
      <c r="J23" s="412"/>
      <c r="K23" s="412">
        <f>SUM(K15:K21)</f>
        <v>1.1599999999999999</v>
      </c>
      <c r="L23" s="410">
        <f>SUM(L15:L21)</f>
        <v>71322.501120000001</v>
      </c>
      <c r="N23" s="409" t="s">
        <v>503</v>
      </c>
      <c r="O23" s="412"/>
      <c r="P23" s="412">
        <f>SUM(P15:P21)</f>
        <v>1.74</v>
      </c>
      <c r="Q23" s="410">
        <f>SUM(Q15:Q21)</f>
        <v>106983.75167999999</v>
      </c>
      <c r="S23" s="409" t="s">
        <v>503</v>
      </c>
      <c r="T23" s="412"/>
      <c r="U23" s="412">
        <f>SUM(U15:U21)</f>
        <v>2.3199999999999998</v>
      </c>
      <c r="V23" s="410">
        <f>SUM(V15:V21)</f>
        <v>142645.00224</v>
      </c>
      <c r="X23" s="409" t="s">
        <v>503</v>
      </c>
      <c r="Y23" s="412"/>
      <c r="Z23" s="412">
        <f>SUM(Z15:Z21)</f>
        <v>2.8374999999999999</v>
      </c>
      <c r="AA23" s="410">
        <f>SUM(AA15:AA21)</f>
        <v>173342.80080000003</v>
      </c>
      <c r="AC23" s="409" t="s">
        <v>503</v>
      </c>
      <c r="AD23" s="412"/>
      <c r="AE23" s="412">
        <f>SUM(AE15:AE21)</f>
        <v>3.36</v>
      </c>
      <c r="AF23" s="410">
        <f>SUM(AF15:AF21)</f>
        <v>204437.67551999999</v>
      </c>
      <c r="AH23" s="409" t="s">
        <v>503</v>
      </c>
      <c r="AI23" s="412"/>
      <c r="AJ23" s="412">
        <f>SUM(AJ15:AJ21)</f>
        <v>3.8849999999999998</v>
      </c>
      <c r="AK23" s="410">
        <f>SUM(AK15:AK21)</f>
        <v>235731.08831999998</v>
      </c>
      <c r="AM23" s="409" t="s">
        <v>503</v>
      </c>
      <c r="AN23" s="412"/>
      <c r="AO23" s="412">
        <f>SUM(AO15:AO21)</f>
        <v>4.42</v>
      </c>
      <c r="AP23" s="410">
        <f>SUM(AP15:AP21)</f>
        <v>267818.65344000002</v>
      </c>
      <c r="AR23" s="409" t="s">
        <v>503</v>
      </c>
      <c r="AS23" s="412"/>
      <c r="AT23" s="412">
        <f>SUM(AT15:AT21)</f>
        <v>4.9725000000000001</v>
      </c>
      <c r="AU23" s="410">
        <f>SUM(AU15:AU21)</f>
        <v>301295.98512000003</v>
      </c>
      <c r="AW23" s="409" t="s">
        <v>503</v>
      </c>
      <c r="AX23" s="412"/>
      <c r="AY23" s="412">
        <f>SUM(AY15:AY21)</f>
        <v>5.52</v>
      </c>
      <c r="AZ23" s="410">
        <f>SUM(AZ15:AZ21)</f>
        <v>334376.24064000003</v>
      </c>
      <c r="BB23" s="409" t="s">
        <v>503</v>
      </c>
      <c r="BC23" s="412"/>
      <c r="BD23" s="412">
        <f>SUM(BD15:BD21)</f>
        <v>6.0720000000000001</v>
      </c>
      <c r="BE23" s="410">
        <f>SUM(BE15:BE21)</f>
        <v>367813.86470400001</v>
      </c>
      <c r="BG23" s="409" t="s">
        <v>503</v>
      </c>
      <c r="BH23" s="412"/>
      <c r="BI23" s="412">
        <f>SUM(BI15:BI21)</f>
        <v>6.6180000000000003</v>
      </c>
      <c r="BJ23" s="410">
        <f>SUM(BJ15:BJ21)</f>
        <v>400774.99737599998</v>
      </c>
      <c r="BL23" s="409" t="s">
        <v>503</v>
      </c>
      <c r="BM23" s="412"/>
      <c r="BN23" s="412">
        <f>SUM(BN15:BN21)</f>
        <v>7.1695000000000002</v>
      </c>
      <c r="BO23" s="410">
        <f>SUM(BO15:BO21)</f>
        <v>434172.91382399999</v>
      </c>
      <c r="BQ23" s="409" t="s">
        <v>503</v>
      </c>
      <c r="BR23" s="412"/>
      <c r="BS23" s="412">
        <f>SUM(BS15:BS21)</f>
        <v>7.7140000000000004</v>
      </c>
      <c r="BT23" s="410">
        <f>SUM(BT15:BT21)</f>
        <v>467014.923648</v>
      </c>
      <c r="BV23" s="409" t="s">
        <v>503</v>
      </c>
      <c r="BW23" s="412"/>
      <c r="BX23" s="412">
        <f>SUM(BX15:BX21)</f>
        <v>8.2650000000000006</v>
      </c>
      <c r="BY23" s="410">
        <f>SUM(BY15:BY21)</f>
        <v>500373.13247999997</v>
      </c>
      <c r="CA23" s="409" t="s">
        <v>503</v>
      </c>
      <c r="CB23" s="412"/>
      <c r="CC23" s="412">
        <f>SUM(CC15:CC21)</f>
        <v>8.8000000000000007</v>
      </c>
      <c r="CD23" s="410">
        <f>SUM(CD15:CD21)</f>
        <v>532460.69759999996</v>
      </c>
      <c r="CF23" s="409" t="s">
        <v>503</v>
      </c>
      <c r="CG23" s="412"/>
      <c r="CH23" s="412">
        <f>SUM(CH15:CH21)</f>
        <v>9.31</v>
      </c>
      <c r="CI23" s="410">
        <f>SUM(CI15:CI21)</f>
        <v>562562.88192000007</v>
      </c>
      <c r="CK23" s="409" t="s">
        <v>503</v>
      </c>
      <c r="CL23" s="412"/>
      <c r="CM23" s="412">
        <f>SUM(CM15:CM21)</f>
        <v>9.81</v>
      </c>
      <c r="CN23" s="410">
        <f>SUM(CN15:CN21)</f>
        <v>591870.91391999996</v>
      </c>
      <c r="CP23" s="409" t="s">
        <v>503</v>
      </c>
      <c r="CQ23" s="412"/>
      <c r="CR23" s="412">
        <f>SUM(CR15:CR21)</f>
        <v>10.31</v>
      </c>
      <c r="CS23" s="410">
        <f>SUM(CS15:CS21)</f>
        <v>621178.94592000009</v>
      </c>
      <c r="CU23" s="409" t="s">
        <v>503</v>
      </c>
      <c r="CV23" s="412"/>
      <c r="CW23" s="412">
        <f>SUM(CW15:CW16)</f>
        <v>10.8</v>
      </c>
      <c r="CX23" s="410">
        <f>SUM(CX15:CX16)</f>
        <v>649692.82559999998</v>
      </c>
      <c r="CZ23" s="409" t="s">
        <v>503</v>
      </c>
      <c r="DA23" s="412"/>
      <c r="DB23" s="412">
        <f>SUM(DB15:DB21)</f>
        <v>11.29</v>
      </c>
      <c r="DC23" s="410">
        <f>SUM(DC15:DC21)</f>
        <v>678206.70527999999</v>
      </c>
      <c r="DE23" s="409" t="s">
        <v>503</v>
      </c>
      <c r="DF23" s="412"/>
      <c r="DG23" s="412">
        <f>SUM(DG15:DG21)</f>
        <v>11.77</v>
      </c>
      <c r="DH23" s="410">
        <f>SUM(DH15:DH21)</f>
        <v>705926.43264000001</v>
      </c>
      <c r="DJ23" s="409" t="s">
        <v>503</v>
      </c>
      <c r="DK23" s="412"/>
      <c r="DL23" s="412">
        <f>SUM(DL15:DL21)</f>
        <v>12.25</v>
      </c>
      <c r="DM23" s="410">
        <f>SUM(DM15:DM21)</f>
        <v>733646.16</v>
      </c>
      <c r="DO23" s="409" t="s">
        <v>503</v>
      </c>
      <c r="DP23" s="412"/>
      <c r="DQ23" s="412">
        <f>SUM(DQ15:DQ21)</f>
        <v>12.72</v>
      </c>
      <c r="DR23" s="410">
        <f>SUM(DR15:DR21)</f>
        <v>760571.73503999994</v>
      </c>
    </row>
    <row r="24" spans="2:122" x14ac:dyDescent="0.25">
      <c r="D24" s="167"/>
      <c r="G24" s="398"/>
      <c r="I24" s="167"/>
      <c r="L24" s="398"/>
      <c r="N24" s="167"/>
      <c r="Q24" s="398"/>
      <c r="S24" s="167"/>
      <c r="T24" s="361"/>
      <c r="U24" s="361"/>
      <c r="V24" s="398"/>
      <c r="X24" s="167"/>
      <c r="Y24" s="361"/>
      <c r="Z24" s="361"/>
      <c r="AA24" s="398"/>
      <c r="AC24" s="167"/>
      <c r="AD24" s="361"/>
      <c r="AE24" s="361"/>
      <c r="AF24" s="398"/>
      <c r="AH24" s="167"/>
      <c r="AI24" s="361"/>
      <c r="AJ24" s="361"/>
      <c r="AK24" s="398"/>
      <c r="AM24" s="167"/>
      <c r="AN24" s="361"/>
      <c r="AO24" s="361"/>
      <c r="AP24" s="398"/>
      <c r="AR24" s="167"/>
      <c r="AS24" s="361"/>
      <c r="AT24" s="361"/>
      <c r="AU24" s="398"/>
      <c r="AW24" s="167"/>
      <c r="AX24" s="361"/>
      <c r="AY24" s="361"/>
      <c r="AZ24" s="398"/>
      <c r="BB24" s="167"/>
      <c r="BC24" s="361"/>
      <c r="BD24" s="361"/>
      <c r="BE24" s="398"/>
      <c r="BG24" s="167"/>
      <c r="BH24" s="361"/>
      <c r="BI24" s="361"/>
      <c r="BJ24" s="398"/>
      <c r="BL24" s="167"/>
      <c r="BO24" s="398"/>
      <c r="BQ24" s="167"/>
      <c r="BT24" s="398"/>
      <c r="BV24" s="167"/>
      <c r="BY24" s="398"/>
      <c r="CA24" s="167"/>
      <c r="CD24" s="398"/>
      <c r="CF24" s="167"/>
      <c r="CI24" s="398"/>
      <c r="CK24" s="167"/>
      <c r="CN24" s="398"/>
      <c r="CP24" s="167"/>
      <c r="CS24" s="398"/>
      <c r="CU24" s="167"/>
      <c r="CX24" s="398"/>
      <c r="CZ24" s="167"/>
      <c r="DC24" s="398"/>
      <c r="DE24" s="167"/>
      <c r="DH24" s="398"/>
      <c r="DJ24" s="167"/>
      <c r="DM24" s="398"/>
      <c r="DO24" s="167"/>
      <c r="DR24" s="398"/>
    </row>
    <row r="25" spans="2:122" x14ac:dyDescent="0.25">
      <c r="D25" s="391" t="s">
        <v>368</v>
      </c>
      <c r="E25" s="390">
        <f>INDEX('Master Lookup'!$C$49:$C$51,MATCH(D25,'Master Lookup'!$B$49:$B$51,0))</f>
        <v>0.27379999999999999</v>
      </c>
      <c r="F25" s="389"/>
      <c r="G25" s="388">
        <f>E25*G23</f>
        <v>9764.0504033279994</v>
      </c>
      <c r="I25" s="391" t="s">
        <v>368</v>
      </c>
      <c r="J25" s="390">
        <f>INDEX('Master Lookup'!$C$49:$C$51,MATCH(I25,'Master Lookup'!$B$49:$B$51,0))</f>
        <v>0.27379999999999999</v>
      </c>
      <c r="K25" s="389"/>
      <c r="L25" s="388">
        <f>J25*L23</f>
        <v>19528.100806655999</v>
      </c>
      <c r="N25" s="391" t="s">
        <v>368</v>
      </c>
      <c r="O25" s="390">
        <f>INDEX('Master Lookup'!$C$49:$C$51,MATCH(N25,'Master Lookup'!$B$49:$B$51,0))</f>
        <v>0.27379999999999999</v>
      </c>
      <c r="P25" s="389"/>
      <c r="Q25" s="388">
        <f>O25*Q23</f>
        <v>29292.151209983997</v>
      </c>
      <c r="S25" s="391" t="s">
        <v>368</v>
      </c>
      <c r="T25" s="390">
        <f>INDEX('Master Lookup'!$C$49:$C$51,MATCH(S25,'Master Lookup'!$B$49:$B$51,0))</f>
        <v>0.27379999999999999</v>
      </c>
      <c r="U25" s="389"/>
      <c r="V25" s="388">
        <f>T25*V23</f>
        <v>39056.201613311998</v>
      </c>
      <c r="X25" s="391" t="s">
        <v>368</v>
      </c>
      <c r="Y25" s="390">
        <f>INDEX('Master Lookup'!$C$49:$C$51,MATCH(X25,'Master Lookup'!$B$49:$B$51,0))</f>
        <v>0.27379999999999999</v>
      </c>
      <c r="Z25" s="389"/>
      <c r="AA25" s="388">
        <f>Y25*AA23</f>
        <v>47461.258859040005</v>
      </c>
      <c r="AC25" s="391" t="s">
        <v>368</v>
      </c>
      <c r="AD25" s="390">
        <f>INDEX('Master Lookup'!$C$49:$C$51,MATCH(AC25,'Master Lookup'!$B$49:$B$51,0))</f>
        <v>0.27379999999999999</v>
      </c>
      <c r="AE25" s="389"/>
      <c r="AF25" s="388">
        <f>AD25*AF23</f>
        <v>55975.035557375995</v>
      </c>
      <c r="AH25" s="391" t="s">
        <v>368</v>
      </c>
      <c r="AI25" s="390">
        <f>INDEX('Master Lookup'!$C$49:$C$51,MATCH(AH25,'Master Lookup'!$B$49:$B$51,0))</f>
        <v>0.27379999999999999</v>
      </c>
      <c r="AJ25" s="389"/>
      <c r="AK25" s="388">
        <f>AI25*AK23</f>
        <v>64543.171982015992</v>
      </c>
      <c r="AM25" s="391" t="s">
        <v>368</v>
      </c>
      <c r="AN25" s="390">
        <f>INDEX('Master Lookup'!$C$49:$C$51,MATCH(AM25,'Master Lookup'!$B$49:$B$51,0))</f>
        <v>0.27379999999999999</v>
      </c>
      <c r="AO25" s="389"/>
      <c r="AP25" s="388">
        <f>AN25*AP23</f>
        <v>73328.747311872008</v>
      </c>
      <c r="AR25" s="391" t="s">
        <v>368</v>
      </c>
      <c r="AS25" s="390">
        <f>INDEX('Master Lookup'!$C$49:$C$51,MATCH(AR25,'Master Lookup'!$B$49:$B$51,0))</f>
        <v>0.27379999999999999</v>
      </c>
      <c r="AT25" s="389"/>
      <c r="AU25" s="388">
        <f>AS25*AU23</f>
        <v>82494.840725856004</v>
      </c>
      <c r="AW25" s="391" t="s">
        <v>368</v>
      </c>
      <c r="AX25" s="390">
        <f>INDEX('Master Lookup'!$C$49:$C$51,MATCH(AW25,'Master Lookup'!$B$49:$B$51,0))</f>
        <v>0.27379999999999999</v>
      </c>
      <c r="AY25" s="389"/>
      <c r="AZ25" s="388">
        <f>AX25*AZ23</f>
        <v>91552.214687232001</v>
      </c>
      <c r="BB25" s="391" t="s">
        <v>368</v>
      </c>
      <c r="BC25" s="390">
        <f>INDEX('Master Lookup'!$C$49:$C$51,MATCH(BB25,'Master Lookup'!$B$49:$B$51,0))</f>
        <v>0.27379999999999999</v>
      </c>
      <c r="BD25" s="389"/>
      <c r="BE25" s="388">
        <f>BC25*BE23</f>
        <v>100707.43615595519</v>
      </c>
      <c r="BG25" s="391" t="s">
        <v>368</v>
      </c>
      <c r="BH25" s="390">
        <f>INDEX('Master Lookup'!$C$49:$C$51,MATCH(BG25,'Master Lookup'!$B$49:$B$51,0))</f>
        <v>0.27379999999999999</v>
      </c>
      <c r="BI25" s="389"/>
      <c r="BJ25" s="388">
        <f>BH25*BJ23</f>
        <v>109732.19428154879</v>
      </c>
      <c r="BL25" s="391" t="s">
        <v>368</v>
      </c>
      <c r="BM25" s="390">
        <f>INDEX('Master Lookup'!$C$49:$C$51,MATCH(BL25,'Master Lookup'!$B$49:$B$51,0))</f>
        <v>0.27379999999999999</v>
      </c>
      <c r="BN25" s="389"/>
      <c r="BO25" s="388">
        <f>BM25*BO23</f>
        <v>118876.54380501118</v>
      </c>
      <c r="BQ25" s="391" t="s">
        <v>368</v>
      </c>
      <c r="BR25" s="390">
        <f>INDEX('Master Lookup'!$C$49:$C$51,MATCH(BQ25,'Master Lookup'!$B$49:$B$51,0))</f>
        <v>0.27379999999999999</v>
      </c>
      <c r="BS25" s="389"/>
      <c r="BT25" s="388">
        <f>BR25*BT23</f>
        <v>127868.68609482239</v>
      </c>
      <c r="BV25" s="391" t="s">
        <v>368</v>
      </c>
      <c r="BW25" s="390">
        <f>INDEX('Master Lookup'!$C$49:$C$51,MATCH(BV25,'Master Lookup'!$B$49:$B$51,0))</f>
        <v>0.27379999999999999</v>
      </c>
      <c r="BX25" s="389"/>
      <c r="BY25" s="388">
        <f>BW25*BY23</f>
        <v>137002.16367302398</v>
      </c>
      <c r="CA25" s="391" t="s">
        <v>368</v>
      </c>
      <c r="CB25" s="390">
        <f>INDEX('Master Lookup'!$C$49:$C$51,MATCH(CA25,'Master Lookup'!$B$49:$B$51,0))</f>
        <v>0.27379999999999999</v>
      </c>
      <c r="CC25" s="389"/>
      <c r="CD25" s="388">
        <f>CB25*CD23</f>
        <v>145787.73900287997</v>
      </c>
      <c r="CF25" s="391" t="s">
        <v>368</v>
      </c>
      <c r="CG25" s="390">
        <f>INDEX('Master Lookup'!$C$49:$C$51,MATCH(CF25,'Master Lookup'!$B$49:$B$51,0))</f>
        <v>0.27379999999999999</v>
      </c>
      <c r="CH25" s="389"/>
      <c r="CI25" s="388">
        <f>CG25*CI23</f>
        <v>154029.71706969602</v>
      </c>
      <c r="CK25" s="391" t="s">
        <v>368</v>
      </c>
      <c r="CL25" s="390">
        <f>INDEX('Master Lookup'!$C$49:$C$51,MATCH(CK25,'Master Lookup'!$B$49:$B$51,0))</f>
        <v>0.27379999999999999</v>
      </c>
      <c r="CM25" s="389"/>
      <c r="CN25" s="388">
        <f>CL25*CN23</f>
        <v>162054.25623129599</v>
      </c>
      <c r="CP25" s="391" t="s">
        <v>368</v>
      </c>
      <c r="CQ25" s="390">
        <f>INDEX('Master Lookup'!$C$49:$C$51,MATCH(CP25,'Master Lookup'!$B$49:$B$51,0))</f>
        <v>0.27379999999999999</v>
      </c>
      <c r="CR25" s="389"/>
      <c r="CS25" s="388">
        <f>CQ25*CS23</f>
        <v>170078.79539289602</v>
      </c>
      <c r="CU25" s="391" t="s">
        <v>368</v>
      </c>
      <c r="CV25" s="390">
        <f>INDEX('Master Lookup'!$C$49:$C$51,MATCH(CU25,'Master Lookup'!$B$49:$B$51,0))</f>
        <v>0.27379999999999999</v>
      </c>
      <c r="CW25" s="389"/>
      <c r="CX25" s="388">
        <f>CV25*CX23</f>
        <v>177885.89564927999</v>
      </c>
      <c r="CZ25" s="391" t="s">
        <v>368</v>
      </c>
      <c r="DA25" s="390">
        <f>INDEX('Master Lookup'!$C$49:$C$51,MATCH(CZ25,'Master Lookup'!$B$49:$B$51,0))</f>
        <v>0.27379999999999999</v>
      </c>
      <c r="DB25" s="389"/>
      <c r="DC25" s="388">
        <f>DA25*DC23</f>
        <v>185692.99590566399</v>
      </c>
      <c r="DE25" s="391" t="s">
        <v>368</v>
      </c>
      <c r="DF25" s="390">
        <f>INDEX('Master Lookup'!$C$49:$C$51,MATCH(DE25,'Master Lookup'!$B$49:$B$51,0))</f>
        <v>0.27379999999999999</v>
      </c>
      <c r="DG25" s="389"/>
      <c r="DH25" s="388">
        <f>DF25*DH23</f>
        <v>193282.657256832</v>
      </c>
      <c r="DJ25" s="391" t="s">
        <v>368</v>
      </c>
      <c r="DK25" s="390">
        <f>INDEX('Master Lookup'!$C$49:$C$51,MATCH(DJ25,'Master Lookup'!$B$49:$B$51,0))</f>
        <v>0.27379999999999999</v>
      </c>
      <c r="DL25" s="389"/>
      <c r="DM25" s="388">
        <f>DK25*DM23</f>
        <v>200872.318608</v>
      </c>
      <c r="DO25" s="391" t="s">
        <v>368</v>
      </c>
      <c r="DP25" s="390">
        <f>INDEX('Master Lookup'!$C$49:$C$51,MATCH(DO25,'Master Lookup'!$B$49:$B$51,0))</f>
        <v>0.27379999999999999</v>
      </c>
      <c r="DQ25" s="389"/>
      <c r="DR25" s="388">
        <f>DP25*DR23</f>
        <v>208244.54105395198</v>
      </c>
    </row>
    <row r="26" spans="2:122" x14ac:dyDescent="0.25">
      <c r="D26" s="411" t="s">
        <v>502</v>
      </c>
      <c r="G26" s="410">
        <f>SUM(G23,G25)</f>
        <v>45425.300963328002</v>
      </c>
      <c r="I26" s="411" t="s">
        <v>502</v>
      </c>
      <c r="L26" s="410">
        <f>SUM(L23,L25)</f>
        <v>90850.601926656003</v>
      </c>
      <c r="N26" s="411" t="s">
        <v>502</v>
      </c>
      <c r="Q26" s="410">
        <f>SUM(Q23,Q25)</f>
        <v>136275.90288998399</v>
      </c>
      <c r="S26" s="411" t="s">
        <v>502</v>
      </c>
      <c r="T26" s="361"/>
      <c r="U26" s="361"/>
      <c r="V26" s="410">
        <f>SUM(V23,V25)</f>
        <v>181701.20385331201</v>
      </c>
      <c r="X26" s="411" t="s">
        <v>502</v>
      </c>
      <c r="Y26" s="361"/>
      <c r="Z26" s="361"/>
      <c r="AA26" s="410">
        <f>SUM(AA23,AA25)</f>
        <v>220804.05965904004</v>
      </c>
      <c r="AC26" s="411" t="s">
        <v>502</v>
      </c>
      <c r="AD26" s="361"/>
      <c r="AE26" s="361"/>
      <c r="AF26" s="410">
        <f>SUM(AF23,AF25)</f>
        <v>260412.71107737598</v>
      </c>
      <c r="AH26" s="411" t="s">
        <v>502</v>
      </c>
      <c r="AI26" s="361"/>
      <c r="AJ26" s="361"/>
      <c r="AK26" s="410">
        <f>SUM(AK23,AK25)</f>
        <v>300274.26030201599</v>
      </c>
      <c r="AM26" s="411" t="s">
        <v>502</v>
      </c>
      <c r="AN26" s="361"/>
      <c r="AO26" s="361"/>
      <c r="AP26" s="410">
        <f>SUM(AP23,AP25)</f>
        <v>341147.40075187205</v>
      </c>
      <c r="AR26" s="411" t="s">
        <v>502</v>
      </c>
      <c r="AS26" s="361"/>
      <c r="AT26" s="361"/>
      <c r="AU26" s="410">
        <f>SUM(AU23,AU25)</f>
        <v>383790.82584585604</v>
      </c>
      <c r="AW26" s="411" t="s">
        <v>502</v>
      </c>
      <c r="AX26" s="361"/>
      <c r="AY26" s="361"/>
      <c r="AZ26" s="410">
        <f>SUM(AZ23,AZ25)</f>
        <v>425928.45532723202</v>
      </c>
      <c r="BB26" s="411" t="s">
        <v>502</v>
      </c>
      <c r="BC26" s="361"/>
      <c r="BD26" s="361"/>
      <c r="BE26" s="410">
        <f>SUM(BE23,BE25)</f>
        <v>468521.3008599552</v>
      </c>
      <c r="BG26" s="411" t="s">
        <v>502</v>
      </c>
      <c r="BH26" s="361"/>
      <c r="BI26" s="361"/>
      <c r="BJ26" s="410">
        <f>SUM(BJ23,BJ25)</f>
        <v>510507.19165754877</v>
      </c>
      <c r="BL26" s="411" t="s">
        <v>502</v>
      </c>
      <c r="BO26" s="410">
        <f>SUM(BO23,BO25)</f>
        <v>553049.45762901113</v>
      </c>
      <c r="BQ26" s="411" t="s">
        <v>502</v>
      </c>
      <c r="BT26" s="410">
        <f>SUM(BT23,BT25)</f>
        <v>594883.60974282236</v>
      </c>
      <c r="BV26" s="411" t="s">
        <v>502</v>
      </c>
      <c r="BY26" s="410">
        <f>SUM(BY23,BY25)</f>
        <v>637375.29615302396</v>
      </c>
      <c r="CA26" s="411" t="s">
        <v>502</v>
      </c>
      <c r="CD26" s="410">
        <f>SUM(CD23,CD25)</f>
        <v>678248.4366028799</v>
      </c>
      <c r="CF26" s="411" t="s">
        <v>502</v>
      </c>
      <c r="CI26" s="410">
        <f>SUM(CI23,CI25)</f>
        <v>716592.59898969613</v>
      </c>
      <c r="CK26" s="411" t="s">
        <v>502</v>
      </c>
      <c r="CN26" s="410">
        <f>SUM(CN23,CN25)</f>
        <v>753925.17015129596</v>
      </c>
      <c r="CP26" s="411" t="s">
        <v>502</v>
      </c>
      <c r="CS26" s="410">
        <f>SUM(CS23,CS25)</f>
        <v>791257.74131289613</v>
      </c>
      <c r="CU26" s="411" t="s">
        <v>502</v>
      </c>
      <c r="CX26" s="410">
        <f>SUM(CX23,CX25)</f>
        <v>827578.72124928003</v>
      </c>
      <c r="CZ26" s="411" t="s">
        <v>502</v>
      </c>
      <c r="DC26" s="410">
        <f>SUM(DC23,DC25)</f>
        <v>863899.70118566393</v>
      </c>
      <c r="DE26" s="411" t="s">
        <v>502</v>
      </c>
      <c r="DH26" s="410">
        <f>SUM(DH23,DH25)</f>
        <v>899209.08989683201</v>
      </c>
      <c r="DJ26" s="411" t="s">
        <v>502</v>
      </c>
      <c r="DM26" s="410">
        <f>SUM(DM23,DM25)</f>
        <v>934518.47860800009</v>
      </c>
      <c r="DO26" s="411" t="s">
        <v>502</v>
      </c>
      <c r="DR26" s="410">
        <f>SUM(DR23,DR25)</f>
        <v>968816.27609395189</v>
      </c>
    </row>
    <row r="27" spans="2:122" x14ac:dyDescent="0.25">
      <c r="D27" s="167"/>
      <c r="G27" s="398"/>
      <c r="I27" s="167"/>
      <c r="L27" s="398"/>
      <c r="N27" s="167"/>
      <c r="Q27" s="398"/>
      <c r="S27" s="167"/>
      <c r="T27" s="361"/>
      <c r="U27" s="361"/>
      <c r="V27" s="398"/>
      <c r="X27" s="167"/>
      <c r="Y27" s="361"/>
      <c r="Z27" s="361"/>
      <c r="AA27" s="398"/>
      <c r="AC27" s="167"/>
      <c r="AD27" s="361"/>
      <c r="AE27" s="361"/>
      <c r="AF27" s="398"/>
      <c r="AH27" s="167"/>
      <c r="AI27" s="361"/>
      <c r="AJ27" s="361"/>
      <c r="AK27" s="398"/>
      <c r="AM27" s="167"/>
      <c r="AN27" s="361"/>
      <c r="AO27" s="361"/>
      <c r="AP27" s="398"/>
      <c r="AR27" s="167"/>
      <c r="AS27" s="361"/>
      <c r="AT27" s="361"/>
      <c r="AU27" s="398"/>
      <c r="AW27" s="167"/>
      <c r="AX27" s="361"/>
      <c r="AY27" s="361"/>
      <c r="AZ27" s="398"/>
      <c r="BB27" s="167"/>
      <c r="BC27" s="361"/>
      <c r="BD27" s="361"/>
      <c r="BE27" s="398"/>
      <c r="BG27" s="167"/>
      <c r="BH27" s="361"/>
      <c r="BI27" s="361"/>
      <c r="BJ27" s="398"/>
      <c r="BL27" s="167"/>
      <c r="BO27" s="398"/>
      <c r="BQ27" s="167"/>
      <c r="BT27" s="398"/>
      <c r="BV27" s="167"/>
      <c r="BY27" s="398"/>
      <c r="CA27" s="167"/>
      <c r="CD27" s="398"/>
      <c r="CF27" s="167"/>
      <c r="CI27" s="398"/>
      <c r="CK27" s="167"/>
      <c r="CN27" s="398"/>
      <c r="CP27" s="167"/>
      <c r="CS27" s="398"/>
      <c r="CU27" s="167"/>
      <c r="CX27" s="398"/>
      <c r="CZ27" s="167"/>
      <c r="DC27" s="398"/>
      <c r="DE27" s="167"/>
      <c r="DH27" s="398"/>
      <c r="DJ27" s="167"/>
      <c r="DM27" s="398"/>
      <c r="DO27" s="167"/>
      <c r="DR27" s="398"/>
    </row>
    <row r="28" spans="2:122" x14ac:dyDescent="0.25">
      <c r="D28" s="409" t="s">
        <v>372</v>
      </c>
      <c r="G28" s="398"/>
      <c r="I28" s="409" t="s">
        <v>372</v>
      </c>
      <c r="L28" s="398"/>
      <c r="N28" s="409" t="s">
        <v>372</v>
      </c>
      <c r="Q28" s="398"/>
      <c r="S28" s="409" t="s">
        <v>372</v>
      </c>
      <c r="T28" s="361"/>
      <c r="U28" s="361"/>
      <c r="V28" s="398"/>
      <c r="X28" s="409" t="s">
        <v>372</v>
      </c>
      <c r="Y28" s="361"/>
      <c r="Z28" s="361"/>
      <c r="AA28" s="398"/>
      <c r="AC28" s="409" t="s">
        <v>372</v>
      </c>
      <c r="AD28" s="361"/>
      <c r="AE28" s="361"/>
      <c r="AF28" s="398"/>
      <c r="AH28" s="409" t="s">
        <v>372</v>
      </c>
      <c r="AI28" s="361"/>
      <c r="AJ28" s="361"/>
      <c r="AK28" s="398"/>
      <c r="AM28" s="409" t="s">
        <v>372</v>
      </c>
      <c r="AN28" s="361"/>
      <c r="AO28" s="361"/>
      <c r="AP28" s="398"/>
      <c r="AR28" s="409" t="s">
        <v>372</v>
      </c>
      <c r="AS28" s="361"/>
      <c r="AT28" s="361"/>
      <c r="AU28" s="398"/>
      <c r="AW28" s="409" t="s">
        <v>372</v>
      </c>
      <c r="AX28" s="361"/>
      <c r="AY28" s="361"/>
      <c r="AZ28" s="398"/>
      <c r="BB28" s="409" t="s">
        <v>372</v>
      </c>
      <c r="BC28" s="361"/>
      <c r="BD28" s="361"/>
      <c r="BE28" s="398"/>
      <c r="BG28" s="409" t="s">
        <v>372</v>
      </c>
      <c r="BH28" s="361"/>
      <c r="BI28" s="361"/>
      <c r="BJ28" s="398"/>
      <c r="BL28" s="409" t="s">
        <v>372</v>
      </c>
      <c r="BO28" s="398"/>
      <c r="BQ28" s="409" t="s">
        <v>372</v>
      </c>
      <c r="BT28" s="398"/>
      <c r="BV28" s="409" t="s">
        <v>372</v>
      </c>
      <c r="BY28" s="398"/>
      <c r="CA28" s="409" t="s">
        <v>372</v>
      </c>
      <c r="CD28" s="398"/>
      <c r="CF28" s="409" t="s">
        <v>372</v>
      </c>
      <c r="CI28" s="398"/>
      <c r="CK28" s="409" t="s">
        <v>372</v>
      </c>
      <c r="CN28" s="398"/>
      <c r="CP28" s="409" t="s">
        <v>372</v>
      </c>
      <c r="CS28" s="398"/>
      <c r="CU28" s="409" t="s">
        <v>372</v>
      </c>
      <c r="CX28" s="398"/>
      <c r="CZ28" s="409" t="s">
        <v>372</v>
      </c>
      <c r="DC28" s="398"/>
      <c r="DE28" s="409" t="s">
        <v>372</v>
      </c>
      <c r="DH28" s="398"/>
      <c r="DJ28" s="409" t="s">
        <v>372</v>
      </c>
      <c r="DM28" s="398"/>
      <c r="DO28" s="409" t="s">
        <v>372</v>
      </c>
      <c r="DR28" s="398"/>
    </row>
    <row r="29" spans="2:122" x14ac:dyDescent="0.25">
      <c r="B29" s="361">
        <v>1</v>
      </c>
      <c r="D29" s="167" t="str">
        <f>IF(INDEX('Master Lookup'!$B$37:$B$47,$B29)=0,"",INDEX('Master Lookup'!$B$37:$B$47,$B29))</f>
        <v>Total Occupancy</v>
      </c>
      <c r="E29" s="404">
        <f>IFERROR(INDEX('Master Lookup'!$C$37:$C$47,MATCH(D29,'Master Lookup'!$B$37:$B$47,0)),"")</f>
        <v>6221.9259542286536</v>
      </c>
      <c r="G29" s="398">
        <f>IFERROR(E29*F16*F22,0)</f>
        <v>7777.4074427858168</v>
      </c>
      <c r="I29" s="167" t="str">
        <f>IF(INDEX('Master Lookup'!$B$37:$B$47,$B29)=0,"",INDEX('Master Lookup'!$B$37:$B$47,$B29))</f>
        <v>Total Occupancy</v>
      </c>
      <c r="J29" s="404">
        <f>IFERROR(INDEX('Master Lookup'!$C$37:$C$47,MATCH(I29,'Master Lookup'!$B$37:$B$47,0)),"")</f>
        <v>6221.9259542286536</v>
      </c>
      <c r="L29" s="398">
        <f>IFERROR(J29*K16*K22,0)</f>
        <v>15554.814885571634</v>
      </c>
      <c r="N29" s="167" t="str">
        <f>IF(INDEX('Master Lookup'!$B$37:$B$47,$B29)=0,"",INDEX('Master Lookup'!$B$37:$B$47,$B29))</f>
        <v>Total Occupancy</v>
      </c>
      <c r="O29" s="404">
        <f>IFERROR(INDEX('Master Lookup'!$C$37:$C$47,MATCH(N29,'Master Lookup'!$B$37:$B$47,0)),"")</f>
        <v>6221.9259542286536</v>
      </c>
      <c r="Q29" s="398">
        <f>IFERROR(O29*P16*P22,0)</f>
        <v>23332.222328357453</v>
      </c>
      <c r="S29" s="167" t="str">
        <f>IF(INDEX('Master Lookup'!$B$37:$B$47,$B29)=0,"",INDEX('Master Lookup'!$B$37:$B$47,$B29))</f>
        <v>Total Occupancy</v>
      </c>
      <c r="T29" s="404">
        <f>IFERROR(INDEX('Master Lookup'!$C$37:$C$47,MATCH(S29,'Master Lookup'!$B$37:$B$47,0)),"")</f>
        <v>6221.9259542286536</v>
      </c>
      <c r="U29" s="361"/>
      <c r="V29" s="398">
        <f>IFERROR(T29*U16*U22,0)</f>
        <v>31109.629771143267</v>
      </c>
      <c r="X29" s="167" t="str">
        <f>IF(INDEX('Master Lookup'!$B$37:$B$47,$B29)=0,"",INDEX('Master Lookup'!$B$37:$B$47,$B29))</f>
        <v>Total Occupancy</v>
      </c>
      <c r="Y29" s="404">
        <f>IFERROR(INDEX('Master Lookup'!$C$37:$C$47,MATCH(X29,'Master Lookup'!$B$37:$B$47,0)),"")</f>
        <v>6221.9259542286536</v>
      </c>
      <c r="Z29" s="361"/>
      <c r="AA29" s="398">
        <f>IFERROR(Y29*Z16*Z22,0)</f>
        <v>34220.592748257593</v>
      </c>
      <c r="AC29" s="167" t="str">
        <f>IF(INDEX('Master Lookup'!$B$37:$B$47,$B29)=0,"",INDEX('Master Lookup'!$B$37:$B$47,$B29))</f>
        <v>Total Occupancy</v>
      </c>
      <c r="AD29" s="404">
        <f>IFERROR(INDEX('Master Lookup'!$C$37:$C$47,MATCH(AC29,'Master Lookup'!$B$37:$B$47,0)),"")</f>
        <v>6221.9259542286536</v>
      </c>
      <c r="AE29" s="361"/>
      <c r="AF29" s="398">
        <f>IFERROR(AD29*AE16*AE22,0)</f>
        <v>39781.439069849461</v>
      </c>
      <c r="AH29" s="167" t="str">
        <f>IF(INDEX('Master Lookup'!$B$37:$B$47,$B29)=0,"",INDEX('Master Lookup'!$B$37:$B$47,$B29))</f>
        <v>Total Occupancy</v>
      </c>
      <c r="AI29" s="404">
        <f>IFERROR(INDEX('Master Lookup'!$C$37:$C$47,MATCH(AH29,'Master Lookup'!$B$37:$B$47,0)),"")</f>
        <v>6221.9259542286536</v>
      </c>
      <c r="AJ29" s="361"/>
      <c r="AK29" s="398">
        <f>IFERROR(AI29*AJ16*AJ22,0)</f>
        <v>44904.806222784609</v>
      </c>
      <c r="AM29" s="167" t="str">
        <f>IF(INDEX('Master Lookup'!$B$37:$B$47,$B29)=0,"",INDEX('Master Lookup'!$B$37:$B$47,$B29))</f>
        <v>Total Occupancy</v>
      </c>
      <c r="AN29" s="404">
        <f>IFERROR(INDEX('Master Lookup'!$C$37:$C$47,MATCH(AM29,'Master Lookup'!$B$37:$B$47,0)),"")</f>
        <v>6221.9259542286536</v>
      </c>
      <c r="AO29" s="361"/>
      <c r="AP29" s="398">
        <f>IFERROR(AN29*AO16*AO22,0)</f>
        <v>49181.454434478386</v>
      </c>
      <c r="AR29" s="167" t="str">
        <f>IF(INDEX('Master Lookup'!$B$37:$B$47,$B29)=0,"",INDEX('Master Lookup'!$B$37:$B$47,$B29))</f>
        <v>Total Occupancy</v>
      </c>
      <c r="AS29" s="404">
        <f>IFERROR(INDEX('Master Lookup'!$C$37:$C$47,MATCH(AR29,'Master Lookup'!$B$37:$B$47,0)),"")</f>
        <v>6221.9259542286536</v>
      </c>
      <c r="AT29" s="361"/>
      <c r="AU29" s="398">
        <f>IFERROR(AS29*AT16*AT22,0)</f>
        <v>52255.29533663328</v>
      </c>
      <c r="AW29" s="167" t="str">
        <f>IF(INDEX('Master Lookup'!$B$37:$B$47,$B29)=0,"",INDEX('Master Lookup'!$B$37:$B$47,$B29))</f>
        <v>Total Occupancy</v>
      </c>
      <c r="AX29" s="404">
        <f>IFERROR(INDEX('Master Lookup'!$C$37:$C$47,MATCH(AW29,'Master Lookup'!$B$37:$B$47,0)),"")</f>
        <v>6221.9259542286536</v>
      </c>
      <c r="AY29" s="361"/>
      <c r="AZ29" s="398">
        <f>IFERROR(AX29*AY16*AY22,0)</f>
        <v>55409.594681205694</v>
      </c>
      <c r="BB29" s="167" t="str">
        <f>IF(INDEX('Master Lookup'!$B$37:$B$47,$B29)=0,"",INDEX('Master Lookup'!$B$37:$B$47,$B29))</f>
        <v>Total Occupancy</v>
      </c>
      <c r="BC29" s="404">
        <f>IFERROR(INDEX('Master Lookup'!$C$37:$C$47,MATCH(BB29,'Master Lookup'!$B$37:$B$47,0)),"")</f>
        <v>6221.9259542286536</v>
      </c>
      <c r="BD29" s="361"/>
      <c r="BE29" s="398">
        <f>IFERROR(BC29*BD16*BD22,0)</f>
        <v>58180.074415265975</v>
      </c>
      <c r="BG29" s="167" t="str">
        <f>IF(INDEX('Master Lookup'!$B$37:$B$47,$B29)=0,"",INDEX('Master Lookup'!$B$37:$B$47,$B29))</f>
        <v>Total Occupancy</v>
      </c>
      <c r="BH29" s="404">
        <f>IFERROR(INDEX('Master Lookup'!$C$37:$C$47,MATCH(BG29,'Master Lookup'!$B$37:$B$47,0)),"")</f>
        <v>6221.9259542286536</v>
      </c>
      <c r="BI29" s="361"/>
      <c r="BJ29" s="398">
        <f>IFERROR(BH29*BI16*BI22,0)</f>
        <v>61894.424561812819</v>
      </c>
      <c r="BL29" s="167" t="str">
        <f>IF(INDEX('Master Lookup'!$B$37:$B$47,$B29)=0,"",INDEX('Master Lookup'!$B$37:$B$47,$B29))</f>
        <v>Total Occupancy</v>
      </c>
      <c r="BM29" s="404">
        <f>IFERROR(INDEX('Master Lookup'!$C$37:$C$47,MATCH(BL29,'Master Lookup'!$B$37:$B$47,0)),"")</f>
        <v>6221.9259542286536</v>
      </c>
      <c r="BO29" s="398">
        <f>IFERROR(BM29*BN16*BN22,0)</f>
        <v>65333.00370413575</v>
      </c>
      <c r="BQ29" s="167" t="str">
        <f>IF(INDEX('Master Lookup'!$B$37:$B$47,$B29)=0,"",INDEX('Master Lookup'!$B$37:$B$47,$B29))</f>
        <v>Total Occupancy</v>
      </c>
      <c r="BR29" s="404">
        <f>IFERROR(INDEX('Master Lookup'!$C$37:$C$47,MATCH(BQ29,'Master Lookup'!$B$37:$B$47,0)),"")</f>
        <v>6221.9259542286536</v>
      </c>
      <c r="BT29" s="398">
        <f>IFERROR(BR29*BS16*BS22,0)</f>
        <v>68896.920698554415</v>
      </c>
      <c r="BV29" s="167" t="str">
        <f>IF(INDEX('Master Lookup'!$B$37:$B$47,$B29)=0,"",INDEX('Master Lookup'!$B$37:$B$47,$B29))</f>
        <v>Total Occupancy</v>
      </c>
      <c r="BW29" s="404">
        <f>IFERROR(INDEX('Master Lookup'!$C$37:$C$47,MATCH(BV29,'Master Lookup'!$B$37:$B$47,0)),"")</f>
        <v>6221.9259542286536</v>
      </c>
      <c r="BY29" s="398">
        <f>IFERROR(BW29*BX16*BX22,0)</f>
        <v>72177.726446104629</v>
      </c>
      <c r="CA29" s="167" t="str">
        <f>IF(INDEX('Master Lookup'!$B$37:$B$47,$B29)=0,"",INDEX('Master Lookup'!$B$37:$B$47,$B29))</f>
        <v>Total Occupancy</v>
      </c>
      <c r="CB29" s="404">
        <f>IFERROR(INDEX('Master Lookup'!$C$37:$C$47,MATCH(CA29,'Master Lookup'!$B$37:$B$47,0)),"")</f>
        <v>6221.9259542286536</v>
      </c>
      <c r="CD29" s="398">
        <f>IFERROR(CB29*CC16*CC22,0)</f>
        <v>75866.810242238862</v>
      </c>
      <c r="CF29" s="167" t="str">
        <f>IF(INDEX('Master Lookup'!$B$37:$B$47,$B29)=0,"",INDEX('Master Lookup'!$B$37:$B$47,$B29))</f>
        <v>Total Occupancy</v>
      </c>
      <c r="CG29" s="404">
        <f>IFERROR(INDEX('Master Lookup'!$C$37:$C$47,MATCH(CF29,'Master Lookup'!$B$37:$B$47,0)),"")</f>
        <v>6221.9259542286536</v>
      </c>
      <c r="CI29" s="398">
        <f>IFERROR(CG29*CH16*CH22,0)</f>
        <v>80276.763718253787</v>
      </c>
      <c r="CK29" s="167" t="str">
        <f>IF(INDEX('Master Lookup'!$B$37:$B$47,$B29)=0,"",INDEX('Master Lookup'!$B$37:$B$47,$B29))</f>
        <v>Total Occupancy</v>
      </c>
      <c r="CL29" s="404">
        <f>IFERROR(INDEX('Master Lookup'!$C$37:$C$47,MATCH(CK29,'Master Lookup'!$B$37:$B$47,0)),"")</f>
        <v>6221.9259542286536</v>
      </c>
      <c r="CN29" s="398">
        <f>IFERROR(CL29*CM16*CM22,0)</f>
        <v>84998.926289915762</v>
      </c>
      <c r="CP29" s="167" t="str">
        <f>IF(INDEX('Master Lookup'!$B$37:$B$47,$B29)=0,"",INDEX('Master Lookup'!$B$37:$B$47,$B29))</f>
        <v>Total Occupancy</v>
      </c>
      <c r="CQ29" s="404">
        <f>IFERROR(INDEX('Master Lookup'!$C$37:$C$47,MATCH(CP29,'Master Lookup'!$B$37:$B$47,0)),"")</f>
        <v>6221.9259542286536</v>
      </c>
      <c r="CS29" s="398">
        <f>IFERROR(CQ29*CR16*CR22,0)</f>
        <v>89721.088861577751</v>
      </c>
      <c r="CU29" s="167" t="str">
        <f>IF(INDEX('Master Lookup'!$B$37:$B$47,$B29)=0,"",INDEX('Master Lookup'!$B$37:$B$47,$B29))</f>
        <v>Total Occupancy</v>
      </c>
      <c r="CV29" s="404">
        <f>IFERROR(INDEX('Master Lookup'!$C$37:$C$47,MATCH(CU29,'Master Lookup'!$B$37:$B$47,0)),"")</f>
        <v>6221.9259542286536</v>
      </c>
      <c r="CX29" s="398">
        <f>IFERROR(CV29*CW16*CW22,0)</f>
        <v>94780.548759787023</v>
      </c>
      <c r="CZ29" s="167" t="str">
        <f>IF(INDEX('Master Lookup'!$B$37:$B$47,$B29)=0,"",INDEX('Master Lookup'!$B$37:$B$47,$B29))</f>
        <v>Total Occupancy</v>
      </c>
      <c r="DA29" s="404">
        <f>IFERROR(INDEX('Master Lookup'!$C$37:$C$47,MATCH(CZ29,'Master Lookup'!$B$37:$B$47,0)),"")</f>
        <v>6221.9259542286536</v>
      </c>
      <c r="DC29" s="398">
        <f>IFERROR(DA29*DB16*DB22,0)</f>
        <v>99879.502332307224</v>
      </c>
      <c r="DE29" s="167" t="str">
        <f>IF(INDEX('Master Lookup'!$B$37:$B$47,$B29)=0,"",INDEX('Master Lookup'!$B$37:$B$47,$B29))</f>
        <v>Total Occupancy</v>
      </c>
      <c r="DF29" s="404">
        <f>IFERROR(INDEX('Master Lookup'!$C$37:$C$47,MATCH(DE29,'Master Lookup'!$B$37:$B$47,0)),"")</f>
        <v>6221.9259542286536</v>
      </c>
      <c r="DH29" s="398">
        <f>IFERROR(DF29*DG16*DG22,0)</f>
        <v>105412.18613497146</v>
      </c>
      <c r="DJ29" s="167" t="str">
        <f>IF(INDEX('Master Lookup'!$B$37:$B$47,$B29)=0,"",INDEX('Master Lookup'!$B$37:$B$47,$B29))</f>
        <v>Total Occupancy</v>
      </c>
      <c r="DK29" s="404">
        <f>IFERROR(INDEX('Master Lookup'!$C$37:$C$47,MATCH(DJ29,'Master Lookup'!$B$37:$B$47,0)),"")</f>
        <v>6221.9259542286536</v>
      </c>
      <c r="DM29" s="398">
        <f>IFERROR(DK29*DL16*DL22,0)</f>
        <v>111043.29599170544</v>
      </c>
      <c r="DO29" s="167" t="str">
        <f>IF(INDEX('Master Lookup'!$B$37:$B$47,$B29)=0,"",INDEX('Master Lookup'!$B$37:$B$47,$B29))</f>
        <v>Total Occupancy</v>
      </c>
      <c r="DP29" s="404">
        <f>IFERROR(INDEX('Master Lookup'!$C$37:$C$47,MATCH(DO29,'Master Lookup'!$B$37:$B$47,0)),"")</f>
        <v>6221.9259542286536</v>
      </c>
      <c r="DR29" s="398">
        <f>IFERROR(DP29*DQ16*DQ22,0)</f>
        <v>117250.68520863308</v>
      </c>
    </row>
    <row r="30" spans="2:122" x14ac:dyDescent="0.25">
      <c r="B30" s="361">
        <v>2</v>
      </c>
      <c r="D30" s="167" t="str">
        <f>IF(INDEX('Master Lookup'!$B$37:$B$47,$B30)=0,"",INDEX('Master Lookup'!$B$37:$B$47,$B30))</f>
        <v>Staff Training 204</v>
      </c>
      <c r="E30" s="404">
        <f>IFERROR(INDEX('Master Lookup'!$C$37:$C$47,MATCH(D30,'Master Lookup'!$B$37:$B$47,0)),"")</f>
        <v>202.39734163733908</v>
      </c>
      <c r="G30" s="398">
        <f>IFERROR(E30*F16*F22,0)</f>
        <v>252.99667704667385</v>
      </c>
      <c r="I30" s="167" t="str">
        <f>IF(INDEX('Master Lookup'!$B$37:$B$47,$B30)=0,"",INDEX('Master Lookup'!$B$37:$B$47,$B30))</f>
        <v>Staff Training 204</v>
      </c>
      <c r="J30" s="404">
        <f>IFERROR(INDEX('Master Lookup'!$C$37:$C$47,MATCH(I30,'Master Lookup'!$B$37:$B$47,0)),"")</f>
        <v>202.39734163733908</v>
      </c>
      <c r="L30" s="398">
        <f>IFERROR(J30*K16*K22,0)</f>
        <v>505.9933540933477</v>
      </c>
      <c r="N30" s="167" t="str">
        <f>IF(INDEX('Master Lookup'!$B$37:$B$47,$B30)=0,"",INDEX('Master Lookup'!$B$37:$B$47,$B30))</f>
        <v>Staff Training 204</v>
      </c>
      <c r="O30" s="404">
        <f>IFERROR(INDEX('Master Lookup'!$C$37:$C$47,MATCH(N30,'Master Lookup'!$B$37:$B$47,0)),"")</f>
        <v>202.39734163733908</v>
      </c>
      <c r="Q30" s="398">
        <f>IFERROR(O30*P16*P22,0)</f>
        <v>758.99003114002153</v>
      </c>
      <c r="S30" s="167" t="str">
        <f>IF(INDEX('Master Lookup'!$B$37:$B$47,$B30)=0,"",INDEX('Master Lookup'!$B$37:$B$47,$B30))</f>
        <v>Staff Training 204</v>
      </c>
      <c r="T30" s="404">
        <f>IFERROR(INDEX('Master Lookup'!$C$37:$C$47,MATCH(S30,'Master Lookup'!$B$37:$B$47,0)),"")</f>
        <v>202.39734163733908</v>
      </c>
      <c r="U30" s="361"/>
      <c r="V30" s="398">
        <f>IFERROR(T30*U16*U22,0)</f>
        <v>1011.9867081866954</v>
      </c>
      <c r="X30" s="167" t="str">
        <f>IF(INDEX('Master Lookup'!$B$37:$B$47,$B30)=0,"",INDEX('Master Lookup'!$B$37:$B$47,$B30))</f>
        <v>Staff Training 204</v>
      </c>
      <c r="Y30" s="404">
        <f>IFERROR(INDEX('Master Lookup'!$C$37:$C$47,MATCH(X30,'Master Lookup'!$B$37:$B$47,0)),"")</f>
        <v>202.39734163733908</v>
      </c>
      <c r="Z30" s="361"/>
      <c r="AA30" s="398">
        <f>IFERROR(Y30*Z16*Z22,0)</f>
        <v>1113.1853790053651</v>
      </c>
      <c r="AC30" s="167" t="str">
        <f>IF(INDEX('Master Lookup'!$B$37:$B$47,$B30)=0,"",INDEX('Master Lookup'!$B$37:$B$47,$B30))</f>
        <v>Staff Training 204</v>
      </c>
      <c r="AD30" s="404">
        <f>IFERROR(INDEX('Master Lookup'!$C$37:$C$47,MATCH(AC30,'Master Lookup'!$B$37:$B$47,0)),"")</f>
        <v>202.39734163733908</v>
      </c>
      <c r="AE30" s="361"/>
      <c r="AF30" s="398">
        <f>IFERROR(AD30*AE16*AE22,0)</f>
        <v>1294.0780030937367</v>
      </c>
      <c r="AH30" s="167" t="str">
        <f>IF(INDEX('Master Lookup'!$B$37:$B$47,$B30)=0,"",INDEX('Master Lookup'!$B$37:$B$47,$B30))</f>
        <v>Staff Training 204</v>
      </c>
      <c r="AI30" s="404">
        <f>IFERROR(INDEX('Master Lookup'!$C$37:$C$47,MATCH(AH30,'Master Lookup'!$B$37:$B$47,0)),"")</f>
        <v>202.39734163733908</v>
      </c>
      <c r="AJ30" s="361"/>
      <c r="AK30" s="398">
        <f>IFERROR(AI30*AJ16*AJ22,0)</f>
        <v>1460.7395640982329</v>
      </c>
      <c r="AM30" s="167" t="str">
        <f>IF(INDEX('Master Lookup'!$B$37:$B$47,$B30)=0,"",INDEX('Master Lookup'!$B$37:$B$47,$B30))</f>
        <v>Staff Training 204</v>
      </c>
      <c r="AN30" s="404">
        <f>IFERROR(INDEX('Master Lookup'!$C$37:$C$47,MATCH(AM30,'Master Lookup'!$B$37:$B$47,0)),"")</f>
        <v>202.39734163733908</v>
      </c>
      <c r="AO30" s="361"/>
      <c r="AP30" s="398">
        <f>IFERROR(AN30*AO16*AO22,0)</f>
        <v>1599.8576178218743</v>
      </c>
      <c r="AR30" s="167" t="str">
        <f>IF(INDEX('Master Lookup'!$B$37:$B$47,$B30)=0,"",INDEX('Master Lookup'!$B$37:$B$47,$B30))</f>
        <v>Staff Training 204</v>
      </c>
      <c r="AS30" s="404">
        <f>IFERROR(INDEX('Master Lookup'!$C$37:$C$47,MATCH(AR30,'Master Lookup'!$B$37:$B$47,0)),"")</f>
        <v>202.39734163733908</v>
      </c>
      <c r="AT30" s="361"/>
      <c r="AU30" s="398">
        <f>IFERROR(AS30*AT16*AT22,0)</f>
        <v>1699.8487189357415</v>
      </c>
      <c r="AW30" s="167" t="str">
        <f>IF(INDEX('Master Lookup'!$B$37:$B$47,$B30)=0,"",INDEX('Master Lookup'!$B$37:$B$47,$B30))</f>
        <v>Staff Training 204</v>
      </c>
      <c r="AX30" s="404">
        <f>IFERROR(INDEX('Master Lookup'!$C$37:$C$47,MATCH(AW30,'Master Lookup'!$B$37:$B$47,0)),"")</f>
        <v>202.39734163733908</v>
      </c>
      <c r="AY30" s="361"/>
      <c r="AZ30" s="398">
        <f>IFERROR(AX30*AY16*AY22,0)</f>
        <v>1802.457108486884</v>
      </c>
      <c r="BB30" s="167" t="str">
        <f>IF(INDEX('Master Lookup'!$B$37:$B$47,$B30)=0,"",INDEX('Master Lookup'!$B$37:$B$47,$B30))</f>
        <v>Staff Training 204</v>
      </c>
      <c r="BC30" s="404">
        <f>IFERROR(INDEX('Master Lookup'!$C$37:$C$47,MATCH(BB30,'Master Lookup'!$B$37:$B$47,0)),"")</f>
        <v>202.39734163733908</v>
      </c>
      <c r="BD30" s="361"/>
      <c r="BE30" s="398">
        <f>IFERROR(BC30*BD16*BD22,0)</f>
        <v>1892.5799639112281</v>
      </c>
      <c r="BG30" s="167" t="str">
        <f>IF(INDEX('Master Lookup'!$B$37:$B$47,$B30)=0,"",INDEX('Master Lookup'!$B$37:$B$47,$B30))</f>
        <v>Staff Training 204</v>
      </c>
      <c r="BH30" s="404">
        <f>IFERROR(INDEX('Master Lookup'!$C$37:$C$47,MATCH(BG30,'Master Lookup'!$B$37:$B$47,0)),"")</f>
        <v>202.39734163733908</v>
      </c>
      <c r="BI30" s="361"/>
      <c r="BJ30" s="398">
        <f>IFERROR(BH30*BI16*BI22,0)</f>
        <v>2013.4066341579878</v>
      </c>
      <c r="BL30" s="167" t="str">
        <f>IF(INDEX('Master Lookup'!$B$37:$B$47,$B30)=0,"",INDEX('Master Lookup'!$B$37:$B$47,$B30))</f>
        <v>Staff Training 204</v>
      </c>
      <c r="BM30" s="404">
        <f>IFERROR(INDEX('Master Lookup'!$C$37:$C$47,MATCH(BL30,'Master Lookup'!$B$37:$B$47,0)),"")</f>
        <v>202.39734163733908</v>
      </c>
      <c r="BO30" s="398">
        <f>IFERROR(BM30*BN16*BN22,0)</f>
        <v>2125.262558277876</v>
      </c>
      <c r="BQ30" s="167" t="str">
        <f>IF(INDEX('Master Lookup'!$B$37:$B$47,$B30)=0,"",INDEX('Master Lookup'!$B$37:$B$47,$B30))</f>
        <v>Staff Training 204</v>
      </c>
      <c r="BR30" s="404">
        <f>IFERROR(INDEX('Master Lookup'!$C$37:$C$47,MATCH(BQ30,'Master Lookup'!$B$37:$B$47,0)),"")</f>
        <v>202.39734163733908</v>
      </c>
      <c r="BT30" s="398">
        <f>IFERROR(BR30*BS16*BS22,0)</f>
        <v>2241.1956842573377</v>
      </c>
      <c r="BV30" s="167" t="str">
        <f>IF(INDEX('Master Lookup'!$B$37:$B$47,$B30)=0,"",INDEX('Master Lookup'!$B$37:$B$47,$B30))</f>
        <v>Staff Training 204</v>
      </c>
      <c r="BW30" s="404">
        <f>IFERROR(INDEX('Master Lookup'!$C$37:$C$47,MATCH(BV30,'Master Lookup'!$B$37:$B$47,0)),"")</f>
        <v>202.39734163733908</v>
      </c>
      <c r="BY30" s="398">
        <f>IFERROR(BW30*BX16*BX22,0)</f>
        <v>2347.919288269592</v>
      </c>
      <c r="CA30" s="167" t="str">
        <f>IF(INDEX('Master Lookup'!$B$37:$B$47,$B30)=0,"",INDEX('Master Lookup'!$B$37:$B$47,$B30))</f>
        <v>Staff Training 204</v>
      </c>
      <c r="CB30" s="404">
        <f>IFERROR(INDEX('Master Lookup'!$C$37:$C$47,MATCH(CA30,'Master Lookup'!$B$37:$B$47,0)),"")</f>
        <v>202.39734163733908</v>
      </c>
      <c r="CD30" s="398">
        <f>IFERROR(CB30*CC16*CC22,0)</f>
        <v>2467.9240518922602</v>
      </c>
      <c r="CF30" s="167" t="str">
        <f>IF(INDEX('Master Lookup'!$B$37:$B$47,$B30)=0,"",INDEX('Master Lookup'!$B$37:$B$47,$B30))</f>
        <v>Staff Training 204</v>
      </c>
      <c r="CG30" s="404">
        <f>IFERROR(INDEX('Master Lookup'!$C$37:$C$47,MATCH(CF30,'Master Lookup'!$B$37:$B$47,0)),"")</f>
        <v>202.39734163733908</v>
      </c>
      <c r="CI30" s="398">
        <f>IFERROR(CG30*CH16*CH22,0)</f>
        <v>2611.3784849497833</v>
      </c>
      <c r="CK30" s="167" t="str">
        <f>IF(INDEX('Master Lookup'!$B$37:$B$47,$B30)=0,"",INDEX('Master Lookup'!$B$37:$B$47,$B30))</f>
        <v>Staff Training 204</v>
      </c>
      <c r="CL30" s="404">
        <f>IFERROR(INDEX('Master Lookup'!$C$37:$C$47,MATCH(CK30,'Master Lookup'!$B$37:$B$47,0)),"")</f>
        <v>202.39734163733908</v>
      </c>
      <c r="CN30" s="398">
        <f>IFERROR(CL30*CM16*CM22,0)</f>
        <v>2764.9889840644769</v>
      </c>
      <c r="CP30" s="167" t="str">
        <f>IF(INDEX('Master Lookup'!$B$37:$B$47,$B30)=0,"",INDEX('Master Lookup'!$B$37:$B$47,$B30))</f>
        <v>Staff Training 204</v>
      </c>
      <c r="CQ30" s="404">
        <f>IFERROR(INDEX('Master Lookup'!$C$37:$C$47,MATCH(CP30,'Master Lookup'!$B$37:$B$47,0)),"")</f>
        <v>202.39734163733908</v>
      </c>
      <c r="CS30" s="398">
        <f>IFERROR(CQ30*CR16*CR22,0)</f>
        <v>2918.5994831791695</v>
      </c>
      <c r="CU30" s="167" t="str">
        <f>IF(INDEX('Master Lookup'!$B$37:$B$47,$B30)=0,"",INDEX('Master Lookup'!$B$37:$B$47,$B30))</f>
        <v>Staff Training 204</v>
      </c>
      <c r="CV30" s="404">
        <f>IFERROR(INDEX('Master Lookup'!$C$37:$C$47,MATCH(CU30,'Master Lookup'!$B$37:$B$47,0)),"")</f>
        <v>202.39734163733908</v>
      </c>
      <c r="CX30" s="398">
        <f>IFERROR(CV30*CW16*CW22,0)</f>
        <v>3083.1821608020555</v>
      </c>
      <c r="CZ30" s="167" t="str">
        <f>IF(INDEX('Master Lookup'!$B$37:$B$47,$B30)=0,"",INDEX('Master Lookup'!$B$37:$B$47,$B30))</f>
        <v>Staff Training 204</v>
      </c>
      <c r="DA30" s="404">
        <f>IFERROR(INDEX('Master Lookup'!$C$37:$C$47,MATCH(CZ30,'Master Lookup'!$B$37:$B$47,0)),"")</f>
        <v>202.39734163733908</v>
      </c>
      <c r="DC30" s="398">
        <f>IFERROR(DA30*DB16*DB22,0)</f>
        <v>3249.049555528748</v>
      </c>
      <c r="DE30" s="167" t="str">
        <f>IF(INDEX('Master Lookup'!$B$37:$B$47,$B30)=0,"",INDEX('Master Lookup'!$B$37:$B$47,$B30))</f>
        <v>Staff Training 204</v>
      </c>
      <c r="DF30" s="404">
        <f>IFERROR(INDEX('Master Lookup'!$C$37:$C$47,MATCH(DE30,'Master Lookup'!$B$37:$B$47,0)),"")</f>
        <v>202.39734163733908</v>
      </c>
      <c r="DH30" s="398">
        <f>IFERROR(DF30*DG16*DG22,0)</f>
        <v>3429.0260615201364</v>
      </c>
      <c r="DJ30" s="167" t="str">
        <f>IF(INDEX('Master Lookup'!$B$37:$B$47,$B30)=0,"",INDEX('Master Lookup'!$B$37:$B$47,$B30))</f>
        <v>Staff Training 204</v>
      </c>
      <c r="DK30" s="404">
        <f>IFERROR(INDEX('Master Lookup'!$C$37:$C$47,MATCH(DJ30,'Master Lookup'!$B$37:$B$47,0)),"")</f>
        <v>202.39734163733908</v>
      </c>
      <c r="DM30" s="398">
        <f>IFERROR(DK30*DL16*DL22,0)</f>
        <v>3612.2043368411692</v>
      </c>
      <c r="DO30" s="167" t="str">
        <f>IF(INDEX('Master Lookup'!$B$37:$B$47,$B30)=0,"",INDEX('Master Lookup'!$B$37:$B$47,$B30))</f>
        <v>Staff Training 204</v>
      </c>
      <c r="DP30" s="404">
        <f>IFERROR(INDEX('Master Lookup'!$C$37:$C$47,MATCH(DO30,'Master Lookup'!$B$37:$B$47,0)),"")</f>
        <v>202.39734163733908</v>
      </c>
      <c r="DR30" s="398">
        <f>IFERROR(DP30*DQ16*DQ22,0)</f>
        <v>3814.1288028757685</v>
      </c>
    </row>
    <row r="31" spans="2:122" x14ac:dyDescent="0.25">
      <c r="B31" s="361">
        <v>3</v>
      </c>
      <c r="D31" s="167" t="str">
        <f>IF(INDEX('Master Lookup'!$B$37:$B$47,$B31)=0,"",INDEX('Master Lookup'!$B$37:$B$47,$B31))</f>
        <v>Staff Mileage / Travel 205</v>
      </c>
      <c r="E31" s="404">
        <f>IFERROR(INDEX('Master Lookup'!$C$37:$C$47,MATCH(D31,'Master Lookup'!$B$37:$B$47,0)),"")</f>
        <v>823.75132959083601</v>
      </c>
      <c r="G31" s="398">
        <f>IFERROR(E31*F16*F22,0)</f>
        <v>1029.689161988545</v>
      </c>
      <c r="I31" s="167" t="str">
        <f>IF(INDEX('Master Lookup'!$B$37:$B$47,$B31)=0,"",INDEX('Master Lookup'!$B$37:$B$47,$B31))</f>
        <v>Staff Mileage / Travel 205</v>
      </c>
      <c r="J31" s="404">
        <f>IFERROR(INDEX('Master Lookup'!$C$37:$C$47,MATCH(I31,'Master Lookup'!$B$37:$B$47,0)),"")</f>
        <v>823.75132959083601</v>
      </c>
      <c r="L31" s="398">
        <f>IFERROR(J31*K16*K22,0)</f>
        <v>2059.3783239770901</v>
      </c>
      <c r="N31" s="167" t="str">
        <f>IF(INDEX('Master Lookup'!$B$37:$B$47,$B31)=0,"",INDEX('Master Lookup'!$B$37:$B$47,$B31))</f>
        <v>Staff Mileage / Travel 205</v>
      </c>
      <c r="O31" s="404">
        <f>IFERROR(INDEX('Master Lookup'!$C$37:$C$47,MATCH(N31,'Master Lookup'!$B$37:$B$47,0)),"")</f>
        <v>823.75132959083601</v>
      </c>
      <c r="Q31" s="398">
        <f>IFERROR(O31*P16*P22,0)</f>
        <v>3089.0674859656347</v>
      </c>
      <c r="S31" s="167" t="str">
        <f>IF(INDEX('Master Lookup'!$B$37:$B$47,$B31)=0,"",INDEX('Master Lookup'!$B$37:$B$47,$B31))</f>
        <v>Staff Mileage / Travel 205</v>
      </c>
      <c r="T31" s="404">
        <f>IFERROR(INDEX('Master Lookup'!$C$37:$C$47,MATCH(S31,'Master Lookup'!$B$37:$B$47,0)),"")</f>
        <v>823.75132959083601</v>
      </c>
      <c r="U31" s="361"/>
      <c r="V31" s="398">
        <f>IFERROR(T31*U16*U22,0)</f>
        <v>4118.7566479541802</v>
      </c>
      <c r="X31" s="167" t="str">
        <f>IF(INDEX('Master Lookup'!$B$37:$B$47,$B31)=0,"",INDEX('Master Lookup'!$B$37:$B$47,$B31))</f>
        <v>Staff Mileage / Travel 205</v>
      </c>
      <c r="Y31" s="404">
        <f>IFERROR(INDEX('Master Lookup'!$C$37:$C$47,MATCH(X31,'Master Lookup'!$B$37:$B$47,0)),"")</f>
        <v>823.75132959083601</v>
      </c>
      <c r="Z31" s="361"/>
      <c r="AA31" s="398">
        <f>IFERROR(Y31*Z16*Z22,0)</f>
        <v>4530.6323127495989</v>
      </c>
      <c r="AC31" s="167" t="str">
        <f>IF(INDEX('Master Lookup'!$B$37:$B$47,$B31)=0,"",INDEX('Master Lookup'!$B$37:$B$47,$B31))</f>
        <v>Staff Mileage / Travel 205</v>
      </c>
      <c r="AD31" s="404">
        <f>IFERROR(INDEX('Master Lookup'!$C$37:$C$47,MATCH(AC31,'Master Lookup'!$B$37:$B$47,0)),"")</f>
        <v>823.75132959083601</v>
      </c>
      <c r="AE31" s="361"/>
      <c r="AF31" s="398">
        <f>IFERROR(AD31*AE16*AE22,0)</f>
        <v>5266.8600635714074</v>
      </c>
      <c r="AH31" s="167" t="str">
        <f>IF(INDEX('Master Lookup'!$B$37:$B$47,$B31)=0,"",INDEX('Master Lookup'!$B$37:$B$47,$B31))</f>
        <v>Staff Mileage / Travel 205</v>
      </c>
      <c r="AI31" s="404">
        <f>IFERROR(INDEX('Master Lookup'!$C$37:$C$47,MATCH(AH31,'Master Lookup'!$B$37:$B$47,0)),"")</f>
        <v>823.75132959083601</v>
      </c>
      <c r="AJ31" s="361"/>
      <c r="AK31" s="398">
        <f>IFERROR(AI31*AJ16*AJ22,0)</f>
        <v>5945.1677990313619</v>
      </c>
      <c r="AM31" s="167" t="str">
        <f>IF(INDEX('Master Lookup'!$B$37:$B$47,$B31)=0,"",INDEX('Master Lookup'!$B$37:$B$47,$B31))</f>
        <v>Staff Mileage / Travel 205</v>
      </c>
      <c r="AN31" s="404">
        <f>IFERROR(INDEX('Master Lookup'!$C$37:$C$47,MATCH(AM31,'Master Lookup'!$B$37:$B$47,0)),"")</f>
        <v>823.75132959083601</v>
      </c>
      <c r="AO31" s="361"/>
      <c r="AP31" s="398">
        <f>IFERROR(AN31*AO16*AO22,0)</f>
        <v>6511.3742560819674</v>
      </c>
      <c r="AR31" s="167" t="str">
        <f>IF(INDEX('Master Lookup'!$B$37:$B$47,$B31)=0,"",INDEX('Master Lookup'!$B$37:$B$47,$B31))</f>
        <v>Staff Mileage / Travel 205</v>
      </c>
      <c r="AS31" s="404">
        <f>IFERROR(INDEX('Master Lookup'!$C$37:$C$47,MATCH(AR31,'Master Lookup'!$B$37:$B$47,0)),"")</f>
        <v>823.75132959083601</v>
      </c>
      <c r="AT31" s="361"/>
      <c r="AU31" s="398">
        <f>IFERROR(AS31*AT16*AT22,0)</f>
        <v>6918.3351470870903</v>
      </c>
      <c r="AW31" s="167" t="str">
        <f>IF(INDEX('Master Lookup'!$B$37:$B$47,$B31)=0,"",INDEX('Master Lookup'!$B$37:$B$47,$B31))</f>
        <v>Staff Mileage / Travel 205</v>
      </c>
      <c r="AX31" s="404">
        <f>IFERROR(INDEX('Master Lookup'!$C$37:$C$47,MATCH(AW31,'Master Lookup'!$B$37:$B$47,0)),"")</f>
        <v>823.75132959083601</v>
      </c>
      <c r="AY31" s="361"/>
      <c r="AZ31" s="398">
        <f>IFERROR(AX31*AY16*AY22,0)</f>
        <v>7335.9483263717275</v>
      </c>
      <c r="BB31" s="167" t="str">
        <f>IF(INDEX('Master Lookup'!$B$37:$B$47,$B31)=0,"",INDEX('Master Lookup'!$B$37:$B$47,$B31))</f>
        <v>Staff Mileage / Travel 205</v>
      </c>
      <c r="BC31" s="404">
        <f>IFERROR(INDEX('Master Lookup'!$C$37:$C$47,MATCH(BB31,'Master Lookup'!$B$37:$B$47,0)),"")</f>
        <v>823.75132959083601</v>
      </c>
      <c r="BD31" s="361"/>
      <c r="BE31" s="398">
        <f>IFERROR(BC31*BD16*BD22,0)</f>
        <v>7702.7457426903138</v>
      </c>
      <c r="BG31" s="167" t="str">
        <f>IF(INDEX('Master Lookup'!$B$37:$B$47,$B31)=0,"",INDEX('Master Lookup'!$B$37:$B$47,$B31))</f>
        <v>Staff Mileage / Travel 205</v>
      </c>
      <c r="BH31" s="404">
        <f>IFERROR(INDEX('Master Lookup'!$C$37:$C$47,MATCH(BG31,'Master Lookup'!$B$37:$B$47,0)),"")</f>
        <v>823.75132959083601</v>
      </c>
      <c r="BI31" s="361"/>
      <c r="BJ31" s="398">
        <f>IFERROR(BH31*BI16*BI22,0)</f>
        <v>8194.5067977546842</v>
      </c>
      <c r="BL31" s="167" t="str">
        <f>IF(INDEX('Master Lookup'!$B$37:$B$47,$B31)=0,"",INDEX('Master Lookup'!$B$37:$B$47,$B31))</f>
        <v>Staff Mileage / Travel 205</v>
      </c>
      <c r="BM31" s="404">
        <f>IFERROR(INDEX('Master Lookup'!$C$37:$C$47,MATCH(BL31,'Master Lookup'!$B$37:$B$47,0)),"")</f>
        <v>823.75132959083601</v>
      </c>
      <c r="BO31" s="398">
        <f>IFERROR(BM31*BN16*BN22,0)</f>
        <v>8649.7571754077217</v>
      </c>
      <c r="BQ31" s="167" t="str">
        <f>IF(INDEX('Master Lookup'!$B$37:$B$47,$B31)=0,"",INDEX('Master Lookup'!$B$37:$B$47,$B31))</f>
        <v>Staff Mileage / Travel 205</v>
      </c>
      <c r="BR31" s="404">
        <f>IFERROR(INDEX('Master Lookup'!$C$37:$C$47,MATCH(BQ31,'Master Lookup'!$B$37:$B$47,0)),"")</f>
        <v>823.75132959083601</v>
      </c>
      <c r="BT31" s="398">
        <f>IFERROR(BR31*BS16*BS22,0)</f>
        <v>9121.6016467660629</v>
      </c>
      <c r="BV31" s="167" t="str">
        <f>IF(INDEX('Master Lookup'!$B$37:$B$47,$B31)=0,"",INDEX('Master Lookup'!$B$37:$B$47,$B31))</f>
        <v>Staff Mileage / Travel 205</v>
      </c>
      <c r="BW31" s="404">
        <f>IFERROR(INDEX('Master Lookup'!$C$37:$C$47,MATCH(BV31,'Master Lookup'!$B$37:$B$47,0)),"")</f>
        <v>823.75132959083601</v>
      </c>
      <c r="BY31" s="398">
        <f>IFERROR(BW31*BX16*BX22,0)</f>
        <v>9555.9636299453996</v>
      </c>
      <c r="CA31" s="167" t="str">
        <f>IF(INDEX('Master Lookup'!$B$37:$B$47,$B31)=0,"",INDEX('Master Lookup'!$B$37:$B$47,$B31))</f>
        <v>Staff Mileage / Travel 205</v>
      </c>
      <c r="CB31" s="404">
        <f>IFERROR(INDEX('Master Lookup'!$C$37:$C$47,MATCH(CA31,'Master Lookup'!$B$37:$B$47,0)),"")</f>
        <v>823.75132959083601</v>
      </c>
      <c r="CD31" s="398">
        <f>IFERROR(CB31*CC16*CC22,0)</f>
        <v>10044.379548809275</v>
      </c>
      <c r="CF31" s="167" t="str">
        <f>IF(INDEX('Master Lookup'!$B$37:$B$47,$B31)=0,"",INDEX('Master Lookup'!$B$37:$B$47,$B31))</f>
        <v>Staff Mileage / Travel 205</v>
      </c>
      <c r="CG31" s="404">
        <f>IFERROR(INDEX('Master Lookup'!$C$37:$C$47,MATCH(CF31,'Master Lookup'!$B$37:$B$47,0)),"")</f>
        <v>823.75132959083601</v>
      </c>
      <c r="CI31" s="398">
        <f>IFERROR(CG31*CH16*CH22,0)</f>
        <v>10628.234944393353</v>
      </c>
      <c r="CK31" s="167" t="str">
        <f>IF(INDEX('Master Lookup'!$B$37:$B$47,$B31)=0,"",INDEX('Master Lookup'!$B$37:$B$47,$B31))</f>
        <v>Staff Mileage / Travel 205</v>
      </c>
      <c r="CL31" s="404">
        <f>IFERROR(INDEX('Master Lookup'!$C$37:$C$47,MATCH(CK31,'Master Lookup'!$B$37:$B$47,0)),"")</f>
        <v>823.75132959083601</v>
      </c>
      <c r="CN31" s="398">
        <f>IFERROR(CL31*CM16*CM22,0)</f>
        <v>11253.42523524002</v>
      </c>
      <c r="CP31" s="167" t="str">
        <f>IF(INDEX('Master Lookup'!$B$37:$B$47,$B31)=0,"",INDEX('Master Lookup'!$B$37:$B$47,$B31))</f>
        <v>Staff Mileage / Travel 205</v>
      </c>
      <c r="CQ31" s="404">
        <f>IFERROR(INDEX('Master Lookup'!$C$37:$C$47,MATCH(CP31,'Master Lookup'!$B$37:$B$47,0)),"")</f>
        <v>823.75132959083601</v>
      </c>
      <c r="CS31" s="398">
        <f>IFERROR(CQ31*CR16*CR22,0)</f>
        <v>11878.615526086689</v>
      </c>
      <c r="CU31" s="167" t="str">
        <f>IF(INDEX('Master Lookup'!$B$37:$B$47,$B31)=0,"",INDEX('Master Lookup'!$B$37:$B$47,$B31))</f>
        <v>Staff Mileage / Travel 205</v>
      </c>
      <c r="CV31" s="404">
        <f>IFERROR(INDEX('Master Lookup'!$C$37:$C$47,MATCH(CU31,'Master Lookup'!$B$37:$B$47,0)),"")</f>
        <v>823.75132959083601</v>
      </c>
      <c r="CX31" s="398">
        <f>IFERROR(CV31*CW16*CW22,0)</f>
        <v>12548.462266279548</v>
      </c>
      <c r="CZ31" s="167" t="str">
        <f>IF(INDEX('Master Lookup'!$B$37:$B$47,$B31)=0,"",INDEX('Master Lookup'!$B$37:$B$47,$B31))</f>
        <v>Staff Mileage / Travel 205</v>
      </c>
      <c r="DA31" s="404">
        <f>IFERROR(INDEX('Master Lookup'!$C$37:$C$47,MATCH(CZ31,'Master Lookup'!$B$37:$B$47,0)),"")</f>
        <v>823.75132959083601</v>
      </c>
      <c r="DC31" s="398">
        <f>IFERROR(DA31*DB16*DB22,0)</f>
        <v>13223.537767946487</v>
      </c>
      <c r="DE31" s="167" t="str">
        <f>IF(INDEX('Master Lookup'!$B$37:$B$47,$B31)=0,"",INDEX('Master Lookup'!$B$37:$B$47,$B31))</f>
        <v>Staff Mileage / Travel 205</v>
      </c>
      <c r="DF31" s="404">
        <f>IFERROR(INDEX('Master Lookup'!$C$37:$C$47,MATCH(DE31,'Master Lookup'!$B$37:$B$47,0)),"")</f>
        <v>823.75132959083601</v>
      </c>
      <c r="DH31" s="398">
        <f>IFERROR(DF31*DG16*DG22,0)</f>
        <v>13956.036944596583</v>
      </c>
      <c r="DJ31" s="167" t="str">
        <f>IF(INDEX('Master Lookup'!$B$37:$B$47,$B31)=0,"",INDEX('Master Lookup'!$B$37:$B$47,$B31))</f>
        <v>Staff Mileage / Travel 205</v>
      </c>
      <c r="DK31" s="404">
        <f>IFERROR(INDEX('Master Lookup'!$C$37:$C$47,MATCH(DJ31,'Master Lookup'!$B$37:$B$47,0)),"")</f>
        <v>823.75132959083601</v>
      </c>
      <c r="DM31" s="398">
        <f>IFERROR(DK31*DL16*DL22,0)</f>
        <v>14701.567229862045</v>
      </c>
      <c r="DO31" s="167" t="str">
        <f>IF(INDEX('Master Lookup'!$B$37:$B$47,$B31)=0,"",INDEX('Master Lookup'!$B$37:$B$47,$B31))</f>
        <v>Staff Mileage / Travel 205</v>
      </c>
      <c r="DP31" s="404">
        <f>IFERROR(INDEX('Master Lookup'!$C$37:$C$47,MATCH(DO31,'Master Lookup'!$B$37:$B$47,0)),"")</f>
        <v>823.75132959083601</v>
      </c>
      <c r="DR31" s="398">
        <f>IFERROR(DP31*DQ16*DQ22,0)</f>
        <v>15523.393969419549</v>
      </c>
    </row>
    <row r="32" spans="2:122" x14ac:dyDescent="0.25">
      <c r="B32" s="361">
        <v>4</v>
      </c>
      <c r="D32" s="167" t="str">
        <f>IF(INDEX('Master Lookup'!$B$37:$B$47,$B32)=0,"",INDEX('Master Lookup'!$B$37:$B$47,$B32))</f>
        <v>Program Supplies &amp; Materials 215</v>
      </c>
      <c r="E32" s="404">
        <f>IFERROR(INDEX('Master Lookup'!$C$37:$C$47,MATCH(D32,'Master Lookup'!$B$37:$B$47,0)),"")</f>
        <v>1493.1564099112707</v>
      </c>
      <c r="G32" s="398">
        <f>IFERROR(E32*F16*F22,0)</f>
        <v>1866.4455123890884</v>
      </c>
      <c r="I32" s="167" t="str">
        <f>IF(INDEX('Master Lookup'!$B$37:$B$47,$B32)=0,"",INDEX('Master Lookup'!$B$37:$B$47,$B32))</f>
        <v>Program Supplies &amp; Materials 215</v>
      </c>
      <c r="J32" s="404">
        <f>IFERROR(INDEX('Master Lookup'!$C$37:$C$47,MATCH(I32,'Master Lookup'!$B$37:$B$47,0)),"")</f>
        <v>1493.1564099112707</v>
      </c>
      <c r="L32" s="398">
        <f>IFERROR(J32*K16*K22,0)</f>
        <v>3732.8910247781769</v>
      </c>
      <c r="N32" s="167" t="str">
        <f>IF(INDEX('Master Lookup'!$B$37:$B$47,$B32)=0,"",INDEX('Master Lookup'!$B$37:$B$47,$B32))</f>
        <v>Program Supplies &amp; Materials 215</v>
      </c>
      <c r="O32" s="404">
        <f>IFERROR(INDEX('Master Lookup'!$C$37:$C$47,MATCH(N32,'Master Lookup'!$B$37:$B$47,0)),"")</f>
        <v>1493.1564099112707</v>
      </c>
      <c r="Q32" s="398">
        <f>IFERROR(O32*P16*P22,0)</f>
        <v>5599.3365371672644</v>
      </c>
      <c r="S32" s="167" t="str">
        <f>IF(INDEX('Master Lookup'!$B$37:$B$47,$B32)=0,"",INDEX('Master Lookup'!$B$37:$B$47,$B32))</f>
        <v>Program Supplies &amp; Materials 215</v>
      </c>
      <c r="T32" s="404">
        <f>IFERROR(INDEX('Master Lookup'!$C$37:$C$47,MATCH(S32,'Master Lookup'!$B$37:$B$47,0)),"")</f>
        <v>1493.1564099112707</v>
      </c>
      <c r="U32" s="361"/>
      <c r="V32" s="398">
        <f>IFERROR(T32*U16*U22,0)</f>
        <v>7465.7820495563537</v>
      </c>
      <c r="X32" s="167" t="str">
        <f>IF(INDEX('Master Lookup'!$B$37:$B$47,$B32)=0,"",INDEX('Master Lookup'!$B$37:$B$47,$B32))</f>
        <v>Program Supplies &amp; Materials 215</v>
      </c>
      <c r="Y32" s="404">
        <f>IFERROR(INDEX('Master Lookup'!$C$37:$C$47,MATCH(X32,'Master Lookup'!$B$37:$B$47,0)),"")</f>
        <v>1493.1564099112707</v>
      </c>
      <c r="Z32" s="361"/>
      <c r="AA32" s="398">
        <f>IFERROR(Y32*Z16*Z22,0)</f>
        <v>8212.3602545119902</v>
      </c>
      <c r="AC32" s="167" t="str">
        <f>IF(INDEX('Master Lookup'!$B$37:$B$47,$B32)=0,"",INDEX('Master Lookup'!$B$37:$B$47,$B32))</f>
        <v>Program Supplies &amp; Materials 215</v>
      </c>
      <c r="AD32" s="404">
        <f>IFERROR(INDEX('Master Lookup'!$C$37:$C$47,MATCH(AC32,'Master Lookup'!$B$37:$B$47,0)),"")</f>
        <v>1493.1564099112707</v>
      </c>
      <c r="AE32" s="361"/>
      <c r="AF32" s="398">
        <f>IFERROR(AD32*AE16*AE22,0)</f>
        <v>9546.8687958701867</v>
      </c>
      <c r="AH32" s="167" t="str">
        <f>IF(INDEX('Master Lookup'!$B$37:$B$47,$B32)=0,"",INDEX('Master Lookup'!$B$37:$B$47,$B32))</f>
        <v>Program Supplies &amp; Materials 215</v>
      </c>
      <c r="AI32" s="404">
        <f>IFERROR(INDEX('Master Lookup'!$C$37:$C$47,MATCH(AH32,'Master Lookup'!$B$37:$B$47,0)),"")</f>
        <v>1493.1564099112707</v>
      </c>
      <c r="AJ32" s="361"/>
      <c r="AK32" s="398">
        <f>IFERROR(AI32*AJ16*AJ22,0)</f>
        <v>10776.389777156497</v>
      </c>
      <c r="AM32" s="167" t="str">
        <f>IF(INDEX('Master Lookup'!$B$37:$B$47,$B32)=0,"",INDEX('Master Lookup'!$B$37:$B$47,$B32))</f>
        <v>Program Supplies &amp; Materials 215</v>
      </c>
      <c r="AN32" s="404">
        <f>IFERROR(INDEX('Master Lookup'!$C$37:$C$47,MATCH(AM32,'Master Lookup'!$B$37:$B$47,0)),"")</f>
        <v>1493.1564099112707</v>
      </c>
      <c r="AO32" s="361"/>
      <c r="AP32" s="398">
        <f>IFERROR(AN32*AO16*AO22,0)</f>
        <v>11802.712613076164</v>
      </c>
      <c r="AR32" s="167" t="str">
        <f>IF(INDEX('Master Lookup'!$B$37:$B$47,$B32)=0,"",INDEX('Master Lookup'!$B$37:$B$47,$B32))</f>
        <v>Program Supplies &amp; Materials 215</v>
      </c>
      <c r="AS32" s="404">
        <f>IFERROR(INDEX('Master Lookup'!$C$37:$C$47,MATCH(AR32,'Master Lookup'!$B$37:$B$47,0)),"")</f>
        <v>1493.1564099112707</v>
      </c>
      <c r="AT32" s="361"/>
      <c r="AU32" s="398">
        <f>IFERROR(AS32*AT16*AT22,0)</f>
        <v>12540.382151393425</v>
      </c>
      <c r="AW32" s="167" t="str">
        <f>IF(INDEX('Master Lookup'!$B$37:$B$47,$B32)=0,"",INDEX('Master Lookup'!$B$37:$B$47,$B32))</f>
        <v>Program Supplies &amp; Materials 215</v>
      </c>
      <c r="AX32" s="404">
        <f>IFERROR(INDEX('Master Lookup'!$C$37:$C$47,MATCH(AW32,'Master Lookup'!$B$37:$B$47,0)),"")</f>
        <v>1493.1564099112707</v>
      </c>
      <c r="AY32" s="361"/>
      <c r="AZ32" s="398">
        <f>IFERROR(AX32*AY16*AY22,0)</f>
        <v>13297.360347497835</v>
      </c>
      <c r="BB32" s="167" t="str">
        <f>IF(INDEX('Master Lookup'!$B$37:$B$47,$B32)=0,"",INDEX('Master Lookup'!$B$37:$B$47,$B32))</f>
        <v>Program Supplies &amp; Materials 215</v>
      </c>
      <c r="BC32" s="404">
        <f>IFERROR(INDEX('Master Lookup'!$C$37:$C$47,MATCH(BB32,'Master Lookup'!$B$37:$B$47,0)),"")</f>
        <v>1493.1564099112707</v>
      </c>
      <c r="BD32" s="361"/>
      <c r="BE32" s="398">
        <f>IFERROR(BC32*BD16*BD22,0)</f>
        <v>13962.228364872726</v>
      </c>
      <c r="BG32" s="167" t="str">
        <f>IF(INDEX('Master Lookup'!$B$37:$B$47,$B32)=0,"",INDEX('Master Lookup'!$B$37:$B$47,$B32))</f>
        <v>Program Supplies &amp; Materials 215</v>
      </c>
      <c r="BH32" s="404">
        <f>IFERROR(INDEX('Master Lookup'!$C$37:$C$47,MATCH(BG32,'Master Lookup'!$B$37:$B$47,0)),"")</f>
        <v>1493.1564099112707</v>
      </c>
      <c r="BI32" s="361"/>
      <c r="BJ32" s="398">
        <f>IFERROR(BH32*BI16*BI22,0)</f>
        <v>14853.609228414174</v>
      </c>
      <c r="BL32" s="167" t="str">
        <f>IF(INDEX('Master Lookup'!$B$37:$B$47,$B32)=0,"",INDEX('Master Lookup'!$B$37:$B$47,$B32))</f>
        <v>Program Supplies &amp; Materials 215</v>
      </c>
      <c r="BM32" s="404">
        <f>IFERROR(INDEX('Master Lookup'!$C$37:$C$47,MATCH(BL32,'Master Lookup'!$B$37:$B$47,0)),"")</f>
        <v>1493.1564099112707</v>
      </c>
      <c r="BO32" s="398">
        <f>IFERROR(BM32*BN16*BN22,0)</f>
        <v>15678.809741103851</v>
      </c>
      <c r="BQ32" s="167" t="str">
        <f>IF(INDEX('Master Lookup'!$B$37:$B$47,$B32)=0,"",INDEX('Master Lookup'!$B$37:$B$47,$B32))</f>
        <v>Program Supplies &amp; Materials 215</v>
      </c>
      <c r="BR32" s="404">
        <f>IFERROR(INDEX('Master Lookup'!$C$37:$C$47,MATCH(BQ32,'Master Lookup'!$B$37:$B$47,0)),"")</f>
        <v>1493.1564099112707</v>
      </c>
      <c r="BT32" s="398">
        <f>IFERROR(BR32*BS16*BS22,0)</f>
        <v>16534.089206619068</v>
      </c>
      <c r="BV32" s="167" t="str">
        <f>IF(INDEX('Master Lookup'!$B$37:$B$47,$B32)=0,"",INDEX('Master Lookup'!$B$37:$B$47,$B32))</f>
        <v>Program Supplies &amp; Materials 215</v>
      </c>
      <c r="BW32" s="404">
        <f>IFERROR(INDEX('Master Lookup'!$C$37:$C$47,MATCH(BV32,'Master Lookup'!$B$37:$B$47,0)),"")</f>
        <v>1493.1564099112707</v>
      </c>
      <c r="BY32" s="398">
        <f>IFERROR(BW32*BX16*BX22,0)</f>
        <v>17321.426787886645</v>
      </c>
      <c r="CA32" s="167" t="str">
        <f>IF(INDEX('Master Lookup'!$B$37:$B$47,$B32)=0,"",INDEX('Master Lookup'!$B$37:$B$47,$B32))</f>
        <v>Program Supplies &amp; Materials 215</v>
      </c>
      <c r="CB32" s="404">
        <f>IFERROR(INDEX('Master Lookup'!$C$37:$C$47,MATCH(CA32,'Master Lookup'!$B$37:$B$47,0)),"")</f>
        <v>1493.1564099112707</v>
      </c>
      <c r="CD32" s="398">
        <f>IFERROR(CB32*CC16*CC22,0)</f>
        <v>18206.744157045294</v>
      </c>
      <c r="CF32" s="167" t="str">
        <f>IF(INDEX('Master Lookup'!$B$37:$B$47,$B32)=0,"",INDEX('Master Lookup'!$B$37:$B$47,$B32))</f>
        <v>Program Supplies &amp; Materials 215</v>
      </c>
      <c r="CG32" s="404">
        <f>IFERROR(INDEX('Master Lookup'!$C$37:$C$47,MATCH(CF32,'Master Lookup'!$B$37:$B$47,0)),"")</f>
        <v>1493.1564099112707</v>
      </c>
      <c r="CI32" s="398">
        <f>IFERROR(CG32*CH16*CH22,0)</f>
        <v>19265.057989219222</v>
      </c>
      <c r="CK32" s="167" t="str">
        <f>IF(INDEX('Master Lookup'!$B$37:$B$47,$B32)=0,"",INDEX('Master Lookup'!$B$37:$B$47,$B32))</f>
        <v>Program Supplies &amp; Materials 215</v>
      </c>
      <c r="CL32" s="404">
        <f>IFERROR(INDEX('Master Lookup'!$C$37:$C$47,MATCH(CK32,'Master Lookup'!$B$37:$B$47,0)),"")</f>
        <v>1493.1564099112707</v>
      </c>
      <c r="CN32" s="398">
        <f>IFERROR(CL32*CM16*CM22,0)</f>
        <v>20398.296694467412</v>
      </c>
      <c r="CP32" s="167" t="str">
        <f>IF(INDEX('Master Lookup'!$B$37:$B$47,$B32)=0,"",INDEX('Master Lookup'!$B$37:$B$47,$B32))</f>
        <v>Program Supplies &amp; Materials 215</v>
      </c>
      <c r="CQ32" s="404">
        <f>IFERROR(INDEX('Master Lookup'!$C$37:$C$47,MATCH(CP32,'Master Lookup'!$B$37:$B$47,0)),"")</f>
        <v>1493.1564099112707</v>
      </c>
      <c r="CS32" s="398">
        <f>IFERROR(CQ32*CR16*CR22,0)</f>
        <v>21531.535399715602</v>
      </c>
      <c r="CU32" s="167" t="str">
        <f>IF(INDEX('Master Lookup'!$B$37:$B$47,$B32)=0,"",INDEX('Master Lookup'!$B$37:$B$47,$B32))</f>
        <v>Program Supplies &amp; Materials 215</v>
      </c>
      <c r="CV32" s="404">
        <f>IFERROR(INDEX('Master Lookup'!$C$37:$C$47,MATCH(CU32,'Master Lookup'!$B$37:$B$47,0)),"")</f>
        <v>1493.1564099112707</v>
      </c>
      <c r="CX32" s="398">
        <f>IFERROR(CV32*CW16*CW22,0)</f>
        <v>22745.719726767238</v>
      </c>
      <c r="CZ32" s="167" t="str">
        <f>IF(INDEX('Master Lookup'!$B$37:$B$47,$B32)=0,"",INDEX('Master Lookup'!$B$37:$B$47,$B32))</f>
        <v>Program Supplies &amp; Materials 215</v>
      </c>
      <c r="DA32" s="404">
        <f>IFERROR(INDEX('Master Lookup'!$C$37:$C$47,MATCH(CZ32,'Master Lookup'!$B$37:$B$47,0)),"")</f>
        <v>1493.1564099112707</v>
      </c>
      <c r="DC32" s="398">
        <f>IFERROR(DA32*DB16*DB22,0)</f>
        <v>23969.381863966741</v>
      </c>
      <c r="DE32" s="167" t="str">
        <f>IF(INDEX('Master Lookup'!$B$37:$B$47,$B32)=0,"",INDEX('Master Lookup'!$B$37:$B$47,$B32))</f>
        <v>Program Supplies &amp; Materials 215</v>
      </c>
      <c r="DF32" s="404">
        <f>IFERROR(INDEX('Master Lookup'!$C$37:$C$47,MATCH(DE32,'Master Lookup'!$B$37:$B$47,0)),"")</f>
        <v>1493.1564099112707</v>
      </c>
      <c r="DH32" s="398">
        <f>IFERROR(DF32*DG16*DG22,0)</f>
        <v>25297.131879754983</v>
      </c>
      <c r="DJ32" s="167" t="str">
        <f>IF(INDEX('Master Lookup'!$B$37:$B$47,$B32)=0,"",INDEX('Master Lookup'!$B$37:$B$47,$B32))</f>
        <v>Program Supplies &amp; Materials 215</v>
      </c>
      <c r="DK32" s="404">
        <f>IFERROR(INDEX('Master Lookup'!$C$37:$C$47,MATCH(DJ32,'Master Lookup'!$B$37:$B$47,0)),"")</f>
        <v>1493.1564099112707</v>
      </c>
      <c r="DM32" s="398">
        <f>IFERROR(DK32*DL16*DL22,0)</f>
        <v>26648.502474543628</v>
      </c>
      <c r="DO32" s="167" t="str">
        <f>IF(INDEX('Master Lookup'!$B$37:$B$47,$B32)=0,"",INDEX('Master Lookup'!$B$37:$B$47,$B32))</f>
        <v>Program Supplies &amp; Materials 215</v>
      </c>
      <c r="DP32" s="404">
        <f>IFERROR(INDEX('Master Lookup'!$C$37:$C$47,MATCH(DO32,'Master Lookup'!$B$37:$B$47,0)),"")</f>
        <v>1493.1564099112707</v>
      </c>
      <c r="DR32" s="398">
        <f>IFERROR(DP32*DQ16*DQ22,0)</f>
        <v>28138.170314735504</v>
      </c>
    </row>
    <row r="33" spans="2:122" x14ac:dyDescent="0.25">
      <c r="B33" s="361">
        <v>5</v>
      </c>
      <c r="D33" s="167" t="str">
        <f>IF(INDEX('Master Lookup'!$B$37:$B$47,$B33)=0,"",INDEX('Master Lookup'!$B$37:$B$47,$B33))</f>
        <v>Other Expense</v>
      </c>
      <c r="E33" s="404">
        <f>IFERROR(INDEX('Master Lookup'!$C$37:$C$47,MATCH(D33,'Master Lookup'!$B$37:$B$47,0)),"")</f>
        <v>3151.0944966340862</v>
      </c>
      <c r="G33" s="398">
        <f>IFERROR(E33*F16*F22,0)</f>
        <v>3938.8681207926079</v>
      </c>
      <c r="I33" s="167" t="str">
        <f>IF(INDEX('Master Lookup'!$B$37:$B$47,$B33)=0,"",INDEX('Master Lookup'!$B$37:$B$47,$B33))</f>
        <v>Other Expense</v>
      </c>
      <c r="J33" s="404">
        <f>IFERROR(INDEX('Master Lookup'!$C$37:$C$47,MATCH(I33,'Master Lookup'!$B$37:$B$47,0)),"")</f>
        <v>3151.0944966340862</v>
      </c>
      <c r="L33" s="398">
        <f>IFERROR(J33*K16*K22,0)</f>
        <v>7877.7362415852158</v>
      </c>
      <c r="N33" s="167" t="str">
        <f>IF(INDEX('Master Lookup'!$B$37:$B$47,$B33)=0,"",INDEX('Master Lookup'!$B$37:$B$47,$B33))</f>
        <v>Other Expense</v>
      </c>
      <c r="O33" s="404">
        <f>IFERROR(INDEX('Master Lookup'!$C$37:$C$47,MATCH(N33,'Master Lookup'!$B$37:$B$47,0)),"")</f>
        <v>3151.0944966340862</v>
      </c>
      <c r="Q33" s="398">
        <f>IFERROR(O33*P16*P22,0)</f>
        <v>11816.604362377822</v>
      </c>
      <c r="S33" s="167" t="str">
        <f>IF(INDEX('Master Lookup'!$B$37:$B$47,$B33)=0,"",INDEX('Master Lookup'!$B$37:$B$47,$B33))</f>
        <v>Other Expense</v>
      </c>
      <c r="T33" s="404">
        <f>IFERROR(INDEX('Master Lookup'!$C$37:$C$47,MATCH(S33,'Master Lookup'!$B$37:$B$47,0)),"")</f>
        <v>3151.0944966340862</v>
      </c>
      <c r="U33" s="361"/>
      <c r="V33" s="398">
        <f>IFERROR(T33*U16*U22,0)</f>
        <v>15755.472483170432</v>
      </c>
      <c r="X33" s="167" t="str">
        <f>IF(INDEX('Master Lookup'!$B$37:$B$47,$B33)=0,"",INDEX('Master Lookup'!$B$37:$B$47,$B33))</f>
        <v>Other Expense</v>
      </c>
      <c r="Y33" s="404">
        <f>IFERROR(INDEX('Master Lookup'!$C$37:$C$47,MATCH(X33,'Master Lookup'!$B$37:$B$47,0)),"")</f>
        <v>3151.0944966340862</v>
      </c>
      <c r="Z33" s="361"/>
      <c r="AA33" s="398">
        <f>IFERROR(Y33*Z16*Z22,0)</f>
        <v>17331.019731487475</v>
      </c>
      <c r="AC33" s="167" t="str">
        <f>IF(INDEX('Master Lookup'!$B$37:$B$47,$B33)=0,"",INDEX('Master Lookup'!$B$37:$B$47,$B33))</f>
        <v>Other Expense</v>
      </c>
      <c r="AD33" s="404">
        <f>IFERROR(INDEX('Master Lookup'!$C$37:$C$47,MATCH(AC33,'Master Lookup'!$B$37:$B$47,0)),"")</f>
        <v>3151.0944966340862</v>
      </c>
      <c r="AE33" s="361"/>
      <c r="AF33" s="398">
        <f>IFERROR(AD33*AE16*AE22,0)</f>
        <v>20147.31043785419</v>
      </c>
      <c r="AH33" s="167" t="str">
        <f>IF(INDEX('Master Lookup'!$B$37:$B$47,$B33)=0,"",INDEX('Master Lookup'!$B$37:$B$47,$B33))</f>
        <v>Other Expense</v>
      </c>
      <c r="AI33" s="404">
        <f>IFERROR(INDEX('Master Lookup'!$C$37:$C$47,MATCH(AH33,'Master Lookup'!$B$37:$B$47,0)),"")</f>
        <v>3151.0944966340862</v>
      </c>
      <c r="AJ33" s="361"/>
      <c r="AK33" s="398">
        <f>IFERROR(AI33*AJ16*AJ22,0)</f>
        <v>22742.039812426316</v>
      </c>
      <c r="AM33" s="167" t="str">
        <f>IF(INDEX('Master Lookup'!$B$37:$B$47,$B33)=0,"",INDEX('Master Lookup'!$B$37:$B$47,$B33))</f>
        <v>Other Expense</v>
      </c>
      <c r="AN33" s="404">
        <f>IFERROR(INDEX('Master Lookup'!$C$37:$C$47,MATCH(AM33,'Master Lookup'!$B$37:$B$47,0)),"")</f>
        <v>3151.0944966340862</v>
      </c>
      <c r="AO33" s="361"/>
      <c r="AP33" s="398">
        <f>IFERROR(AN33*AO16*AO22,0)</f>
        <v>24907.948365990731</v>
      </c>
      <c r="AR33" s="167" t="str">
        <f>IF(INDEX('Master Lookup'!$B$37:$B$47,$B33)=0,"",INDEX('Master Lookup'!$B$37:$B$47,$B33))</f>
        <v>Other Expense</v>
      </c>
      <c r="AS33" s="404">
        <f>IFERROR(INDEX('Master Lookup'!$C$37:$C$47,MATCH(AR33,'Master Lookup'!$B$37:$B$47,0)),"")</f>
        <v>3151.0944966340862</v>
      </c>
      <c r="AT33" s="361"/>
      <c r="AU33" s="398">
        <f>IFERROR(AS33*AT16*AT22,0)</f>
        <v>26464.695138865151</v>
      </c>
      <c r="AW33" s="167" t="str">
        <f>IF(INDEX('Master Lookup'!$B$37:$B$47,$B33)=0,"",INDEX('Master Lookup'!$B$37:$B$47,$B33))</f>
        <v>Other Expense</v>
      </c>
      <c r="AX33" s="404">
        <f>IFERROR(INDEX('Master Lookup'!$C$37:$C$47,MATCH(AW33,'Master Lookup'!$B$37:$B$47,0)),"")</f>
        <v>3151.0944966340862</v>
      </c>
      <c r="AY33" s="361"/>
      <c r="AZ33" s="398">
        <f>IFERROR(AX33*AY16*AY22,0)</f>
        <v>28062.190091157758</v>
      </c>
      <c r="BB33" s="167" t="str">
        <f>IF(INDEX('Master Lookup'!$B$37:$B$47,$B33)=0,"",INDEX('Master Lookup'!$B$37:$B$47,$B33))</f>
        <v>Other Expense</v>
      </c>
      <c r="BC33" s="404">
        <f>IFERROR(INDEX('Master Lookup'!$C$37:$C$47,MATCH(BB33,'Master Lookup'!$B$37:$B$47,0)),"")</f>
        <v>3151.0944966340862</v>
      </c>
      <c r="BD33" s="361"/>
      <c r="BE33" s="398">
        <f>IFERROR(BC33*BD16*BD22,0)</f>
        <v>29465.299595715645</v>
      </c>
      <c r="BG33" s="167" t="str">
        <f>IF(INDEX('Master Lookup'!$B$37:$B$47,$B33)=0,"",INDEX('Master Lookup'!$B$37:$B$47,$B33))</f>
        <v>Other Expense</v>
      </c>
      <c r="BH33" s="404">
        <f>IFERROR(INDEX('Master Lookup'!$C$37:$C$47,MATCH(BG33,'Master Lookup'!$B$37:$B$47,0)),"")</f>
        <v>3151.0944966340862</v>
      </c>
      <c r="BI33" s="361"/>
      <c r="BJ33" s="398">
        <f>IFERROR(BH33*BI16*BI22,0)</f>
        <v>31346.432285409755</v>
      </c>
      <c r="BL33" s="167" t="str">
        <f>IF(INDEX('Master Lookup'!$B$37:$B$47,$B33)=0,"",INDEX('Master Lookup'!$B$37:$B$47,$B33))</f>
        <v>Other Expense</v>
      </c>
      <c r="BM33" s="404">
        <f>IFERROR(INDEX('Master Lookup'!$C$37:$C$47,MATCH(BL33,'Master Lookup'!$B$37:$B$47,0)),"")</f>
        <v>3151.0944966340862</v>
      </c>
      <c r="BO33" s="398">
        <f>IFERROR(BM33*BN16*BN22,0)</f>
        <v>33087.9007457103</v>
      </c>
      <c r="BQ33" s="167" t="str">
        <f>IF(INDEX('Master Lookup'!$B$37:$B$47,$B33)=0,"",INDEX('Master Lookup'!$B$37:$B$47,$B33))</f>
        <v>Other Expense</v>
      </c>
      <c r="BR33" s="404">
        <f>IFERROR(INDEX('Master Lookup'!$C$37:$C$47,MATCH(BQ33,'Master Lookup'!$B$37:$B$47,0)),"")</f>
        <v>3151.0944966340862</v>
      </c>
      <c r="BT33" s="398">
        <f>IFERROR(BR33*BS16*BS22,0)</f>
        <v>34892.84656316106</v>
      </c>
      <c r="BV33" s="167" t="str">
        <f>IF(INDEX('Master Lookup'!$B$37:$B$47,$B33)=0,"",INDEX('Master Lookup'!$B$37:$B$47,$B33))</f>
        <v>Other Expense</v>
      </c>
      <c r="BW33" s="404">
        <f>IFERROR(INDEX('Master Lookup'!$C$37:$C$47,MATCH(BV33,'Master Lookup'!$B$37:$B$47,0)),"")</f>
        <v>3151.0944966340862</v>
      </c>
      <c r="BY33" s="398">
        <f>IFERROR(BW33*BX16*BX22,0)</f>
        <v>36554.410685216353</v>
      </c>
      <c r="CA33" s="167" t="str">
        <f>IF(INDEX('Master Lookup'!$B$37:$B$47,$B33)=0,"",INDEX('Master Lookup'!$B$37:$B$47,$B33))</f>
        <v>Other Expense</v>
      </c>
      <c r="CB33" s="404">
        <f>IFERROR(INDEX('Master Lookup'!$C$37:$C$47,MATCH(CA33,'Master Lookup'!$B$37:$B$47,0)),"")</f>
        <v>3151.0944966340862</v>
      </c>
      <c r="CD33" s="398">
        <f>IFERROR(CB33*CC16*CC22,0)</f>
        <v>38422.747231349633</v>
      </c>
      <c r="CF33" s="167" t="str">
        <f>IF(INDEX('Master Lookup'!$B$37:$B$47,$B33)=0,"",INDEX('Master Lookup'!$B$37:$B$47,$B33))</f>
        <v>Other Expense</v>
      </c>
      <c r="CG33" s="404">
        <f>IFERROR(INDEX('Master Lookup'!$C$37:$C$47,MATCH(CF33,'Master Lookup'!$B$37:$B$47,0)),"")</f>
        <v>3151.0944966340862</v>
      </c>
      <c r="CI33" s="398">
        <f>IFERROR(CG33*CH16*CH22,0)</f>
        <v>40656.168238110178</v>
      </c>
      <c r="CK33" s="167" t="str">
        <f>IF(INDEX('Master Lookup'!$B$37:$B$47,$B33)=0,"",INDEX('Master Lookup'!$B$37:$B$47,$B33))</f>
        <v>Other Expense</v>
      </c>
      <c r="CL33" s="404">
        <f>IFERROR(INDEX('Master Lookup'!$C$37:$C$47,MATCH(CK33,'Master Lookup'!$B$37:$B$47,0)),"")</f>
        <v>3151.0944966340862</v>
      </c>
      <c r="CN33" s="398">
        <f>IFERROR(CL33*CM16*CM22,0)</f>
        <v>43047.707546234313</v>
      </c>
      <c r="CP33" s="167" t="str">
        <f>IF(INDEX('Master Lookup'!$B$37:$B$47,$B33)=0,"",INDEX('Master Lookup'!$B$37:$B$47,$B33))</f>
        <v>Other Expense</v>
      </c>
      <c r="CQ33" s="404">
        <f>IFERROR(INDEX('Master Lookup'!$C$37:$C$47,MATCH(CP33,'Master Lookup'!$B$37:$B$47,0)),"")</f>
        <v>3151.0944966340862</v>
      </c>
      <c r="CS33" s="398">
        <f>IFERROR(CQ33*CR16*CR22,0)</f>
        <v>45439.246854358433</v>
      </c>
      <c r="CU33" s="167" t="str">
        <f>IF(INDEX('Master Lookup'!$B$37:$B$47,$B33)=0,"",INDEX('Master Lookup'!$B$37:$B$47,$B33))</f>
        <v>Other Expense</v>
      </c>
      <c r="CV33" s="404">
        <f>IFERROR(INDEX('Master Lookup'!$C$37:$C$47,MATCH(CU33,'Master Lookup'!$B$37:$B$47,0)),"")</f>
        <v>3151.0944966340862</v>
      </c>
      <c r="CX33" s="398">
        <f>IFERROR(CV33*CW16*CW22,0)</f>
        <v>48001.610398777149</v>
      </c>
      <c r="CZ33" s="167" t="str">
        <f>IF(INDEX('Master Lookup'!$B$37:$B$47,$B33)=0,"",INDEX('Master Lookup'!$B$37:$B$47,$B33))</f>
        <v>Other Expense</v>
      </c>
      <c r="DA33" s="404">
        <f>IFERROR(INDEX('Master Lookup'!$C$37:$C$47,MATCH(CZ33,'Master Lookup'!$B$37:$B$47,0)),"")</f>
        <v>3151.0944966340862</v>
      </c>
      <c r="DC33" s="398">
        <f>IFERROR(DA33*DB16*DB22,0)</f>
        <v>50583.975515167062</v>
      </c>
      <c r="DE33" s="167" t="str">
        <f>IF(INDEX('Master Lookup'!$B$37:$B$47,$B33)=0,"",INDEX('Master Lookup'!$B$37:$B$47,$B33))</f>
        <v>Other Expense</v>
      </c>
      <c r="DF33" s="404">
        <f>IFERROR(INDEX('Master Lookup'!$C$37:$C$47,MATCH(DE33,'Master Lookup'!$B$37:$B$47,0)),"")</f>
        <v>3151.0944966340862</v>
      </c>
      <c r="DH33" s="398">
        <f>IFERROR(DF33*DG16*DG22,0)</f>
        <v>53386.003313383313</v>
      </c>
      <c r="DJ33" s="167" t="str">
        <f>IF(INDEX('Master Lookup'!$B$37:$B$47,$B33)=0,"",INDEX('Master Lookup'!$B$37:$B$47,$B33))</f>
        <v>Other Expense</v>
      </c>
      <c r="DK33" s="404">
        <f>IFERROR(INDEX('Master Lookup'!$C$37:$C$47,MATCH(DJ33,'Master Lookup'!$B$37:$B$47,0)),"")</f>
        <v>3151.0944966340862</v>
      </c>
      <c r="DM33" s="398">
        <f>IFERROR(DK33*DL16*DL22,0)</f>
        <v>56237.878988219469</v>
      </c>
      <c r="DO33" s="167" t="str">
        <f>IF(INDEX('Master Lookup'!$B$37:$B$47,$B33)=0,"",INDEX('Master Lookup'!$B$37:$B$47,$B33))</f>
        <v>Other Expense</v>
      </c>
      <c r="DP33" s="404">
        <f>IFERROR(INDEX('Master Lookup'!$C$37:$C$47,MATCH(DO33,'Master Lookup'!$B$37:$B$47,0)),"")</f>
        <v>3151.0944966340862</v>
      </c>
      <c r="DR33" s="398">
        <f>IFERROR(DP33*DQ16*DQ22,0)</f>
        <v>59381.611354020541</v>
      </c>
    </row>
    <row r="34" spans="2:122" hidden="1" x14ac:dyDescent="0.25">
      <c r="B34" s="361">
        <v>6</v>
      </c>
      <c r="D34" s="408" t="str">
        <f>IF(INDEX('Master Lookup'!$B$37:$B$47,$B34)=0,"",INDEX('Master Lookup'!$B$37:$B$47,$B34))</f>
        <v/>
      </c>
      <c r="E34" s="407" t="str">
        <f>IFERROR(INDEX('Master Lookup'!$C$37:$C$47,MATCH(D34,'Master Lookup'!$B$37:$B$47,0)),"")</f>
        <v/>
      </c>
      <c r="F34" s="406"/>
      <c r="G34" s="405"/>
      <c r="I34" s="408" t="str">
        <f>IF(INDEX('Master Lookup'!$B$37:$B$47,$B34)=0,"",INDEX('Master Lookup'!$B$37:$B$47,$B34))</f>
        <v/>
      </c>
      <c r="J34" s="407" t="str">
        <f>IFERROR(INDEX('Master Lookup'!$C$37:$C$47,MATCH(I34,'Master Lookup'!$B$37:$B$47,0)),"")</f>
        <v/>
      </c>
      <c r="K34" s="406"/>
      <c r="L34" s="405"/>
      <c r="N34" s="408" t="str">
        <f>IF(INDEX('Master Lookup'!$B$37:$B$47,$B34)=0,"",INDEX('Master Lookup'!$B$37:$B$47,$B34))</f>
        <v/>
      </c>
      <c r="O34" s="407" t="str">
        <f>IFERROR(INDEX('Master Lookup'!$C$37:$C$47,MATCH(N34,'Master Lookup'!$B$37:$B$47,0)),"")</f>
        <v/>
      </c>
      <c r="P34" s="406"/>
      <c r="Q34" s="405"/>
      <c r="S34" s="408" t="str">
        <f>IF(INDEX('Master Lookup'!$B$37:$B$47,$B34)=0,"",INDEX('Master Lookup'!$B$37:$B$47,$B34))</f>
        <v/>
      </c>
      <c r="T34" s="407" t="str">
        <f>IFERROR(INDEX('Master Lookup'!$C$37:$C$47,MATCH(S34,'Master Lookup'!$B$37:$B$47,0)),"")</f>
        <v/>
      </c>
      <c r="U34" s="406"/>
      <c r="V34" s="405"/>
      <c r="X34" s="408" t="str">
        <f>IF(INDEX('Master Lookup'!$B$37:$B$47,$B34)=0,"",INDEX('Master Lookup'!$B$37:$B$47,$B34))</f>
        <v/>
      </c>
      <c r="Y34" s="407" t="str">
        <f>IFERROR(INDEX('Master Lookup'!$C$37:$C$47,MATCH(X34,'Master Lookup'!$B$37:$B$47,0)),"")</f>
        <v/>
      </c>
      <c r="Z34" s="406"/>
      <c r="AA34" s="405"/>
      <c r="AC34" s="408" t="str">
        <f>IF(INDEX('Master Lookup'!$B$37:$B$47,$B34)=0,"",INDEX('Master Lookup'!$B$37:$B$47,$B34))</f>
        <v/>
      </c>
      <c r="AD34" s="407" t="str">
        <f>IFERROR(INDEX('Master Lookup'!$C$37:$C$47,MATCH(AC34,'Master Lookup'!$B$37:$B$47,0)),"")</f>
        <v/>
      </c>
      <c r="AE34" s="406"/>
      <c r="AF34" s="405"/>
      <c r="AH34" s="408" t="str">
        <f>IF(INDEX('Master Lookup'!$B$37:$B$47,$B34)=0,"",INDEX('Master Lookup'!$B$37:$B$47,$B34))</f>
        <v/>
      </c>
      <c r="AI34" s="407" t="str">
        <f>IFERROR(INDEX('Master Lookup'!$C$37:$C$47,MATCH(AH34,'Master Lookup'!$B$37:$B$47,0)),"")</f>
        <v/>
      </c>
      <c r="AJ34" s="406"/>
      <c r="AK34" s="405"/>
      <c r="AM34" s="408" t="str">
        <f>IF(INDEX('Master Lookup'!$B$37:$B$47,$B34)=0,"",INDEX('Master Lookup'!$B$37:$B$47,$B34))</f>
        <v/>
      </c>
      <c r="AN34" s="407" t="str">
        <f>IFERROR(INDEX('Master Lookup'!$C$37:$C$47,MATCH(AM34,'Master Lookup'!$B$37:$B$47,0)),"")</f>
        <v/>
      </c>
      <c r="AO34" s="406"/>
      <c r="AP34" s="405"/>
      <c r="AR34" s="408" t="str">
        <f>IF(INDEX('Master Lookup'!$B$37:$B$47,$B34)=0,"",INDEX('Master Lookup'!$B$37:$B$47,$B34))</f>
        <v/>
      </c>
      <c r="AS34" s="407" t="str">
        <f>IFERROR(INDEX('Master Lookup'!$C$37:$C$47,MATCH(AR34,'Master Lookup'!$B$37:$B$47,0)),"")</f>
        <v/>
      </c>
      <c r="AT34" s="406"/>
      <c r="AU34" s="405"/>
      <c r="AW34" s="408" t="str">
        <f>IF(INDEX('Master Lookup'!$B$37:$B$47,$B34)=0,"",INDEX('Master Lookup'!$B$37:$B$47,$B34))</f>
        <v/>
      </c>
      <c r="AX34" s="407" t="str">
        <f>IFERROR(INDEX('Master Lookup'!$C$37:$C$47,MATCH(AW34,'Master Lookup'!$B$37:$B$47,0)),"")</f>
        <v/>
      </c>
      <c r="AY34" s="406"/>
      <c r="AZ34" s="405"/>
      <c r="BB34" s="408" t="str">
        <f>IF(INDEX('Master Lookup'!$B$37:$B$47,$B34)=0,"",INDEX('Master Lookup'!$B$37:$B$47,$B34))</f>
        <v/>
      </c>
      <c r="BC34" s="407" t="str">
        <f>IFERROR(INDEX('Master Lookup'!$C$37:$C$47,MATCH(BB34,'Master Lookup'!$B$37:$B$47,0)),"")</f>
        <v/>
      </c>
      <c r="BD34" s="406"/>
      <c r="BE34" s="405"/>
      <c r="BG34" s="408" t="str">
        <f>IF(INDEX('Master Lookup'!$B$37:$B$47,$B34)=0,"",INDEX('Master Lookup'!$B$37:$B$47,$B34))</f>
        <v/>
      </c>
      <c r="BH34" s="407" t="str">
        <f>IFERROR(INDEX('Master Lookup'!$C$37:$C$47,MATCH(BG34,'Master Lookup'!$B$37:$B$47,0)),"")</f>
        <v/>
      </c>
      <c r="BI34" s="406"/>
      <c r="BJ34" s="405"/>
      <c r="BL34" s="408" t="str">
        <f>IF(INDEX('Master Lookup'!$B$37:$B$47,$B34)=0,"",INDEX('Master Lookup'!$B$37:$B$47,$B34))</f>
        <v/>
      </c>
      <c r="BM34" s="407" t="str">
        <f>IFERROR(INDEX('Master Lookup'!$C$37:$C$47,MATCH(BL34,'Master Lookup'!$B$37:$B$47,0)),"")</f>
        <v/>
      </c>
      <c r="BN34" s="406"/>
      <c r="BO34" s="405"/>
      <c r="BQ34" s="408" t="str">
        <f>IF(INDEX('Master Lookup'!$B$37:$B$47,$B34)=0,"",INDEX('Master Lookup'!$B$37:$B$47,$B34))</f>
        <v/>
      </c>
      <c r="BR34" s="407" t="str">
        <f>IFERROR(INDEX('Master Lookup'!$C$37:$C$47,MATCH(BQ34,'Master Lookup'!$B$37:$B$47,0)),"")</f>
        <v/>
      </c>
      <c r="BS34" s="406"/>
      <c r="BT34" s="405"/>
      <c r="BV34" s="408" t="str">
        <f>IF(INDEX('Master Lookup'!$B$37:$B$47,$B34)=0,"",INDEX('Master Lookup'!$B$37:$B$47,$B34))</f>
        <v/>
      </c>
      <c r="BW34" s="407" t="str">
        <f>IFERROR(INDEX('Master Lookup'!$C$37:$C$47,MATCH(BV34,'Master Lookup'!$B$37:$B$47,0)),"")</f>
        <v/>
      </c>
      <c r="BX34" s="406"/>
      <c r="BY34" s="405"/>
      <c r="CA34" s="408" t="str">
        <f>IF(INDEX('Master Lookup'!$B$37:$B$47,$B34)=0,"",INDEX('Master Lookup'!$B$37:$B$47,$B34))</f>
        <v/>
      </c>
      <c r="CB34" s="407" t="str">
        <f>IFERROR(INDEX('Master Lookup'!$C$37:$C$47,MATCH(CA34,'Master Lookup'!$B$37:$B$47,0)),"")</f>
        <v/>
      </c>
      <c r="CC34" s="406"/>
      <c r="CD34" s="405"/>
      <c r="CF34" s="408" t="str">
        <f>IF(INDEX('Master Lookup'!$B$37:$B$47,$B34)=0,"",INDEX('Master Lookup'!$B$37:$B$47,$B34))</f>
        <v/>
      </c>
      <c r="CG34" s="407" t="str">
        <f>IFERROR(INDEX('Master Lookup'!$C$37:$C$47,MATCH(CF34,'Master Lookup'!$B$37:$B$47,0)),"")</f>
        <v/>
      </c>
      <c r="CH34" s="406"/>
      <c r="CI34" s="405"/>
      <c r="CK34" s="408" t="str">
        <f>IF(INDEX('Master Lookup'!$B$37:$B$47,$B34)=0,"",INDEX('Master Lookup'!$B$37:$B$47,$B34))</f>
        <v/>
      </c>
      <c r="CL34" s="407" t="str">
        <f>IFERROR(INDEX('Master Lookup'!$C$37:$C$47,MATCH(CK34,'Master Lookup'!$B$37:$B$47,0)),"")</f>
        <v/>
      </c>
      <c r="CM34" s="406"/>
      <c r="CN34" s="405"/>
      <c r="CP34" s="408" t="str">
        <f>IF(INDEX('Master Lookup'!$B$37:$B$47,$B34)=0,"",INDEX('Master Lookup'!$B$37:$B$47,$B34))</f>
        <v/>
      </c>
      <c r="CQ34" s="407" t="str">
        <f>IFERROR(INDEX('Master Lookup'!$C$37:$C$47,MATCH(CP34,'Master Lookup'!$B$37:$B$47,0)),"")</f>
        <v/>
      </c>
      <c r="CR34" s="406"/>
      <c r="CS34" s="405"/>
      <c r="CU34" s="408" t="str">
        <f>IF(INDEX('Master Lookup'!$B$37:$B$47,$B34)=0,"",INDEX('Master Lookup'!$B$37:$B$47,$B34))</f>
        <v/>
      </c>
      <c r="CV34" s="407" t="str">
        <f>IFERROR(INDEX('Master Lookup'!$C$37:$C$47,MATCH(CU34,'Master Lookup'!$B$37:$B$47,0)),"")</f>
        <v/>
      </c>
      <c r="CW34" s="406"/>
      <c r="CX34" s="405"/>
      <c r="CZ34" s="408" t="str">
        <f>IF(INDEX('Master Lookup'!$B$37:$B$47,$B34)=0,"",INDEX('Master Lookup'!$B$37:$B$47,$B34))</f>
        <v/>
      </c>
      <c r="DA34" s="407" t="str">
        <f>IFERROR(INDEX('Master Lookup'!$C$37:$C$47,MATCH(CZ34,'Master Lookup'!$B$37:$B$47,0)),"")</f>
        <v/>
      </c>
      <c r="DB34" s="406"/>
      <c r="DC34" s="405"/>
      <c r="DE34" s="408" t="str">
        <f>IF(INDEX('Master Lookup'!$B$37:$B$47,$B34)=0,"",INDEX('Master Lookup'!$B$37:$B$47,$B34))</f>
        <v/>
      </c>
      <c r="DF34" s="407" t="str">
        <f>IFERROR(INDEX('Master Lookup'!$C$37:$C$47,MATCH(DE34,'Master Lookup'!$B$37:$B$47,0)),"")</f>
        <v/>
      </c>
      <c r="DG34" s="406"/>
      <c r="DH34" s="405"/>
      <c r="DJ34" s="408" t="str">
        <f>IF(INDEX('Master Lookup'!$B$37:$B$47,$B34)=0,"",INDEX('Master Lookup'!$B$37:$B$47,$B34))</f>
        <v/>
      </c>
      <c r="DK34" s="407" t="str">
        <f>IFERROR(INDEX('Master Lookup'!$C$37:$C$47,MATCH(DJ34,'Master Lookup'!$B$37:$B$47,0)),"")</f>
        <v/>
      </c>
      <c r="DL34" s="406"/>
      <c r="DM34" s="405"/>
      <c r="DO34" s="408" t="str">
        <f>IF(INDEX('Master Lookup'!$B$37:$B$47,$B34)=0,"",INDEX('Master Lookup'!$B$37:$B$47,$B34))</f>
        <v/>
      </c>
      <c r="DP34" s="407" t="str">
        <f>IFERROR(INDEX('Master Lookup'!$C$37:$C$47,MATCH(DO34,'Master Lookup'!$B$37:$B$47,0)),"")</f>
        <v/>
      </c>
      <c r="DQ34" s="406"/>
      <c r="DR34" s="405"/>
    </row>
    <row r="35" spans="2:122" hidden="1" x14ac:dyDescent="0.25">
      <c r="B35" s="361">
        <v>7</v>
      </c>
      <c r="D35" s="408" t="str">
        <f>IF(INDEX('Master Lookup'!$B$37:$B$47,$B35)=0,"",INDEX('Master Lookup'!$B$37:$B$47,$B35))</f>
        <v/>
      </c>
      <c r="E35" s="407" t="str">
        <f>IFERROR(INDEX('Master Lookup'!$C$37:$C$47,MATCH(D35,'Master Lookup'!$B$37:$B$47,0)),"")</f>
        <v/>
      </c>
      <c r="F35" s="406"/>
      <c r="G35" s="405"/>
      <c r="I35" s="408" t="str">
        <f>IF(INDEX('Master Lookup'!$B$37:$B$47,$B35)=0,"",INDEX('Master Lookup'!$B$37:$B$47,$B35))</f>
        <v/>
      </c>
      <c r="J35" s="407" t="str">
        <f>IFERROR(INDEX('Master Lookup'!$C$37:$C$47,MATCH(I35,'Master Lookup'!$B$37:$B$47,0)),"")</f>
        <v/>
      </c>
      <c r="K35" s="406"/>
      <c r="L35" s="405"/>
      <c r="N35" s="408" t="str">
        <f>IF(INDEX('Master Lookup'!$B$37:$B$47,$B35)=0,"",INDEX('Master Lookup'!$B$37:$B$47,$B35))</f>
        <v/>
      </c>
      <c r="O35" s="407" t="str">
        <f>IFERROR(INDEX('Master Lookup'!$C$37:$C$47,MATCH(N35,'Master Lookup'!$B$37:$B$47,0)),"")</f>
        <v/>
      </c>
      <c r="P35" s="406"/>
      <c r="Q35" s="405"/>
      <c r="S35" s="408" t="str">
        <f>IF(INDEX('Master Lookup'!$B$37:$B$47,$B35)=0,"",INDEX('Master Lookup'!$B$37:$B$47,$B35))</f>
        <v/>
      </c>
      <c r="T35" s="407" t="str">
        <f>IFERROR(INDEX('Master Lookup'!$C$37:$C$47,MATCH(S35,'Master Lookup'!$B$37:$B$47,0)),"")</f>
        <v/>
      </c>
      <c r="U35" s="406"/>
      <c r="V35" s="405"/>
      <c r="X35" s="408" t="str">
        <f>IF(INDEX('Master Lookup'!$B$37:$B$47,$B35)=0,"",INDEX('Master Lookup'!$B$37:$B$47,$B35))</f>
        <v/>
      </c>
      <c r="Y35" s="407" t="str">
        <f>IFERROR(INDEX('Master Lookup'!$C$37:$C$47,MATCH(X35,'Master Lookup'!$B$37:$B$47,0)),"")</f>
        <v/>
      </c>
      <c r="Z35" s="406"/>
      <c r="AA35" s="405"/>
      <c r="AC35" s="408" t="str">
        <f>IF(INDEX('Master Lookup'!$B$37:$B$47,$B35)=0,"",INDEX('Master Lookup'!$B$37:$B$47,$B35))</f>
        <v/>
      </c>
      <c r="AD35" s="407" t="str">
        <f>IFERROR(INDEX('Master Lookup'!$C$37:$C$47,MATCH(AC35,'Master Lookup'!$B$37:$B$47,0)),"")</f>
        <v/>
      </c>
      <c r="AE35" s="406"/>
      <c r="AF35" s="405"/>
      <c r="AH35" s="408" t="str">
        <f>IF(INDEX('Master Lookup'!$B$37:$B$47,$B35)=0,"",INDEX('Master Lookup'!$B$37:$B$47,$B35))</f>
        <v/>
      </c>
      <c r="AI35" s="407" t="str">
        <f>IFERROR(INDEX('Master Lookup'!$C$37:$C$47,MATCH(AH35,'Master Lookup'!$B$37:$B$47,0)),"")</f>
        <v/>
      </c>
      <c r="AJ35" s="406"/>
      <c r="AK35" s="405"/>
      <c r="AM35" s="408" t="str">
        <f>IF(INDEX('Master Lookup'!$B$37:$B$47,$B35)=0,"",INDEX('Master Lookup'!$B$37:$B$47,$B35))</f>
        <v/>
      </c>
      <c r="AN35" s="407" t="str">
        <f>IFERROR(INDEX('Master Lookup'!$C$37:$C$47,MATCH(AM35,'Master Lookup'!$B$37:$B$47,0)),"")</f>
        <v/>
      </c>
      <c r="AO35" s="406"/>
      <c r="AP35" s="405"/>
      <c r="AR35" s="408" t="str">
        <f>IF(INDEX('Master Lookup'!$B$37:$B$47,$B35)=0,"",INDEX('Master Lookup'!$B$37:$B$47,$B35))</f>
        <v/>
      </c>
      <c r="AS35" s="407" t="str">
        <f>IFERROR(INDEX('Master Lookup'!$C$37:$C$47,MATCH(AR35,'Master Lookup'!$B$37:$B$47,0)),"")</f>
        <v/>
      </c>
      <c r="AT35" s="406"/>
      <c r="AU35" s="405"/>
      <c r="AW35" s="408" t="str">
        <f>IF(INDEX('Master Lookup'!$B$37:$B$47,$B35)=0,"",INDEX('Master Lookup'!$B$37:$B$47,$B35))</f>
        <v/>
      </c>
      <c r="AX35" s="407" t="str">
        <f>IFERROR(INDEX('Master Lookup'!$C$37:$C$47,MATCH(AW35,'Master Lookup'!$B$37:$B$47,0)),"")</f>
        <v/>
      </c>
      <c r="AY35" s="406"/>
      <c r="AZ35" s="405"/>
      <c r="BB35" s="408" t="str">
        <f>IF(INDEX('Master Lookup'!$B$37:$B$47,$B35)=0,"",INDEX('Master Lookup'!$B$37:$B$47,$B35))</f>
        <v/>
      </c>
      <c r="BC35" s="407" t="str">
        <f>IFERROR(INDEX('Master Lookup'!$C$37:$C$47,MATCH(BB35,'Master Lookup'!$B$37:$B$47,0)),"")</f>
        <v/>
      </c>
      <c r="BD35" s="406"/>
      <c r="BE35" s="405"/>
      <c r="BG35" s="408" t="str">
        <f>IF(INDEX('Master Lookup'!$B$37:$B$47,$B35)=0,"",INDEX('Master Lookup'!$B$37:$B$47,$B35))</f>
        <v/>
      </c>
      <c r="BH35" s="407" t="str">
        <f>IFERROR(INDEX('Master Lookup'!$C$37:$C$47,MATCH(BG35,'Master Lookup'!$B$37:$B$47,0)),"")</f>
        <v/>
      </c>
      <c r="BI35" s="406"/>
      <c r="BJ35" s="405"/>
      <c r="BL35" s="408" t="str">
        <f>IF(INDEX('Master Lookup'!$B$37:$B$47,$B35)=0,"",INDEX('Master Lookup'!$B$37:$B$47,$B35))</f>
        <v/>
      </c>
      <c r="BM35" s="407" t="str">
        <f>IFERROR(INDEX('Master Lookup'!$C$37:$C$47,MATCH(BL35,'Master Lookup'!$B$37:$B$47,0)),"")</f>
        <v/>
      </c>
      <c r="BN35" s="406"/>
      <c r="BO35" s="405"/>
      <c r="BQ35" s="408" t="str">
        <f>IF(INDEX('Master Lookup'!$B$37:$B$47,$B35)=0,"",INDEX('Master Lookup'!$B$37:$B$47,$B35))</f>
        <v/>
      </c>
      <c r="BR35" s="407" t="str">
        <f>IFERROR(INDEX('Master Lookup'!$C$37:$C$47,MATCH(BQ35,'Master Lookup'!$B$37:$B$47,0)),"")</f>
        <v/>
      </c>
      <c r="BS35" s="406"/>
      <c r="BT35" s="405"/>
      <c r="BV35" s="408" t="str">
        <f>IF(INDEX('Master Lookup'!$B$37:$B$47,$B35)=0,"",INDEX('Master Lookup'!$B$37:$B$47,$B35))</f>
        <v/>
      </c>
      <c r="BW35" s="407" t="str">
        <f>IFERROR(INDEX('Master Lookup'!$C$37:$C$47,MATCH(BV35,'Master Lookup'!$B$37:$B$47,0)),"")</f>
        <v/>
      </c>
      <c r="BX35" s="406"/>
      <c r="BY35" s="405"/>
      <c r="CA35" s="408" t="str">
        <f>IF(INDEX('Master Lookup'!$B$37:$B$47,$B35)=0,"",INDEX('Master Lookup'!$B$37:$B$47,$B35))</f>
        <v/>
      </c>
      <c r="CB35" s="407" t="str">
        <f>IFERROR(INDEX('Master Lookup'!$C$37:$C$47,MATCH(CA35,'Master Lookup'!$B$37:$B$47,0)),"")</f>
        <v/>
      </c>
      <c r="CC35" s="406"/>
      <c r="CD35" s="405"/>
      <c r="CF35" s="408" t="str">
        <f>IF(INDEX('Master Lookup'!$B$37:$B$47,$B35)=0,"",INDEX('Master Lookup'!$B$37:$B$47,$B35))</f>
        <v/>
      </c>
      <c r="CG35" s="407" t="str">
        <f>IFERROR(INDEX('Master Lookup'!$C$37:$C$47,MATCH(CF35,'Master Lookup'!$B$37:$B$47,0)),"")</f>
        <v/>
      </c>
      <c r="CH35" s="406"/>
      <c r="CI35" s="405"/>
      <c r="CK35" s="408" t="str">
        <f>IF(INDEX('Master Lookup'!$B$37:$B$47,$B35)=0,"",INDEX('Master Lookup'!$B$37:$B$47,$B35))</f>
        <v/>
      </c>
      <c r="CL35" s="407" t="str">
        <f>IFERROR(INDEX('Master Lookup'!$C$37:$C$47,MATCH(CK35,'Master Lookup'!$B$37:$B$47,0)),"")</f>
        <v/>
      </c>
      <c r="CM35" s="406"/>
      <c r="CN35" s="405"/>
      <c r="CP35" s="408" t="str">
        <f>IF(INDEX('Master Lookup'!$B$37:$B$47,$B35)=0,"",INDEX('Master Lookup'!$B$37:$B$47,$B35))</f>
        <v/>
      </c>
      <c r="CQ35" s="407" t="str">
        <f>IFERROR(INDEX('Master Lookup'!$C$37:$C$47,MATCH(CP35,'Master Lookup'!$B$37:$B$47,0)),"")</f>
        <v/>
      </c>
      <c r="CR35" s="406"/>
      <c r="CS35" s="405"/>
      <c r="CU35" s="408" t="str">
        <f>IF(INDEX('Master Lookup'!$B$37:$B$47,$B35)=0,"",INDEX('Master Lookup'!$B$37:$B$47,$B35))</f>
        <v/>
      </c>
      <c r="CV35" s="407" t="str">
        <f>IFERROR(INDEX('Master Lookup'!$C$37:$C$47,MATCH(CU35,'Master Lookup'!$B$37:$B$47,0)),"")</f>
        <v/>
      </c>
      <c r="CW35" s="406"/>
      <c r="CX35" s="405"/>
      <c r="CZ35" s="408" t="str">
        <f>IF(INDEX('Master Lookup'!$B$37:$B$47,$B35)=0,"",INDEX('Master Lookup'!$B$37:$B$47,$B35))</f>
        <v/>
      </c>
      <c r="DA35" s="407" t="str">
        <f>IFERROR(INDEX('Master Lookup'!$C$37:$C$47,MATCH(CZ35,'Master Lookup'!$B$37:$B$47,0)),"")</f>
        <v/>
      </c>
      <c r="DB35" s="406"/>
      <c r="DC35" s="405"/>
      <c r="DE35" s="408" t="str">
        <f>IF(INDEX('Master Lookup'!$B$37:$B$47,$B35)=0,"",INDEX('Master Lookup'!$B$37:$B$47,$B35))</f>
        <v/>
      </c>
      <c r="DF35" s="407" t="str">
        <f>IFERROR(INDEX('Master Lookup'!$C$37:$C$47,MATCH(DE35,'Master Lookup'!$B$37:$B$47,0)),"")</f>
        <v/>
      </c>
      <c r="DG35" s="406"/>
      <c r="DH35" s="405"/>
      <c r="DJ35" s="408" t="str">
        <f>IF(INDEX('Master Lookup'!$B$37:$B$47,$B35)=0,"",INDEX('Master Lookup'!$B$37:$B$47,$B35))</f>
        <v/>
      </c>
      <c r="DK35" s="407" t="str">
        <f>IFERROR(INDEX('Master Lookup'!$C$37:$C$47,MATCH(DJ35,'Master Lookup'!$B$37:$B$47,0)),"")</f>
        <v/>
      </c>
      <c r="DL35" s="406"/>
      <c r="DM35" s="405"/>
      <c r="DO35" s="408" t="str">
        <f>IF(INDEX('Master Lookup'!$B$37:$B$47,$B35)=0,"",INDEX('Master Lookup'!$B$37:$B$47,$B35))</f>
        <v/>
      </c>
      <c r="DP35" s="407" t="str">
        <f>IFERROR(INDEX('Master Lookup'!$C$37:$C$47,MATCH(DO35,'Master Lookup'!$B$37:$B$47,0)),"")</f>
        <v/>
      </c>
      <c r="DQ35" s="406"/>
      <c r="DR35" s="405"/>
    </row>
    <row r="36" spans="2:122" hidden="1" x14ac:dyDescent="0.25">
      <c r="B36" s="361">
        <v>8</v>
      </c>
      <c r="D36" s="408" t="str">
        <f>IF(INDEX('Master Lookup'!$B$37:$B$47,$B36)=0,"",INDEX('Master Lookup'!$B$37:$B$47,$B36))</f>
        <v/>
      </c>
      <c r="E36" s="407" t="str">
        <f>IFERROR(INDEX('Master Lookup'!$C$37:$C$47,MATCH(D36,'Master Lookup'!$B$37:$B$47,0)),"")</f>
        <v/>
      </c>
      <c r="F36" s="406"/>
      <c r="G36" s="405"/>
      <c r="I36" s="408" t="str">
        <f>IF(INDEX('Master Lookup'!$B$37:$B$47,$B36)=0,"",INDEX('Master Lookup'!$B$37:$B$47,$B36))</f>
        <v/>
      </c>
      <c r="J36" s="407" t="str">
        <f>IFERROR(INDEX('Master Lookup'!$C$37:$C$47,MATCH(I36,'Master Lookup'!$B$37:$B$47,0)),"")</f>
        <v/>
      </c>
      <c r="K36" s="406"/>
      <c r="L36" s="405"/>
      <c r="N36" s="408" t="str">
        <f>IF(INDEX('Master Lookup'!$B$37:$B$47,$B36)=0,"",INDEX('Master Lookup'!$B$37:$B$47,$B36))</f>
        <v/>
      </c>
      <c r="O36" s="407" t="str">
        <f>IFERROR(INDEX('Master Lookup'!$C$37:$C$47,MATCH(N36,'Master Lookup'!$B$37:$B$47,0)),"")</f>
        <v/>
      </c>
      <c r="P36" s="406"/>
      <c r="Q36" s="405"/>
      <c r="S36" s="408" t="str">
        <f>IF(INDEX('Master Lookup'!$B$37:$B$47,$B36)=0,"",INDEX('Master Lookup'!$B$37:$B$47,$B36))</f>
        <v/>
      </c>
      <c r="T36" s="407" t="str">
        <f>IFERROR(INDEX('Master Lookup'!$C$37:$C$47,MATCH(S36,'Master Lookup'!$B$37:$B$47,0)),"")</f>
        <v/>
      </c>
      <c r="U36" s="406"/>
      <c r="V36" s="405"/>
      <c r="X36" s="408" t="str">
        <f>IF(INDEX('Master Lookup'!$B$37:$B$47,$B36)=0,"",INDEX('Master Lookup'!$B$37:$B$47,$B36))</f>
        <v/>
      </c>
      <c r="Y36" s="407" t="str">
        <f>IFERROR(INDEX('Master Lookup'!$C$37:$C$47,MATCH(X36,'Master Lookup'!$B$37:$B$47,0)),"")</f>
        <v/>
      </c>
      <c r="Z36" s="406"/>
      <c r="AA36" s="405"/>
      <c r="AC36" s="408" t="str">
        <f>IF(INDEX('Master Lookup'!$B$37:$B$47,$B36)=0,"",INDEX('Master Lookup'!$B$37:$B$47,$B36))</f>
        <v/>
      </c>
      <c r="AD36" s="407" t="str">
        <f>IFERROR(INDEX('Master Lookup'!$C$37:$C$47,MATCH(AC36,'Master Lookup'!$B$37:$B$47,0)),"")</f>
        <v/>
      </c>
      <c r="AE36" s="406"/>
      <c r="AF36" s="405"/>
      <c r="AH36" s="408" t="str">
        <f>IF(INDEX('Master Lookup'!$B$37:$B$47,$B36)=0,"",INDEX('Master Lookup'!$B$37:$B$47,$B36))</f>
        <v/>
      </c>
      <c r="AI36" s="407" t="str">
        <f>IFERROR(INDEX('Master Lookup'!$C$37:$C$47,MATCH(AH36,'Master Lookup'!$B$37:$B$47,0)),"")</f>
        <v/>
      </c>
      <c r="AJ36" s="406"/>
      <c r="AK36" s="405"/>
      <c r="AM36" s="408" t="str">
        <f>IF(INDEX('Master Lookup'!$B$37:$B$47,$B36)=0,"",INDEX('Master Lookup'!$B$37:$B$47,$B36))</f>
        <v/>
      </c>
      <c r="AN36" s="407" t="str">
        <f>IFERROR(INDEX('Master Lookup'!$C$37:$C$47,MATCH(AM36,'Master Lookup'!$B$37:$B$47,0)),"")</f>
        <v/>
      </c>
      <c r="AO36" s="406"/>
      <c r="AP36" s="405"/>
      <c r="AR36" s="408" t="str">
        <f>IF(INDEX('Master Lookup'!$B$37:$B$47,$B36)=0,"",INDEX('Master Lookup'!$B$37:$B$47,$B36))</f>
        <v/>
      </c>
      <c r="AS36" s="407" t="str">
        <f>IFERROR(INDEX('Master Lookup'!$C$37:$C$47,MATCH(AR36,'Master Lookup'!$B$37:$B$47,0)),"")</f>
        <v/>
      </c>
      <c r="AT36" s="406"/>
      <c r="AU36" s="405"/>
      <c r="AW36" s="408" t="str">
        <f>IF(INDEX('Master Lookup'!$B$37:$B$47,$B36)=0,"",INDEX('Master Lookup'!$B$37:$B$47,$B36))</f>
        <v/>
      </c>
      <c r="AX36" s="407" t="str">
        <f>IFERROR(INDEX('Master Lookup'!$C$37:$C$47,MATCH(AW36,'Master Lookup'!$B$37:$B$47,0)),"")</f>
        <v/>
      </c>
      <c r="AY36" s="406"/>
      <c r="AZ36" s="405"/>
      <c r="BB36" s="408" t="str">
        <f>IF(INDEX('Master Lookup'!$B$37:$B$47,$B36)=0,"",INDEX('Master Lookup'!$B$37:$B$47,$B36))</f>
        <v/>
      </c>
      <c r="BC36" s="407" t="str">
        <f>IFERROR(INDEX('Master Lookup'!$C$37:$C$47,MATCH(BB36,'Master Lookup'!$B$37:$B$47,0)),"")</f>
        <v/>
      </c>
      <c r="BD36" s="406"/>
      <c r="BE36" s="405"/>
      <c r="BG36" s="408" t="str">
        <f>IF(INDEX('Master Lookup'!$B$37:$B$47,$B36)=0,"",INDEX('Master Lookup'!$B$37:$B$47,$B36))</f>
        <v/>
      </c>
      <c r="BH36" s="407" t="str">
        <f>IFERROR(INDEX('Master Lookup'!$C$37:$C$47,MATCH(BG36,'Master Lookup'!$B$37:$B$47,0)),"")</f>
        <v/>
      </c>
      <c r="BI36" s="406"/>
      <c r="BJ36" s="405"/>
      <c r="BL36" s="408" t="str">
        <f>IF(INDEX('Master Lookup'!$B$37:$B$47,$B36)=0,"",INDEX('Master Lookup'!$B$37:$B$47,$B36))</f>
        <v/>
      </c>
      <c r="BM36" s="407" t="str">
        <f>IFERROR(INDEX('Master Lookup'!$C$37:$C$47,MATCH(BL36,'Master Lookup'!$B$37:$B$47,0)),"")</f>
        <v/>
      </c>
      <c r="BN36" s="406"/>
      <c r="BO36" s="405"/>
      <c r="BQ36" s="408" t="str">
        <f>IF(INDEX('Master Lookup'!$B$37:$B$47,$B36)=0,"",INDEX('Master Lookup'!$B$37:$B$47,$B36))</f>
        <v/>
      </c>
      <c r="BR36" s="407" t="str">
        <f>IFERROR(INDEX('Master Lookup'!$C$37:$C$47,MATCH(BQ36,'Master Lookup'!$B$37:$B$47,0)),"")</f>
        <v/>
      </c>
      <c r="BS36" s="406"/>
      <c r="BT36" s="405"/>
      <c r="BV36" s="408" t="str">
        <f>IF(INDEX('Master Lookup'!$B$37:$B$47,$B36)=0,"",INDEX('Master Lookup'!$B$37:$B$47,$B36))</f>
        <v/>
      </c>
      <c r="BW36" s="407" t="str">
        <f>IFERROR(INDEX('Master Lookup'!$C$37:$C$47,MATCH(BV36,'Master Lookup'!$B$37:$B$47,0)),"")</f>
        <v/>
      </c>
      <c r="BX36" s="406"/>
      <c r="BY36" s="405"/>
      <c r="CA36" s="408" t="str">
        <f>IF(INDEX('Master Lookup'!$B$37:$B$47,$B36)=0,"",INDEX('Master Lookup'!$B$37:$B$47,$B36))</f>
        <v/>
      </c>
      <c r="CB36" s="407" t="str">
        <f>IFERROR(INDEX('Master Lookup'!$C$37:$C$47,MATCH(CA36,'Master Lookup'!$B$37:$B$47,0)),"")</f>
        <v/>
      </c>
      <c r="CC36" s="406"/>
      <c r="CD36" s="405"/>
      <c r="CF36" s="408" t="str">
        <f>IF(INDEX('Master Lookup'!$B$37:$B$47,$B36)=0,"",INDEX('Master Lookup'!$B$37:$B$47,$B36))</f>
        <v/>
      </c>
      <c r="CG36" s="407" t="str">
        <f>IFERROR(INDEX('Master Lookup'!$C$37:$C$47,MATCH(CF36,'Master Lookup'!$B$37:$B$47,0)),"")</f>
        <v/>
      </c>
      <c r="CH36" s="406"/>
      <c r="CI36" s="405"/>
      <c r="CK36" s="408" t="str">
        <f>IF(INDEX('Master Lookup'!$B$37:$B$47,$B36)=0,"",INDEX('Master Lookup'!$B$37:$B$47,$B36))</f>
        <v/>
      </c>
      <c r="CL36" s="407" t="str">
        <f>IFERROR(INDEX('Master Lookup'!$C$37:$C$47,MATCH(CK36,'Master Lookup'!$B$37:$B$47,0)),"")</f>
        <v/>
      </c>
      <c r="CM36" s="406"/>
      <c r="CN36" s="405"/>
      <c r="CP36" s="408" t="str">
        <f>IF(INDEX('Master Lookup'!$B$37:$B$47,$B36)=0,"",INDEX('Master Lookup'!$B$37:$B$47,$B36))</f>
        <v/>
      </c>
      <c r="CQ36" s="407" t="str">
        <f>IFERROR(INDEX('Master Lookup'!$C$37:$C$47,MATCH(CP36,'Master Lookup'!$B$37:$B$47,0)),"")</f>
        <v/>
      </c>
      <c r="CR36" s="406"/>
      <c r="CS36" s="405"/>
      <c r="CU36" s="408" t="str">
        <f>IF(INDEX('Master Lookup'!$B$37:$B$47,$B36)=0,"",INDEX('Master Lookup'!$B$37:$B$47,$B36))</f>
        <v/>
      </c>
      <c r="CV36" s="407" t="str">
        <f>IFERROR(INDEX('Master Lookup'!$C$37:$C$47,MATCH(CU36,'Master Lookup'!$B$37:$B$47,0)),"")</f>
        <v/>
      </c>
      <c r="CW36" s="406"/>
      <c r="CX36" s="405"/>
      <c r="CZ36" s="408" t="str">
        <f>IF(INDEX('Master Lookup'!$B$37:$B$47,$B36)=0,"",INDEX('Master Lookup'!$B$37:$B$47,$B36))</f>
        <v/>
      </c>
      <c r="DA36" s="407" t="str">
        <f>IFERROR(INDEX('Master Lookup'!$C$37:$C$47,MATCH(CZ36,'Master Lookup'!$B$37:$B$47,0)),"")</f>
        <v/>
      </c>
      <c r="DB36" s="406"/>
      <c r="DC36" s="405"/>
      <c r="DE36" s="408" t="str">
        <f>IF(INDEX('Master Lookup'!$B$37:$B$47,$B36)=0,"",INDEX('Master Lookup'!$B$37:$B$47,$B36))</f>
        <v/>
      </c>
      <c r="DF36" s="407" t="str">
        <f>IFERROR(INDEX('Master Lookup'!$C$37:$C$47,MATCH(DE36,'Master Lookup'!$B$37:$B$47,0)),"")</f>
        <v/>
      </c>
      <c r="DG36" s="406"/>
      <c r="DH36" s="405"/>
      <c r="DJ36" s="408" t="str">
        <f>IF(INDEX('Master Lookup'!$B$37:$B$47,$B36)=0,"",INDEX('Master Lookup'!$B$37:$B$47,$B36))</f>
        <v/>
      </c>
      <c r="DK36" s="407" t="str">
        <f>IFERROR(INDEX('Master Lookup'!$C$37:$C$47,MATCH(DJ36,'Master Lookup'!$B$37:$B$47,0)),"")</f>
        <v/>
      </c>
      <c r="DL36" s="406"/>
      <c r="DM36" s="405"/>
      <c r="DO36" s="408" t="str">
        <f>IF(INDEX('Master Lookup'!$B$37:$B$47,$B36)=0,"",INDEX('Master Lookup'!$B$37:$B$47,$B36))</f>
        <v/>
      </c>
      <c r="DP36" s="407" t="str">
        <f>IFERROR(INDEX('Master Lookup'!$C$37:$C$47,MATCH(DO36,'Master Lookup'!$B$37:$B$47,0)),"")</f>
        <v/>
      </c>
      <c r="DQ36" s="406"/>
      <c r="DR36" s="405"/>
    </row>
    <row r="37" spans="2:122" hidden="1" x14ac:dyDescent="0.25">
      <c r="B37" s="361">
        <v>9</v>
      </c>
      <c r="D37" s="408" t="str">
        <f>IF(INDEX('Master Lookup'!$B$37:$B$47,$B37)=0,"",INDEX('Master Lookup'!$B$37:$B$47,$B37))</f>
        <v/>
      </c>
      <c r="E37" s="407" t="str">
        <f>IFERROR(INDEX('Master Lookup'!$C$37:$C$47,MATCH(D37,'Master Lookup'!$B$37:$B$47,0)),"")</f>
        <v/>
      </c>
      <c r="F37" s="406"/>
      <c r="G37" s="405"/>
      <c r="I37" s="408" t="str">
        <f>IF(INDEX('Master Lookup'!$B$37:$B$47,$B37)=0,"",INDEX('Master Lookup'!$B$37:$B$47,$B37))</f>
        <v/>
      </c>
      <c r="J37" s="407" t="str">
        <f>IFERROR(INDEX('Master Lookup'!$C$37:$C$47,MATCH(I37,'Master Lookup'!$B$37:$B$47,0)),"")</f>
        <v/>
      </c>
      <c r="K37" s="406"/>
      <c r="L37" s="405"/>
      <c r="N37" s="408" t="str">
        <f>IF(INDEX('Master Lookup'!$B$37:$B$47,$B37)=0,"",INDEX('Master Lookup'!$B$37:$B$47,$B37))</f>
        <v/>
      </c>
      <c r="O37" s="407" t="str">
        <f>IFERROR(INDEX('Master Lookup'!$C$37:$C$47,MATCH(N37,'Master Lookup'!$B$37:$B$47,0)),"")</f>
        <v/>
      </c>
      <c r="P37" s="406"/>
      <c r="Q37" s="405"/>
      <c r="S37" s="408" t="str">
        <f>IF(INDEX('Master Lookup'!$B$37:$B$47,$B37)=0,"",INDEX('Master Lookup'!$B$37:$B$47,$B37))</f>
        <v/>
      </c>
      <c r="T37" s="407" t="str">
        <f>IFERROR(INDEX('Master Lookup'!$C$37:$C$47,MATCH(S37,'Master Lookup'!$B$37:$B$47,0)),"")</f>
        <v/>
      </c>
      <c r="U37" s="406"/>
      <c r="V37" s="405"/>
      <c r="X37" s="408" t="str">
        <f>IF(INDEX('Master Lookup'!$B$37:$B$47,$B37)=0,"",INDEX('Master Lookup'!$B$37:$B$47,$B37))</f>
        <v/>
      </c>
      <c r="Y37" s="407" t="str">
        <f>IFERROR(INDEX('Master Lookup'!$C$37:$C$47,MATCH(X37,'Master Lookup'!$B$37:$B$47,0)),"")</f>
        <v/>
      </c>
      <c r="Z37" s="406"/>
      <c r="AA37" s="405"/>
      <c r="AC37" s="408" t="str">
        <f>IF(INDEX('Master Lookup'!$B$37:$B$47,$B37)=0,"",INDEX('Master Lookup'!$B$37:$B$47,$B37))</f>
        <v/>
      </c>
      <c r="AD37" s="407" t="str">
        <f>IFERROR(INDEX('Master Lookup'!$C$37:$C$47,MATCH(AC37,'Master Lookup'!$B$37:$B$47,0)),"")</f>
        <v/>
      </c>
      <c r="AE37" s="406"/>
      <c r="AF37" s="405"/>
      <c r="AH37" s="408" t="str">
        <f>IF(INDEX('Master Lookup'!$B$37:$B$47,$B37)=0,"",INDEX('Master Lookup'!$B$37:$B$47,$B37))</f>
        <v/>
      </c>
      <c r="AI37" s="407" t="str">
        <f>IFERROR(INDEX('Master Lookup'!$C$37:$C$47,MATCH(AH37,'Master Lookup'!$B$37:$B$47,0)),"")</f>
        <v/>
      </c>
      <c r="AJ37" s="406"/>
      <c r="AK37" s="405"/>
      <c r="AM37" s="408" t="str">
        <f>IF(INDEX('Master Lookup'!$B$37:$B$47,$B37)=0,"",INDEX('Master Lookup'!$B$37:$B$47,$B37))</f>
        <v/>
      </c>
      <c r="AN37" s="407" t="str">
        <f>IFERROR(INDEX('Master Lookup'!$C$37:$C$47,MATCH(AM37,'Master Lookup'!$B$37:$B$47,0)),"")</f>
        <v/>
      </c>
      <c r="AO37" s="406"/>
      <c r="AP37" s="405"/>
      <c r="AR37" s="408" t="str">
        <f>IF(INDEX('Master Lookup'!$B$37:$B$47,$B37)=0,"",INDEX('Master Lookup'!$B$37:$B$47,$B37))</f>
        <v/>
      </c>
      <c r="AS37" s="407" t="str">
        <f>IFERROR(INDEX('Master Lookup'!$C$37:$C$47,MATCH(AR37,'Master Lookup'!$B$37:$B$47,0)),"")</f>
        <v/>
      </c>
      <c r="AT37" s="406"/>
      <c r="AU37" s="405"/>
      <c r="AW37" s="408" t="str">
        <f>IF(INDEX('Master Lookup'!$B$37:$B$47,$B37)=0,"",INDEX('Master Lookup'!$B$37:$B$47,$B37))</f>
        <v/>
      </c>
      <c r="AX37" s="407" t="str">
        <f>IFERROR(INDEX('Master Lookup'!$C$37:$C$47,MATCH(AW37,'Master Lookup'!$B$37:$B$47,0)),"")</f>
        <v/>
      </c>
      <c r="AY37" s="406"/>
      <c r="AZ37" s="405"/>
      <c r="BB37" s="408" t="str">
        <f>IF(INDEX('Master Lookup'!$B$37:$B$47,$B37)=0,"",INDEX('Master Lookup'!$B$37:$B$47,$B37))</f>
        <v/>
      </c>
      <c r="BC37" s="407" t="str">
        <f>IFERROR(INDEX('Master Lookup'!$C$37:$C$47,MATCH(BB37,'Master Lookup'!$B$37:$B$47,0)),"")</f>
        <v/>
      </c>
      <c r="BD37" s="406"/>
      <c r="BE37" s="405"/>
      <c r="BG37" s="408" t="str">
        <f>IF(INDEX('Master Lookup'!$B$37:$B$47,$B37)=0,"",INDEX('Master Lookup'!$B$37:$B$47,$B37))</f>
        <v/>
      </c>
      <c r="BH37" s="407" t="str">
        <f>IFERROR(INDEX('Master Lookup'!$C$37:$C$47,MATCH(BG37,'Master Lookup'!$B$37:$B$47,0)),"")</f>
        <v/>
      </c>
      <c r="BI37" s="406"/>
      <c r="BJ37" s="405"/>
      <c r="BL37" s="408" t="str">
        <f>IF(INDEX('Master Lookup'!$B$37:$B$47,$B37)=0,"",INDEX('Master Lookup'!$B$37:$B$47,$B37))</f>
        <v/>
      </c>
      <c r="BM37" s="407" t="str">
        <f>IFERROR(INDEX('Master Lookup'!$C$37:$C$47,MATCH(BL37,'Master Lookup'!$B$37:$B$47,0)),"")</f>
        <v/>
      </c>
      <c r="BN37" s="406"/>
      <c r="BO37" s="405"/>
      <c r="BQ37" s="408" t="str">
        <f>IF(INDEX('Master Lookup'!$B$37:$B$47,$B37)=0,"",INDEX('Master Lookup'!$B$37:$B$47,$B37))</f>
        <v/>
      </c>
      <c r="BR37" s="407" t="str">
        <f>IFERROR(INDEX('Master Lookup'!$C$37:$C$47,MATCH(BQ37,'Master Lookup'!$B$37:$B$47,0)),"")</f>
        <v/>
      </c>
      <c r="BS37" s="406"/>
      <c r="BT37" s="405"/>
      <c r="BV37" s="408" t="str">
        <f>IF(INDEX('Master Lookup'!$B$37:$B$47,$B37)=0,"",INDEX('Master Lookup'!$B$37:$B$47,$B37))</f>
        <v/>
      </c>
      <c r="BW37" s="407" t="str">
        <f>IFERROR(INDEX('Master Lookup'!$C$37:$C$47,MATCH(BV37,'Master Lookup'!$B$37:$B$47,0)),"")</f>
        <v/>
      </c>
      <c r="BX37" s="406"/>
      <c r="BY37" s="405"/>
      <c r="CA37" s="408" t="str">
        <f>IF(INDEX('Master Lookup'!$B$37:$B$47,$B37)=0,"",INDEX('Master Lookup'!$B$37:$B$47,$B37))</f>
        <v/>
      </c>
      <c r="CB37" s="407" t="str">
        <f>IFERROR(INDEX('Master Lookup'!$C$37:$C$47,MATCH(CA37,'Master Lookup'!$B$37:$B$47,0)),"")</f>
        <v/>
      </c>
      <c r="CC37" s="406"/>
      <c r="CD37" s="405"/>
      <c r="CF37" s="408" t="str">
        <f>IF(INDEX('Master Lookup'!$B$37:$B$47,$B37)=0,"",INDEX('Master Lookup'!$B$37:$B$47,$B37))</f>
        <v/>
      </c>
      <c r="CG37" s="407" t="str">
        <f>IFERROR(INDEX('Master Lookup'!$C$37:$C$47,MATCH(CF37,'Master Lookup'!$B$37:$B$47,0)),"")</f>
        <v/>
      </c>
      <c r="CH37" s="406"/>
      <c r="CI37" s="405"/>
      <c r="CK37" s="408" t="str">
        <f>IF(INDEX('Master Lookup'!$B$37:$B$47,$B37)=0,"",INDEX('Master Lookup'!$B$37:$B$47,$B37))</f>
        <v/>
      </c>
      <c r="CL37" s="407" t="str">
        <f>IFERROR(INDEX('Master Lookup'!$C$37:$C$47,MATCH(CK37,'Master Lookup'!$B$37:$B$47,0)),"")</f>
        <v/>
      </c>
      <c r="CM37" s="406"/>
      <c r="CN37" s="405"/>
      <c r="CP37" s="408" t="str">
        <f>IF(INDEX('Master Lookup'!$B$37:$B$47,$B37)=0,"",INDEX('Master Lookup'!$B$37:$B$47,$B37))</f>
        <v/>
      </c>
      <c r="CQ37" s="407" t="str">
        <f>IFERROR(INDEX('Master Lookup'!$C$37:$C$47,MATCH(CP37,'Master Lookup'!$B$37:$B$47,0)),"")</f>
        <v/>
      </c>
      <c r="CR37" s="406"/>
      <c r="CS37" s="405"/>
      <c r="CU37" s="408" t="str">
        <f>IF(INDEX('Master Lookup'!$B$37:$B$47,$B37)=0,"",INDEX('Master Lookup'!$B$37:$B$47,$B37))</f>
        <v/>
      </c>
      <c r="CV37" s="407" t="str">
        <f>IFERROR(INDEX('Master Lookup'!$C$37:$C$47,MATCH(CU37,'Master Lookup'!$B$37:$B$47,0)),"")</f>
        <v/>
      </c>
      <c r="CW37" s="406"/>
      <c r="CX37" s="405"/>
      <c r="CZ37" s="408" t="str">
        <f>IF(INDEX('Master Lookup'!$B$37:$B$47,$B37)=0,"",INDEX('Master Lookup'!$B$37:$B$47,$B37))</f>
        <v/>
      </c>
      <c r="DA37" s="407" t="str">
        <f>IFERROR(INDEX('Master Lookup'!$C$37:$C$47,MATCH(CZ37,'Master Lookup'!$B$37:$B$47,0)),"")</f>
        <v/>
      </c>
      <c r="DB37" s="406"/>
      <c r="DC37" s="405"/>
      <c r="DE37" s="408" t="str">
        <f>IF(INDEX('Master Lookup'!$B$37:$B$47,$B37)=0,"",INDEX('Master Lookup'!$B$37:$B$47,$B37))</f>
        <v/>
      </c>
      <c r="DF37" s="407" t="str">
        <f>IFERROR(INDEX('Master Lookup'!$C$37:$C$47,MATCH(DE37,'Master Lookup'!$B$37:$B$47,0)),"")</f>
        <v/>
      </c>
      <c r="DG37" s="406"/>
      <c r="DH37" s="405"/>
      <c r="DJ37" s="408" t="str">
        <f>IF(INDEX('Master Lookup'!$B$37:$B$47,$B37)=0,"",INDEX('Master Lookup'!$B$37:$B$47,$B37))</f>
        <v/>
      </c>
      <c r="DK37" s="407" t="str">
        <f>IFERROR(INDEX('Master Lookup'!$C$37:$C$47,MATCH(DJ37,'Master Lookup'!$B$37:$B$47,0)),"")</f>
        <v/>
      </c>
      <c r="DL37" s="406"/>
      <c r="DM37" s="405"/>
      <c r="DO37" s="408" t="str">
        <f>IF(INDEX('Master Lookup'!$B$37:$B$47,$B37)=0,"",INDEX('Master Lookup'!$B$37:$B$47,$B37))</f>
        <v/>
      </c>
      <c r="DP37" s="407" t="str">
        <f>IFERROR(INDEX('Master Lookup'!$C$37:$C$47,MATCH(DO37,'Master Lookup'!$B$37:$B$47,0)),"")</f>
        <v/>
      </c>
      <c r="DQ37" s="406"/>
      <c r="DR37" s="405"/>
    </row>
    <row r="38" spans="2:122" hidden="1" x14ac:dyDescent="0.25">
      <c r="B38" s="361">
        <v>10</v>
      </c>
      <c r="D38" s="408" t="str">
        <f>IF(INDEX('Master Lookup'!$B$37:$B$47,$B38)=0,"",INDEX('Master Lookup'!$B$37:$B$47,$B38))</f>
        <v/>
      </c>
      <c r="E38" s="407" t="str">
        <f>IFERROR(INDEX('Master Lookup'!$C$37:$C$47,MATCH(D38,'Master Lookup'!$B$37:$B$47,0)),"")</f>
        <v/>
      </c>
      <c r="F38" s="406"/>
      <c r="G38" s="405"/>
      <c r="I38" s="408" t="str">
        <f>IF(INDEX('Master Lookup'!$B$37:$B$47,$B38)=0,"",INDEX('Master Lookup'!$B$37:$B$47,$B38))</f>
        <v/>
      </c>
      <c r="J38" s="407" t="str">
        <f>IFERROR(INDEX('Master Lookup'!$C$37:$C$47,MATCH(I38,'Master Lookup'!$B$37:$B$47,0)),"")</f>
        <v/>
      </c>
      <c r="K38" s="406"/>
      <c r="L38" s="405"/>
      <c r="N38" s="408" t="str">
        <f>IF(INDEX('Master Lookup'!$B$37:$B$47,$B38)=0,"",INDEX('Master Lookup'!$B$37:$B$47,$B38))</f>
        <v/>
      </c>
      <c r="O38" s="407" t="str">
        <f>IFERROR(INDEX('Master Lookup'!$C$37:$C$47,MATCH(N38,'Master Lookup'!$B$37:$B$47,0)),"")</f>
        <v/>
      </c>
      <c r="P38" s="406"/>
      <c r="Q38" s="405"/>
      <c r="S38" s="408" t="str">
        <f>IF(INDEX('Master Lookup'!$B$37:$B$47,$B38)=0,"",INDEX('Master Lookup'!$B$37:$B$47,$B38))</f>
        <v/>
      </c>
      <c r="T38" s="407" t="str">
        <f>IFERROR(INDEX('Master Lookup'!$C$37:$C$47,MATCH(S38,'Master Lookup'!$B$37:$B$47,0)),"")</f>
        <v/>
      </c>
      <c r="U38" s="406"/>
      <c r="V38" s="405"/>
      <c r="X38" s="408" t="str">
        <f>IF(INDEX('Master Lookup'!$B$37:$B$47,$B38)=0,"",INDEX('Master Lookup'!$B$37:$B$47,$B38))</f>
        <v/>
      </c>
      <c r="Y38" s="407" t="str">
        <f>IFERROR(INDEX('Master Lookup'!$C$37:$C$47,MATCH(X38,'Master Lookup'!$B$37:$B$47,0)),"")</f>
        <v/>
      </c>
      <c r="Z38" s="406"/>
      <c r="AA38" s="405"/>
      <c r="AC38" s="408" t="str">
        <f>IF(INDEX('Master Lookup'!$B$37:$B$47,$B38)=0,"",INDEX('Master Lookup'!$B$37:$B$47,$B38))</f>
        <v/>
      </c>
      <c r="AD38" s="407" t="str">
        <f>IFERROR(INDEX('Master Lookup'!$C$37:$C$47,MATCH(AC38,'Master Lookup'!$B$37:$B$47,0)),"")</f>
        <v/>
      </c>
      <c r="AE38" s="406"/>
      <c r="AF38" s="405"/>
      <c r="AH38" s="408" t="str">
        <f>IF(INDEX('Master Lookup'!$B$37:$B$47,$B38)=0,"",INDEX('Master Lookup'!$B$37:$B$47,$B38))</f>
        <v/>
      </c>
      <c r="AI38" s="407" t="str">
        <f>IFERROR(INDEX('Master Lookup'!$C$37:$C$47,MATCH(AH38,'Master Lookup'!$B$37:$B$47,0)),"")</f>
        <v/>
      </c>
      <c r="AJ38" s="406"/>
      <c r="AK38" s="405"/>
      <c r="AM38" s="408" t="str">
        <f>IF(INDEX('Master Lookup'!$B$37:$B$47,$B38)=0,"",INDEX('Master Lookup'!$B$37:$B$47,$B38))</f>
        <v/>
      </c>
      <c r="AN38" s="407" t="str">
        <f>IFERROR(INDEX('Master Lookup'!$C$37:$C$47,MATCH(AM38,'Master Lookup'!$B$37:$B$47,0)),"")</f>
        <v/>
      </c>
      <c r="AO38" s="406"/>
      <c r="AP38" s="405"/>
      <c r="AR38" s="408" t="str">
        <f>IF(INDEX('Master Lookup'!$B$37:$B$47,$B38)=0,"",INDEX('Master Lookup'!$B$37:$B$47,$B38))</f>
        <v/>
      </c>
      <c r="AS38" s="407" t="str">
        <f>IFERROR(INDEX('Master Lookup'!$C$37:$C$47,MATCH(AR38,'Master Lookup'!$B$37:$B$47,0)),"")</f>
        <v/>
      </c>
      <c r="AT38" s="406"/>
      <c r="AU38" s="405"/>
      <c r="AW38" s="408" t="str">
        <f>IF(INDEX('Master Lookup'!$B$37:$B$47,$B38)=0,"",INDEX('Master Lookup'!$B$37:$B$47,$B38))</f>
        <v/>
      </c>
      <c r="AX38" s="407" t="str">
        <f>IFERROR(INDEX('Master Lookup'!$C$37:$C$47,MATCH(AW38,'Master Lookup'!$B$37:$B$47,0)),"")</f>
        <v/>
      </c>
      <c r="AY38" s="406"/>
      <c r="AZ38" s="405"/>
      <c r="BB38" s="408" t="str">
        <f>IF(INDEX('Master Lookup'!$B$37:$B$47,$B38)=0,"",INDEX('Master Lookup'!$B$37:$B$47,$B38))</f>
        <v/>
      </c>
      <c r="BC38" s="407" t="str">
        <f>IFERROR(INDEX('Master Lookup'!$C$37:$C$47,MATCH(BB38,'Master Lookup'!$B$37:$B$47,0)),"")</f>
        <v/>
      </c>
      <c r="BD38" s="406"/>
      <c r="BE38" s="405"/>
      <c r="BG38" s="408" t="str">
        <f>IF(INDEX('Master Lookup'!$B$37:$B$47,$B38)=0,"",INDEX('Master Lookup'!$B$37:$B$47,$B38))</f>
        <v/>
      </c>
      <c r="BH38" s="407" t="str">
        <f>IFERROR(INDEX('Master Lookup'!$C$37:$C$47,MATCH(BG38,'Master Lookup'!$B$37:$B$47,0)),"")</f>
        <v/>
      </c>
      <c r="BI38" s="406"/>
      <c r="BJ38" s="405"/>
      <c r="BL38" s="408" t="str">
        <f>IF(INDEX('Master Lookup'!$B$37:$B$47,$B38)=0,"",INDEX('Master Lookup'!$B$37:$B$47,$B38))</f>
        <v/>
      </c>
      <c r="BM38" s="407" t="str">
        <f>IFERROR(INDEX('Master Lookup'!$C$37:$C$47,MATCH(BL38,'Master Lookup'!$B$37:$B$47,0)),"")</f>
        <v/>
      </c>
      <c r="BN38" s="406"/>
      <c r="BO38" s="405"/>
      <c r="BQ38" s="408" t="str">
        <f>IF(INDEX('Master Lookup'!$B$37:$B$47,$B38)=0,"",INDEX('Master Lookup'!$B$37:$B$47,$B38))</f>
        <v/>
      </c>
      <c r="BR38" s="407" t="str">
        <f>IFERROR(INDEX('Master Lookup'!$C$37:$C$47,MATCH(BQ38,'Master Lookup'!$B$37:$B$47,0)),"")</f>
        <v/>
      </c>
      <c r="BS38" s="406"/>
      <c r="BT38" s="405"/>
      <c r="BV38" s="408" t="str">
        <f>IF(INDEX('Master Lookup'!$B$37:$B$47,$B38)=0,"",INDEX('Master Lookup'!$B$37:$B$47,$B38))</f>
        <v/>
      </c>
      <c r="BW38" s="407" t="str">
        <f>IFERROR(INDEX('Master Lookup'!$C$37:$C$47,MATCH(BV38,'Master Lookup'!$B$37:$B$47,0)),"")</f>
        <v/>
      </c>
      <c r="BX38" s="406"/>
      <c r="BY38" s="405"/>
      <c r="CA38" s="408" t="str">
        <f>IF(INDEX('Master Lookup'!$B$37:$B$47,$B38)=0,"",INDEX('Master Lookup'!$B$37:$B$47,$B38))</f>
        <v/>
      </c>
      <c r="CB38" s="407" t="str">
        <f>IFERROR(INDEX('Master Lookup'!$C$37:$C$47,MATCH(CA38,'Master Lookup'!$B$37:$B$47,0)),"")</f>
        <v/>
      </c>
      <c r="CC38" s="406"/>
      <c r="CD38" s="405"/>
      <c r="CF38" s="408" t="str">
        <f>IF(INDEX('Master Lookup'!$B$37:$B$47,$B38)=0,"",INDEX('Master Lookup'!$B$37:$B$47,$B38))</f>
        <v/>
      </c>
      <c r="CG38" s="407" t="str">
        <f>IFERROR(INDEX('Master Lookup'!$C$37:$C$47,MATCH(CF38,'Master Lookup'!$B$37:$B$47,0)),"")</f>
        <v/>
      </c>
      <c r="CH38" s="406"/>
      <c r="CI38" s="405"/>
      <c r="CK38" s="408" t="str">
        <f>IF(INDEX('Master Lookup'!$B$37:$B$47,$B38)=0,"",INDEX('Master Lookup'!$B$37:$B$47,$B38))</f>
        <v/>
      </c>
      <c r="CL38" s="407" t="str">
        <f>IFERROR(INDEX('Master Lookup'!$C$37:$C$47,MATCH(CK38,'Master Lookup'!$B$37:$B$47,0)),"")</f>
        <v/>
      </c>
      <c r="CM38" s="406"/>
      <c r="CN38" s="405"/>
      <c r="CP38" s="408" t="str">
        <f>IF(INDEX('Master Lookup'!$B$37:$B$47,$B38)=0,"",INDEX('Master Lookup'!$B$37:$B$47,$B38))</f>
        <v/>
      </c>
      <c r="CQ38" s="407" t="str">
        <f>IFERROR(INDEX('Master Lookup'!$C$37:$C$47,MATCH(CP38,'Master Lookup'!$B$37:$B$47,0)),"")</f>
        <v/>
      </c>
      <c r="CR38" s="406"/>
      <c r="CS38" s="405"/>
      <c r="CU38" s="408" t="str">
        <f>IF(INDEX('Master Lookup'!$B$37:$B$47,$B38)=0,"",INDEX('Master Lookup'!$B$37:$B$47,$B38))</f>
        <v/>
      </c>
      <c r="CV38" s="407" t="str">
        <f>IFERROR(INDEX('Master Lookup'!$C$37:$C$47,MATCH(CU38,'Master Lookup'!$B$37:$B$47,0)),"")</f>
        <v/>
      </c>
      <c r="CW38" s="406"/>
      <c r="CX38" s="405"/>
      <c r="CZ38" s="408" t="str">
        <f>IF(INDEX('Master Lookup'!$B$37:$B$47,$B38)=0,"",INDEX('Master Lookup'!$B$37:$B$47,$B38))</f>
        <v/>
      </c>
      <c r="DA38" s="407" t="str">
        <f>IFERROR(INDEX('Master Lookup'!$C$37:$C$47,MATCH(CZ38,'Master Lookup'!$B$37:$B$47,0)),"")</f>
        <v/>
      </c>
      <c r="DB38" s="406"/>
      <c r="DC38" s="405"/>
      <c r="DE38" s="408" t="str">
        <f>IF(INDEX('Master Lookup'!$B$37:$B$47,$B38)=0,"",INDEX('Master Lookup'!$B$37:$B$47,$B38))</f>
        <v/>
      </c>
      <c r="DF38" s="407" t="str">
        <f>IFERROR(INDEX('Master Lookup'!$C$37:$C$47,MATCH(DE38,'Master Lookup'!$B$37:$B$47,0)),"")</f>
        <v/>
      </c>
      <c r="DG38" s="406"/>
      <c r="DH38" s="405"/>
      <c r="DJ38" s="408" t="str">
        <f>IF(INDEX('Master Lookup'!$B$37:$B$47,$B38)=0,"",INDEX('Master Lookup'!$B$37:$B$47,$B38))</f>
        <v/>
      </c>
      <c r="DK38" s="407" t="str">
        <f>IFERROR(INDEX('Master Lookup'!$C$37:$C$47,MATCH(DJ38,'Master Lookup'!$B$37:$B$47,0)),"")</f>
        <v/>
      </c>
      <c r="DL38" s="406"/>
      <c r="DM38" s="405"/>
      <c r="DO38" s="408" t="str">
        <f>IF(INDEX('Master Lookup'!$B$37:$B$47,$B38)=0,"",INDEX('Master Lookup'!$B$37:$B$47,$B38))</f>
        <v/>
      </c>
      <c r="DP38" s="407" t="str">
        <f>IFERROR(INDEX('Master Lookup'!$C$37:$C$47,MATCH(DO38,'Master Lookup'!$B$37:$B$47,0)),"")</f>
        <v/>
      </c>
      <c r="DQ38" s="406"/>
      <c r="DR38" s="405"/>
    </row>
    <row r="39" spans="2:122" x14ac:dyDescent="0.25">
      <c r="B39" s="361">
        <v>11</v>
      </c>
      <c r="D39" s="167" t="str">
        <f>IF(INDEX('Master Lookup'!$B$37:$B$47,$B39)=0,"",INDEX('Master Lookup'!$B$37:$B$47,$B39))</f>
        <v xml:space="preserve">Flex Spending </v>
      </c>
      <c r="E39" s="404">
        <f>IFERROR(INDEX('Master Lookup'!$C$37:$C$47,MATCH(D39,'Master Lookup'!$B$37:$B$47,0)),"")</f>
        <v>1000</v>
      </c>
      <c r="G39" s="398">
        <f>IFERROR(E39*F16,0)</f>
        <v>500</v>
      </c>
      <c r="I39" s="167" t="str">
        <f>IF(INDEX('Master Lookup'!$B$37:$B$47,$B39)=0,"",INDEX('Master Lookup'!$B$37:$B$47,$B39))</f>
        <v xml:space="preserve">Flex Spending </v>
      </c>
      <c r="J39" s="404">
        <f>IFERROR(INDEX('Master Lookup'!$C$37:$C$47,MATCH(I39,'Master Lookup'!$B$37:$B$47,0)),"")</f>
        <v>1000</v>
      </c>
      <c r="L39" s="398">
        <f>IFERROR(J39*K16,0)</f>
        <v>1000</v>
      </c>
      <c r="N39" s="167" t="str">
        <f>IF(INDEX('Master Lookup'!$B$37:$B$47,$B39)=0,"",INDEX('Master Lookup'!$B$37:$B$47,$B39))</f>
        <v xml:space="preserve">Flex Spending </v>
      </c>
      <c r="O39" s="404">
        <f>IFERROR(INDEX('Master Lookup'!$C$37:$C$47,MATCH(N39,'Master Lookup'!$B$37:$B$47,0)),"")</f>
        <v>1000</v>
      </c>
      <c r="Q39" s="398">
        <f>IFERROR(O39*P16,0)</f>
        <v>1500</v>
      </c>
      <c r="S39" s="167" t="str">
        <f>IF(INDEX('Master Lookup'!$B$37:$B$47,$B39)=0,"",INDEX('Master Lookup'!$B$37:$B$47,$B39))</f>
        <v xml:space="preserve">Flex Spending </v>
      </c>
      <c r="T39" s="404">
        <f>IFERROR(INDEX('Master Lookup'!$C$37:$C$47,MATCH(S39,'Master Lookup'!$B$37:$B$47,0)),"")</f>
        <v>1000</v>
      </c>
      <c r="U39" s="361"/>
      <c r="V39" s="398">
        <f>IFERROR(T39*U16,0)</f>
        <v>2000</v>
      </c>
      <c r="X39" s="167" t="str">
        <f>IF(INDEX('Master Lookup'!$B$37:$B$47,$B39)=0,"",INDEX('Master Lookup'!$B$37:$B$47,$B39))</f>
        <v xml:space="preserve">Flex Spending </v>
      </c>
      <c r="Y39" s="404">
        <f>IFERROR(INDEX('Master Lookup'!$C$37:$C$47,MATCH(X39,'Master Lookup'!$B$37:$B$47,0)),"")</f>
        <v>1000</v>
      </c>
      <c r="Z39" s="361"/>
      <c r="AA39" s="398">
        <f>IFERROR(Y39*Z16,0)</f>
        <v>2500</v>
      </c>
      <c r="AC39" s="167" t="str">
        <f>IF(INDEX('Master Lookup'!$B$37:$B$47,$B39)=0,"",INDEX('Master Lookup'!$B$37:$B$47,$B39))</f>
        <v xml:space="preserve">Flex Spending </v>
      </c>
      <c r="AD39" s="404">
        <f>IFERROR(INDEX('Master Lookup'!$C$37:$C$47,MATCH(AC39,'Master Lookup'!$B$37:$B$47,0)),"")</f>
        <v>1000</v>
      </c>
      <c r="AE39" s="361"/>
      <c r="AF39" s="398">
        <f>IFERROR(AD39*AE16,0)</f>
        <v>3000</v>
      </c>
      <c r="AH39" s="167" t="str">
        <f>IF(INDEX('Master Lookup'!$B$37:$B$47,$B39)=0,"",INDEX('Master Lookup'!$B$37:$B$47,$B39))</f>
        <v xml:space="preserve">Flex Spending </v>
      </c>
      <c r="AI39" s="404">
        <f>IFERROR(INDEX('Master Lookup'!$C$37:$C$47,MATCH(AH39,'Master Lookup'!$B$37:$B$47,0)),"")</f>
        <v>1000</v>
      </c>
      <c r="AJ39" s="361"/>
      <c r="AK39" s="398">
        <f>IFERROR(AI39*AJ16,0)</f>
        <v>3500</v>
      </c>
      <c r="AM39" s="167" t="str">
        <f>IF(INDEX('Master Lookup'!$B$37:$B$47,$B39)=0,"",INDEX('Master Lookup'!$B$37:$B$47,$B39))</f>
        <v xml:space="preserve">Flex Spending </v>
      </c>
      <c r="AN39" s="404">
        <f>IFERROR(INDEX('Master Lookup'!$C$37:$C$47,MATCH(AM39,'Master Lookup'!$B$37:$B$47,0)),"")</f>
        <v>1000</v>
      </c>
      <c r="AO39" s="361"/>
      <c r="AP39" s="398">
        <f>IFERROR(AN39*AO16,0)</f>
        <v>4000</v>
      </c>
      <c r="AR39" s="167" t="str">
        <f>IF(INDEX('Master Lookup'!$B$37:$B$47,$B39)=0,"",INDEX('Master Lookup'!$B$37:$B$47,$B39))</f>
        <v xml:space="preserve">Flex Spending </v>
      </c>
      <c r="AS39" s="404">
        <f>IFERROR(INDEX('Master Lookup'!$C$37:$C$47,MATCH(AR39,'Master Lookup'!$B$37:$B$47,0)),"")</f>
        <v>1000</v>
      </c>
      <c r="AT39" s="361"/>
      <c r="AU39" s="398">
        <f>IFERROR(AS39*AT16,0)</f>
        <v>4500</v>
      </c>
      <c r="AW39" s="167" t="str">
        <f>IF(INDEX('Master Lookup'!$B$37:$B$47,$B39)=0,"",INDEX('Master Lookup'!$B$37:$B$47,$B39))</f>
        <v xml:space="preserve">Flex Spending </v>
      </c>
      <c r="AX39" s="404">
        <f>IFERROR(INDEX('Master Lookup'!$C$37:$C$47,MATCH(AW39,'Master Lookup'!$B$37:$B$47,0)),"")</f>
        <v>1000</v>
      </c>
      <c r="AY39" s="361"/>
      <c r="AZ39" s="398">
        <f>IFERROR(AX39*AY16,0)</f>
        <v>5000</v>
      </c>
      <c r="BB39" s="167" t="str">
        <f>IF(INDEX('Master Lookup'!$B$37:$B$47,$B39)=0,"",INDEX('Master Lookup'!$B$37:$B$47,$B39))</f>
        <v xml:space="preserve">Flex Spending </v>
      </c>
      <c r="BC39" s="404">
        <f>IFERROR(INDEX('Master Lookup'!$C$37:$C$47,MATCH(BB39,'Master Lookup'!$B$37:$B$47,0)),"")</f>
        <v>1000</v>
      </c>
      <c r="BD39" s="361"/>
      <c r="BE39" s="398">
        <f>IFERROR(BC39*BD16,0)</f>
        <v>5500</v>
      </c>
      <c r="BG39" s="167" t="str">
        <f>IF(INDEX('Master Lookup'!$B$37:$B$47,$B39)=0,"",INDEX('Master Lookup'!$B$37:$B$47,$B39))</f>
        <v xml:space="preserve">Flex Spending </v>
      </c>
      <c r="BH39" s="404">
        <f>IFERROR(INDEX('Master Lookup'!$C$37:$C$47,MATCH(BG39,'Master Lookup'!$B$37:$B$47,0)),"")</f>
        <v>1000</v>
      </c>
      <c r="BI39" s="361"/>
      <c r="BJ39" s="398">
        <f>IFERROR(BH39*BI16,0)</f>
        <v>6000</v>
      </c>
      <c r="BL39" s="167" t="str">
        <f>IF(INDEX('Master Lookup'!$B$37:$B$47,$B39)=0,"",INDEX('Master Lookup'!$B$37:$B$47,$B39))</f>
        <v xml:space="preserve">Flex Spending </v>
      </c>
      <c r="BM39" s="404">
        <f>IFERROR(INDEX('Master Lookup'!$C$37:$C$47,MATCH(BL39,'Master Lookup'!$B$37:$B$47,0)),"")</f>
        <v>1000</v>
      </c>
      <c r="BO39" s="398">
        <f>IFERROR(BM39*BN16,0)</f>
        <v>6500</v>
      </c>
      <c r="BQ39" s="167" t="str">
        <f>IF(INDEX('Master Lookup'!$B$37:$B$47,$B39)=0,"",INDEX('Master Lookup'!$B$37:$B$47,$B39))</f>
        <v xml:space="preserve">Flex Spending </v>
      </c>
      <c r="BR39" s="404">
        <f>IFERROR(INDEX('Master Lookup'!$C$37:$C$47,MATCH(BQ39,'Master Lookup'!$B$37:$B$47,0)),"")</f>
        <v>1000</v>
      </c>
      <c r="BT39" s="398">
        <f>IFERROR(BR39*BS16,0)</f>
        <v>7000</v>
      </c>
      <c r="BV39" s="167" t="str">
        <f>IF(INDEX('Master Lookup'!$B$37:$B$47,$B39)=0,"",INDEX('Master Lookup'!$B$37:$B$47,$B39))</f>
        <v xml:space="preserve">Flex Spending </v>
      </c>
      <c r="BW39" s="404">
        <f>IFERROR(INDEX('Master Lookup'!$C$37:$C$47,MATCH(BV39,'Master Lookup'!$B$37:$B$47,0)),"")</f>
        <v>1000</v>
      </c>
      <c r="BY39" s="398">
        <f>IFERROR(BW39*BX16,0)</f>
        <v>7500</v>
      </c>
      <c r="CA39" s="167" t="str">
        <f>IF(INDEX('Master Lookup'!$B$37:$B$47,$B39)=0,"",INDEX('Master Lookup'!$B$37:$B$47,$B39))</f>
        <v xml:space="preserve">Flex Spending </v>
      </c>
      <c r="CB39" s="404">
        <f>IFERROR(INDEX('Master Lookup'!$C$37:$C$47,MATCH(CA39,'Master Lookup'!$B$37:$B$47,0)),"")</f>
        <v>1000</v>
      </c>
      <c r="CD39" s="398">
        <f>IFERROR(CB39*CC16,0)</f>
        <v>8000</v>
      </c>
      <c r="CF39" s="167" t="str">
        <f>IF(INDEX('Master Lookup'!$B$37:$B$47,$B39)=0,"",INDEX('Master Lookup'!$B$37:$B$47,$B39))</f>
        <v xml:space="preserve">Flex Spending </v>
      </c>
      <c r="CG39" s="404">
        <f>IFERROR(INDEX('Master Lookup'!$C$37:$C$47,MATCH(CF39,'Master Lookup'!$B$37:$B$47,0)),"")</f>
        <v>1000</v>
      </c>
      <c r="CI39" s="398">
        <f>IFERROR(CG39*CH16,0)</f>
        <v>8500</v>
      </c>
      <c r="CK39" s="167" t="str">
        <f>IF(INDEX('Master Lookup'!$B$37:$B$47,$B39)=0,"",INDEX('Master Lookup'!$B$37:$B$47,$B39))</f>
        <v xml:space="preserve">Flex Spending </v>
      </c>
      <c r="CL39" s="404">
        <f>IFERROR(INDEX('Master Lookup'!$C$37:$C$47,MATCH(CK39,'Master Lookup'!$B$37:$B$47,0)),"")</f>
        <v>1000</v>
      </c>
      <c r="CN39" s="398">
        <f>IFERROR(CL39*CM16,0)</f>
        <v>9000</v>
      </c>
      <c r="CP39" s="167" t="str">
        <f>IF(INDEX('Master Lookup'!$B$37:$B$47,$B39)=0,"",INDEX('Master Lookup'!$B$37:$B$47,$B39))</f>
        <v xml:space="preserve">Flex Spending </v>
      </c>
      <c r="CQ39" s="404">
        <f>IFERROR(INDEX('Master Lookup'!$C$37:$C$47,MATCH(CP39,'Master Lookup'!$B$37:$B$47,0)),"")</f>
        <v>1000</v>
      </c>
      <c r="CS39" s="398">
        <f>IFERROR(CQ39*CR16,0)</f>
        <v>9500</v>
      </c>
      <c r="CU39" s="167" t="str">
        <f>IF(INDEX('Master Lookup'!$B$37:$B$47,$B39)=0,"",INDEX('Master Lookup'!$B$37:$B$47,$B39))</f>
        <v xml:space="preserve">Flex Spending </v>
      </c>
      <c r="CV39" s="404">
        <f>IFERROR(INDEX('Master Lookup'!$C$37:$C$47,MATCH(CU39,'Master Lookup'!$B$37:$B$47,0)),"")</f>
        <v>1000</v>
      </c>
      <c r="CX39" s="398">
        <f>IFERROR(CV39*CW16,0)</f>
        <v>10000</v>
      </c>
      <c r="CZ39" s="167" t="str">
        <f>IF(INDEX('Master Lookup'!$B$37:$B$47,$B39)=0,"",INDEX('Master Lookup'!$B$37:$B$47,$B39))</f>
        <v xml:space="preserve">Flex Spending </v>
      </c>
      <c r="DA39" s="404">
        <f>IFERROR(INDEX('Master Lookup'!$C$37:$C$47,MATCH(CZ39,'Master Lookup'!$B$37:$B$47,0)),"")</f>
        <v>1000</v>
      </c>
      <c r="DC39" s="398">
        <f>IFERROR(DA39*DB16,0)</f>
        <v>10500</v>
      </c>
      <c r="DE39" s="167" t="str">
        <f>IF(INDEX('Master Lookup'!$B$37:$B$47,$B39)=0,"",INDEX('Master Lookup'!$B$37:$B$47,$B39))</f>
        <v xml:space="preserve">Flex Spending </v>
      </c>
      <c r="DF39" s="404">
        <f>IFERROR(INDEX('Master Lookup'!$C$37:$C$47,MATCH(DE39,'Master Lookup'!$B$37:$B$47,0)),"")</f>
        <v>1000</v>
      </c>
      <c r="DH39" s="398">
        <f>IFERROR(DF39*DG16,0)</f>
        <v>11000</v>
      </c>
      <c r="DJ39" s="167" t="str">
        <f>IF(INDEX('Master Lookup'!$B$37:$B$47,$B39)=0,"",INDEX('Master Lookup'!$B$37:$B$47,$B39))</f>
        <v xml:space="preserve">Flex Spending </v>
      </c>
      <c r="DK39" s="404">
        <f>IFERROR(INDEX('Master Lookup'!$C$37:$C$47,MATCH(DJ39,'Master Lookup'!$B$37:$B$47,0)),"")</f>
        <v>1000</v>
      </c>
      <c r="DM39" s="398">
        <f>IFERROR(DK39*DL16,0)</f>
        <v>11500</v>
      </c>
      <c r="DO39" s="167" t="str">
        <f>IF(INDEX('Master Lookup'!$B$37:$B$47,$B39)=0,"",INDEX('Master Lookup'!$B$37:$B$47,$B39))</f>
        <v xml:space="preserve">Flex Spending </v>
      </c>
      <c r="DP39" s="404">
        <f>IFERROR(INDEX('Master Lookup'!$C$37:$C$47,MATCH(DO39,'Master Lookup'!$B$37:$B$47,0)),"")</f>
        <v>1000</v>
      </c>
      <c r="DR39" s="398">
        <f>IFERROR(DP39*DQ16,0)</f>
        <v>12000</v>
      </c>
    </row>
    <row r="40" spans="2:122" x14ac:dyDescent="0.25">
      <c r="D40" s="167"/>
      <c r="E40" s="404"/>
      <c r="G40" s="398"/>
      <c r="I40" s="167"/>
      <c r="J40" s="404"/>
      <c r="L40" s="398"/>
      <c r="N40" s="167"/>
      <c r="O40" s="404"/>
      <c r="Q40" s="398"/>
      <c r="S40" s="167"/>
      <c r="T40" s="404"/>
      <c r="U40" s="361"/>
      <c r="V40" s="398"/>
      <c r="X40" s="167"/>
      <c r="Y40" s="404"/>
      <c r="Z40" s="361"/>
      <c r="AA40" s="398"/>
      <c r="AC40" s="167"/>
      <c r="AD40" s="404"/>
      <c r="AE40" s="361"/>
      <c r="AF40" s="398"/>
      <c r="AH40" s="167"/>
      <c r="AI40" s="404"/>
      <c r="AJ40" s="361"/>
      <c r="AK40" s="398"/>
      <c r="AM40" s="167"/>
      <c r="AN40" s="404"/>
      <c r="AO40" s="361"/>
      <c r="AP40" s="398"/>
      <c r="AR40" s="167"/>
      <c r="AS40" s="404"/>
      <c r="AT40" s="361"/>
      <c r="AU40" s="398"/>
      <c r="AW40" s="167"/>
      <c r="AX40" s="404"/>
      <c r="AY40" s="361"/>
      <c r="AZ40" s="398"/>
      <c r="BB40" s="167"/>
      <c r="BC40" s="404"/>
      <c r="BD40" s="361"/>
      <c r="BE40" s="398"/>
      <c r="BG40" s="167"/>
      <c r="BH40" s="404"/>
      <c r="BI40" s="361"/>
      <c r="BJ40" s="398"/>
      <c r="BL40" s="167"/>
      <c r="BM40" s="404"/>
      <c r="BO40" s="398"/>
      <c r="BQ40" s="167"/>
      <c r="BR40" s="404"/>
      <c r="BT40" s="398"/>
      <c r="BV40" s="167"/>
      <c r="BW40" s="404"/>
      <c r="BY40" s="398"/>
      <c r="CA40" s="167"/>
      <c r="CB40" s="404"/>
      <c r="CD40" s="398"/>
      <c r="CF40" s="167"/>
      <c r="CG40" s="404"/>
      <c r="CI40" s="398"/>
      <c r="CK40" s="167"/>
      <c r="CL40" s="404"/>
      <c r="CN40" s="398"/>
      <c r="CP40" s="167"/>
      <c r="CQ40" s="404"/>
      <c r="CS40" s="398"/>
      <c r="CU40" s="167"/>
      <c r="CV40" s="404"/>
      <c r="CX40" s="398"/>
      <c r="CZ40" s="167"/>
      <c r="DA40" s="404"/>
      <c r="DC40" s="398"/>
      <c r="DE40" s="167"/>
      <c r="DF40" s="404"/>
      <c r="DH40" s="398"/>
      <c r="DJ40" s="167"/>
      <c r="DK40" s="404"/>
      <c r="DM40" s="398"/>
      <c r="DO40" s="167"/>
      <c r="DP40" s="404"/>
      <c r="DR40" s="398"/>
    </row>
    <row r="41" spans="2:122" x14ac:dyDescent="0.25">
      <c r="D41" s="403"/>
      <c r="E41" s="402"/>
      <c r="F41" s="389"/>
      <c r="G41" s="388"/>
      <c r="I41" s="403"/>
      <c r="J41" s="402"/>
      <c r="K41" s="389"/>
      <c r="L41" s="388"/>
      <c r="N41" s="403"/>
      <c r="O41" s="402"/>
      <c r="P41" s="389"/>
      <c r="Q41" s="388"/>
      <c r="S41" s="403"/>
      <c r="T41" s="402"/>
      <c r="U41" s="389"/>
      <c r="V41" s="388"/>
      <c r="X41" s="403"/>
      <c r="Y41" s="402"/>
      <c r="Z41" s="389"/>
      <c r="AA41" s="388"/>
      <c r="AC41" s="403"/>
      <c r="AD41" s="402"/>
      <c r="AE41" s="389"/>
      <c r="AF41" s="388"/>
      <c r="AH41" s="403"/>
      <c r="AI41" s="402"/>
      <c r="AJ41" s="389"/>
      <c r="AK41" s="388"/>
      <c r="AM41" s="403"/>
      <c r="AN41" s="402"/>
      <c r="AO41" s="389"/>
      <c r="AP41" s="388"/>
      <c r="AR41" s="403"/>
      <c r="AS41" s="402"/>
      <c r="AT41" s="389"/>
      <c r="AU41" s="388"/>
      <c r="AW41" s="403"/>
      <c r="AX41" s="402"/>
      <c r="AY41" s="389"/>
      <c r="AZ41" s="388"/>
      <c r="BB41" s="403"/>
      <c r="BC41" s="402"/>
      <c r="BD41" s="389"/>
      <c r="BE41" s="388"/>
      <c r="BG41" s="403"/>
      <c r="BH41" s="402"/>
      <c r="BI41" s="389"/>
      <c r="BJ41" s="388"/>
      <c r="BL41" s="403"/>
      <c r="BM41" s="402"/>
      <c r="BN41" s="389"/>
      <c r="BO41" s="388"/>
      <c r="BQ41" s="403"/>
      <c r="BR41" s="402"/>
      <c r="BS41" s="389"/>
      <c r="BT41" s="388"/>
      <c r="BV41" s="403"/>
      <c r="BW41" s="402"/>
      <c r="BX41" s="389"/>
      <c r="BY41" s="388"/>
      <c r="CA41" s="403"/>
      <c r="CB41" s="402"/>
      <c r="CC41" s="389"/>
      <c r="CD41" s="388"/>
      <c r="CF41" s="403"/>
      <c r="CG41" s="402"/>
      <c r="CH41" s="389"/>
      <c r="CI41" s="388"/>
      <c r="CK41" s="403"/>
      <c r="CL41" s="402"/>
      <c r="CM41" s="389"/>
      <c r="CN41" s="388"/>
      <c r="CP41" s="403"/>
      <c r="CQ41" s="402"/>
      <c r="CR41" s="389"/>
      <c r="CS41" s="388"/>
      <c r="CU41" s="403"/>
      <c r="CV41" s="402"/>
      <c r="CW41" s="389"/>
      <c r="CX41" s="388"/>
      <c r="CZ41" s="403"/>
      <c r="DA41" s="402"/>
      <c r="DB41" s="389"/>
      <c r="DC41" s="388"/>
      <c r="DE41" s="403"/>
      <c r="DF41" s="402"/>
      <c r="DG41" s="389"/>
      <c r="DH41" s="388"/>
      <c r="DJ41" s="403"/>
      <c r="DK41" s="402"/>
      <c r="DL41" s="389"/>
      <c r="DM41" s="388"/>
      <c r="DO41" s="403"/>
      <c r="DP41" s="402"/>
      <c r="DQ41" s="389"/>
      <c r="DR41" s="388"/>
    </row>
    <row r="42" spans="2:122" x14ac:dyDescent="0.25">
      <c r="D42" s="401" t="s">
        <v>501</v>
      </c>
      <c r="E42" s="400"/>
      <c r="F42" s="400"/>
      <c r="G42" s="399">
        <f>SUM(G29:G40)</f>
        <v>15365.40691500273</v>
      </c>
      <c r="I42" s="401" t="s">
        <v>501</v>
      </c>
      <c r="J42" s="400"/>
      <c r="K42" s="400"/>
      <c r="L42" s="399">
        <f>SUM(L29:L41)</f>
        <v>30730.81383000546</v>
      </c>
      <c r="N42" s="401" t="s">
        <v>501</v>
      </c>
      <c r="O42" s="400"/>
      <c r="P42" s="400"/>
      <c r="Q42" s="399">
        <f>SUM(Q29:Q41)</f>
        <v>46096.220745008199</v>
      </c>
      <c r="S42" s="401" t="s">
        <v>501</v>
      </c>
      <c r="T42" s="400"/>
      <c r="U42" s="400"/>
      <c r="V42" s="399">
        <f>SUM(V29:V41)</f>
        <v>61461.627660010919</v>
      </c>
      <c r="X42" s="401" t="s">
        <v>501</v>
      </c>
      <c r="Y42" s="400"/>
      <c r="Z42" s="400"/>
      <c r="AA42" s="399">
        <f>SUM(AA29:AA41)</f>
        <v>67907.790426012012</v>
      </c>
      <c r="AC42" s="401" t="s">
        <v>501</v>
      </c>
      <c r="AD42" s="400"/>
      <c r="AE42" s="400"/>
      <c r="AF42" s="399">
        <f>SUM(AF29:AF41)</f>
        <v>79036.556370238977</v>
      </c>
      <c r="AH42" s="401" t="s">
        <v>501</v>
      </c>
      <c r="AI42" s="400"/>
      <c r="AJ42" s="400"/>
      <c r="AK42" s="399">
        <f>SUM(AK29:AK41)</f>
        <v>89329.143175497011</v>
      </c>
      <c r="AM42" s="401" t="s">
        <v>501</v>
      </c>
      <c r="AN42" s="400"/>
      <c r="AO42" s="400"/>
      <c r="AP42" s="399">
        <f>SUM(AP29:AP41)</f>
        <v>98003.347287449113</v>
      </c>
      <c r="AR42" s="401" t="s">
        <v>501</v>
      </c>
      <c r="AS42" s="400"/>
      <c r="AT42" s="400"/>
      <c r="AU42" s="399">
        <f>SUM(AU29:AU41)</f>
        <v>104378.55649291469</v>
      </c>
      <c r="AW42" s="401" t="s">
        <v>501</v>
      </c>
      <c r="AX42" s="400"/>
      <c r="AY42" s="400"/>
      <c r="AZ42" s="399">
        <f>SUM(AZ29:AZ41)</f>
        <v>110907.55055471988</v>
      </c>
      <c r="BB42" s="401" t="s">
        <v>501</v>
      </c>
      <c r="BC42" s="400"/>
      <c r="BD42" s="400"/>
      <c r="BE42" s="399">
        <f>SUM(BE29:BE41)</f>
        <v>116702.92808245591</v>
      </c>
      <c r="BG42" s="401" t="s">
        <v>501</v>
      </c>
      <c r="BH42" s="400"/>
      <c r="BI42" s="400"/>
      <c r="BJ42" s="399">
        <f>SUM(BJ29:BJ41)</f>
        <v>124302.37950754943</v>
      </c>
      <c r="BL42" s="401" t="s">
        <v>501</v>
      </c>
      <c r="BM42" s="400"/>
      <c r="BN42" s="400"/>
      <c r="BO42" s="399">
        <f>SUM(BO29:BO41)</f>
        <v>131374.73392463551</v>
      </c>
      <c r="BQ42" s="401" t="s">
        <v>501</v>
      </c>
      <c r="BR42" s="400"/>
      <c r="BS42" s="400"/>
      <c r="BT42" s="399">
        <f>SUM(BT29:BT41)</f>
        <v>138686.65379935794</v>
      </c>
      <c r="BV42" s="401" t="s">
        <v>501</v>
      </c>
      <c r="BW42" s="400"/>
      <c r="BX42" s="400"/>
      <c r="BY42" s="399">
        <f>SUM(BY29:BY41)</f>
        <v>145457.44683742261</v>
      </c>
      <c r="CA42" s="401" t="s">
        <v>501</v>
      </c>
      <c r="CB42" s="400"/>
      <c r="CC42" s="400"/>
      <c r="CD42" s="399">
        <f>SUM(CD29:CD41)</f>
        <v>153008.60523133533</v>
      </c>
      <c r="CF42" s="401" t="s">
        <v>501</v>
      </c>
      <c r="CG42" s="400"/>
      <c r="CH42" s="400"/>
      <c r="CI42" s="399">
        <f>SUM(CI29:CI41)</f>
        <v>161937.60337492632</v>
      </c>
      <c r="CK42" s="401" t="s">
        <v>501</v>
      </c>
      <c r="CL42" s="400"/>
      <c r="CM42" s="400"/>
      <c r="CN42" s="399">
        <f>SUM(CN29:CN41)</f>
        <v>171463.34474992199</v>
      </c>
      <c r="CP42" s="401" t="s">
        <v>501</v>
      </c>
      <c r="CQ42" s="400"/>
      <c r="CR42" s="400"/>
      <c r="CS42" s="399">
        <f>SUM(CS29:CS41)</f>
        <v>180989.08612491767</v>
      </c>
      <c r="CU42" s="401" t="s">
        <v>501</v>
      </c>
      <c r="CV42" s="400"/>
      <c r="CW42" s="400"/>
      <c r="CX42" s="399">
        <f>SUM(CX29:CX41)</f>
        <v>191159.52331241302</v>
      </c>
      <c r="CZ42" s="401" t="s">
        <v>501</v>
      </c>
      <c r="DA42" s="400"/>
      <c r="DB42" s="400"/>
      <c r="DC42" s="399">
        <f>SUM(DC29:DC41)</f>
        <v>201405.44703491626</v>
      </c>
      <c r="DE42" s="401" t="s">
        <v>501</v>
      </c>
      <c r="DF42" s="400"/>
      <c r="DG42" s="400"/>
      <c r="DH42" s="399">
        <f>SUM(DH29:DH41)</f>
        <v>212480.38433422649</v>
      </c>
      <c r="DJ42" s="401" t="s">
        <v>501</v>
      </c>
      <c r="DK42" s="400"/>
      <c r="DL42" s="400"/>
      <c r="DM42" s="399">
        <f>SUM(DM29:DM41)</f>
        <v>223743.44902117178</v>
      </c>
      <c r="DO42" s="401" t="s">
        <v>501</v>
      </c>
      <c r="DP42" s="400"/>
      <c r="DQ42" s="400"/>
      <c r="DR42" s="399">
        <f>SUM(DR29:DR41)</f>
        <v>236107.98964968443</v>
      </c>
    </row>
    <row r="43" spans="2:122" x14ac:dyDescent="0.25">
      <c r="D43" s="167"/>
      <c r="G43" s="398"/>
      <c r="I43" s="167"/>
      <c r="L43" s="398"/>
      <c r="N43" s="167"/>
      <c r="Q43" s="398"/>
      <c r="S43" s="167"/>
      <c r="T43" s="361"/>
      <c r="U43" s="361"/>
      <c r="V43" s="398"/>
      <c r="X43" s="167"/>
      <c r="Y43" s="361"/>
      <c r="Z43" s="361"/>
      <c r="AA43" s="398"/>
      <c r="AC43" s="167"/>
      <c r="AD43" s="361"/>
      <c r="AE43" s="361"/>
      <c r="AF43" s="398"/>
      <c r="AH43" s="167"/>
      <c r="AI43" s="361"/>
      <c r="AJ43" s="361"/>
      <c r="AK43" s="398"/>
      <c r="AM43" s="167"/>
      <c r="AN43" s="361"/>
      <c r="AO43" s="361"/>
      <c r="AP43" s="398"/>
      <c r="AR43" s="167"/>
      <c r="AS43" s="361"/>
      <c r="AT43" s="361"/>
      <c r="AU43" s="398"/>
      <c r="AW43" s="167"/>
      <c r="AX43" s="361"/>
      <c r="AY43" s="361"/>
      <c r="AZ43" s="398"/>
      <c r="BB43" s="167"/>
      <c r="BC43" s="361"/>
      <c r="BD43" s="361"/>
      <c r="BE43" s="398"/>
      <c r="BG43" s="167"/>
      <c r="BH43" s="361"/>
      <c r="BI43" s="361"/>
      <c r="BJ43" s="398"/>
      <c r="BL43" s="167"/>
      <c r="BO43" s="398"/>
      <c r="BQ43" s="167"/>
      <c r="BT43" s="398"/>
      <c r="BV43" s="167"/>
      <c r="BY43" s="398"/>
      <c r="CA43" s="167"/>
      <c r="CD43" s="398"/>
      <c r="CF43" s="167"/>
      <c r="CI43" s="398"/>
      <c r="CK43" s="167"/>
      <c r="CN43" s="398"/>
      <c r="CP43" s="167"/>
      <c r="CS43" s="398"/>
      <c r="CU43" s="167"/>
      <c r="CX43" s="398"/>
      <c r="CZ43" s="167"/>
      <c r="DC43" s="398"/>
      <c r="DE43" s="167"/>
      <c r="DH43" s="398"/>
      <c r="DJ43" s="167"/>
      <c r="DM43" s="398"/>
      <c r="DO43" s="167"/>
      <c r="DR43" s="398"/>
    </row>
    <row r="44" spans="2:122" x14ac:dyDescent="0.25">
      <c r="D44" s="397" t="s">
        <v>500</v>
      </c>
      <c r="E44" s="393"/>
      <c r="F44" s="393"/>
      <c r="G44" s="396">
        <f>SUM(G42,G26)</f>
        <v>60790.70787833073</v>
      </c>
      <c r="I44" s="397" t="s">
        <v>500</v>
      </c>
      <c r="J44" s="393"/>
      <c r="K44" s="393"/>
      <c r="L44" s="396">
        <f>SUM(L42,L26)</f>
        <v>121581.41575666146</v>
      </c>
      <c r="N44" s="397" t="s">
        <v>500</v>
      </c>
      <c r="O44" s="393"/>
      <c r="P44" s="393"/>
      <c r="Q44" s="396">
        <f>SUM(Q42,Q26)</f>
        <v>182372.1236349922</v>
      </c>
      <c r="S44" s="397" t="s">
        <v>500</v>
      </c>
      <c r="T44" s="393"/>
      <c r="U44" s="393"/>
      <c r="V44" s="396">
        <f>SUM(V42,V26)</f>
        <v>243162.83151332292</v>
      </c>
      <c r="X44" s="397" t="s">
        <v>500</v>
      </c>
      <c r="Y44" s="393"/>
      <c r="Z44" s="393"/>
      <c r="AA44" s="396">
        <f>SUM(AA42,AA26)</f>
        <v>288711.85008505208</v>
      </c>
      <c r="AC44" s="397" t="s">
        <v>500</v>
      </c>
      <c r="AD44" s="393"/>
      <c r="AE44" s="393"/>
      <c r="AF44" s="396">
        <f>SUM(AF42,AF26)</f>
        <v>339449.26744761493</v>
      </c>
      <c r="AH44" s="397" t="s">
        <v>500</v>
      </c>
      <c r="AI44" s="393"/>
      <c r="AJ44" s="393"/>
      <c r="AK44" s="396">
        <f>SUM(AK42,AK26)</f>
        <v>389603.403477513</v>
      </c>
      <c r="AM44" s="397" t="s">
        <v>500</v>
      </c>
      <c r="AN44" s="393"/>
      <c r="AO44" s="393"/>
      <c r="AP44" s="396">
        <f>SUM(AP42,AP26)</f>
        <v>439150.74803932116</v>
      </c>
      <c r="AR44" s="397" t="s">
        <v>500</v>
      </c>
      <c r="AS44" s="393"/>
      <c r="AT44" s="393"/>
      <c r="AU44" s="396">
        <f>SUM(AU42,AU26)</f>
        <v>488169.38233877072</v>
      </c>
      <c r="AW44" s="397" t="s">
        <v>500</v>
      </c>
      <c r="AX44" s="393"/>
      <c r="AY44" s="393"/>
      <c r="AZ44" s="396">
        <f>SUM(AZ42,AZ26)</f>
        <v>536836.00588195189</v>
      </c>
      <c r="BB44" s="397" t="s">
        <v>500</v>
      </c>
      <c r="BC44" s="393"/>
      <c r="BD44" s="393"/>
      <c r="BE44" s="396">
        <f>SUM(BE42,BE26)</f>
        <v>585224.22894241114</v>
      </c>
      <c r="BG44" s="397" t="s">
        <v>500</v>
      </c>
      <c r="BH44" s="393"/>
      <c r="BI44" s="393"/>
      <c r="BJ44" s="396">
        <f>SUM(BJ42,BJ26)</f>
        <v>634809.57116509823</v>
      </c>
      <c r="BL44" s="397" t="s">
        <v>500</v>
      </c>
      <c r="BM44" s="393"/>
      <c r="BN44" s="393"/>
      <c r="BO44" s="396">
        <f>SUM(BO42,BO26)</f>
        <v>684424.1915536467</v>
      </c>
      <c r="BQ44" s="397" t="s">
        <v>500</v>
      </c>
      <c r="BR44" s="393"/>
      <c r="BS44" s="393"/>
      <c r="BT44" s="396">
        <f>SUM(BT42,BT26)</f>
        <v>733570.2635421803</v>
      </c>
      <c r="BV44" s="397" t="s">
        <v>500</v>
      </c>
      <c r="BW44" s="393"/>
      <c r="BX44" s="393"/>
      <c r="BY44" s="396">
        <f>SUM(BY42,BY26)</f>
        <v>782832.74299044651</v>
      </c>
      <c r="CA44" s="397" t="s">
        <v>500</v>
      </c>
      <c r="CB44" s="393"/>
      <c r="CC44" s="393"/>
      <c r="CD44" s="396">
        <f>SUM(CD42,CD26)</f>
        <v>831257.04183421517</v>
      </c>
      <c r="CF44" s="397" t="s">
        <v>500</v>
      </c>
      <c r="CG44" s="393"/>
      <c r="CH44" s="393"/>
      <c r="CI44" s="396">
        <f>SUM(CI42,CI26)</f>
        <v>878530.20236462238</v>
      </c>
      <c r="CK44" s="397" t="s">
        <v>500</v>
      </c>
      <c r="CL44" s="393"/>
      <c r="CM44" s="393"/>
      <c r="CN44" s="396">
        <f>SUM(CN42,CN26)</f>
        <v>925388.514901218</v>
      </c>
      <c r="CP44" s="397" t="s">
        <v>500</v>
      </c>
      <c r="CQ44" s="393"/>
      <c r="CR44" s="393"/>
      <c r="CS44" s="396">
        <f>SUM(CS42,CS26)</f>
        <v>972246.82743781386</v>
      </c>
      <c r="CU44" s="397" t="s">
        <v>500</v>
      </c>
      <c r="CV44" s="393"/>
      <c r="CW44" s="393"/>
      <c r="CX44" s="396">
        <f>SUM(CX42,CX26)</f>
        <v>1018738.244561693</v>
      </c>
      <c r="CZ44" s="397" t="s">
        <v>500</v>
      </c>
      <c r="DA44" s="393"/>
      <c r="DB44" s="393"/>
      <c r="DC44" s="396">
        <f>SUM(DC42,DC26)</f>
        <v>1065305.1482205801</v>
      </c>
      <c r="DE44" s="397" t="s">
        <v>500</v>
      </c>
      <c r="DF44" s="393"/>
      <c r="DG44" s="393"/>
      <c r="DH44" s="396">
        <f>SUM(DH42,DH26)</f>
        <v>1111689.4742310585</v>
      </c>
      <c r="DJ44" s="397" t="s">
        <v>500</v>
      </c>
      <c r="DK44" s="393"/>
      <c r="DL44" s="393"/>
      <c r="DM44" s="396">
        <f>SUM(DM42,DM26)</f>
        <v>1158261.9276291719</v>
      </c>
      <c r="DO44" s="397" t="s">
        <v>500</v>
      </c>
      <c r="DP44" s="393"/>
      <c r="DQ44" s="393"/>
      <c r="DR44" s="396">
        <f>SUM(DR42,DR26)</f>
        <v>1204924.2657436363</v>
      </c>
    </row>
    <row r="45" spans="2:122" x14ac:dyDescent="0.25">
      <c r="D45" s="395" t="s">
        <v>366</v>
      </c>
      <c r="E45" s="394">
        <f>INDEX('Master Lookup'!$C$48:$C$51,MATCH(D45,'Master Lookup'!$B$48:$B$51,0))</f>
        <v>0.12</v>
      </c>
      <c r="F45" s="393"/>
      <c r="G45" s="392">
        <f>(G44)*E45</f>
        <v>7294.8849453996872</v>
      </c>
      <c r="I45" s="395" t="s">
        <v>366</v>
      </c>
      <c r="J45" s="394">
        <f>INDEX('Master Lookup'!$C$48:$C$51,MATCH(I45,'Master Lookup'!$B$48:$B$51,0))</f>
        <v>0.12</v>
      </c>
      <c r="K45" s="393"/>
      <c r="L45" s="392">
        <f>(L44)*J45</f>
        <v>14589.769890799374</v>
      </c>
      <c r="N45" s="395" t="s">
        <v>366</v>
      </c>
      <c r="O45" s="394">
        <f>INDEX('Master Lookup'!$C$48:$C$51,MATCH(N45,'Master Lookup'!$B$48:$B$51,0))</f>
        <v>0.12</v>
      </c>
      <c r="P45" s="393"/>
      <c r="Q45" s="392">
        <f>(Q44)*O45</f>
        <v>21884.654836199064</v>
      </c>
      <c r="S45" s="395" t="s">
        <v>366</v>
      </c>
      <c r="T45" s="394">
        <f>INDEX('Master Lookup'!$C$48:$C$51,MATCH(S45,'Master Lookup'!$B$48:$B$51,0))</f>
        <v>0.12</v>
      </c>
      <c r="U45" s="393"/>
      <c r="V45" s="392">
        <f>(V44)*T45</f>
        <v>29179.539781598749</v>
      </c>
      <c r="X45" s="395" t="s">
        <v>366</v>
      </c>
      <c r="Y45" s="394">
        <f>INDEX('Master Lookup'!$C$48:$C$51,MATCH(X45,'Master Lookup'!$B$48:$B$51,0))</f>
        <v>0.12</v>
      </c>
      <c r="Z45" s="393"/>
      <c r="AA45" s="392">
        <f>(AA44)*Y45</f>
        <v>34645.422010206246</v>
      </c>
      <c r="AC45" s="395" t="s">
        <v>366</v>
      </c>
      <c r="AD45" s="394">
        <f>INDEX('Master Lookup'!$C$48:$C$51,MATCH(AC45,'Master Lookup'!$B$48:$B$51,0))</f>
        <v>0.12</v>
      </c>
      <c r="AE45" s="393"/>
      <c r="AF45" s="392">
        <f>(AF44)*AD45</f>
        <v>40733.912093713792</v>
      </c>
      <c r="AH45" s="395" t="s">
        <v>366</v>
      </c>
      <c r="AI45" s="394">
        <f>INDEX('Master Lookup'!$C$48:$C$51,MATCH(AH45,'Master Lookup'!$B$48:$B$51,0))</f>
        <v>0.12</v>
      </c>
      <c r="AJ45" s="393"/>
      <c r="AK45" s="392">
        <f>(AK44)*AI45</f>
        <v>46752.408417301558</v>
      </c>
      <c r="AM45" s="395" t="s">
        <v>366</v>
      </c>
      <c r="AN45" s="394">
        <f>INDEX('Master Lookup'!$C$48:$C$51,MATCH(AM45,'Master Lookup'!$B$48:$B$51,0))</f>
        <v>0.12</v>
      </c>
      <c r="AO45" s="393"/>
      <c r="AP45" s="392">
        <f>(AP44)*AN45</f>
        <v>52698.089764718534</v>
      </c>
      <c r="AR45" s="395" t="s">
        <v>366</v>
      </c>
      <c r="AS45" s="394">
        <f>INDEX('Master Lookup'!$C$48:$C$51,MATCH(AR45,'Master Lookup'!$B$48:$B$51,0))</f>
        <v>0.12</v>
      </c>
      <c r="AT45" s="393"/>
      <c r="AU45" s="392">
        <f>(AU44)*AS45</f>
        <v>58580.325880652483</v>
      </c>
      <c r="AW45" s="395" t="s">
        <v>366</v>
      </c>
      <c r="AX45" s="394">
        <f>INDEX('Master Lookup'!$C$48:$C$51,MATCH(AW45,'Master Lookup'!$B$48:$B$51,0))</f>
        <v>0.12</v>
      </c>
      <c r="AY45" s="393"/>
      <c r="AZ45" s="392">
        <f>(AZ44)*AX45</f>
        <v>64420.320705834223</v>
      </c>
      <c r="BB45" s="395" t="s">
        <v>366</v>
      </c>
      <c r="BC45" s="394">
        <f>INDEX('Master Lookup'!$C$48:$C$51,MATCH(BB45,'Master Lookup'!$B$48:$B$51,0))</f>
        <v>0.12</v>
      </c>
      <c r="BD45" s="393"/>
      <c r="BE45" s="392">
        <f>(BE44)*BC45</f>
        <v>70226.907473089334</v>
      </c>
      <c r="BG45" s="395" t="s">
        <v>366</v>
      </c>
      <c r="BH45" s="394">
        <f>INDEX('Master Lookup'!$C$48:$C$51,MATCH(BG45,'Master Lookup'!$B$48:$B$51,0))</f>
        <v>0.12</v>
      </c>
      <c r="BI45" s="393"/>
      <c r="BJ45" s="392">
        <f>(BJ44)*BH45</f>
        <v>76177.14853981178</v>
      </c>
      <c r="BL45" s="395" t="s">
        <v>366</v>
      </c>
      <c r="BM45" s="394">
        <f>INDEX('Master Lookup'!$C$48:$C$51,MATCH(BL45,'Master Lookup'!$B$48:$B$51,0))</f>
        <v>0.12</v>
      </c>
      <c r="BN45" s="393"/>
      <c r="BO45" s="392">
        <f>(BO44)*BM45</f>
        <v>82130.902986437606</v>
      </c>
      <c r="BQ45" s="395" t="s">
        <v>366</v>
      </c>
      <c r="BR45" s="394">
        <f>INDEX('Master Lookup'!$C$48:$C$51,MATCH(BQ45,'Master Lookup'!$B$48:$B$51,0))</f>
        <v>0.12</v>
      </c>
      <c r="BS45" s="393"/>
      <c r="BT45" s="392">
        <f>(BT44)*BR45</f>
        <v>88028.431625061639</v>
      </c>
      <c r="BV45" s="395" t="s">
        <v>366</v>
      </c>
      <c r="BW45" s="394">
        <f>INDEX('Master Lookup'!$C$48:$C$51,MATCH(BV45,'Master Lookup'!$B$48:$B$51,0))</f>
        <v>0.12</v>
      </c>
      <c r="BX45" s="393"/>
      <c r="BY45" s="392">
        <f>(BY44)*BW45</f>
        <v>93939.929158853571</v>
      </c>
      <c r="CA45" s="395" t="s">
        <v>366</v>
      </c>
      <c r="CB45" s="394">
        <f>INDEX('Master Lookup'!$C$48:$C$51,MATCH(CA45,'Master Lookup'!$B$48:$B$51,0))</f>
        <v>0.12</v>
      </c>
      <c r="CC45" s="393"/>
      <c r="CD45" s="392">
        <f>(CD44)*CB45</f>
        <v>99750.845020105815</v>
      </c>
      <c r="CF45" s="395" t="s">
        <v>366</v>
      </c>
      <c r="CG45" s="394">
        <f>INDEX('Master Lookup'!$C$48:$C$51,MATCH(CF45,'Master Lookup'!$B$48:$B$51,0))</f>
        <v>0.12</v>
      </c>
      <c r="CH45" s="393"/>
      <c r="CI45" s="392">
        <f>(CI44)*CG45</f>
        <v>105423.62428375469</v>
      </c>
      <c r="CK45" s="395" t="s">
        <v>366</v>
      </c>
      <c r="CL45" s="394">
        <f>INDEX('Master Lookup'!$C$48:$C$51,MATCH(CK45,'Master Lookup'!$B$48:$B$51,0))</f>
        <v>0.12</v>
      </c>
      <c r="CM45" s="393"/>
      <c r="CN45" s="392">
        <f>(CN44)*CL45</f>
        <v>111046.62178814616</v>
      </c>
      <c r="CP45" s="395" t="s">
        <v>366</v>
      </c>
      <c r="CQ45" s="394">
        <f>INDEX('Master Lookup'!$C$48:$C$51,MATCH(CP45,'Master Lookup'!$B$48:$B$51,0))</f>
        <v>0.12</v>
      </c>
      <c r="CR45" s="393"/>
      <c r="CS45" s="392">
        <f>(CS44)*CQ45</f>
        <v>116669.61929253765</v>
      </c>
      <c r="CU45" s="395" t="s">
        <v>366</v>
      </c>
      <c r="CV45" s="394">
        <f>INDEX('Master Lookup'!$C$48:$C$51,MATCH(CU45,'Master Lookup'!$B$48:$B$51,0))</f>
        <v>0.12</v>
      </c>
      <c r="CW45" s="393"/>
      <c r="CX45" s="392">
        <f>(CX44)*CV45</f>
        <v>122248.58934740316</v>
      </c>
      <c r="CZ45" s="395" t="s">
        <v>366</v>
      </c>
      <c r="DA45" s="394">
        <f>INDEX('Master Lookup'!$C$48:$C$51,MATCH(CZ45,'Master Lookup'!$B$48:$B$51,0))</f>
        <v>0.12</v>
      </c>
      <c r="DB45" s="393"/>
      <c r="DC45" s="392">
        <f>(DC44)*DA45</f>
        <v>127836.61778646961</v>
      </c>
      <c r="DE45" s="395" t="s">
        <v>366</v>
      </c>
      <c r="DF45" s="394">
        <f>INDEX('Master Lookup'!$C$48:$C$51,MATCH(DE45,'Master Lookup'!$B$48:$B$51,0))</f>
        <v>0.12</v>
      </c>
      <c r="DG45" s="393"/>
      <c r="DH45" s="392">
        <f>(DH44)*DF45</f>
        <v>133402.73690772703</v>
      </c>
      <c r="DJ45" s="395" t="s">
        <v>366</v>
      </c>
      <c r="DK45" s="394">
        <f>INDEX('Master Lookup'!$C$48:$C$51,MATCH(DJ45,'Master Lookup'!$B$48:$B$51,0))</f>
        <v>0.12</v>
      </c>
      <c r="DL45" s="393"/>
      <c r="DM45" s="392">
        <f>(DM44)*DK45</f>
        <v>138991.43131550061</v>
      </c>
      <c r="DO45" s="395" t="s">
        <v>366</v>
      </c>
      <c r="DP45" s="394">
        <f>INDEX('Master Lookup'!$C$48:$C$51,MATCH(DO45,'Master Lookup'!$B$48:$B$51,0))</f>
        <v>0.12</v>
      </c>
      <c r="DQ45" s="393"/>
      <c r="DR45" s="392">
        <f>(DR44)*DP45</f>
        <v>144590.91188923636</v>
      </c>
    </row>
    <row r="46" spans="2:122" x14ac:dyDescent="0.25">
      <c r="D46" s="391" t="s">
        <v>367</v>
      </c>
      <c r="E46" s="390">
        <f>INDEX('Master Lookup'!$C$48:$C$51,MATCH(D46,'Master Lookup'!$B$48:$B$51,0))</f>
        <v>2.7100379121522307E-2</v>
      </c>
      <c r="F46" s="389"/>
      <c r="G46" s="388">
        <f>(G44+G45)*E46</f>
        <v>1845.1453782366927</v>
      </c>
      <c r="I46" s="391" t="s">
        <v>367</v>
      </c>
      <c r="J46" s="390">
        <f>INDEX('Master Lookup'!$C$48:$C$51,MATCH(I46,'Master Lookup'!$B$48:$B$51,0))</f>
        <v>2.7100379121522307E-2</v>
      </c>
      <c r="K46" s="389"/>
      <c r="L46" s="388">
        <f>(L44+L45)*J46</f>
        <v>3690.2907564733855</v>
      </c>
      <c r="N46" s="391" t="s">
        <v>367</v>
      </c>
      <c r="O46" s="390">
        <f>INDEX('Master Lookup'!$C$48:$C$51,MATCH(N46,'Master Lookup'!$B$48:$B$51,0))</f>
        <v>2.7100379121522307E-2</v>
      </c>
      <c r="P46" s="389"/>
      <c r="Q46" s="388">
        <f>(Q44+Q45)*O46</f>
        <v>5535.4361347100785</v>
      </c>
      <c r="S46" s="391" t="s">
        <v>367</v>
      </c>
      <c r="T46" s="390">
        <f>INDEX('Master Lookup'!$C$48:$C$51,MATCH(S46,'Master Lookup'!$B$48:$B$51,0))</f>
        <v>2.7100379121522307E-2</v>
      </c>
      <c r="U46" s="389"/>
      <c r="V46" s="388">
        <f>(V44+V45)*T46</f>
        <v>7380.581512946771</v>
      </c>
      <c r="X46" s="391" t="s">
        <v>367</v>
      </c>
      <c r="Y46" s="390">
        <f>INDEX('Master Lookup'!$C$48:$C$51,MATCH(X46,'Master Lookup'!$B$48:$B$51,0))</f>
        <v>2.7100379121522307E-2</v>
      </c>
      <c r="Z46" s="389"/>
      <c r="AA46" s="388">
        <f>(AA44+AA45)*Y46</f>
        <v>8763.1046654827478</v>
      </c>
      <c r="AC46" s="391" t="s">
        <v>367</v>
      </c>
      <c r="AD46" s="390">
        <f>INDEX('Master Lookup'!$C$48:$C$51,MATCH(AC46,'Master Lookup'!$B$48:$B$51,0))</f>
        <v>2.7100379121522307E-2</v>
      </c>
      <c r="AE46" s="389"/>
      <c r="AF46" s="388">
        <f>(AF44+AF45)*AD46</f>
        <v>10303.108301195791</v>
      </c>
      <c r="AH46" s="391" t="s">
        <v>367</v>
      </c>
      <c r="AI46" s="390">
        <f>INDEX('Master Lookup'!$C$48:$C$51,MATCH(AH46,'Master Lookup'!$B$48:$B$51,0))</f>
        <v>2.7100379121522307E-2</v>
      </c>
      <c r="AJ46" s="389"/>
      <c r="AK46" s="388">
        <f>(AK44+AK45)*AI46</f>
        <v>11825.407934229148</v>
      </c>
      <c r="AM46" s="391" t="s">
        <v>367</v>
      </c>
      <c r="AN46" s="390">
        <f>INDEX('Master Lookup'!$C$48:$C$51,MATCH(AM46,'Master Lookup'!$B$48:$B$51,0))</f>
        <v>2.7100379121522307E-2</v>
      </c>
      <c r="AO46" s="389"/>
      <c r="AP46" s="388">
        <f>(AP44+AP45)*AN46</f>
        <v>13329.28997496961</v>
      </c>
      <c r="AR46" s="391" t="s">
        <v>367</v>
      </c>
      <c r="AS46" s="390">
        <f>INDEX('Master Lookup'!$C$48:$C$51,MATCH(AR46,'Master Lookup'!$B$48:$B$51,0))</f>
        <v>2.7100379121522307E-2</v>
      </c>
      <c r="AT46" s="389"/>
      <c r="AU46" s="388">
        <f>(AU44+AU45)*AS46</f>
        <v>14817.124377328069</v>
      </c>
      <c r="AW46" s="391" t="s">
        <v>367</v>
      </c>
      <c r="AX46" s="390">
        <f>INDEX('Master Lookup'!$C$48:$C$51,MATCH(AW46,'Master Lookup'!$B$48:$B$51,0))</f>
        <v>2.7100379121522307E-2</v>
      </c>
      <c r="AY46" s="389"/>
      <c r="AZ46" s="388">
        <f>(AZ44+AZ45)*AX46</f>
        <v>16294.274399742835</v>
      </c>
      <c r="BB46" s="391" t="s">
        <v>367</v>
      </c>
      <c r="BC46" s="390">
        <f>INDEX('Master Lookup'!$C$48:$C$51,MATCH(BB46,'Master Lookup'!$B$48:$B$51,0))</f>
        <v>2.7100379121522307E-2</v>
      </c>
      <c r="BD46" s="389"/>
      <c r="BE46" s="388">
        <f>(BE44+BE45)*BC46</f>
        <v>17762.974292492698</v>
      </c>
      <c r="BG46" s="391" t="s">
        <v>367</v>
      </c>
      <c r="BH46" s="390">
        <f>INDEX('Master Lookup'!$C$48:$C$51,MATCH(BG46,'Master Lookup'!$B$48:$B$51,0))</f>
        <v>2.7100379121522307E-2</v>
      </c>
      <c r="BI46" s="389"/>
      <c r="BJ46" s="388">
        <f>(BJ44+BJ45)*BH46</f>
        <v>19268.009654370573</v>
      </c>
      <c r="BL46" s="391" t="s">
        <v>367</v>
      </c>
      <c r="BM46" s="390">
        <f>INDEX('Master Lookup'!$C$48:$C$51,MATCH(BL46,'Master Lookup'!$B$48:$B$51,0))</f>
        <v>2.7100379121522307E-2</v>
      </c>
      <c r="BN46" s="389"/>
      <c r="BO46" s="388">
        <f>(BO44+BO45)*BM46</f>
        <v>20773.933679570659</v>
      </c>
      <c r="BQ46" s="391" t="s">
        <v>367</v>
      </c>
      <c r="BR46" s="390">
        <f>INDEX('Master Lookup'!$C$48:$C$51,MATCH(BQ46,'Master Lookup'!$B$48:$B$51,0))</f>
        <v>2.7100379121522307E-2</v>
      </c>
      <c r="BS46" s="389"/>
      <c r="BT46" s="388">
        <f>(BT44+BT45)*BR46</f>
        <v>22265.636124780296</v>
      </c>
      <c r="BV46" s="391" t="s">
        <v>367</v>
      </c>
      <c r="BW46" s="390">
        <f>INDEX('Master Lookup'!$C$48:$C$51,MATCH(BV46,'Master Lookup'!$B$48:$B$51,0))</f>
        <v>2.7100379121522307E-2</v>
      </c>
      <c r="BX46" s="389"/>
      <c r="BY46" s="388">
        <f>(BY44+BY45)*BW46</f>
        <v>23760.871818636217</v>
      </c>
      <c r="CA46" s="391" t="s">
        <v>367</v>
      </c>
      <c r="CB46" s="390">
        <f>INDEX('Master Lookup'!$C$48:$C$51,MATCH(CA46,'Master Lookup'!$B$48:$B$51,0))</f>
        <v>2.7100379121522307E-2</v>
      </c>
      <c r="CC46" s="389"/>
      <c r="CD46" s="388">
        <f>(CD44+CD45)*CB46</f>
        <v>25230.666698879442</v>
      </c>
      <c r="CF46" s="391" t="s">
        <v>367</v>
      </c>
      <c r="CG46" s="390">
        <f>INDEX('Master Lookup'!$C$48:$C$51,MATCH(CF46,'Master Lookup'!$B$48:$B$51,0))</f>
        <v>2.7100379121522307E-2</v>
      </c>
      <c r="CH46" s="389"/>
      <c r="CI46" s="388">
        <f>(CI44+CI45)*CG46</f>
        <v>26665.521740243657</v>
      </c>
      <c r="CK46" s="391" t="s">
        <v>367</v>
      </c>
      <c r="CL46" s="390">
        <f>INDEX('Master Lookup'!$C$48:$C$51,MATCH(CK46,'Master Lookup'!$B$48:$B$51,0))</f>
        <v>2.7100379121522307E-2</v>
      </c>
      <c r="CM46" s="389"/>
      <c r="CN46" s="388">
        <f>(CN44+CN45)*CL46</f>
        <v>28087.785139148564</v>
      </c>
      <c r="CP46" s="391" t="s">
        <v>367</v>
      </c>
      <c r="CQ46" s="390">
        <f>INDEX('Master Lookup'!$C$48:$C$51,MATCH(CP46,'Master Lookup'!$B$48:$B$51,0))</f>
        <v>2.7100379121522307E-2</v>
      </c>
      <c r="CR46" s="389"/>
      <c r="CS46" s="388">
        <f>(CS44+CS45)*CQ46</f>
        <v>29510.048538053477</v>
      </c>
      <c r="CU46" s="391" t="s">
        <v>367</v>
      </c>
      <c r="CV46" s="390">
        <f>INDEX('Master Lookup'!$C$48:$C$51,MATCH(CU46,'Master Lookup'!$B$48:$B$51,0))</f>
        <v>2.7100379121522307E-2</v>
      </c>
      <c r="CW46" s="389"/>
      <c r="CX46" s="388">
        <f>(CX44+CX45)*CV46</f>
        <v>30921.175771601909</v>
      </c>
      <c r="CZ46" s="391" t="s">
        <v>367</v>
      </c>
      <c r="DA46" s="390">
        <f>INDEX('Master Lookup'!$C$48:$C$51,MATCH(CZ46,'Master Lookup'!$B$48:$B$51,0))</f>
        <v>2.7100379121522307E-2</v>
      </c>
      <c r="DB46" s="389"/>
      <c r="DC46" s="388">
        <f>(DC44+DC45)*DA46</f>
        <v>32334.594204513705</v>
      </c>
      <c r="DE46" s="391" t="s">
        <v>367</v>
      </c>
      <c r="DF46" s="390">
        <f>INDEX('Master Lookup'!$C$48:$C$51,MATCH(DE46,'Master Lookup'!$B$48:$B$51,0))</f>
        <v>2.7100379121522307E-2</v>
      </c>
      <c r="DG46" s="389"/>
      <c r="DH46" s="388">
        <f>(DH44+DH45)*DF46</f>
        <v>33742.470963115586</v>
      </c>
      <c r="DJ46" s="391" t="s">
        <v>367</v>
      </c>
      <c r="DK46" s="390">
        <f>INDEX('Master Lookup'!$C$48:$C$51,MATCH(DJ46,'Master Lookup'!$B$48:$B$51,0))</f>
        <v>2.7100379121522307E-2</v>
      </c>
      <c r="DL46" s="389"/>
      <c r="DM46" s="388">
        <f>(DM44+DM45)*DK46</f>
        <v>35156.057844068884</v>
      </c>
      <c r="DO46" s="391" t="s">
        <v>367</v>
      </c>
      <c r="DP46" s="390">
        <f>INDEX('Master Lookup'!$C$48:$C$51,MATCH(DO46,'Master Lookup'!$B$48:$B$51,0))</f>
        <v>2.7100379121522307E-2</v>
      </c>
      <c r="DQ46" s="389"/>
      <c r="DR46" s="388">
        <f>(DR44+DR45)*DP46</f>
        <v>36572.37294409937</v>
      </c>
    </row>
    <row r="47" spans="2:122" x14ac:dyDescent="0.25">
      <c r="D47" s="387" t="s">
        <v>499</v>
      </c>
      <c r="E47" s="386"/>
      <c r="F47" s="386"/>
      <c r="G47" s="385">
        <f>SUM(G44:G46)</f>
        <v>69930.738201967106</v>
      </c>
      <c r="I47" s="387" t="s">
        <v>499</v>
      </c>
      <c r="J47" s="386"/>
      <c r="K47" s="386"/>
      <c r="L47" s="385">
        <f>SUM(L44:L46)</f>
        <v>139861.47640393421</v>
      </c>
      <c r="N47" s="387" t="s">
        <v>499</v>
      </c>
      <c r="O47" s="386"/>
      <c r="P47" s="386"/>
      <c r="Q47" s="385">
        <f>SUM(Q44:Q46)</f>
        <v>209792.21460590133</v>
      </c>
      <c r="S47" s="387" t="s">
        <v>499</v>
      </c>
      <c r="T47" s="386"/>
      <c r="U47" s="386"/>
      <c r="V47" s="385">
        <f>SUM(V44:V46)</f>
        <v>279722.95280786842</v>
      </c>
      <c r="X47" s="387" t="s">
        <v>499</v>
      </c>
      <c r="Y47" s="386"/>
      <c r="Z47" s="386"/>
      <c r="AA47" s="385">
        <f>SUM(AA44:AA46)</f>
        <v>332120.37676074111</v>
      </c>
      <c r="AC47" s="387" t="s">
        <v>499</v>
      </c>
      <c r="AD47" s="386"/>
      <c r="AE47" s="386"/>
      <c r="AF47" s="385">
        <f>SUM(AF44:AF46)</f>
        <v>390486.28784252447</v>
      </c>
      <c r="AH47" s="387" t="s">
        <v>499</v>
      </c>
      <c r="AI47" s="386"/>
      <c r="AJ47" s="386"/>
      <c r="AK47" s="385">
        <f>SUM(AK44:AK46)</f>
        <v>448181.21982904366</v>
      </c>
      <c r="AM47" s="387" t="s">
        <v>499</v>
      </c>
      <c r="AN47" s="386"/>
      <c r="AO47" s="386"/>
      <c r="AP47" s="385">
        <f>SUM(AP44:AP46)</f>
        <v>505178.12777900934</v>
      </c>
      <c r="AR47" s="387" t="s">
        <v>499</v>
      </c>
      <c r="AS47" s="386"/>
      <c r="AT47" s="386"/>
      <c r="AU47" s="385">
        <f>SUM(AU44:AU46)</f>
        <v>561566.83259675128</v>
      </c>
      <c r="AW47" s="387" t="s">
        <v>499</v>
      </c>
      <c r="AX47" s="386"/>
      <c r="AY47" s="386"/>
      <c r="AZ47" s="385">
        <f>SUM(AZ44:AZ46)</f>
        <v>617550.60098752892</v>
      </c>
      <c r="BB47" s="387" t="s">
        <v>499</v>
      </c>
      <c r="BC47" s="386"/>
      <c r="BD47" s="386"/>
      <c r="BE47" s="385">
        <f>SUM(BE44:BE46)</f>
        <v>673214.11070799315</v>
      </c>
      <c r="BG47" s="387" t="s">
        <v>499</v>
      </c>
      <c r="BH47" s="386"/>
      <c r="BI47" s="386"/>
      <c r="BJ47" s="385">
        <f>SUM(BJ44:BJ46)</f>
        <v>730254.72935928055</v>
      </c>
      <c r="BL47" s="387" t="s">
        <v>499</v>
      </c>
      <c r="BM47" s="386"/>
      <c r="BN47" s="386"/>
      <c r="BO47" s="385">
        <f>SUM(BO44:BO46)</f>
        <v>787329.02821965492</v>
      </c>
      <c r="BQ47" s="387" t="s">
        <v>499</v>
      </c>
      <c r="BR47" s="386"/>
      <c r="BS47" s="386"/>
      <c r="BT47" s="385">
        <f>SUM(BT44:BT46)</f>
        <v>843864.33129202225</v>
      </c>
      <c r="BV47" s="387" t="s">
        <v>499</v>
      </c>
      <c r="BW47" s="386"/>
      <c r="BX47" s="386"/>
      <c r="BY47" s="385">
        <f>SUM(BY44:BY46)</f>
        <v>900533.5439679363</v>
      </c>
      <c r="CA47" s="387" t="s">
        <v>499</v>
      </c>
      <c r="CB47" s="386"/>
      <c r="CC47" s="386"/>
      <c r="CD47" s="385">
        <f>SUM(CD44:CD46)</f>
        <v>956238.55355320044</v>
      </c>
      <c r="CF47" s="387" t="s">
        <v>499</v>
      </c>
      <c r="CG47" s="386"/>
      <c r="CH47" s="386"/>
      <c r="CI47" s="385">
        <f>SUM(CI44:CI46)</f>
        <v>1010619.3483886208</v>
      </c>
      <c r="CK47" s="387" t="s">
        <v>499</v>
      </c>
      <c r="CL47" s="386"/>
      <c r="CM47" s="386"/>
      <c r="CN47" s="385">
        <f>SUM(CN44:CN46)</f>
        <v>1064522.9218285128</v>
      </c>
      <c r="CP47" s="387" t="s">
        <v>499</v>
      </c>
      <c r="CQ47" s="386"/>
      <c r="CR47" s="386"/>
      <c r="CS47" s="385">
        <f>SUM(CS44:CS46)</f>
        <v>1118426.4952684049</v>
      </c>
      <c r="CU47" s="387" t="s">
        <v>499</v>
      </c>
      <c r="CV47" s="386"/>
      <c r="CW47" s="386"/>
      <c r="CX47" s="385">
        <f>SUM(CX44:CX46)</f>
        <v>1171908.0096806982</v>
      </c>
      <c r="CZ47" s="387" t="s">
        <v>499</v>
      </c>
      <c r="DA47" s="386"/>
      <c r="DB47" s="386"/>
      <c r="DC47" s="385">
        <f>SUM(DC44:DC46)</f>
        <v>1225476.3602115633</v>
      </c>
      <c r="DE47" s="387" t="s">
        <v>499</v>
      </c>
      <c r="DF47" s="386"/>
      <c r="DG47" s="386"/>
      <c r="DH47" s="385">
        <f>SUM(DH44:DH46)</f>
        <v>1278834.6821019012</v>
      </c>
      <c r="DJ47" s="387" t="s">
        <v>499</v>
      </c>
      <c r="DK47" s="386"/>
      <c r="DL47" s="386"/>
      <c r="DM47" s="385">
        <f>SUM(DM44:DM46)</f>
        <v>1332409.4167887412</v>
      </c>
      <c r="DO47" s="387" t="s">
        <v>499</v>
      </c>
      <c r="DP47" s="386"/>
      <c r="DQ47" s="386"/>
      <c r="DR47" s="385">
        <f>SUM(DR44:DR46)</f>
        <v>1386087.5505769721</v>
      </c>
    </row>
    <row r="48" spans="2:122" ht="15.75" thickBot="1" x14ac:dyDescent="0.3">
      <c r="D48" s="384" t="s">
        <v>498</v>
      </c>
      <c r="E48" s="383"/>
      <c r="F48" s="383"/>
      <c r="G48" s="382">
        <f>ROUND(G47/12,2)</f>
        <v>5827.56</v>
      </c>
      <c r="I48" s="384" t="s">
        <v>498</v>
      </c>
      <c r="J48" s="383"/>
      <c r="K48" s="383"/>
      <c r="L48" s="382">
        <f>ROUND(L47/12,2)</f>
        <v>11655.12</v>
      </c>
      <c r="N48" s="384" t="s">
        <v>498</v>
      </c>
      <c r="O48" s="383"/>
      <c r="P48" s="383"/>
      <c r="Q48" s="382">
        <f>ROUND(Q47/12,2)</f>
        <v>17482.68</v>
      </c>
      <c r="S48" s="384" t="s">
        <v>498</v>
      </c>
      <c r="T48" s="383"/>
      <c r="U48" s="383"/>
      <c r="V48" s="382">
        <f>ROUND(V47/12,2)</f>
        <v>23310.25</v>
      </c>
      <c r="X48" s="384" t="s">
        <v>498</v>
      </c>
      <c r="Y48" s="383"/>
      <c r="Z48" s="383"/>
      <c r="AA48" s="382">
        <f>ROUND(AA47/12,2)</f>
        <v>27676.7</v>
      </c>
      <c r="AC48" s="384" t="s">
        <v>498</v>
      </c>
      <c r="AD48" s="383"/>
      <c r="AE48" s="383"/>
      <c r="AF48" s="382">
        <f>ROUND(AF47/12,2)</f>
        <v>32540.52</v>
      </c>
      <c r="AH48" s="384" t="s">
        <v>498</v>
      </c>
      <c r="AI48" s="383"/>
      <c r="AJ48" s="383"/>
      <c r="AK48" s="382">
        <f>ROUND(AK47/12,2)</f>
        <v>37348.43</v>
      </c>
      <c r="AM48" s="384" t="s">
        <v>498</v>
      </c>
      <c r="AN48" s="383"/>
      <c r="AO48" s="383"/>
      <c r="AP48" s="382">
        <f>ROUND(AP47/12,2)</f>
        <v>42098.18</v>
      </c>
      <c r="AR48" s="384" t="s">
        <v>498</v>
      </c>
      <c r="AS48" s="383"/>
      <c r="AT48" s="383"/>
      <c r="AU48" s="382">
        <f>ROUND(AU47/12,2)</f>
        <v>46797.24</v>
      </c>
      <c r="AW48" s="384" t="s">
        <v>498</v>
      </c>
      <c r="AX48" s="383"/>
      <c r="AY48" s="383"/>
      <c r="AZ48" s="382">
        <f>ROUND(AZ47/12,2)</f>
        <v>51462.55</v>
      </c>
      <c r="BB48" s="384" t="s">
        <v>498</v>
      </c>
      <c r="BC48" s="383"/>
      <c r="BD48" s="383"/>
      <c r="BE48" s="382">
        <f>ROUND(BE47/12,2)</f>
        <v>56101.18</v>
      </c>
      <c r="BG48" s="384" t="s">
        <v>498</v>
      </c>
      <c r="BH48" s="383"/>
      <c r="BI48" s="383"/>
      <c r="BJ48" s="382">
        <f>ROUND(BJ47/12,2)</f>
        <v>60854.559999999998</v>
      </c>
      <c r="BL48" s="384" t="s">
        <v>498</v>
      </c>
      <c r="BM48" s="383"/>
      <c r="BN48" s="383"/>
      <c r="BO48" s="382">
        <f>ROUND(BO47/12,2)</f>
        <v>65610.75</v>
      </c>
      <c r="BQ48" s="384" t="s">
        <v>498</v>
      </c>
      <c r="BR48" s="383"/>
      <c r="BS48" s="383"/>
      <c r="BT48" s="382">
        <f>ROUND(BT47/12,2)</f>
        <v>70322.03</v>
      </c>
      <c r="BV48" s="384" t="s">
        <v>498</v>
      </c>
      <c r="BW48" s="383"/>
      <c r="BX48" s="383"/>
      <c r="BY48" s="382">
        <f>ROUND(BY47/12,2)</f>
        <v>75044.460000000006</v>
      </c>
      <c r="CA48" s="384" t="s">
        <v>498</v>
      </c>
      <c r="CB48" s="383"/>
      <c r="CC48" s="383"/>
      <c r="CD48" s="382">
        <f>ROUND(CD47/12,2)</f>
        <v>79686.55</v>
      </c>
      <c r="CF48" s="384" t="s">
        <v>498</v>
      </c>
      <c r="CG48" s="383"/>
      <c r="CH48" s="383"/>
      <c r="CI48" s="382">
        <f>ROUND(CI47/12,2)</f>
        <v>84218.28</v>
      </c>
      <c r="CK48" s="384" t="s">
        <v>498</v>
      </c>
      <c r="CL48" s="383"/>
      <c r="CM48" s="383"/>
      <c r="CN48" s="382">
        <f>ROUND(CN47/12,2)</f>
        <v>88710.24</v>
      </c>
      <c r="CP48" s="384" t="s">
        <v>498</v>
      </c>
      <c r="CQ48" s="383"/>
      <c r="CR48" s="383"/>
      <c r="CS48" s="382">
        <f>ROUND(CS47/12,2)</f>
        <v>93202.21</v>
      </c>
      <c r="CU48" s="384" t="s">
        <v>498</v>
      </c>
      <c r="CV48" s="383"/>
      <c r="CW48" s="383"/>
      <c r="CX48" s="382">
        <f>ROUND(CX47/12,2)</f>
        <v>97659</v>
      </c>
      <c r="CZ48" s="384" t="s">
        <v>498</v>
      </c>
      <c r="DA48" s="383"/>
      <c r="DB48" s="383"/>
      <c r="DC48" s="382">
        <f>ROUND(DC47/12,2)</f>
        <v>102123.03</v>
      </c>
      <c r="DE48" s="384" t="s">
        <v>498</v>
      </c>
      <c r="DF48" s="383"/>
      <c r="DG48" s="383"/>
      <c r="DH48" s="382">
        <f>ROUND(DH47/12,2)</f>
        <v>106569.56</v>
      </c>
      <c r="DJ48" s="384" t="s">
        <v>498</v>
      </c>
      <c r="DK48" s="383"/>
      <c r="DL48" s="383"/>
      <c r="DM48" s="382">
        <f>ROUND(DM47/12,2)</f>
        <v>111034.12</v>
      </c>
      <c r="DO48" s="384" t="s">
        <v>498</v>
      </c>
      <c r="DP48" s="383"/>
      <c r="DQ48" s="383"/>
      <c r="DR48" s="382">
        <f>ROUND(DR47/12,2)</f>
        <v>115507.3</v>
      </c>
    </row>
    <row r="49" spans="5:122" ht="15.75" thickBot="1" x14ac:dyDescent="0.3">
      <c r="G49" s="375"/>
      <c r="U49" s="361"/>
      <c r="Z49" s="361"/>
      <c r="AA49" s="381"/>
      <c r="AE49" s="361"/>
      <c r="AF49" s="380"/>
      <c r="AJ49" s="361"/>
      <c r="AK49" s="380"/>
      <c r="AO49" s="361"/>
      <c r="AP49" s="380"/>
      <c r="AT49" s="361"/>
      <c r="AU49" s="380"/>
      <c r="AY49" s="361"/>
      <c r="AZ49" s="380"/>
      <c r="BD49" s="361"/>
      <c r="BE49" s="379"/>
      <c r="BI49" s="361"/>
      <c r="BJ49" s="381"/>
      <c r="BO49" s="380"/>
      <c r="BT49" s="380"/>
      <c r="BY49" s="380"/>
      <c r="CD49" s="380"/>
      <c r="CI49" s="380"/>
      <c r="CN49" s="380"/>
      <c r="CS49" s="379"/>
      <c r="CX49" s="381"/>
      <c r="DC49" s="380"/>
      <c r="DH49" s="380"/>
      <c r="DM49" s="380"/>
      <c r="DR49" s="379"/>
    </row>
    <row r="50" spans="5:122" x14ac:dyDescent="0.25">
      <c r="G50" s="378"/>
      <c r="L50" s="378"/>
      <c r="Q50" s="378"/>
      <c r="R50" s="368"/>
      <c r="S50" s="368"/>
      <c r="T50" s="368"/>
      <c r="U50" s="361"/>
      <c r="V50" s="378"/>
      <c r="W50" s="368"/>
      <c r="X50" s="368"/>
      <c r="Y50" s="368"/>
      <c r="Z50" s="361"/>
      <c r="AA50" s="378"/>
      <c r="AB50" s="368"/>
      <c r="AC50" s="368"/>
      <c r="AD50" s="368"/>
      <c r="AE50" s="361"/>
      <c r="AF50" s="378"/>
      <c r="AG50" s="368"/>
      <c r="AH50" s="368"/>
      <c r="AI50" s="368"/>
      <c r="AJ50" s="361"/>
      <c r="AK50" s="378"/>
      <c r="AL50" s="368"/>
      <c r="AM50" s="368"/>
      <c r="AN50" s="368"/>
      <c r="AO50" s="361"/>
      <c r="AP50" s="378"/>
      <c r="AQ50" s="368"/>
      <c r="AR50" s="368"/>
      <c r="AS50" s="368"/>
      <c r="AT50" s="361"/>
      <c r="AU50" s="378"/>
      <c r="AV50" s="368"/>
      <c r="AW50" s="368"/>
      <c r="AX50" s="368"/>
      <c r="AY50" s="361"/>
      <c r="AZ50" s="378"/>
      <c r="BA50" s="368"/>
      <c r="BB50" s="368"/>
      <c r="BC50" s="368"/>
      <c r="BD50" s="361"/>
      <c r="BE50" s="378"/>
      <c r="BF50" s="368"/>
      <c r="BG50" s="368"/>
      <c r="BH50" s="368"/>
      <c r="BI50" s="361"/>
      <c r="BJ50" s="378"/>
      <c r="BK50" s="368"/>
      <c r="BL50" s="361"/>
      <c r="BO50" s="378"/>
      <c r="BP50" s="367"/>
      <c r="BQ50" s="367"/>
      <c r="BR50" s="367"/>
      <c r="BT50" s="378"/>
      <c r="BU50" s="367"/>
      <c r="BV50" s="367"/>
      <c r="BW50" s="367"/>
      <c r="BY50" s="378"/>
      <c r="CD50" s="378"/>
      <c r="CI50" s="378"/>
      <c r="CN50" s="378"/>
      <c r="CS50" s="378"/>
      <c r="CT50" s="367"/>
      <c r="CU50" s="367"/>
      <c r="CV50" s="367"/>
      <c r="CX50" s="378"/>
      <c r="CY50" s="367"/>
      <c r="CZ50" s="367"/>
      <c r="DA50" s="367"/>
      <c r="DC50" s="378"/>
      <c r="DH50" s="378"/>
      <c r="DM50" s="378"/>
      <c r="DR50" s="378"/>
    </row>
    <row r="51" spans="5:122" x14ac:dyDescent="0.25">
      <c r="L51" s="361"/>
      <c r="Q51" s="361"/>
      <c r="BL51" s="361"/>
    </row>
    <row r="52" spans="5:122" x14ac:dyDescent="0.25">
      <c r="G52" s="361"/>
      <c r="H52" s="361"/>
      <c r="L52" s="361"/>
      <c r="Q52" s="361"/>
      <c r="BL52" s="361"/>
    </row>
    <row r="53" spans="5:122" x14ac:dyDescent="0.25">
      <c r="E53" s="370"/>
      <c r="G53" s="361"/>
      <c r="H53" s="361"/>
      <c r="L53" s="361"/>
      <c r="Q53" s="361"/>
      <c r="R53" s="363"/>
      <c r="W53" s="363"/>
      <c r="Z53" s="363"/>
      <c r="AA53" s="363"/>
      <c r="AB53" s="363"/>
      <c r="AC53" s="363"/>
      <c r="AD53" s="363"/>
      <c r="AE53" s="363"/>
      <c r="AF53" s="363"/>
      <c r="AG53" s="363"/>
      <c r="AH53" s="363"/>
      <c r="AI53" s="363"/>
      <c r="AJ53" s="363"/>
      <c r="AK53" s="363"/>
      <c r="AL53" s="363"/>
      <c r="AM53" s="363"/>
      <c r="AN53" s="363"/>
      <c r="AO53" s="363"/>
      <c r="AP53" s="363"/>
      <c r="AQ53" s="363"/>
      <c r="AT53" s="363"/>
      <c r="AU53" s="363"/>
      <c r="AV53" s="363"/>
      <c r="AW53" s="363"/>
      <c r="AX53" s="363"/>
      <c r="AY53" s="363"/>
      <c r="AZ53" s="363"/>
      <c r="BA53" s="363"/>
      <c r="BB53" s="363"/>
      <c r="BC53" s="363"/>
      <c r="BD53" s="363"/>
      <c r="BE53" s="363"/>
      <c r="BF53" s="363"/>
      <c r="BG53" s="363"/>
      <c r="BH53" s="363"/>
      <c r="BI53" s="363"/>
      <c r="BJ53" s="363"/>
      <c r="BK53" s="363"/>
      <c r="BL53" s="361"/>
    </row>
    <row r="54" spans="5:122" x14ac:dyDescent="0.25">
      <c r="E54" s="370"/>
      <c r="G54" s="361"/>
      <c r="H54" s="361"/>
      <c r="L54" s="361"/>
      <c r="Q54" s="361"/>
      <c r="R54" s="363"/>
      <c r="W54" s="363"/>
      <c r="Z54" s="363"/>
      <c r="AA54" s="363"/>
      <c r="AB54" s="363"/>
      <c r="AC54" s="363"/>
      <c r="AD54" s="363"/>
      <c r="AE54" s="363"/>
      <c r="AF54" s="363"/>
      <c r="AG54" s="363"/>
      <c r="AH54" s="363"/>
      <c r="AI54" s="363"/>
      <c r="AJ54" s="363"/>
      <c r="AK54" s="363"/>
      <c r="AL54" s="363"/>
      <c r="AM54" s="363"/>
      <c r="AN54" s="363"/>
      <c r="AO54" s="363"/>
      <c r="AP54" s="363"/>
      <c r="AQ54" s="363"/>
      <c r="AT54" s="363"/>
      <c r="AU54" s="363"/>
      <c r="AV54" s="363"/>
      <c r="AW54" s="363"/>
      <c r="AX54" s="363"/>
      <c r="AY54" s="363"/>
      <c r="AZ54" s="363"/>
      <c r="BA54" s="363"/>
      <c r="BB54" s="363"/>
      <c r="BC54" s="363"/>
      <c r="BD54" s="363"/>
      <c r="BE54" s="363"/>
      <c r="BF54" s="363"/>
      <c r="BG54" s="363"/>
      <c r="BH54" s="363"/>
      <c r="BI54" s="363"/>
      <c r="BJ54" s="363"/>
      <c r="BK54" s="363"/>
      <c r="BL54" s="361"/>
    </row>
    <row r="55" spans="5:122" x14ac:dyDescent="0.25">
      <c r="E55" s="370"/>
      <c r="G55" s="361"/>
      <c r="H55" s="361"/>
      <c r="L55" s="361"/>
      <c r="P55" s="362"/>
      <c r="BJ55" s="361"/>
      <c r="BK55" s="361"/>
      <c r="BL55" s="361"/>
      <c r="CU55" s="377"/>
      <c r="CV55" s="376"/>
    </row>
    <row r="56" spans="5:122" x14ac:dyDescent="0.25">
      <c r="E56" s="370"/>
      <c r="G56" s="361"/>
      <c r="H56" s="361"/>
      <c r="L56" s="361"/>
      <c r="P56" s="362"/>
      <c r="BJ56" s="361"/>
      <c r="BK56" s="361"/>
      <c r="BL56" s="361"/>
      <c r="CU56" s="377"/>
      <c r="CV56" s="376"/>
    </row>
    <row r="57" spans="5:122" x14ac:dyDescent="0.25">
      <c r="E57" s="370"/>
      <c r="G57" s="361"/>
      <c r="H57" s="361"/>
      <c r="L57" s="361"/>
      <c r="P57" s="362"/>
      <c r="BJ57" s="361"/>
      <c r="BK57" s="361"/>
      <c r="BL57" s="361"/>
      <c r="CU57" s="374"/>
      <c r="CV57" s="375"/>
    </row>
    <row r="58" spans="5:122" x14ac:dyDescent="0.25">
      <c r="E58" s="370"/>
      <c r="G58" s="361"/>
      <c r="H58" s="361"/>
      <c r="L58" s="361"/>
      <c r="P58" s="362"/>
      <c r="BJ58" s="361"/>
      <c r="BK58" s="361"/>
      <c r="BL58" s="361"/>
      <c r="CU58" s="373"/>
    </row>
    <row r="59" spans="5:122" x14ac:dyDescent="0.25">
      <c r="E59" s="370"/>
      <c r="F59" s="362"/>
      <c r="G59" s="361"/>
      <c r="H59" s="361"/>
      <c r="L59" s="361"/>
      <c r="P59" s="362"/>
      <c r="BJ59" s="361"/>
      <c r="BK59" s="361"/>
      <c r="BL59" s="361"/>
      <c r="CU59" s="374"/>
    </row>
    <row r="60" spans="5:122" x14ac:dyDescent="0.25">
      <c r="E60" s="370"/>
      <c r="F60" s="362"/>
      <c r="G60" s="361"/>
      <c r="H60" s="361"/>
      <c r="L60" s="361"/>
      <c r="P60" s="362"/>
      <c r="BJ60" s="361"/>
      <c r="BK60" s="361"/>
      <c r="BL60" s="361"/>
      <c r="CU60" s="373"/>
    </row>
    <row r="61" spans="5:122" x14ac:dyDescent="0.25">
      <c r="E61" s="370"/>
      <c r="G61" s="361"/>
      <c r="H61" s="361"/>
      <c r="L61" s="361"/>
      <c r="P61" s="362"/>
      <c r="BJ61" s="361"/>
      <c r="BK61" s="361"/>
      <c r="BL61" s="361"/>
      <c r="CQ61" s="362"/>
      <c r="CR61" s="364"/>
      <c r="CU61" s="374"/>
      <c r="DA61" s="362"/>
    </row>
    <row r="62" spans="5:122" x14ac:dyDescent="0.25">
      <c r="E62" s="370"/>
      <c r="G62" s="361"/>
      <c r="H62" s="361"/>
      <c r="L62" s="361"/>
      <c r="P62" s="362"/>
      <c r="BJ62" s="361"/>
      <c r="BK62" s="361"/>
      <c r="BL62" s="361"/>
      <c r="CQ62" s="362"/>
      <c r="CR62" s="362"/>
      <c r="CU62" s="373"/>
      <c r="DA62" s="362"/>
    </row>
    <row r="63" spans="5:122" x14ac:dyDescent="0.25">
      <c r="E63" s="370"/>
      <c r="G63" s="361"/>
      <c r="H63" s="361"/>
      <c r="L63" s="361"/>
      <c r="P63" s="363"/>
      <c r="Q63" s="363"/>
      <c r="R63" s="363"/>
      <c r="S63" s="363"/>
      <c r="T63" s="363"/>
      <c r="U63" s="363"/>
      <c r="V63" s="363"/>
      <c r="W63" s="363"/>
      <c r="Z63" s="363"/>
      <c r="AA63" s="363"/>
      <c r="AB63" s="363"/>
      <c r="AC63" s="363"/>
      <c r="AD63" s="363"/>
      <c r="AE63" s="363"/>
      <c r="AF63" s="363"/>
      <c r="AG63" s="363"/>
      <c r="AH63" s="363"/>
      <c r="AI63" s="363"/>
      <c r="AJ63" s="363"/>
      <c r="AK63" s="363"/>
      <c r="AL63" s="363"/>
      <c r="AM63" s="363"/>
      <c r="AN63" s="363"/>
      <c r="AO63" s="363"/>
      <c r="AP63" s="363"/>
      <c r="AQ63" s="363"/>
      <c r="AT63" s="363"/>
      <c r="AU63" s="363"/>
      <c r="AV63" s="363"/>
      <c r="AW63" s="363"/>
      <c r="AX63" s="363"/>
      <c r="AY63" s="363"/>
      <c r="AZ63" s="363"/>
      <c r="BA63" s="363"/>
      <c r="BB63" s="363"/>
      <c r="BC63" s="363"/>
      <c r="BD63" s="363"/>
      <c r="BE63" s="363"/>
      <c r="BF63" s="363"/>
      <c r="BI63" s="363"/>
      <c r="BJ63" s="361"/>
      <c r="BK63" s="361"/>
      <c r="BL63" s="361"/>
      <c r="CQ63" s="362"/>
      <c r="CR63" s="362"/>
      <c r="CU63" s="374"/>
      <c r="DA63" s="362"/>
    </row>
    <row r="64" spans="5:122" x14ac:dyDescent="0.25">
      <c r="E64" s="370"/>
      <c r="G64" s="361"/>
      <c r="H64" s="361"/>
      <c r="J64" s="372"/>
      <c r="L64" s="361"/>
      <c r="O64" s="372"/>
      <c r="P64" s="368"/>
      <c r="Q64" s="368"/>
      <c r="R64" s="368"/>
      <c r="S64" s="368"/>
      <c r="T64" s="368"/>
      <c r="U64" s="368"/>
      <c r="V64" s="368"/>
      <c r="W64" s="368"/>
      <c r="Z64" s="368"/>
      <c r="AA64" s="368"/>
      <c r="AB64" s="368"/>
      <c r="AC64" s="368"/>
      <c r="AD64" s="368"/>
      <c r="AE64" s="368"/>
      <c r="AF64" s="368"/>
      <c r="AG64" s="368"/>
      <c r="AH64" s="368"/>
      <c r="AI64" s="368"/>
      <c r="AJ64" s="368"/>
      <c r="AK64" s="368"/>
      <c r="AL64" s="368"/>
      <c r="AM64" s="368"/>
      <c r="AN64" s="368"/>
      <c r="AO64" s="368"/>
      <c r="AP64" s="368"/>
      <c r="AQ64" s="368"/>
      <c r="AT64" s="368"/>
      <c r="AU64" s="368"/>
      <c r="AV64" s="368"/>
      <c r="AW64" s="368"/>
      <c r="AX64" s="368"/>
      <c r="AY64" s="368"/>
      <c r="AZ64" s="368"/>
      <c r="BA64" s="368"/>
      <c r="BB64" s="368"/>
      <c r="BC64" s="368"/>
      <c r="BD64" s="368"/>
      <c r="BE64" s="368"/>
      <c r="BF64" s="368"/>
      <c r="BI64" s="368"/>
      <c r="BJ64" s="361"/>
      <c r="BK64" s="361"/>
      <c r="BL64" s="361"/>
      <c r="CQ64" s="362"/>
      <c r="CR64" s="363"/>
      <c r="CU64" s="373"/>
      <c r="DA64" s="362"/>
    </row>
    <row r="65" spans="5:105" x14ac:dyDescent="0.25">
      <c r="E65" s="370"/>
      <c r="G65" s="361"/>
      <c r="H65" s="361"/>
      <c r="J65" s="362"/>
      <c r="L65" s="361"/>
      <c r="P65" s="372"/>
      <c r="Q65" s="372"/>
      <c r="R65" s="372"/>
      <c r="S65" s="372"/>
      <c r="T65" s="372"/>
      <c r="U65" s="372"/>
      <c r="V65" s="372"/>
      <c r="W65" s="372"/>
      <c r="Z65" s="372"/>
      <c r="AA65" s="372"/>
      <c r="AB65" s="372"/>
      <c r="AC65" s="372"/>
      <c r="AD65" s="372"/>
      <c r="AE65" s="372"/>
      <c r="AF65" s="372"/>
      <c r="AG65" s="372"/>
      <c r="AH65" s="372"/>
      <c r="AI65" s="372"/>
      <c r="AJ65" s="372"/>
      <c r="AK65" s="372"/>
      <c r="AL65" s="372"/>
      <c r="AM65" s="372"/>
      <c r="AN65" s="372"/>
      <c r="AO65" s="372"/>
      <c r="AP65" s="372"/>
      <c r="AQ65" s="372"/>
      <c r="AT65" s="372"/>
      <c r="AU65" s="372"/>
      <c r="AV65" s="372"/>
      <c r="AW65" s="372"/>
      <c r="AX65" s="372"/>
      <c r="AY65" s="372"/>
      <c r="AZ65" s="372"/>
      <c r="BA65" s="372"/>
      <c r="BB65" s="372"/>
      <c r="BC65" s="372"/>
      <c r="BD65" s="372"/>
      <c r="BE65" s="372"/>
      <c r="BF65" s="372"/>
      <c r="BI65" s="372"/>
      <c r="BJ65" s="361"/>
      <c r="BK65" s="361"/>
      <c r="BL65" s="361"/>
      <c r="CQ65" s="362"/>
      <c r="CR65" s="363"/>
      <c r="DA65" s="362"/>
    </row>
    <row r="66" spans="5:105" x14ac:dyDescent="0.25">
      <c r="E66" s="370"/>
      <c r="G66" s="361"/>
      <c r="H66" s="361"/>
      <c r="L66" s="361"/>
      <c r="Q66" s="361"/>
      <c r="R66" s="361"/>
      <c r="S66" s="361"/>
      <c r="T66" s="361"/>
      <c r="U66" s="361"/>
      <c r="V66" s="361"/>
      <c r="W66" s="361"/>
      <c r="Z66" s="361"/>
      <c r="AA66" s="361"/>
      <c r="AB66" s="361"/>
      <c r="AC66" s="361"/>
      <c r="AD66" s="361"/>
      <c r="AE66" s="361"/>
      <c r="AF66" s="361"/>
      <c r="AG66" s="361"/>
      <c r="AH66" s="361"/>
      <c r="AI66" s="361"/>
      <c r="AJ66" s="361"/>
      <c r="AK66" s="361"/>
      <c r="AL66" s="361"/>
      <c r="AM66" s="361"/>
      <c r="AN66" s="361"/>
      <c r="AO66" s="361"/>
      <c r="AP66" s="361"/>
      <c r="AQ66" s="361"/>
      <c r="AT66" s="361"/>
      <c r="AU66" s="361"/>
      <c r="AV66" s="361"/>
      <c r="AW66" s="361"/>
      <c r="AX66" s="361"/>
      <c r="AY66" s="361"/>
      <c r="AZ66" s="361"/>
      <c r="BA66" s="361"/>
      <c r="BB66" s="361"/>
      <c r="BC66" s="361"/>
      <c r="BD66" s="361"/>
      <c r="BE66" s="361"/>
      <c r="BF66" s="361"/>
      <c r="BI66" s="361"/>
      <c r="BJ66" s="361"/>
      <c r="BK66" s="361"/>
      <c r="BL66" s="361"/>
      <c r="CQ66" s="362"/>
      <c r="CR66" s="362"/>
      <c r="DA66" s="362"/>
    </row>
    <row r="67" spans="5:105" x14ac:dyDescent="0.25">
      <c r="E67" s="370"/>
      <c r="G67" s="361"/>
      <c r="H67" s="361"/>
      <c r="L67" s="361"/>
      <c r="P67" s="366"/>
      <c r="Q67" s="366"/>
      <c r="R67" s="366"/>
      <c r="S67" s="366"/>
      <c r="T67" s="366"/>
      <c r="U67" s="366"/>
      <c r="V67" s="366"/>
      <c r="W67" s="366"/>
      <c r="Z67" s="366"/>
      <c r="AA67" s="366"/>
      <c r="AB67" s="366"/>
      <c r="AC67" s="366"/>
      <c r="AD67" s="366"/>
      <c r="AE67" s="366"/>
      <c r="AF67" s="366"/>
      <c r="AG67" s="366"/>
      <c r="AH67" s="366"/>
      <c r="AI67" s="366"/>
      <c r="AJ67" s="366"/>
      <c r="AK67" s="366"/>
      <c r="AL67" s="366"/>
      <c r="AM67" s="366"/>
      <c r="AN67" s="366"/>
      <c r="AO67" s="366"/>
      <c r="AP67" s="366"/>
      <c r="AQ67" s="366"/>
      <c r="AT67" s="366"/>
      <c r="AU67" s="366"/>
      <c r="AV67" s="366"/>
      <c r="AW67" s="366"/>
      <c r="AX67" s="366"/>
      <c r="AY67" s="366"/>
      <c r="AZ67" s="366"/>
      <c r="BA67" s="366"/>
      <c r="BB67" s="366"/>
      <c r="BC67" s="366"/>
      <c r="BD67" s="366"/>
      <c r="BE67" s="366"/>
      <c r="BF67" s="366"/>
      <c r="BI67" s="366"/>
      <c r="BJ67" s="361"/>
      <c r="BK67" s="361"/>
      <c r="BL67" s="361"/>
      <c r="CQ67" s="362"/>
      <c r="CR67" s="363"/>
      <c r="DA67" s="362"/>
    </row>
    <row r="68" spans="5:105" x14ac:dyDescent="0.25">
      <c r="E68" s="370"/>
      <c r="F68" s="363"/>
      <c r="G68" s="371"/>
      <c r="H68" s="371"/>
      <c r="I68" s="371"/>
      <c r="L68" s="361"/>
      <c r="P68" s="364"/>
      <c r="Q68" s="364"/>
      <c r="R68" s="364"/>
      <c r="S68" s="364"/>
      <c r="T68" s="364"/>
      <c r="U68" s="364"/>
      <c r="V68" s="364"/>
      <c r="W68" s="364"/>
      <c r="Z68" s="364"/>
      <c r="AA68" s="364"/>
      <c r="AB68" s="364"/>
      <c r="AC68" s="364"/>
      <c r="AD68" s="364"/>
      <c r="AE68" s="364"/>
      <c r="AF68" s="364"/>
      <c r="AG68" s="364"/>
      <c r="AH68" s="364"/>
      <c r="AI68" s="364"/>
      <c r="AJ68" s="364"/>
      <c r="AK68" s="364"/>
      <c r="AL68" s="364"/>
      <c r="AM68" s="364"/>
      <c r="AN68" s="364"/>
      <c r="AO68" s="364"/>
      <c r="AP68" s="364"/>
      <c r="AQ68" s="364"/>
      <c r="AT68" s="364"/>
      <c r="AU68" s="364"/>
      <c r="AV68" s="364"/>
      <c r="AW68" s="364"/>
      <c r="AX68" s="364"/>
      <c r="AY68" s="364"/>
      <c r="AZ68" s="364"/>
      <c r="BA68" s="364"/>
      <c r="BB68" s="364"/>
      <c r="BC68" s="364"/>
      <c r="BD68" s="364"/>
      <c r="BE68" s="364"/>
      <c r="BF68" s="364"/>
      <c r="BI68" s="364"/>
      <c r="BJ68" s="361"/>
      <c r="BK68" s="361"/>
      <c r="BL68" s="361"/>
      <c r="CQ68" s="362"/>
      <c r="CR68" s="362"/>
      <c r="DA68" s="362"/>
    </row>
    <row r="69" spans="5:105" x14ac:dyDescent="0.25">
      <c r="E69" s="370"/>
      <c r="F69" s="363"/>
      <c r="G69" s="371"/>
      <c r="H69" s="371"/>
      <c r="I69" s="371"/>
      <c r="L69" s="361"/>
      <c r="P69" s="362"/>
      <c r="BJ69" s="361"/>
      <c r="BK69" s="361"/>
      <c r="BL69" s="361"/>
      <c r="CQ69" s="362"/>
      <c r="CR69" s="362"/>
      <c r="DA69" s="362"/>
    </row>
    <row r="70" spans="5:105" x14ac:dyDescent="0.25">
      <c r="E70" s="370"/>
      <c r="G70" s="361"/>
      <c r="H70" s="361"/>
      <c r="L70" s="361"/>
      <c r="P70" s="362"/>
      <c r="BJ70" s="361"/>
      <c r="BK70" s="361"/>
      <c r="BL70" s="361"/>
      <c r="CQ70" s="362"/>
      <c r="CR70" s="362"/>
      <c r="DA70" s="362"/>
    </row>
    <row r="71" spans="5:105" x14ac:dyDescent="0.25">
      <c r="E71" s="370"/>
      <c r="G71" s="361"/>
      <c r="H71" s="361"/>
      <c r="L71" s="361"/>
      <c r="P71" s="362"/>
      <c r="BJ71" s="361"/>
      <c r="BK71" s="361"/>
      <c r="BL71" s="361"/>
      <c r="CQ71" s="362"/>
      <c r="CR71" s="362"/>
      <c r="DA71" s="362"/>
    </row>
    <row r="72" spans="5:105" x14ac:dyDescent="0.25">
      <c r="E72" s="370"/>
      <c r="G72" s="361"/>
      <c r="H72" s="361"/>
      <c r="L72" s="361"/>
      <c r="P72" s="362"/>
      <c r="BJ72" s="361"/>
      <c r="BK72" s="361"/>
      <c r="BL72" s="361"/>
      <c r="CQ72" s="362"/>
      <c r="CR72" s="363"/>
      <c r="DA72" s="362"/>
    </row>
    <row r="73" spans="5:105" x14ac:dyDescent="0.25">
      <c r="E73" s="370"/>
      <c r="G73" s="361"/>
      <c r="H73" s="361"/>
      <c r="L73" s="361"/>
      <c r="P73" s="363"/>
      <c r="Q73" s="363"/>
      <c r="R73" s="363"/>
      <c r="S73" s="363"/>
      <c r="T73" s="363"/>
      <c r="U73" s="363"/>
      <c r="V73" s="363"/>
      <c r="W73" s="363"/>
      <c r="Z73" s="363"/>
      <c r="AA73" s="363"/>
      <c r="AB73" s="363"/>
      <c r="AC73" s="363"/>
      <c r="AD73" s="363"/>
      <c r="AE73" s="363"/>
      <c r="AF73" s="363"/>
      <c r="AG73" s="363"/>
      <c r="AH73" s="363"/>
      <c r="AI73" s="363"/>
      <c r="AJ73" s="363"/>
      <c r="AK73" s="363"/>
      <c r="AL73" s="363"/>
      <c r="AM73" s="363"/>
      <c r="AN73" s="363"/>
      <c r="AO73" s="363"/>
      <c r="AP73" s="363"/>
      <c r="AQ73" s="363"/>
      <c r="AT73" s="363"/>
      <c r="AU73" s="363"/>
      <c r="AV73" s="363"/>
      <c r="AW73" s="363"/>
      <c r="AX73" s="363"/>
      <c r="AY73" s="363"/>
      <c r="AZ73" s="363"/>
      <c r="BA73" s="363"/>
      <c r="BB73" s="363"/>
      <c r="BC73" s="363"/>
      <c r="BD73" s="363"/>
      <c r="BE73" s="363"/>
      <c r="BF73" s="363"/>
      <c r="BG73" s="363"/>
      <c r="BH73" s="363"/>
      <c r="BI73" s="363"/>
      <c r="BJ73" s="361"/>
      <c r="BK73" s="361"/>
      <c r="BL73" s="361"/>
      <c r="CQ73" s="362"/>
      <c r="CR73" s="363"/>
      <c r="CV73" s="362"/>
      <c r="DA73" s="362"/>
    </row>
    <row r="74" spans="5:105" x14ac:dyDescent="0.25">
      <c r="E74" s="370"/>
      <c r="G74" s="361"/>
      <c r="H74" s="361"/>
      <c r="L74" s="361"/>
      <c r="P74" s="362"/>
      <c r="BJ74" s="361"/>
      <c r="BK74" s="361"/>
      <c r="BL74" s="361"/>
      <c r="CN74" s="369"/>
    </row>
    <row r="75" spans="5:105" x14ac:dyDescent="0.25">
      <c r="E75" s="370"/>
      <c r="G75" s="361"/>
      <c r="H75" s="361"/>
      <c r="L75" s="361"/>
      <c r="P75" s="362"/>
      <c r="X75" s="363"/>
      <c r="Y75" s="363"/>
      <c r="BJ75" s="361"/>
      <c r="BK75" s="361"/>
      <c r="BL75" s="361"/>
      <c r="CN75" s="363"/>
    </row>
    <row r="76" spans="5:105" x14ac:dyDescent="0.25">
      <c r="E76" s="370"/>
      <c r="G76" s="361"/>
      <c r="H76" s="361"/>
      <c r="L76" s="361"/>
      <c r="P76" s="363"/>
      <c r="Q76" s="363"/>
      <c r="R76" s="363"/>
      <c r="S76" s="363"/>
      <c r="T76" s="363"/>
      <c r="U76" s="363"/>
      <c r="V76" s="363"/>
      <c r="W76" s="363"/>
      <c r="X76" s="368"/>
      <c r="Y76" s="368"/>
      <c r="Z76" s="363"/>
      <c r="AA76" s="363"/>
      <c r="AB76" s="363"/>
      <c r="AC76" s="363"/>
      <c r="AD76" s="363"/>
      <c r="AE76" s="363"/>
      <c r="AF76" s="363"/>
      <c r="AG76" s="363"/>
      <c r="AH76" s="363"/>
      <c r="AI76" s="363"/>
      <c r="AJ76" s="363"/>
      <c r="AK76" s="363"/>
      <c r="AL76" s="363"/>
      <c r="AM76" s="363"/>
      <c r="AN76" s="363"/>
      <c r="AO76" s="363"/>
      <c r="AP76" s="363"/>
      <c r="AQ76" s="363"/>
      <c r="AR76" s="363"/>
      <c r="AS76" s="363"/>
      <c r="AT76" s="363"/>
      <c r="AU76" s="363"/>
      <c r="AV76" s="363"/>
      <c r="AW76" s="363"/>
      <c r="AX76" s="363"/>
      <c r="AY76" s="363"/>
      <c r="AZ76" s="363"/>
      <c r="BA76" s="363"/>
      <c r="BB76" s="363"/>
      <c r="BC76" s="363"/>
      <c r="BD76" s="363"/>
      <c r="BE76" s="363"/>
      <c r="BF76" s="363"/>
      <c r="BG76" s="363"/>
      <c r="BH76" s="363"/>
      <c r="BI76" s="363"/>
      <c r="BJ76" s="361"/>
      <c r="BK76" s="361"/>
      <c r="BL76" s="361"/>
      <c r="CN76" s="363"/>
    </row>
    <row r="77" spans="5:105" x14ac:dyDescent="0.25">
      <c r="E77" s="370"/>
      <c r="G77" s="361"/>
      <c r="H77" s="361"/>
      <c r="L77" s="361"/>
      <c r="P77" s="362"/>
      <c r="X77" s="367"/>
      <c r="Y77" s="367"/>
      <c r="BJ77" s="361"/>
      <c r="BK77" s="361"/>
      <c r="BL77" s="361"/>
      <c r="CN77" s="369"/>
    </row>
    <row r="78" spans="5:105" x14ac:dyDescent="0.25">
      <c r="G78" s="361"/>
      <c r="H78" s="361"/>
      <c r="L78" s="361"/>
      <c r="P78" s="362"/>
      <c r="X78" s="361"/>
      <c r="Y78" s="361"/>
      <c r="BJ78" s="361"/>
      <c r="BK78" s="361"/>
      <c r="BL78" s="361"/>
      <c r="CN78" s="362"/>
    </row>
    <row r="79" spans="5:105" x14ac:dyDescent="0.25">
      <c r="G79" s="361"/>
      <c r="H79" s="361"/>
      <c r="L79" s="361"/>
      <c r="P79" s="363"/>
      <c r="Q79" s="363"/>
      <c r="R79" s="363"/>
      <c r="S79" s="363"/>
      <c r="T79" s="363"/>
      <c r="U79" s="363"/>
      <c r="V79" s="363"/>
      <c r="W79" s="363"/>
      <c r="X79" s="366"/>
      <c r="Y79" s="366"/>
      <c r="Z79" s="363"/>
      <c r="AA79" s="363"/>
      <c r="AB79" s="363"/>
      <c r="AC79" s="363"/>
      <c r="AD79" s="363"/>
      <c r="AE79" s="363"/>
      <c r="AF79" s="363"/>
      <c r="AG79" s="363"/>
      <c r="AH79" s="363"/>
      <c r="AI79" s="363"/>
      <c r="AJ79" s="363"/>
      <c r="AK79" s="363"/>
      <c r="AL79" s="363"/>
      <c r="AM79" s="363"/>
      <c r="AN79" s="363"/>
      <c r="AO79" s="363"/>
      <c r="AP79" s="363"/>
      <c r="AQ79" s="363"/>
      <c r="AR79" s="363"/>
      <c r="AS79" s="363"/>
      <c r="AT79" s="363"/>
      <c r="AU79" s="363"/>
      <c r="AV79" s="363"/>
      <c r="AW79" s="363"/>
      <c r="AX79" s="363"/>
      <c r="AY79" s="363"/>
      <c r="AZ79" s="363"/>
      <c r="BA79" s="363"/>
      <c r="BB79" s="363"/>
      <c r="BC79" s="363"/>
      <c r="BD79" s="363"/>
      <c r="BE79" s="363"/>
      <c r="BF79" s="363"/>
      <c r="BG79" s="363"/>
      <c r="BH79" s="363"/>
      <c r="BI79" s="363"/>
      <c r="BJ79" s="361"/>
      <c r="BK79" s="361"/>
      <c r="BL79" s="361"/>
      <c r="CN79" s="367"/>
    </row>
    <row r="80" spans="5:105" x14ac:dyDescent="0.25">
      <c r="G80" s="361"/>
      <c r="H80" s="361"/>
      <c r="L80" s="361"/>
      <c r="P80" s="368"/>
      <c r="Q80" s="368"/>
      <c r="R80" s="368"/>
      <c r="S80" s="368"/>
      <c r="T80" s="368"/>
      <c r="U80" s="368"/>
      <c r="V80" s="368"/>
      <c r="W80" s="368"/>
      <c r="X80" s="364"/>
      <c r="Y80" s="364"/>
      <c r="Z80" s="368"/>
      <c r="AA80" s="368"/>
      <c r="AB80" s="368"/>
      <c r="AC80" s="368"/>
      <c r="AD80" s="368"/>
      <c r="AE80" s="368"/>
      <c r="AF80" s="368"/>
      <c r="AG80" s="368"/>
      <c r="AH80" s="368"/>
      <c r="AI80" s="368"/>
      <c r="AJ80" s="368"/>
      <c r="AK80" s="368"/>
      <c r="AL80" s="368"/>
      <c r="AM80" s="368"/>
      <c r="AN80" s="368"/>
      <c r="AO80" s="368"/>
      <c r="AP80" s="368"/>
      <c r="AQ80" s="368"/>
      <c r="AR80" s="368"/>
      <c r="AS80" s="368"/>
      <c r="AT80" s="368"/>
      <c r="AU80" s="368"/>
      <c r="AV80" s="368"/>
      <c r="AW80" s="368"/>
      <c r="AX80" s="368"/>
      <c r="AY80" s="368"/>
      <c r="AZ80" s="368"/>
      <c r="BA80" s="368"/>
      <c r="BB80" s="368"/>
      <c r="BC80" s="368"/>
      <c r="BD80" s="368"/>
      <c r="BE80" s="368"/>
      <c r="BF80" s="368"/>
      <c r="BG80" s="368"/>
      <c r="BH80" s="368"/>
      <c r="BI80" s="368"/>
      <c r="BJ80" s="361"/>
      <c r="BK80" s="361"/>
      <c r="BL80" s="361"/>
      <c r="CN80" s="362"/>
    </row>
    <row r="81" spans="7:94" x14ac:dyDescent="0.25">
      <c r="G81" s="361"/>
      <c r="H81" s="361"/>
      <c r="L81" s="361"/>
      <c r="Q81" s="361"/>
      <c r="R81" s="367"/>
      <c r="S81" s="367"/>
      <c r="T81" s="367"/>
      <c r="U81" s="367"/>
      <c r="V81" s="367"/>
      <c r="W81" s="367"/>
      <c r="Z81" s="367"/>
      <c r="AA81" s="367"/>
      <c r="AB81" s="367"/>
      <c r="AC81" s="367"/>
      <c r="AD81" s="367"/>
      <c r="AE81" s="367"/>
      <c r="AF81" s="367"/>
      <c r="AG81" s="367"/>
      <c r="AH81" s="367"/>
      <c r="AI81" s="367"/>
      <c r="AJ81" s="367"/>
      <c r="AK81" s="367"/>
      <c r="AL81" s="367"/>
      <c r="AM81" s="367"/>
      <c r="AN81" s="367"/>
      <c r="AO81" s="367"/>
      <c r="AP81" s="367"/>
      <c r="AQ81" s="367"/>
      <c r="AR81" s="367"/>
      <c r="AS81" s="367"/>
      <c r="AT81" s="367"/>
      <c r="AU81" s="367"/>
      <c r="AV81" s="367"/>
      <c r="AW81" s="367"/>
      <c r="AX81" s="367"/>
      <c r="AY81" s="367"/>
      <c r="AZ81" s="367"/>
      <c r="BA81" s="367"/>
      <c r="BB81" s="367"/>
      <c r="BC81" s="367"/>
      <c r="BD81" s="367"/>
      <c r="BE81" s="367"/>
      <c r="BF81" s="367"/>
      <c r="BG81" s="367"/>
      <c r="BH81" s="367"/>
      <c r="BI81" s="367"/>
      <c r="BJ81" s="367"/>
      <c r="BK81" s="367"/>
      <c r="BL81" s="361"/>
      <c r="CP81" s="363"/>
    </row>
    <row r="82" spans="7:94" x14ac:dyDescent="0.25">
      <c r="G82" s="361"/>
      <c r="H82" s="361"/>
      <c r="L82" s="361"/>
      <c r="Q82" s="361"/>
      <c r="R82" s="361"/>
      <c r="S82" s="361"/>
      <c r="T82" s="361"/>
      <c r="U82" s="361"/>
      <c r="V82" s="361"/>
      <c r="W82" s="361"/>
      <c r="Z82" s="361"/>
      <c r="AA82" s="361"/>
      <c r="AB82" s="361"/>
      <c r="AC82" s="361"/>
      <c r="AD82" s="361"/>
      <c r="AE82" s="361"/>
      <c r="AF82" s="361"/>
      <c r="AG82" s="361"/>
      <c r="AH82" s="361"/>
      <c r="AI82" s="361"/>
      <c r="AJ82" s="361"/>
      <c r="AK82" s="361"/>
      <c r="AL82" s="361"/>
      <c r="AM82" s="361"/>
      <c r="AN82" s="361"/>
      <c r="AO82" s="361"/>
      <c r="AP82" s="361"/>
      <c r="AQ82" s="361"/>
      <c r="AR82" s="361"/>
      <c r="AS82" s="361"/>
      <c r="AT82" s="361"/>
      <c r="AU82" s="361"/>
      <c r="AV82" s="361"/>
      <c r="AW82" s="361"/>
      <c r="AX82" s="361"/>
      <c r="AY82" s="361"/>
      <c r="AZ82" s="361"/>
      <c r="BA82" s="361"/>
      <c r="BB82" s="361"/>
      <c r="BC82" s="361"/>
      <c r="BD82" s="361"/>
      <c r="BE82" s="361"/>
      <c r="BF82" s="361"/>
      <c r="BG82" s="361"/>
      <c r="BH82" s="361"/>
      <c r="BI82" s="361"/>
      <c r="BJ82" s="361"/>
      <c r="BK82" s="361"/>
      <c r="BL82" s="361"/>
      <c r="CP82" s="363"/>
    </row>
    <row r="83" spans="7:94" x14ac:dyDescent="0.25">
      <c r="G83" s="361"/>
      <c r="H83" s="361"/>
      <c r="L83" s="361"/>
      <c r="Q83" s="361"/>
      <c r="R83" s="366"/>
      <c r="S83" s="366"/>
      <c r="T83" s="366"/>
      <c r="U83" s="366"/>
      <c r="V83" s="366"/>
      <c r="W83" s="366"/>
      <c r="Z83" s="366"/>
      <c r="AA83" s="366"/>
      <c r="AB83" s="366"/>
      <c r="AC83" s="366"/>
      <c r="AD83" s="366"/>
      <c r="AE83" s="366"/>
      <c r="AF83" s="366"/>
      <c r="AG83" s="366"/>
      <c r="AH83" s="366"/>
      <c r="AI83" s="366"/>
      <c r="AJ83" s="366"/>
      <c r="AK83" s="366"/>
      <c r="AL83" s="366"/>
      <c r="AM83" s="366"/>
      <c r="AN83" s="366"/>
      <c r="AO83" s="366"/>
      <c r="AP83" s="366"/>
      <c r="AQ83" s="366"/>
      <c r="AR83" s="366"/>
      <c r="AS83" s="366"/>
      <c r="AT83" s="366"/>
      <c r="AU83" s="366"/>
      <c r="AV83" s="366"/>
      <c r="AW83" s="366"/>
      <c r="AX83" s="366"/>
      <c r="AY83" s="366"/>
      <c r="AZ83" s="366"/>
      <c r="BA83" s="366"/>
      <c r="BB83" s="366"/>
      <c r="BC83" s="366"/>
      <c r="BD83" s="366"/>
      <c r="BE83" s="366"/>
      <c r="BF83" s="366"/>
      <c r="BG83" s="366"/>
      <c r="BH83" s="366"/>
      <c r="BI83" s="366"/>
      <c r="BJ83" s="366"/>
      <c r="BK83" s="366"/>
      <c r="BL83" s="361"/>
      <c r="CP83" s="363"/>
    </row>
    <row r="84" spans="7:94" x14ac:dyDescent="0.25">
      <c r="G84" s="361"/>
      <c r="H84" s="361"/>
      <c r="L84" s="361"/>
      <c r="Q84" s="361"/>
      <c r="R84" s="364"/>
      <c r="S84" s="364"/>
      <c r="T84" s="364"/>
      <c r="U84" s="364"/>
      <c r="V84" s="364"/>
      <c r="W84" s="364"/>
      <c r="Z84" s="364"/>
      <c r="AA84" s="364"/>
      <c r="AB84" s="364"/>
      <c r="AC84" s="364"/>
      <c r="AD84" s="364"/>
      <c r="AE84" s="364"/>
      <c r="AF84" s="364"/>
      <c r="AG84" s="364"/>
      <c r="AH84" s="364"/>
      <c r="AI84" s="364"/>
      <c r="AJ84" s="364"/>
      <c r="AK84" s="364"/>
      <c r="AL84" s="364"/>
      <c r="AM84" s="364"/>
      <c r="AN84" s="364"/>
      <c r="AO84" s="364"/>
      <c r="AP84" s="364"/>
      <c r="AQ84" s="364"/>
      <c r="AR84" s="364"/>
      <c r="AS84" s="364"/>
      <c r="AT84" s="364"/>
      <c r="AU84" s="364"/>
      <c r="AV84" s="364"/>
      <c r="AW84" s="364"/>
      <c r="AX84" s="364"/>
      <c r="AY84" s="364"/>
      <c r="AZ84" s="364"/>
      <c r="BA84" s="364"/>
      <c r="BB84" s="364"/>
      <c r="BC84" s="364"/>
      <c r="BD84" s="364"/>
      <c r="BE84" s="364"/>
      <c r="BF84" s="364"/>
      <c r="BG84" s="364"/>
      <c r="BH84" s="364"/>
      <c r="BI84" s="364"/>
      <c r="BJ84" s="364"/>
      <c r="BK84" s="364"/>
      <c r="BL84" s="361"/>
      <c r="CP84" s="362"/>
    </row>
    <row r="85" spans="7:94" x14ac:dyDescent="0.25">
      <c r="G85" s="361"/>
      <c r="H85" s="361"/>
      <c r="L85" s="361"/>
      <c r="Q85" s="361"/>
      <c r="X85" s="363"/>
      <c r="Y85" s="363"/>
      <c r="BL85" s="361"/>
      <c r="CP85" s="363"/>
    </row>
    <row r="86" spans="7:94" x14ac:dyDescent="0.25">
      <c r="G86" s="361"/>
      <c r="H86" s="361"/>
      <c r="L86" s="361"/>
      <c r="Q86" s="361"/>
      <c r="X86" s="363"/>
      <c r="Y86" s="363"/>
      <c r="BL86" s="361"/>
      <c r="CP86" s="362"/>
    </row>
    <row r="87" spans="7:94" x14ac:dyDescent="0.25">
      <c r="G87" s="361"/>
      <c r="H87" s="361"/>
      <c r="L87" s="361"/>
      <c r="Q87" s="361"/>
      <c r="BL87" s="361"/>
      <c r="CP87" s="362"/>
    </row>
    <row r="88" spans="7:94" x14ac:dyDescent="0.25">
      <c r="G88" s="361"/>
      <c r="H88" s="361"/>
      <c r="L88" s="361"/>
      <c r="Q88" s="361"/>
      <c r="BL88" s="361"/>
      <c r="CP88" s="362"/>
    </row>
    <row r="89" spans="7:94" x14ac:dyDescent="0.25">
      <c r="G89" s="361"/>
      <c r="H89" s="361"/>
      <c r="L89" s="361"/>
      <c r="Q89" s="361"/>
      <c r="R89" s="363"/>
      <c r="S89" s="363"/>
      <c r="T89" s="363"/>
      <c r="U89" s="363"/>
      <c r="V89" s="363"/>
      <c r="W89" s="363"/>
      <c r="Z89" s="363"/>
      <c r="AA89" s="363"/>
      <c r="AB89" s="363"/>
      <c r="AC89" s="363"/>
      <c r="AD89" s="363"/>
      <c r="AE89" s="363"/>
      <c r="AF89" s="363"/>
      <c r="AG89" s="363"/>
      <c r="AH89" s="363"/>
      <c r="AI89" s="363"/>
      <c r="AJ89" s="363"/>
      <c r="AK89" s="363"/>
      <c r="AL89" s="363"/>
      <c r="AM89" s="363"/>
      <c r="AN89" s="363"/>
      <c r="AO89" s="363"/>
      <c r="AP89" s="363"/>
      <c r="AQ89" s="363"/>
      <c r="AR89" s="363"/>
      <c r="AS89" s="363"/>
      <c r="AT89" s="363"/>
      <c r="AU89" s="363"/>
      <c r="AV89" s="363"/>
      <c r="AW89" s="363"/>
      <c r="AX89" s="363"/>
      <c r="AY89" s="363"/>
      <c r="AZ89" s="363"/>
      <c r="BA89" s="363"/>
      <c r="BB89" s="363"/>
      <c r="BC89" s="363"/>
      <c r="BD89" s="363"/>
      <c r="BE89" s="363"/>
      <c r="BF89" s="363"/>
      <c r="BG89" s="363"/>
      <c r="BH89" s="363"/>
      <c r="BI89" s="363"/>
      <c r="BJ89" s="363"/>
      <c r="BK89" s="363"/>
      <c r="BL89" s="361"/>
      <c r="CP89" s="362"/>
    </row>
    <row r="90" spans="7:94" x14ac:dyDescent="0.25">
      <c r="G90" s="361"/>
      <c r="H90" s="361"/>
      <c r="L90" s="361"/>
      <c r="Q90" s="361"/>
      <c r="R90" s="363"/>
      <c r="S90" s="363"/>
      <c r="T90" s="363"/>
      <c r="U90" s="363"/>
      <c r="V90" s="363"/>
      <c r="W90" s="363"/>
      <c r="Z90" s="363"/>
      <c r="AA90" s="363"/>
      <c r="AB90" s="363"/>
      <c r="AC90" s="363"/>
      <c r="AD90" s="363"/>
      <c r="AE90" s="363"/>
      <c r="AF90" s="363"/>
      <c r="AG90" s="363"/>
      <c r="AH90" s="363"/>
      <c r="AI90" s="363"/>
      <c r="AJ90" s="363"/>
      <c r="AK90" s="363"/>
      <c r="AL90" s="363"/>
      <c r="AM90" s="363"/>
      <c r="AN90" s="363"/>
      <c r="AO90" s="363"/>
      <c r="AP90" s="363"/>
      <c r="AQ90" s="363"/>
      <c r="AR90" s="363"/>
      <c r="AS90" s="363"/>
      <c r="AT90" s="363"/>
      <c r="AU90" s="363"/>
      <c r="AV90" s="363"/>
      <c r="AW90" s="363"/>
      <c r="AX90" s="363"/>
      <c r="AY90" s="363"/>
      <c r="AZ90" s="363"/>
      <c r="BA90" s="363"/>
      <c r="BB90" s="363"/>
      <c r="BC90" s="363"/>
      <c r="BD90" s="363"/>
      <c r="BE90" s="363"/>
      <c r="BF90" s="363"/>
      <c r="BG90" s="363"/>
      <c r="BH90" s="363"/>
      <c r="BI90" s="363"/>
      <c r="BJ90" s="363"/>
      <c r="BK90" s="363"/>
      <c r="BL90" s="361"/>
      <c r="CP90" s="362"/>
    </row>
    <row r="91" spans="7:94" x14ac:dyDescent="0.25">
      <c r="G91" s="361"/>
      <c r="H91" s="361"/>
      <c r="L91" s="361"/>
      <c r="Q91" s="361"/>
      <c r="BL91" s="361"/>
      <c r="CP91" s="363"/>
    </row>
    <row r="92" spans="7:94" x14ac:dyDescent="0.25">
      <c r="G92" s="361"/>
      <c r="H92" s="361"/>
      <c r="L92" s="361"/>
      <c r="Q92" s="361"/>
      <c r="BL92" s="361"/>
      <c r="CP92" s="363"/>
    </row>
    <row r="93" spans="7:94" x14ac:dyDescent="0.25">
      <c r="G93" s="361"/>
      <c r="H93" s="361"/>
      <c r="L93" s="361"/>
      <c r="Q93" s="361"/>
      <c r="X93" s="363"/>
      <c r="Y93" s="363"/>
      <c r="BL93" s="361"/>
      <c r="CP93" s="369"/>
    </row>
    <row r="94" spans="7:94" x14ac:dyDescent="0.25">
      <c r="G94" s="361"/>
      <c r="H94" s="361"/>
      <c r="L94" s="361"/>
      <c r="Q94" s="361"/>
      <c r="BL94" s="361"/>
      <c r="CP94" s="369"/>
    </row>
    <row r="95" spans="7:94" x14ac:dyDescent="0.25">
      <c r="G95" s="361"/>
      <c r="H95" s="361"/>
      <c r="L95" s="361"/>
      <c r="Q95" s="361"/>
      <c r="BL95" s="361"/>
      <c r="CP95" s="369"/>
    </row>
    <row r="96" spans="7:94" x14ac:dyDescent="0.25">
      <c r="G96" s="361"/>
      <c r="H96" s="361"/>
      <c r="L96" s="361"/>
      <c r="Q96" s="361"/>
      <c r="X96" s="363"/>
      <c r="Y96" s="363"/>
      <c r="BL96" s="361"/>
      <c r="CP96" s="363"/>
    </row>
    <row r="97" spans="7:94" x14ac:dyDescent="0.25">
      <c r="G97" s="361"/>
      <c r="H97" s="361"/>
      <c r="L97" s="361"/>
      <c r="Q97" s="361"/>
      <c r="R97" s="363"/>
      <c r="S97" s="363"/>
      <c r="T97" s="363"/>
      <c r="U97" s="363"/>
      <c r="V97" s="363"/>
      <c r="W97" s="363"/>
      <c r="X97" s="368"/>
      <c r="Y97" s="368"/>
      <c r="Z97" s="363"/>
      <c r="AA97" s="363"/>
      <c r="AB97" s="363"/>
      <c r="AC97" s="363"/>
      <c r="AD97" s="363"/>
      <c r="AE97" s="363"/>
      <c r="AF97" s="363"/>
      <c r="AG97" s="363"/>
      <c r="AH97" s="363"/>
      <c r="AI97" s="363"/>
      <c r="AJ97" s="363"/>
      <c r="AK97" s="363"/>
      <c r="AL97" s="363"/>
      <c r="AM97" s="363"/>
      <c r="AN97" s="363"/>
      <c r="AO97" s="363"/>
      <c r="AP97" s="363"/>
      <c r="AQ97" s="363"/>
      <c r="AR97" s="363"/>
      <c r="AS97" s="363"/>
      <c r="AT97" s="363"/>
      <c r="AU97" s="363"/>
      <c r="AV97" s="363"/>
      <c r="AW97" s="363"/>
      <c r="AX97" s="363"/>
      <c r="AY97" s="363"/>
      <c r="AZ97" s="363"/>
      <c r="BA97" s="363"/>
      <c r="BB97" s="363"/>
      <c r="BC97" s="363"/>
      <c r="BD97" s="363"/>
      <c r="BE97" s="363"/>
      <c r="BF97" s="363"/>
      <c r="BG97" s="363"/>
      <c r="BH97" s="363"/>
      <c r="BI97" s="363"/>
      <c r="BJ97" s="363"/>
      <c r="BK97" s="363"/>
      <c r="BL97" s="361"/>
      <c r="CP97" s="363"/>
    </row>
    <row r="98" spans="7:94" x14ac:dyDescent="0.25">
      <c r="G98" s="361"/>
      <c r="H98" s="361"/>
      <c r="L98" s="361"/>
      <c r="Q98" s="361"/>
      <c r="X98" s="367"/>
      <c r="Y98" s="367"/>
      <c r="BL98" s="361"/>
      <c r="CP98" s="369"/>
    </row>
    <row r="99" spans="7:94" x14ac:dyDescent="0.25">
      <c r="G99" s="361"/>
      <c r="H99" s="361"/>
      <c r="L99" s="361"/>
      <c r="Q99" s="361"/>
      <c r="BL99" s="361"/>
    </row>
    <row r="100" spans="7:94" x14ac:dyDescent="0.25">
      <c r="G100" s="361"/>
      <c r="H100" s="361"/>
      <c r="L100" s="361"/>
      <c r="Q100" s="361"/>
      <c r="R100" s="363"/>
      <c r="S100" s="363"/>
      <c r="T100" s="363"/>
      <c r="U100" s="363"/>
      <c r="V100" s="363"/>
      <c r="W100" s="363"/>
      <c r="X100" s="366"/>
      <c r="Y100" s="366"/>
      <c r="Z100" s="363"/>
      <c r="AA100" s="363"/>
      <c r="AB100" s="363"/>
      <c r="AC100" s="363"/>
      <c r="AD100" s="363"/>
      <c r="AE100" s="363"/>
      <c r="AF100" s="363"/>
      <c r="AG100" s="363"/>
      <c r="AH100" s="363"/>
      <c r="AI100" s="363"/>
      <c r="AJ100" s="363"/>
      <c r="AK100" s="363"/>
      <c r="AL100" s="363"/>
      <c r="AM100" s="363"/>
      <c r="AN100" s="363"/>
      <c r="AO100" s="363"/>
      <c r="AP100" s="363"/>
      <c r="AQ100" s="363"/>
      <c r="AR100" s="363"/>
      <c r="AS100" s="363"/>
      <c r="AT100" s="363"/>
      <c r="AU100" s="363"/>
      <c r="AV100" s="363"/>
      <c r="AW100" s="363"/>
      <c r="AX100" s="363"/>
      <c r="AY100" s="363"/>
      <c r="AZ100" s="363"/>
      <c r="BA100" s="363"/>
      <c r="BB100" s="363"/>
      <c r="BC100" s="363"/>
      <c r="BD100" s="363"/>
      <c r="BE100" s="363"/>
      <c r="BF100" s="363"/>
      <c r="BG100" s="363"/>
      <c r="BH100" s="363"/>
      <c r="BI100" s="363"/>
      <c r="BJ100" s="363"/>
      <c r="BK100" s="363"/>
      <c r="BL100" s="361"/>
      <c r="CP100" s="367"/>
    </row>
    <row r="101" spans="7:94" x14ac:dyDescent="0.25">
      <c r="G101" s="361"/>
      <c r="H101" s="361"/>
      <c r="L101" s="361"/>
      <c r="Q101" s="361"/>
      <c r="R101" s="368"/>
      <c r="S101" s="368"/>
      <c r="T101" s="368"/>
      <c r="U101" s="368"/>
      <c r="V101" s="368"/>
      <c r="W101" s="368"/>
      <c r="X101" s="364"/>
      <c r="Y101" s="364"/>
      <c r="Z101" s="368"/>
      <c r="AA101" s="368"/>
      <c r="AB101" s="368"/>
      <c r="AC101" s="368"/>
      <c r="AD101" s="368"/>
      <c r="AE101" s="368"/>
      <c r="AF101" s="368"/>
      <c r="AG101" s="368"/>
      <c r="AH101" s="368"/>
      <c r="AI101" s="368"/>
      <c r="AJ101" s="368"/>
      <c r="AK101" s="368"/>
      <c r="AL101" s="368"/>
      <c r="AM101" s="368"/>
      <c r="AN101" s="368"/>
      <c r="AO101" s="368"/>
      <c r="AP101" s="368"/>
      <c r="AQ101" s="368"/>
      <c r="AR101" s="368"/>
      <c r="AS101" s="368"/>
      <c r="AT101" s="368"/>
      <c r="AU101" s="368"/>
      <c r="AV101" s="368"/>
      <c r="AW101" s="368"/>
      <c r="AX101" s="368"/>
      <c r="AY101" s="368"/>
      <c r="AZ101" s="368"/>
      <c r="BA101" s="368"/>
      <c r="BB101" s="368"/>
      <c r="BC101" s="368"/>
      <c r="BD101" s="368"/>
      <c r="BE101" s="368"/>
      <c r="BF101" s="368"/>
      <c r="BG101" s="368"/>
      <c r="BH101" s="368"/>
      <c r="BI101" s="368"/>
      <c r="BJ101" s="368"/>
      <c r="BK101" s="368"/>
      <c r="BL101" s="361"/>
    </row>
    <row r="102" spans="7:94" x14ac:dyDescent="0.25">
      <c r="G102" s="361"/>
      <c r="H102" s="361"/>
      <c r="L102" s="361"/>
      <c r="Q102" s="361"/>
      <c r="R102" s="367"/>
      <c r="S102" s="367"/>
      <c r="T102" s="367"/>
      <c r="U102" s="367"/>
      <c r="V102" s="367"/>
      <c r="W102" s="367"/>
      <c r="Z102" s="367"/>
      <c r="AA102" s="367"/>
      <c r="AB102" s="367"/>
      <c r="AC102" s="367"/>
      <c r="AD102" s="367"/>
      <c r="AE102" s="367"/>
      <c r="AF102" s="367"/>
      <c r="AG102" s="367"/>
      <c r="AH102" s="367"/>
      <c r="AI102" s="367"/>
      <c r="AJ102" s="367"/>
      <c r="AK102" s="367"/>
      <c r="AL102" s="367"/>
      <c r="AM102" s="367"/>
      <c r="AN102" s="367"/>
      <c r="AO102" s="367"/>
      <c r="AP102" s="367"/>
      <c r="AQ102" s="367"/>
      <c r="AR102" s="367"/>
      <c r="AS102" s="367"/>
      <c r="AT102" s="367"/>
      <c r="AU102" s="367"/>
      <c r="AV102" s="367"/>
      <c r="AW102" s="367"/>
      <c r="AX102" s="367"/>
      <c r="AY102" s="367"/>
      <c r="AZ102" s="367"/>
      <c r="BA102" s="367"/>
      <c r="BB102" s="367"/>
      <c r="BC102" s="367"/>
      <c r="BD102" s="367"/>
      <c r="BE102" s="367"/>
      <c r="BF102" s="367"/>
      <c r="BG102" s="367"/>
      <c r="BH102" s="367"/>
      <c r="BI102" s="367"/>
      <c r="BJ102" s="367"/>
      <c r="BK102" s="367"/>
      <c r="BL102" s="361"/>
      <c r="CP102" s="363"/>
    </row>
    <row r="103" spans="7:94" x14ac:dyDescent="0.25">
      <c r="G103" s="361"/>
      <c r="H103" s="361"/>
      <c r="L103" s="361"/>
      <c r="Q103" s="361"/>
      <c r="BL103" s="361"/>
      <c r="CP103" s="363"/>
    </row>
    <row r="104" spans="7:94" x14ac:dyDescent="0.25">
      <c r="G104" s="361"/>
      <c r="H104" s="361"/>
      <c r="L104" s="361"/>
      <c r="Q104" s="361"/>
      <c r="R104" s="366"/>
      <c r="S104" s="366"/>
      <c r="T104" s="366"/>
      <c r="U104" s="366"/>
      <c r="V104" s="366"/>
      <c r="W104" s="366"/>
      <c r="Z104" s="366"/>
      <c r="AA104" s="366"/>
      <c r="AB104" s="366"/>
      <c r="AC104" s="366"/>
      <c r="AD104" s="366"/>
      <c r="AE104" s="366"/>
      <c r="AF104" s="366"/>
      <c r="AG104" s="366"/>
      <c r="AH104" s="366"/>
      <c r="AI104" s="366"/>
      <c r="AJ104" s="366"/>
      <c r="AK104" s="366"/>
      <c r="AL104" s="366"/>
      <c r="AM104" s="366"/>
      <c r="AN104" s="366"/>
      <c r="AO104" s="366"/>
      <c r="AP104" s="366"/>
      <c r="AQ104" s="366"/>
      <c r="AR104" s="366"/>
      <c r="AS104" s="366"/>
      <c r="AT104" s="366"/>
      <c r="AU104" s="366"/>
      <c r="AV104" s="366"/>
      <c r="AW104" s="366"/>
      <c r="AX104" s="366"/>
      <c r="AY104" s="366"/>
      <c r="AZ104" s="366"/>
      <c r="BA104" s="366"/>
      <c r="BB104" s="366"/>
      <c r="BC104" s="366"/>
      <c r="BD104" s="366"/>
      <c r="BE104" s="366"/>
      <c r="BF104" s="366"/>
      <c r="BG104" s="366"/>
      <c r="BH104" s="366"/>
      <c r="BI104" s="366"/>
      <c r="BJ104" s="366"/>
      <c r="BK104" s="366"/>
      <c r="BL104" s="361"/>
      <c r="CP104" s="363"/>
    </row>
    <row r="105" spans="7:94" x14ac:dyDescent="0.25">
      <c r="G105" s="361"/>
      <c r="H105" s="361"/>
      <c r="L105" s="361"/>
      <c r="Q105" s="361"/>
      <c r="R105" s="364"/>
      <c r="S105" s="364"/>
      <c r="T105" s="364"/>
      <c r="U105" s="364"/>
      <c r="V105" s="364"/>
      <c r="W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c r="AV105" s="364"/>
      <c r="AW105" s="364"/>
      <c r="AX105" s="364"/>
      <c r="AY105" s="364"/>
      <c r="AZ105" s="364"/>
      <c r="BA105" s="364"/>
      <c r="BB105" s="364"/>
      <c r="BC105" s="364"/>
      <c r="BD105" s="364"/>
      <c r="BE105" s="364"/>
      <c r="BF105" s="364"/>
      <c r="BG105" s="364"/>
      <c r="BH105" s="364"/>
      <c r="BI105" s="364"/>
      <c r="BJ105" s="364"/>
      <c r="BK105" s="364"/>
      <c r="BL105" s="361"/>
      <c r="CP105" s="362"/>
    </row>
    <row r="106" spans="7:94" x14ac:dyDescent="0.25">
      <c r="G106" s="361"/>
      <c r="H106" s="361"/>
      <c r="L106" s="361"/>
      <c r="Q106" s="361"/>
      <c r="X106" s="363"/>
      <c r="Y106" s="363"/>
      <c r="BL106" s="361"/>
      <c r="CP106" s="362"/>
    </row>
    <row r="107" spans="7:94" x14ac:dyDescent="0.25">
      <c r="G107" s="361"/>
      <c r="H107" s="361"/>
      <c r="L107" s="361"/>
      <c r="Q107" s="361"/>
      <c r="X107" s="363"/>
      <c r="Y107" s="363"/>
      <c r="BL107" s="361"/>
      <c r="CP107" s="362"/>
    </row>
    <row r="108" spans="7:94" x14ac:dyDescent="0.25">
      <c r="G108" s="361"/>
      <c r="H108" s="361"/>
      <c r="L108" s="361"/>
      <c r="Q108" s="361"/>
      <c r="BL108" s="361"/>
      <c r="CP108" s="362"/>
    </row>
    <row r="109" spans="7:94" x14ac:dyDescent="0.25">
      <c r="G109" s="361"/>
      <c r="H109" s="361"/>
      <c r="L109" s="361"/>
      <c r="Q109" s="361"/>
      <c r="BL109" s="361"/>
      <c r="CP109" s="362"/>
    </row>
    <row r="110" spans="7:94" x14ac:dyDescent="0.25">
      <c r="G110" s="361"/>
      <c r="H110" s="361"/>
      <c r="L110" s="361"/>
      <c r="Q110" s="361"/>
      <c r="R110" s="363"/>
      <c r="S110" s="363"/>
      <c r="T110" s="363"/>
      <c r="U110" s="363"/>
      <c r="V110" s="363"/>
      <c r="W110" s="363"/>
      <c r="Z110" s="363"/>
      <c r="AA110" s="363"/>
      <c r="AB110" s="363"/>
      <c r="AC110" s="363"/>
      <c r="AD110" s="363"/>
      <c r="AE110" s="363"/>
      <c r="AF110" s="363"/>
      <c r="AG110" s="363"/>
      <c r="AH110" s="363"/>
      <c r="AI110" s="363"/>
      <c r="AJ110" s="363"/>
      <c r="AK110" s="363"/>
      <c r="AL110" s="363"/>
      <c r="AM110" s="363"/>
      <c r="AN110" s="363"/>
      <c r="AO110" s="363"/>
      <c r="AP110" s="363"/>
      <c r="AQ110" s="363"/>
      <c r="AR110" s="363"/>
      <c r="AS110" s="363"/>
      <c r="AT110" s="363"/>
      <c r="AU110" s="363"/>
      <c r="AV110" s="363"/>
      <c r="AW110" s="363"/>
      <c r="AX110" s="363"/>
      <c r="AY110" s="363"/>
      <c r="AZ110" s="363"/>
      <c r="BA110" s="363"/>
      <c r="BB110" s="363"/>
      <c r="BC110" s="363"/>
      <c r="BD110" s="363"/>
      <c r="BE110" s="363"/>
      <c r="BF110" s="363"/>
      <c r="BG110" s="363"/>
      <c r="BH110" s="363"/>
      <c r="BI110" s="363"/>
      <c r="BJ110" s="363"/>
      <c r="BK110" s="363"/>
      <c r="BL110" s="361"/>
      <c r="CP110" s="362"/>
    </row>
    <row r="111" spans="7:94" x14ac:dyDescent="0.25">
      <c r="G111" s="361"/>
      <c r="H111" s="361"/>
      <c r="L111" s="361"/>
      <c r="Q111" s="361"/>
      <c r="R111" s="363"/>
      <c r="S111" s="363"/>
      <c r="T111" s="363"/>
      <c r="U111" s="363"/>
      <c r="V111" s="363"/>
      <c r="W111" s="363"/>
      <c r="Z111" s="363"/>
      <c r="AA111" s="363"/>
      <c r="AB111" s="363"/>
      <c r="AC111" s="363"/>
      <c r="AD111" s="363"/>
      <c r="AE111" s="363"/>
      <c r="AF111" s="363"/>
      <c r="AG111" s="363"/>
      <c r="AH111" s="363"/>
      <c r="AI111" s="363"/>
      <c r="AJ111" s="363"/>
      <c r="AK111" s="363"/>
      <c r="AL111" s="363"/>
      <c r="AM111" s="363"/>
      <c r="AN111" s="363"/>
      <c r="AO111" s="363"/>
      <c r="AP111" s="363"/>
      <c r="AQ111" s="363"/>
      <c r="AR111" s="363"/>
      <c r="AS111" s="363"/>
      <c r="AT111" s="363"/>
      <c r="AU111" s="363"/>
      <c r="AV111" s="363"/>
      <c r="AW111" s="363"/>
      <c r="AX111" s="363"/>
      <c r="AY111" s="363"/>
      <c r="AZ111" s="363"/>
      <c r="BA111" s="363"/>
      <c r="BB111" s="363"/>
      <c r="BC111" s="363"/>
      <c r="BD111" s="363"/>
      <c r="BE111" s="363"/>
      <c r="BF111" s="363"/>
      <c r="BG111" s="363"/>
      <c r="BH111" s="363"/>
      <c r="BI111" s="363"/>
      <c r="BJ111" s="363"/>
      <c r="BK111" s="363"/>
      <c r="BL111" s="361"/>
      <c r="CP111" s="362"/>
    </row>
    <row r="112" spans="7:94" x14ac:dyDescent="0.25">
      <c r="G112" s="361"/>
      <c r="H112" s="361"/>
      <c r="L112" s="361"/>
      <c r="Q112" s="361"/>
      <c r="BL112" s="361"/>
      <c r="CP112" s="362"/>
    </row>
    <row r="113" spans="7:94" x14ac:dyDescent="0.25">
      <c r="G113" s="361"/>
      <c r="H113" s="361"/>
      <c r="L113" s="361"/>
      <c r="Q113" s="361"/>
      <c r="BL113" s="361"/>
      <c r="CP113" s="362"/>
    </row>
    <row r="114" spans="7:94" x14ac:dyDescent="0.25">
      <c r="G114" s="361"/>
      <c r="H114" s="361"/>
      <c r="L114" s="361"/>
      <c r="Q114" s="361"/>
      <c r="X114" s="363"/>
      <c r="Y114" s="363"/>
      <c r="BL114" s="361"/>
      <c r="CP114" s="362"/>
    </row>
    <row r="115" spans="7:94" x14ac:dyDescent="0.25">
      <c r="G115" s="361"/>
      <c r="H115" s="361"/>
      <c r="L115" s="361"/>
      <c r="Q115" s="361"/>
      <c r="BL115" s="361"/>
      <c r="CP115" s="362"/>
    </row>
    <row r="116" spans="7:94" x14ac:dyDescent="0.25">
      <c r="G116" s="361"/>
      <c r="H116" s="361"/>
      <c r="L116" s="361"/>
      <c r="Q116" s="361"/>
      <c r="BL116" s="361"/>
      <c r="CP116" s="362"/>
    </row>
    <row r="117" spans="7:94" x14ac:dyDescent="0.25">
      <c r="G117" s="361"/>
      <c r="H117" s="361"/>
      <c r="L117" s="361"/>
      <c r="Q117" s="361"/>
      <c r="X117" s="363"/>
      <c r="Y117" s="363"/>
      <c r="BL117" s="361"/>
      <c r="CP117" s="362"/>
    </row>
    <row r="118" spans="7:94" x14ac:dyDescent="0.25">
      <c r="G118" s="361"/>
      <c r="H118" s="361"/>
      <c r="L118" s="361"/>
      <c r="Q118" s="361"/>
      <c r="R118" s="363"/>
      <c r="S118" s="363"/>
      <c r="T118" s="363"/>
      <c r="U118" s="363"/>
      <c r="V118" s="363"/>
      <c r="W118" s="363"/>
      <c r="X118" s="368"/>
      <c r="Y118" s="368"/>
      <c r="Z118" s="363"/>
      <c r="AA118" s="363"/>
      <c r="AB118" s="363"/>
      <c r="AC118" s="363"/>
      <c r="AD118" s="363"/>
      <c r="AE118" s="363"/>
      <c r="AF118" s="363"/>
      <c r="AG118" s="363"/>
      <c r="AH118" s="363"/>
      <c r="AI118" s="363"/>
      <c r="AJ118" s="363"/>
      <c r="AK118" s="363"/>
      <c r="AL118" s="363"/>
      <c r="AM118" s="363"/>
      <c r="AN118" s="363"/>
      <c r="AO118" s="363"/>
      <c r="AP118" s="363"/>
      <c r="AQ118" s="363"/>
      <c r="AR118" s="363"/>
      <c r="AS118" s="363"/>
      <c r="AT118" s="363"/>
      <c r="AU118" s="363"/>
      <c r="AV118" s="363"/>
      <c r="AW118" s="363"/>
      <c r="AX118" s="363"/>
      <c r="AY118" s="363"/>
      <c r="AZ118" s="363"/>
      <c r="BA118" s="363"/>
      <c r="BB118" s="363"/>
      <c r="BC118" s="363"/>
      <c r="BD118" s="363"/>
      <c r="BE118" s="363"/>
      <c r="BF118" s="363"/>
      <c r="BG118" s="363"/>
      <c r="BH118" s="363"/>
      <c r="BI118" s="363"/>
      <c r="BJ118" s="363"/>
      <c r="BK118" s="363"/>
      <c r="BL118" s="361"/>
      <c r="CP118" s="362"/>
    </row>
    <row r="119" spans="7:94" x14ac:dyDescent="0.25">
      <c r="G119" s="361"/>
      <c r="H119" s="361"/>
      <c r="L119" s="361"/>
      <c r="Q119" s="361"/>
      <c r="X119" s="367"/>
      <c r="Y119" s="367"/>
      <c r="BL119" s="361"/>
      <c r="CP119" s="362"/>
    </row>
    <row r="120" spans="7:94" x14ac:dyDescent="0.25">
      <c r="G120" s="361"/>
      <c r="H120" s="361"/>
      <c r="L120" s="361"/>
      <c r="Q120" s="361"/>
      <c r="X120" s="361"/>
      <c r="Y120" s="361"/>
      <c r="BL120" s="361"/>
      <c r="CP120" s="362"/>
    </row>
    <row r="121" spans="7:94" x14ac:dyDescent="0.25">
      <c r="G121" s="361"/>
      <c r="H121" s="361"/>
      <c r="L121" s="361"/>
      <c r="Q121" s="361"/>
      <c r="R121" s="363"/>
      <c r="S121" s="363"/>
      <c r="T121" s="363"/>
      <c r="U121" s="363"/>
      <c r="V121" s="363"/>
      <c r="W121" s="363"/>
      <c r="X121" s="366"/>
      <c r="Y121" s="366"/>
      <c r="Z121" s="363"/>
      <c r="AA121" s="363"/>
      <c r="AB121" s="363"/>
      <c r="AC121" s="363"/>
      <c r="AD121" s="363"/>
      <c r="AE121" s="363"/>
      <c r="AF121" s="363"/>
      <c r="AG121" s="363"/>
      <c r="AH121" s="363"/>
      <c r="AI121" s="363"/>
      <c r="AJ121" s="363"/>
      <c r="AK121" s="363"/>
      <c r="AL121" s="363"/>
      <c r="AM121" s="363"/>
      <c r="AN121" s="363"/>
      <c r="AO121" s="363"/>
      <c r="AP121" s="363"/>
      <c r="AQ121" s="363"/>
      <c r="AR121" s="363"/>
      <c r="AS121" s="363"/>
      <c r="AT121" s="363"/>
      <c r="AU121" s="363"/>
      <c r="AV121" s="363"/>
      <c r="AW121" s="363"/>
      <c r="AX121" s="363"/>
      <c r="AY121" s="363"/>
      <c r="AZ121" s="363"/>
      <c r="BA121" s="363"/>
      <c r="BB121" s="363"/>
      <c r="BC121" s="363"/>
      <c r="BD121" s="363"/>
      <c r="BE121" s="363"/>
      <c r="BF121" s="363"/>
      <c r="BG121" s="363"/>
      <c r="BH121" s="363"/>
      <c r="BI121" s="363"/>
      <c r="BJ121" s="363"/>
      <c r="BK121" s="363"/>
      <c r="BL121" s="361"/>
      <c r="CP121" s="362"/>
    </row>
    <row r="122" spans="7:94" x14ac:dyDescent="0.25">
      <c r="G122" s="361"/>
      <c r="H122" s="361"/>
      <c r="L122" s="361"/>
      <c r="Q122" s="361"/>
      <c r="R122" s="368"/>
      <c r="S122" s="368"/>
      <c r="T122" s="368"/>
      <c r="U122" s="368"/>
      <c r="V122" s="368"/>
      <c r="W122" s="368"/>
      <c r="X122" s="364"/>
      <c r="Y122" s="364"/>
      <c r="Z122" s="368"/>
      <c r="AA122" s="368"/>
      <c r="AB122" s="368"/>
      <c r="AC122" s="368"/>
      <c r="AD122" s="368"/>
      <c r="AE122" s="368"/>
      <c r="AF122" s="368"/>
      <c r="AG122" s="368"/>
      <c r="AH122" s="368"/>
      <c r="AI122" s="368"/>
      <c r="AJ122" s="368"/>
      <c r="AK122" s="368"/>
      <c r="AL122" s="368"/>
      <c r="AM122" s="368"/>
      <c r="AN122" s="368"/>
      <c r="AO122" s="368"/>
      <c r="AP122" s="368"/>
      <c r="AQ122" s="368"/>
      <c r="AR122" s="368"/>
      <c r="AS122" s="368"/>
      <c r="AT122" s="368"/>
      <c r="AU122" s="368"/>
      <c r="AV122" s="368"/>
      <c r="AW122" s="368"/>
      <c r="AX122" s="368"/>
      <c r="AY122" s="368"/>
      <c r="AZ122" s="368"/>
      <c r="BA122" s="368"/>
      <c r="BB122" s="368"/>
      <c r="BC122" s="368"/>
      <c r="BD122" s="368"/>
      <c r="BE122" s="368"/>
      <c r="BF122" s="368"/>
      <c r="BG122" s="368"/>
      <c r="BH122" s="368"/>
      <c r="BI122" s="368"/>
      <c r="BJ122" s="368"/>
      <c r="BK122" s="368"/>
      <c r="BL122" s="361"/>
      <c r="CP122" s="362"/>
    </row>
    <row r="123" spans="7:94" x14ac:dyDescent="0.25">
      <c r="G123" s="361"/>
      <c r="H123" s="361"/>
      <c r="L123" s="361"/>
      <c r="Q123" s="361"/>
      <c r="R123" s="367"/>
      <c r="S123" s="367"/>
      <c r="T123" s="367"/>
      <c r="U123" s="367"/>
      <c r="V123" s="367"/>
      <c r="W123" s="367"/>
      <c r="Z123" s="367"/>
      <c r="AA123" s="367"/>
      <c r="AB123" s="367"/>
      <c r="AC123" s="367"/>
      <c r="AD123" s="367"/>
      <c r="AE123" s="367"/>
      <c r="AF123" s="367"/>
      <c r="AG123" s="367"/>
      <c r="AH123" s="367"/>
      <c r="AI123" s="367"/>
      <c r="AJ123" s="367"/>
      <c r="AK123" s="367"/>
      <c r="AL123" s="367"/>
      <c r="AM123" s="367"/>
      <c r="AN123" s="367"/>
      <c r="AO123" s="367"/>
      <c r="AP123" s="367"/>
      <c r="AQ123" s="367"/>
      <c r="AR123" s="367"/>
      <c r="AS123" s="367"/>
      <c r="AT123" s="367"/>
      <c r="AU123" s="367"/>
      <c r="AV123" s="367"/>
      <c r="AW123" s="367"/>
      <c r="AX123" s="367"/>
      <c r="AY123" s="367"/>
      <c r="AZ123" s="367"/>
      <c r="BA123" s="367"/>
      <c r="BB123" s="367"/>
      <c r="BC123" s="367"/>
      <c r="BD123" s="367"/>
      <c r="BE123" s="367"/>
      <c r="BF123" s="367"/>
      <c r="BG123" s="367"/>
      <c r="BH123" s="367"/>
      <c r="BI123" s="367"/>
      <c r="BJ123" s="367"/>
      <c r="BK123" s="367"/>
      <c r="BL123" s="361"/>
      <c r="CP123" s="362"/>
    </row>
    <row r="124" spans="7:94" x14ac:dyDescent="0.25">
      <c r="G124" s="361"/>
      <c r="H124" s="361"/>
      <c r="L124" s="361"/>
      <c r="Q124" s="361"/>
      <c r="R124" s="361"/>
      <c r="S124" s="361"/>
      <c r="T124" s="361"/>
      <c r="U124" s="361"/>
      <c r="V124" s="361"/>
      <c r="W124" s="361"/>
      <c r="Z124" s="361"/>
      <c r="AA124" s="361"/>
      <c r="AB124" s="361"/>
      <c r="AC124" s="361"/>
      <c r="AD124" s="361"/>
      <c r="AE124" s="361"/>
      <c r="AF124" s="361"/>
      <c r="AG124" s="361"/>
      <c r="AH124" s="361"/>
      <c r="AI124" s="361"/>
      <c r="AJ124" s="361"/>
      <c r="AK124" s="361"/>
      <c r="AL124" s="361"/>
      <c r="AM124" s="361"/>
      <c r="AN124" s="361"/>
      <c r="AO124" s="361"/>
      <c r="AP124" s="361"/>
      <c r="AQ124" s="361"/>
      <c r="AR124" s="361"/>
      <c r="AS124" s="361"/>
      <c r="AT124" s="361"/>
      <c r="AU124" s="361"/>
      <c r="AV124" s="361"/>
      <c r="AW124" s="361"/>
      <c r="AX124" s="361"/>
      <c r="AY124" s="361"/>
      <c r="AZ124" s="361"/>
      <c r="BA124" s="361"/>
      <c r="BB124" s="361"/>
      <c r="BC124" s="361"/>
      <c r="BD124" s="361"/>
      <c r="BE124" s="361"/>
      <c r="BF124" s="361"/>
      <c r="BG124" s="361"/>
      <c r="BH124" s="361"/>
      <c r="BI124" s="361"/>
      <c r="BJ124" s="361"/>
      <c r="BK124" s="361"/>
      <c r="BL124" s="361"/>
      <c r="CP124" s="362"/>
    </row>
    <row r="125" spans="7:94" x14ac:dyDescent="0.25">
      <c r="G125" s="361"/>
      <c r="H125" s="361"/>
      <c r="L125" s="361"/>
      <c r="Q125" s="361"/>
      <c r="R125" s="366"/>
      <c r="S125" s="366"/>
      <c r="T125" s="366"/>
      <c r="U125" s="366"/>
      <c r="V125" s="366"/>
      <c r="W125" s="366"/>
      <c r="Z125" s="366"/>
      <c r="AA125" s="366"/>
      <c r="AB125" s="366"/>
      <c r="AC125" s="366"/>
      <c r="AD125" s="366"/>
      <c r="AE125" s="366"/>
      <c r="AF125" s="366"/>
      <c r="AG125" s="366"/>
      <c r="AH125" s="366"/>
      <c r="AI125" s="366"/>
      <c r="AJ125" s="366"/>
      <c r="AK125" s="366"/>
      <c r="AL125" s="366"/>
      <c r="AM125" s="366"/>
      <c r="AN125" s="366"/>
      <c r="AO125" s="366"/>
      <c r="AP125" s="366"/>
      <c r="AQ125" s="366"/>
      <c r="AR125" s="366"/>
      <c r="AS125" s="366"/>
      <c r="AT125" s="366"/>
      <c r="AU125" s="366"/>
      <c r="AV125" s="366"/>
      <c r="AW125" s="366"/>
      <c r="AX125" s="366"/>
      <c r="AY125" s="366"/>
      <c r="AZ125" s="366"/>
      <c r="BA125" s="366"/>
      <c r="BB125" s="366"/>
      <c r="BC125" s="366"/>
      <c r="BD125" s="366"/>
      <c r="BE125" s="366"/>
      <c r="BF125" s="366"/>
      <c r="BG125" s="366"/>
      <c r="BH125" s="366"/>
      <c r="BI125" s="366"/>
      <c r="BJ125" s="366"/>
      <c r="BK125" s="366"/>
      <c r="BL125" s="361"/>
      <c r="CP125" s="362"/>
    </row>
    <row r="126" spans="7:94" x14ac:dyDescent="0.25">
      <c r="G126" s="361"/>
      <c r="H126" s="361"/>
      <c r="L126" s="361"/>
      <c r="Q126" s="361"/>
      <c r="R126" s="364"/>
      <c r="S126" s="364"/>
      <c r="T126" s="364"/>
      <c r="U126" s="364"/>
      <c r="V126" s="364"/>
      <c r="W126" s="364"/>
      <c r="Z126" s="364"/>
      <c r="AA126" s="364"/>
      <c r="AB126" s="364"/>
      <c r="AC126" s="364"/>
      <c r="AD126" s="364"/>
      <c r="AE126" s="364"/>
      <c r="AF126" s="364"/>
      <c r="AG126" s="364"/>
      <c r="AH126" s="364"/>
      <c r="AI126" s="364"/>
      <c r="AJ126" s="364"/>
      <c r="AK126" s="364"/>
      <c r="AL126" s="364"/>
      <c r="AM126" s="364"/>
      <c r="AN126" s="364"/>
      <c r="AO126" s="364"/>
      <c r="AP126" s="364"/>
      <c r="AQ126" s="364"/>
      <c r="AR126" s="364"/>
      <c r="AS126" s="364"/>
      <c r="AT126" s="364"/>
      <c r="AU126" s="364"/>
      <c r="AV126" s="364"/>
      <c r="AW126" s="364"/>
      <c r="AX126" s="364"/>
      <c r="AY126" s="364"/>
      <c r="AZ126" s="364"/>
      <c r="BA126" s="364"/>
      <c r="BB126" s="364"/>
      <c r="BC126" s="364"/>
      <c r="BD126" s="364"/>
      <c r="BE126" s="364"/>
      <c r="BF126" s="364"/>
      <c r="BG126" s="364"/>
      <c r="BH126" s="364"/>
      <c r="BI126" s="364"/>
      <c r="BJ126" s="364"/>
      <c r="BK126" s="364"/>
      <c r="BL126" s="361"/>
      <c r="CP126" s="362"/>
    </row>
    <row r="127" spans="7:94" x14ac:dyDescent="0.25">
      <c r="G127" s="361"/>
      <c r="H127" s="361"/>
      <c r="L127" s="361"/>
      <c r="Q127" s="361"/>
      <c r="X127" s="363"/>
      <c r="Y127" s="363"/>
      <c r="BL127" s="361"/>
      <c r="CP127" s="362"/>
    </row>
    <row r="128" spans="7:94" x14ac:dyDescent="0.25">
      <c r="G128" s="361"/>
      <c r="H128" s="361"/>
      <c r="L128" s="361"/>
      <c r="Q128" s="361"/>
      <c r="X128" s="363"/>
      <c r="Y128" s="363"/>
      <c r="BL128" s="361"/>
      <c r="CP128" s="362"/>
    </row>
    <row r="129" spans="7:94" x14ac:dyDescent="0.25">
      <c r="G129" s="361"/>
      <c r="H129" s="361"/>
      <c r="L129" s="361"/>
      <c r="Q129" s="361"/>
      <c r="BL129" s="361"/>
      <c r="CP129" s="362"/>
    </row>
    <row r="130" spans="7:94" x14ac:dyDescent="0.25">
      <c r="G130" s="361"/>
      <c r="H130" s="361"/>
      <c r="L130" s="361"/>
      <c r="Q130" s="361"/>
      <c r="BL130" s="361"/>
      <c r="CP130" s="362"/>
    </row>
    <row r="131" spans="7:94" x14ac:dyDescent="0.25">
      <c r="G131" s="361"/>
      <c r="H131" s="361"/>
      <c r="L131" s="361"/>
      <c r="Q131" s="361"/>
      <c r="R131" s="363"/>
      <c r="S131" s="363"/>
      <c r="T131" s="363"/>
      <c r="U131" s="363"/>
      <c r="V131" s="363"/>
      <c r="W131" s="363"/>
      <c r="Z131" s="363"/>
      <c r="AA131" s="363"/>
      <c r="AB131" s="363"/>
      <c r="AC131" s="363"/>
      <c r="AD131" s="363"/>
      <c r="AE131" s="363"/>
      <c r="AF131" s="363"/>
      <c r="AG131" s="363"/>
      <c r="AH131" s="363"/>
      <c r="AI131" s="363"/>
      <c r="AJ131" s="363"/>
      <c r="AK131" s="363"/>
      <c r="AL131" s="363"/>
      <c r="AM131" s="363"/>
      <c r="AN131" s="363"/>
      <c r="AO131" s="363"/>
      <c r="AP131" s="363"/>
      <c r="AQ131" s="363"/>
      <c r="AR131" s="363"/>
      <c r="AS131" s="363"/>
      <c r="AT131" s="363"/>
      <c r="AU131" s="363"/>
      <c r="AV131" s="363"/>
      <c r="AW131" s="363"/>
      <c r="AX131" s="363"/>
      <c r="AY131" s="363"/>
      <c r="AZ131" s="363"/>
      <c r="BA131" s="363"/>
      <c r="BB131" s="363"/>
      <c r="BC131" s="363"/>
      <c r="BD131" s="363"/>
      <c r="BE131" s="363"/>
      <c r="BF131" s="363"/>
      <c r="BG131" s="363"/>
      <c r="BH131" s="363"/>
      <c r="BI131" s="363"/>
      <c r="BJ131" s="363"/>
      <c r="BK131" s="363"/>
      <c r="BL131" s="361"/>
      <c r="CP131" s="362"/>
    </row>
    <row r="132" spans="7:94" x14ac:dyDescent="0.25">
      <c r="G132" s="361"/>
      <c r="H132" s="361"/>
      <c r="L132" s="361"/>
      <c r="Q132" s="361"/>
      <c r="R132" s="363"/>
      <c r="S132" s="363"/>
      <c r="T132" s="363"/>
      <c r="U132" s="363"/>
      <c r="V132" s="363"/>
      <c r="W132" s="363"/>
      <c r="Z132" s="363"/>
      <c r="AA132" s="363"/>
      <c r="AB132" s="363"/>
      <c r="AC132" s="363"/>
      <c r="AD132" s="363"/>
      <c r="AE132" s="363"/>
      <c r="AF132" s="363"/>
      <c r="AG132" s="363"/>
      <c r="AH132" s="363"/>
      <c r="AI132" s="363"/>
      <c r="AJ132" s="363"/>
      <c r="AK132" s="363"/>
      <c r="AL132" s="363"/>
      <c r="AM132" s="363"/>
      <c r="AN132" s="363"/>
      <c r="AO132" s="363"/>
      <c r="AP132" s="363"/>
      <c r="AQ132" s="363"/>
      <c r="AR132" s="363"/>
      <c r="AS132" s="363"/>
      <c r="AT132" s="363"/>
      <c r="AU132" s="363"/>
      <c r="AV132" s="363"/>
      <c r="AW132" s="363"/>
      <c r="AX132" s="363"/>
      <c r="AY132" s="363"/>
      <c r="AZ132" s="363"/>
      <c r="BA132" s="363"/>
      <c r="BB132" s="363"/>
      <c r="BC132" s="363"/>
      <c r="BD132" s="363"/>
      <c r="BE132" s="363"/>
      <c r="BF132" s="363"/>
      <c r="BG132" s="363"/>
      <c r="BH132" s="363"/>
      <c r="BI132" s="363"/>
      <c r="BJ132" s="363"/>
      <c r="BK132" s="363"/>
      <c r="BL132" s="361"/>
      <c r="CP132" s="362"/>
    </row>
    <row r="133" spans="7:94" x14ac:dyDescent="0.25">
      <c r="G133" s="361"/>
      <c r="H133" s="361"/>
      <c r="L133" s="361"/>
      <c r="Q133" s="361"/>
      <c r="BL133" s="361"/>
      <c r="CP133" s="362"/>
    </row>
    <row r="134" spans="7:94" x14ac:dyDescent="0.25">
      <c r="G134" s="361"/>
      <c r="H134" s="361"/>
      <c r="L134" s="361"/>
      <c r="Q134" s="361"/>
      <c r="BL134" s="361"/>
      <c r="CP134" s="362"/>
    </row>
    <row r="135" spans="7:94" x14ac:dyDescent="0.25">
      <c r="G135" s="361"/>
      <c r="H135" s="361"/>
      <c r="L135" s="361"/>
      <c r="Q135" s="361"/>
      <c r="X135" s="363"/>
      <c r="Y135" s="363"/>
      <c r="BL135" s="361"/>
      <c r="CP135" s="362"/>
    </row>
    <row r="136" spans="7:94" x14ac:dyDescent="0.25">
      <c r="G136" s="361"/>
      <c r="H136" s="361"/>
      <c r="L136" s="361"/>
      <c r="Q136" s="361"/>
      <c r="BL136" s="361"/>
      <c r="CP136" s="362"/>
    </row>
    <row r="137" spans="7:94" x14ac:dyDescent="0.25">
      <c r="G137" s="361"/>
      <c r="H137" s="361"/>
      <c r="L137" s="361"/>
      <c r="Q137" s="361"/>
      <c r="BL137" s="361"/>
      <c r="CP137" s="362"/>
    </row>
    <row r="138" spans="7:94" x14ac:dyDescent="0.25">
      <c r="G138" s="361"/>
      <c r="H138" s="361"/>
      <c r="L138" s="361"/>
      <c r="Q138" s="361"/>
      <c r="X138" s="363"/>
      <c r="Y138" s="363"/>
      <c r="BL138" s="361"/>
      <c r="CP138" s="362"/>
    </row>
    <row r="139" spans="7:94" x14ac:dyDescent="0.25">
      <c r="G139" s="361"/>
      <c r="H139" s="361"/>
      <c r="L139" s="361"/>
      <c r="Q139" s="361"/>
      <c r="R139" s="363"/>
      <c r="S139" s="363"/>
      <c r="T139" s="363"/>
      <c r="U139" s="363"/>
      <c r="V139" s="363"/>
      <c r="W139" s="363"/>
      <c r="X139" s="368"/>
      <c r="Y139" s="368"/>
      <c r="Z139" s="363"/>
      <c r="AA139" s="363"/>
      <c r="AB139" s="363"/>
      <c r="AC139" s="363"/>
      <c r="AD139" s="363"/>
      <c r="AE139" s="363"/>
      <c r="AF139" s="363"/>
      <c r="AG139" s="363"/>
      <c r="AH139" s="363"/>
      <c r="AI139" s="363"/>
      <c r="AJ139" s="363"/>
      <c r="AK139" s="363"/>
      <c r="AL139" s="363"/>
      <c r="AM139" s="363"/>
      <c r="AN139" s="363"/>
      <c r="AO139" s="363"/>
      <c r="AP139" s="363"/>
      <c r="AQ139" s="363"/>
      <c r="AR139" s="363"/>
      <c r="AS139" s="363"/>
      <c r="AT139" s="363"/>
      <c r="AU139" s="363"/>
      <c r="AV139" s="363"/>
      <c r="AW139" s="363"/>
      <c r="AX139" s="363"/>
      <c r="AY139" s="363"/>
      <c r="AZ139" s="363"/>
      <c r="BA139" s="363"/>
      <c r="BB139" s="363"/>
      <c r="BC139" s="363"/>
      <c r="BD139" s="363"/>
      <c r="BE139" s="363"/>
      <c r="BF139" s="363"/>
      <c r="BG139" s="363"/>
      <c r="BH139" s="363"/>
      <c r="BI139" s="363"/>
      <c r="BJ139" s="363"/>
      <c r="BK139" s="363"/>
      <c r="BL139" s="361"/>
      <c r="CP139" s="362"/>
    </row>
    <row r="140" spans="7:94" x14ac:dyDescent="0.25">
      <c r="G140" s="361"/>
      <c r="H140" s="361"/>
      <c r="L140" s="361"/>
      <c r="Q140" s="361"/>
      <c r="X140" s="367"/>
      <c r="Y140" s="367"/>
      <c r="BL140" s="361"/>
      <c r="CP140" s="362"/>
    </row>
    <row r="141" spans="7:94" x14ac:dyDescent="0.25">
      <c r="G141" s="361"/>
      <c r="H141" s="361"/>
      <c r="L141" s="361"/>
      <c r="Q141" s="361"/>
      <c r="BL141" s="361"/>
      <c r="CP141" s="362"/>
    </row>
    <row r="142" spans="7:94" x14ac:dyDescent="0.25">
      <c r="G142" s="361"/>
      <c r="H142" s="361"/>
      <c r="L142" s="361"/>
      <c r="Q142" s="361"/>
      <c r="R142" s="363"/>
      <c r="S142" s="363"/>
      <c r="T142" s="363"/>
      <c r="U142" s="363"/>
      <c r="V142" s="363"/>
      <c r="W142" s="363"/>
      <c r="Z142" s="363"/>
      <c r="AA142" s="363"/>
      <c r="AB142" s="363"/>
      <c r="AC142" s="363"/>
      <c r="AD142" s="363"/>
      <c r="AE142" s="363"/>
      <c r="AF142" s="363"/>
      <c r="AG142" s="363"/>
      <c r="AH142" s="363"/>
      <c r="AI142" s="363"/>
      <c r="AJ142" s="363"/>
      <c r="AK142" s="363"/>
      <c r="AL142" s="363"/>
      <c r="AM142" s="363"/>
      <c r="AN142" s="363"/>
      <c r="AO142" s="363"/>
      <c r="AP142" s="363"/>
      <c r="AQ142" s="363"/>
      <c r="AR142" s="363"/>
      <c r="AS142" s="363"/>
      <c r="AT142" s="363"/>
      <c r="AU142" s="363"/>
      <c r="AV142" s="363"/>
      <c r="AW142" s="363"/>
      <c r="AX142" s="363"/>
      <c r="AY142" s="363"/>
      <c r="AZ142" s="363"/>
      <c r="BA142" s="363"/>
      <c r="BB142" s="363"/>
      <c r="BC142" s="363"/>
      <c r="BD142" s="363"/>
      <c r="BE142" s="363"/>
      <c r="BF142" s="363"/>
      <c r="BG142" s="363"/>
      <c r="BH142" s="363"/>
      <c r="BI142" s="363"/>
      <c r="BJ142" s="363"/>
      <c r="BK142" s="363"/>
      <c r="BL142" s="361"/>
      <c r="CP142" s="362"/>
    </row>
    <row r="143" spans="7:94" x14ac:dyDescent="0.25">
      <c r="G143" s="361"/>
      <c r="H143" s="361"/>
      <c r="L143" s="361"/>
      <c r="Q143" s="361"/>
      <c r="R143" s="368"/>
      <c r="S143" s="368"/>
      <c r="T143" s="368"/>
      <c r="U143" s="368"/>
      <c r="V143" s="368"/>
      <c r="W143" s="368"/>
      <c r="Z143" s="368"/>
      <c r="AA143" s="368"/>
      <c r="AB143" s="368"/>
      <c r="AC143" s="368"/>
      <c r="AD143" s="368"/>
      <c r="AE143" s="368"/>
      <c r="AF143" s="368"/>
      <c r="AG143" s="368"/>
      <c r="AH143" s="368"/>
      <c r="AI143" s="368"/>
      <c r="AJ143" s="368"/>
      <c r="AK143" s="368"/>
      <c r="AL143" s="368"/>
      <c r="AM143" s="368"/>
      <c r="AN143" s="368"/>
      <c r="AO143" s="368"/>
      <c r="AP143" s="368"/>
      <c r="AQ143" s="368"/>
      <c r="AR143" s="368"/>
      <c r="AS143" s="368"/>
      <c r="AT143" s="368"/>
      <c r="AU143" s="368"/>
      <c r="AV143" s="368"/>
      <c r="AW143" s="368"/>
      <c r="AX143" s="368"/>
      <c r="AY143" s="368"/>
      <c r="AZ143" s="368"/>
      <c r="BA143" s="368"/>
      <c r="BB143" s="368"/>
      <c r="BC143" s="368"/>
      <c r="BD143" s="368"/>
      <c r="BE143" s="368"/>
      <c r="BF143" s="368"/>
      <c r="BG143" s="368"/>
      <c r="BH143" s="368"/>
      <c r="BI143" s="368"/>
      <c r="BJ143" s="368"/>
      <c r="BK143" s="368"/>
      <c r="BL143" s="361"/>
      <c r="CP143" s="362"/>
    </row>
    <row r="144" spans="7:94" x14ac:dyDescent="0.25">
      <c r="G144" s="361"/>
      <c r="H144" s="361"/>
      <c r="L144" s="361"/>
      <c r="Q144" s="361"/>
      <c r="R144" s="367"/>
      <c r="S144" s="367"/>
      <c r="T144" s="367"/>
      <c r="U144" s="367"/>
      <c r="V144" s="367"/>
      <c r="W144" s="367"/>
      <c r="Z144" s="367"/>
      <c r="AA144" s="367"/>
      <c r="AB144" s="367"/>
      <c r="AC144" s="367"/>
      <c r="AD144" s="367"/>
      <c r="AE144" s="367"/>
      <c r="AF144" s="367"/>
      <c r="AG144" s="367"/>
      <c r="AH144" s="367"/>
      <c r="AI144" s="367"/>
      <c r="AJ144" s="367"/>
      <c r="AK144" s="367"/>
      <c r="AL144" s="367"/>
      <c r="AM144" s="367"/>
      <c r="AN144" s="367"/>
      <c r="AO144" s="367"/>
      <c r="AP144" s="367"/>
      <c r="AQ144" s="367"/>
      <c r="AR144" s="367"/>
      <c r="AS144" s="367"/>
      <c r="AT144" s="367"/>
      <c r="AU144" s="367"/>
      <c r="AV144" s="367"/>
      <c r="AW144" s="367"/>
      <c r="AX144" s="367"/>
      <c r="AY144" s="367"/>
      <c r="AZ144" s="367"/>
      <c r="BA144" s="367"/>
      <c r="BB144" s="367"/>
      <c r="BC144" s="367"/>
      <c r="BD144" s="367"/>
      <c r="BE144" s="367"/>
      <c r="BF144" s="367"/>
      <c r="BG144" s="367"/>
      <c r="BH144" s="367"/>
      <c r="BI144" s="367"/>
      <c r="BJ144" s="367"/>
      <c r="BK144" s="367"/>
      <c r="BL144" s="361"/>
      <c r="CP144" s="362"/>
    </row>
    <row r="145" spans="7:94" x14ac:dyDescent="0.25">
      <c r="G145" s="361"/>
      <c r="H145" s="361"/>
      <c r="L145" s="361"/>
      <c r="Q145" s="361"/>
      <c r="BL145" s="361"/>
      <c r="CP145" s="362"/>
    </row>
    <row r="146" spans="7:94" x14ac:dyDescent="0.25">
      <c r="G146" s="361"/>
      <c r="H146" s="361"/>
      <c r="L146" s="361"/>
      <c r="Q146" s="361"/>
      <c r="BL146" s="361"/>
      <c r="CP146" s="362"/>
    </row>
    <row r="147" spans="7:94" x14ac:dyDescent="0.25">
      <c r="G147" s="361"/>
      <c r="H147" s="361"/>
      <c r="L147" s="361"/>
      <c r="Q147" s="361"/>
      <c r="BL147" s="361"/>
      <c r="CP147" s="362"/>
    </row>
    <row r="148" spans="7:94" x14ac:dyDescent="0.25">
      <c r="G148" s="361"/>
      <c r="H148" s="361"/>
      <c r="L148" s="361"/>
      <c r="Q148" s="361"/>
      <c r="BL148" s="361"/>
      <c r="CP148" s="362"/>
    </row>
    <row r="149" spans="7:94" x14ac:dyDescent="0.25">
      <c r="G149" s="361"/>
      <c r="H149" s="361"/>
      <c r="L149" s="361"/>
      <c r="Q149" s="361"/>
      <c r="BL149" s="361"/>
      <c r="CP149" s="362"/>
    </row>
    <row r="150" spans="7:94" x14ac:dyDescent="0.25">
      <c r="G150" s="361"/>
      <c r="H150" s="361"/>
      <c r="L150" s="361"/>
      <c r="Q150" s="361"/>
      <c r="BL150" s="361"/>
      <c r="CP150" s="362"/>
    </row>
    <row r="151" spans="7:94" x14ac:dyDescent="0.25">
      <c r="G151" s="361"/>
      <c r="H151" s="361"/>
      <c r="L151" s="361"/>
      <c r="Q151" s="361"/>
      <c r="BL151" s="361"/>
      <c r="CP151" s="362"/>
    </row>
    <row r="152" spans="7:94" x14ac:dyDescent="0.25">
      <c r="G152" s="361"/>
      <c r="H152" s="361"/>
      <c r="L152" s="361"/>
      <c r="Q152" s="361"/>
      <c r="BL152" s="361"/>
      <c r="CP152" s="362"/>
    </row>
    <row r="153" spans="7:94" x14ac:dyDescent="0.25">
      <c r="G153" s="361"/>
      <c r="H153" s="361"/>
      <c r="L153" s="361"/>
      <c r="Q153" s="361"/>
      <c r="BL153" s="361"/>
      <c r="CP153" s="362"/>
    </row>
    <row r="154" spans="7:94" x14ac:dyDescent="0.25">
      <c r="G154" s="361"/>
      <c r="H154" s="361"/>
      <c r="L154" s="361"/>
      <c r="Q154" s="361"/>
      <c r="BL154" s="361"/>
      <c r="CP154" s="362"/>
    </row>
    <row r="155" spans="7:94" x14ac:dyDescent="0.25">
      <c r="G155" s="361"/>
      <c r="H155" s="361"/>
      <c r="L155" s="361"/>
      <c r="Q155" s="361"/>
      <c r="BL155" s="361"/>
      <c r="CP155" s="362"/>
    </row>
    <row r="156" spans="7:94" x14ac:dyDescent="0.25">
      <c r="G156" s="361"/>
      <c r="H156" s="361"/>
      <c r="L156" s="361"/>
      <c r="Q156" s="361"/>
      <c r="BL156" s="361"/>
      <c r="CP156" s="362"/>
    </row>
    <row r="157" spans="7:94" x14ac:dyDescent="0.25">
      <c r="G157" s="361"/>
      <c r="H157" s="361"/>
      <c r="L157" s="361"/>
      <c r="Q157" s="361"/>
      <c r="BL157" s="361"/>
      <c r="CP157" s="362"/>
    </row>
    <row r="158" spans="7:94" x14ac:dyDescent="0.25">
      <c r="H158" s="363"/>
      <c r="L158" s="361"/>
      <c r="Q158" s="361"/>
      <c r="BL158" s="361"/>
      <c r="CP158" s="362"/>
    </row>
    <row r="159" spans="7:94" x14ac:dyDescent="0.25">
      <c r="H159" s="363"/>
      <c r="L159" s="361"/>
      <c r="Q159" s="361"/>
      <c r="BL159" s="361"/>
      <c r="CP159" s="362"/>
    </row>
    <row r="160" spans="7:94" x14ac:dyDescent="0.25">
      <c r="H160" s="363"/>
      <c r="L160" s="361"/>
      <c r="Q160" s="361"/>
      <c r="BL160" s="361"/>
      <c r="CP160" s="362"/>
    </row>
    <row r="161" spans="8:94" x14ac:dyDescent="0.25">
      <c r="H161" s="363"/>
      <c r="L161" s="361"/>
      <c r="Q161" s="361"/>
      <c r="BL161" s="361"/>
      <c r="CP161" s="362"/>
    </row>
    <row r="162" spans="8:94" x14ac:dyDescent="0.25">
      <c r="L162" s="361"/>
      <c r="Q162" s="361"/>
      <c r="BL162" s="361"/>
      <c r="CP162" s="362"/>
    </row>
    <row r="163" spans="8:94" x14ac:dyDescent="0.25">
      <c r="L163" s="361"/>
      <c r="Q163" s="361"/>
      <c r="BL163" s="361"/>
      <c r="CP163" s="362"/>
    </row>
    <row r="164" spans="8:94" x14ac:dyDescent="0.25">
      <c r="H164" s="366"/>
      <c r="L164" s="361"/>
      <c r="Q164" s="361"/>
      <c r="BL164" s="361"/>
      <c r="CP164" s="362"/>
    </row>
    <row r="165" spans="8:94" x14ac:dyDescent="0.25">
      <c r="H165" s="365"/>
      <c r="L165" s="361"/>
      <c r="Q165" s="361"/>
      <c r="BL165" s="361"/>
      <c r="CP165" s="362"/>
    </row>
    <row r="166" spans="8:94" x14ac:dyDescent="0.25">
      <c r="H166" s="364"/>
      <c r="L166" s="361"/>
      <c r="Q166" s="361"/>
      <c r="BL166" s="361"/>
      <c r="CP166" s="362"/>
    </row>
    <row r="167" spans="8:94" x14ac:dyDescent="0.25">
      <c r="L167" s="361"/>
      <c r="Q167" s="361"/>
      <c r="BL167" s="361"/>
      <c r="CP167" s="362"/>
    </row>
    <row r="168" spans="8:94" x14ac:dyDescent="0.25">
      <c r="L168" s="361"/>
      <c r="Q168" s="361"/>
      <c r="BL168" s="361"/>
      <c r="CP168" s="362"/>
    </row>
    <row r="169" spans="8:94" x14ac:dyDescent="0.25">
      <c r="H169" s="363"/>
      <c r="L169" s="361"/>
      <c r="Q169" s="361"/>
      <c r="BL169" s="361"/>
      <c r="CP169" s="362"/>
    </row>
    <row r="170" spans="8:94" x14ac:dyDescent="0.25">
      <c r="H170" s="363"/>
      <c r="L170" s="361"/>
      <c r="Q170" s="361"/>
      <c r="BL170" s="361"/>
      <c r="CP170" s="362"/>
    </row>
    <row r="171" spans="8:94" x14ac:dyDescent="0.25">
      <c r="L171" s="361"/>
      <c r="Q171" s="361"/>
      <c r="BL171" s="361"/>
      <c r="CP171" s="362"/>
    </row>
    <row r="172" spans="8:94" x14ac:dyDescent="0.25">
      <c r="H172" s="363"/>
      <c r="L172" s="361"/>
      <c r="Q172" s="361"/>
      <c r="BL172" s="361"/>
      <c r="CP172" s="362"/>
    </row>
    <row r="173" spans="8:94" x14ac:dyDescent="0.25">
      <c r="L173" s="361"/>
      <c r="Q173" s="361"/>
      <c r="BL173" s="361"/>
      <c r="CP173" s="362"/>
    </row>
    <row r="174" spans="8:94" x14ac:dyDescent="0.25">
      <c r="L174" s="361"/>
      <c r="Q174" s="361"/>
      <c r="BL174" s="361"/>
      <c r="CP174" s="362"/>
    </row>
    <row r="175" spans="8:94" x14ac:dyDescent="0.25">
      <c r="BL175" s="361"/>
      <c r="CP175" s="362"/>
    </row>
    <row r="176" spans="8:94" x14ac:dyDescent="0.25">
      <c r="BL176" s="361"/>
      <c r="CP176" s="362"/>
    </row>
    <row r="177" spans="8:94" x14ac:dyDescent="0.25">
      <c r="H177" s="363"/>
      <c r="BL177" s="361"/>
      <c r="CP177" s="362"/>
    </row>
    <row r="178" spans="8:94" x14ac:dyDescent="0.25">
      <c r="H178" s="363"/>
      <c r="BL178" s="361"/>
      <c r="CP178" s="362"/>
    </row>
    <row r="179" spans="8:94" x14ac:dyDescent="0.25">
      <c r="BL179" s="361"/>
      <c r="CP179" s="362"/>
    </row>
    <row r="180" spans="8:94" x14ac:dyDescent="0.25">
      <c r="H180" s="363"/>
      <c r="BL180" s="361"/>
      <c r="CP180" s="362"/>
    </row>
    <row r="181" spans="8:94" x14ac:dyDescent="0.25">
      <c r="H181" s="363"/>
      <c r="BL181" s="361"/>
    </row>
    <row r="182" spans="8:94" x14ac:dyDescent="0.25">
      <c r="H182" s="363"/>
      <c r="BL182" s="361"/>
    </row>
    <row r="183" spans="8:94" x14ac:dyDescent="0.25">
      <c r="H183" s="363"/>
      <c r="BL183" s="361"/>
    </row>
    <row r="184" spans="8:94" x14ac:dyDescent="0.25">
      <c r="BL184" s="361"/>
    </row>
    <row r="186" spans="8:94" x14ac:dyDescent="0.25">
      <c r="H186" s="366"/>
      <c r="BL186" s="361"/>
    </row>
    <row r="187" spans="8:94" x14ac:dyDescent="0.25">
      <c r="H187" s="365"/>
      <c r="BL187" s="361"/>
    </row>
    <row r="188" spans="8:94" x14ac:dyDescent="0.25">
      <c r="H188" s="364"/>
      <c r="BL188" s="361"/>
    </row>
    <row r="189" spans="8:94" x14ac:dyDescent="0.25">
      <c r="BL189" s="361"/>
    </row>
    <row r="190" spans="8:94" x14ac:dyDescent="0.25">
      <c r="BL190" s="361"/>
    </row>
    <row r="191" spans="8:94" x14ac:dyDescent="0.25">
      <c r="H191" s="363"/>
      <c r="BL191" s="361"/>
    </row>
    <row r="192" spans="8:94" x14ac:dyDescent="0.25">
      <c r="H192" s="363"/>
      <c r="BL192" s="361"/>
    </row>
    <row r="193" spans="8:64" x14ac:dyDescent="0.25">
      <c r="BL193" s="361"/>
    </row>
    <row r="194" spans="8:64" x14ac:dyDescent="0.25">
      <c r="H194" s="363"/>
      <c r="BL194" s="361"/>
    </row>
    <row r="195" spans="8:64" x14ac:dyDescent="0.25">
      <c r="BL195" s="361"/>
    </row>
    <row r="196" spans="8:64" x14ac:dyDescent="0.25">
      <c r="BL196" s="361"/>
    </row>
    <row r="197" spans="8:64" x14ac:dyDescent="0.25">
      <c r="BL197" s="361"/>
    </row>
    <row r="198" spans="8:64" x14ac:dyDescent="0.25">
      <c r="BL198" s="361"/>
    </row>
    <row r="199" spans="8:64" x14ac:dyDescent="0.25">
      <c r="H199" s="363"/>
      <c r="BL199" s="361"/>
    </row>
    <row r="200" spans="8:64" x14ac:dyDescent="0.25">
      <c r="H200" s="363"/>
      <c r="BL200" s="361"/>
    </row>
    <row r="201" spans="8:64" x14ac:dyDescent="0.25">
      <c r="BL201" s="361"/>
    </row>
    <row r="202" spans="8:64" x14ac:dyDescent="0.25">
      <c r="H202" s="363"/>
      <c r="BL202" s="361"/>
    </row>
    <row r="203" spans="8:64" x14ac:dyDescent="0.25">
      <c r="H203" s="363"/>
      <c r="BL203" s="361"/>
    </row>
    <row r="204" spans="8:64" x14ac:dyDescent="0.25">
      <c r="H204" s="363"/>
      <c r="BL204" s="361"/>
    </row>
    <row r="205" spans="8:64" x14ac:dyDescent="0.25">
      <c r="H205" s="363"/>
      <c r="BL205" s="361"/>
    </row>
    <row r="206" spans="8:64" x14ac:dyDescent="0.25">
      <c r="BL206" s="361"/>
    </row>
    <row r="207" spans="8:64" x14ac:dyDescent="0.25">
      <c r="BL207" s="361"/>
    </row>
    <row r="208" spans="8:64" x14ac:dyDescent="0.25">
      <c r="BL208" s="361"/>
    </row>
    <row r="209" spans="64:64" x14ac:dyDescent="0.25">
      <c r="BL209" s="361"/>
    </row>
    <row r="210" spans="64:64" x14ac:dyDescent="0.25">
      <c r="BL210" s="361"/>
    </row>
    <row r="211" spans="64:64" x14ac:dyDescent="0.25">
      <c r="BL211" s="361"/>
    </row>
    <row r="212" spans="64:64" x14ac:dyDescent="0.25">
      <c r="BL212" s="361"/>
    </row>
    <row r="213" spans="64:64" x14ac:dyDescent="0.25">
      <c r="BL213" s="361"/>
    </row>
    <row r="214" spans="64:64" x14ac:dyDescent="0.25">
      <c r="BL214" s="361"/>
    </row>
    <row r="215" spans="64:64" x14ac:dyDescent="0.25">
      <c r="BL215" s="361"/>
    </row>
    <row r="217" spans="64:64" x14ac:dyDescent="0.25">
      <c r="BL217" s="361"/>
    </row>
    <row r="218" spans="64:64" x14ac:dyDescent="0.25">
      <c r="BL218" s="361"/>
    </row>
    <row r="219" spans="64:64" x14ac:dyDescent="0.25">
      <c r="BL219" s="361"/>
    </row>
    <row r="220" spans="64:64" x14ac:dyDescent="0.25">
      <c r="BL220" s="361"/>
    </row>
    <row r="221" spans="64:64" x14ac:dyDescent="0.25">
      <c r="BL221" s="361"/>
    </row>
    <row r="222" spans="64:64" x14ac:dyDescent="0.25">
      <c r="BL222" s="361"/>
    </row>
  </sheetData>
  <mergeCells count="27">
    <mergeCell ref="DJ13:DM13"/>
    <mergeCell ref="DO13:DR13"/>
    <mergeCell ref="BQ13:BT13"/>
    <mergeCell ref="BV13:BY13"/>
    <mergeCell ref="CA13:CD13"/>
    <mergeCell ref="CF13:CI13"/>
    <mergeCell ref="CK13:CN13"/>
    <mergeCell ref="CP13:CS13"/>
    <mergeCell ref="CU13:CX13"/>
    <mergeCell ref="CZ13:DC13"/>
    <mergeCell ref="DE13:DH13"/>
    <mergeCell ref="AM13:AP13"/>
    <mergeCell ref="AR13:AU13"/>
    <mergeCell ref="AW13:AZ13"/>
    <mergeCell ref="BB13:BE13"/>
    <mergeCell ref="BG13:BJ13"/>
    <mergeCell ref="BL13:BO13"/>
    <mergeCell ref="I2:J2"/>
    <mergeCell ref="CU55:CU56"/>
    <mergeCell ref="CV55:CV56"/>
    <mergeCell ref="D13:G13"/>
    <mergeCell ref="I13:L13"/>
    <mergeCell ref="N13:Q13"/>
    <mergeCell ref="S13:V13"/>
    <mergeCell ref="X13:AA13"/>
    <mergeCell ref="AC13:AF13"/>
    <mergeCell ref="AH13:AK13"/>
  </mergeCells>
  <pageMargins left="0.2" right="0.2" top="0.25" bottom="0.2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FEFB-99D1-40E7-B2F7-219367E6AB0C}">
  <sheetPr>
    <pageSetUpPr fitToPage="1"/>
  </sheetPr>
  <dimension ref="A1:R56"/>
  <sheetViews>
    <sheetView topLeftCell="B1" zoomScale="110" zoomScaleNormal="110" workbookViewId="0">
      <selection activeCell="J13" sqref="J13"/>
    </sheetView>
  </sheetViews>
  <sheetFormatPr defaultColWidth="9.140625" defaultRowHeight="15" x14ac:dyDescent="0.25"/>
  <cols>
    <col min="1" max="1" width="3.140625" style="440" hidden="1" customWidth="1"/>
    <col min="2" max="2" width="5.5703125" style="440" customWidth="1"/>
    <col min="3" max="3" width="34" style="440" customWidth="1"/>
    <col min="4" max="4" width="8" style="440" bestFit="1" customWidth="1"/>
    <col min="5" max="5" width="8.28515625" style="440" bestFit="1" customWidth="1"/>
    <col min="6" max="6" width="9.5703125" style="440" bestFit="1" customWidth="1"/>
    <col min="7" max="7" width="7.85546875" style="440" bestFit="1" customWidth="1"/>
    <col min="8" max="8" width="34.85546875" style="440" customWidth="1"/>
    <col min="9" max="9" width="8" style="440" bestFit="1" customWidth="1"/>
    <col min="10" max="10" width="5" style="440" bestFit="1" customWidth="1"/>
    <col min="11" max="11" width="11" style="446" bestFit="1" customWidth="1"/>
    <col min="12" max="12" width="10.140625" style="440" customWidth="1"/>
    <col min="13" max="13" width="32" style="440" bestFit="1" customWidth="1"/>
    <col min="14" max="14" width="9.140625" style="440"/>
    <col min="15" max="15" width="4.7109375" style="440" bestFit="1" customWidth="1"/>
    <col min="16" max="16" width="6.140625" style="440" bestFit="1" customWidth="1"/>
    <col min="17" max="17" width="5.42578125" style="440" bestFit="1" customWidth="1"/>
    <col min="18" max="18" width="5.140625" style="440" bestFit="1" customWidth="1"/>
    <col min="19" max="16384" width="9.140625" style="440"/>
  </cols>
  <sheetData>
    <row r="1" spans="1:18" ht="15.75" thickBot="1" x14ac:dyDescent="0.3"/>
    <row r="2" spans="1:18" ht="14.45" customHeight="1" x14ac:dyDescent="0.25">
      <c r="A2" s="581"/>
      <c r="B2" s="447"/>
      <c r="C2" s="580" t="s">
        <v>556</v>
      </c>
      <c r="D2" s="579"/>
      <c r="E2" s="579"/>
      <c r="F2" s="579"/>
      <c r="G2" s="579"/>
      <c r="H2" s="579"/>
      <c r="I2" s="579"/>
      <c r="J2" s="579"/>
      <c r="K2" s="578"/>
      <c r="L2" s="451"/>
      <c r="M2" s="447"/>
    </row>
    <row r="3" spans="1:18" ht="15" customHeight="1" thickBot="1" x14ac:dyDescent="0.3">
      <c r="B3" s="447"/>
      <c r="C3" s="577"/>
      <c r="D3" s="576"/>
      <c r="E3" s="576"/>
      <c r="F3" s="576"/>
      <c r="G3" s="576"/>
      <c r="H3" s="576"/>
      <c r="I3" s="576"/>
      <c r="J3" s="576"/>
      <c r="K3" s="575"/>
      <c r="L3" s="447"/>
      <c r="M3" s="447"/>
    </row>
    <row r="4" spans="1:18" ht="15" customHeight="1" x14ac:dyDescent="0.25">
      <c r="B4" s="447"/>
      <c r="C4" s="574"/>
      <c r="D4" s="574"/>
      <c r="E4" s="574"/>
      <c r="F4" s="574"/>
      <c r="G4" s="574"/>
      <c r="H4" s="574"/>
      <c r="I4" s="574"/>
      <c r="J4" s="574"/>
      <c r="K4" s="574"/>
      <c r="L4" s="447"/>
      <c r="M4" s="447"/>
    </row>
    <row r="5" spans="1:18" ht="15" customHeight="1" thickBot="1" x14ac:dyDescent="0.3">
      <c r="B5" s="447"/>
      <c r="C5" s="574"/>
      <c r="D5" s="574"/>
      <c r="E5" s="574"/>
      <c r="F5" s="574"/>
      <c r="G5" s="574"/>
      <c r="H5" s="574"/>
      <c r="I5" s="574"/>
      <c r="J5" s="574"/>
      <c r="K5" s="574"/>
      <c r="L5" s="447"/>
      <c r="M5" s="447"/>
    </row>
    <row r="6" spans="1:18" ht="15.75" thickBot="1" x14ac:dyDescent="0.3">
      <c r="B6" s="447"/>
      <c r="C6" s="573" t="s">
        <v>555</v>
      </c>
      <c r="D6" s="572"/>
      <c r="E6" s="572"/>
      <c r="F6" s="571"/>
      <c r="G6" s="447"/>
      <c r="H6" s="573" t="s">
        <v>554</v>
      </c>
      <c r="I6" s="572"/>
      <c r="J6" s="572"/>
      <c r="K6" s="571"/>
      <c r="L6" s="525"/>
      <c r="M6" s="447"/>
      <c r="N6" s="517"/>
      <c r="O6" s="447"/>
      <c r="P6" s="447"/>
      <c r="Q6" s="447"/>
      <c r="R6" s="447"/>
    </row>
    <row r="7" spans="1:18" x14ac:dyDescent="0.25">
      <c r="B7" s="447"/>
      <c r="C7" s="570" t="s">
        <v>553</v>
      </c>
      <c r="D7" s="569" t="s">
        <v>551</v>
      </c>
      <c r="E7" s="569"/>
      <c r="F7" s="568">
        <f>R19</f>
        <v>2704</v>
      </c>
      <c r="G7" s="447"/>
      <c r="H7" s="570" t="s">
        <v>552</v>
      </c>
      <c r="I7" s="569" t="s">
        <v>551</v>
      </c>
      <c r="J7" s="569"/>
      <c r="K7" s="568">
        <v>5</v>
      </c>
      <c r="L7" s="447"/>
      <c r="M7" s="567" t="s">
        <v>550</v>
      </c>
      <c r="N7" s="566"/>
      <c r="O7" s="565" t="s">
        <v>44</v>
      </c>
      <c r="P7" s="564" t="s">
        <v>549</v>
      </c>
      <c r="Q7" s="564" t="s">
        <v>43</v>
      </c>
      <c r="R7" s="563" t="s">
        <v>536</v>
      </c>
    </row>
    <row r="8" spans="1:18" x14ac:dyDescent="0.25">
      <c r="B8" s="447"/>
      <c r="C8" s="562"/>
      <c r="D8" s="561" t="s">
        <v>377</v>
      </c>
      <c r="E8" s="561" t="s">
        <v>380</v>
      </c>
      <c r="F8" s="560" t="s">
        <v>504</v>
      </c>
      <c r="G8" s="447"/>
      <c r="H8" s="562" t="s">
        <v>118</v>
      </c>
      <c r="I8" s="561" t="s">
        <v>377</v>
      </c>
      <c r="J8" s="561" t="s">
        <v>380</v>
      </c>
      <c r="K8" s="560" t="s">
        <v>504</v>
      </c>
      <c r="L8" s="447"/>
      <c r="M8" s="559" t="s">
        <v>548</v>
      </c>
      <c r="N8" s="558"/>
      <c r="O8" s="557"/>
      <c r="P8" s="556">
        <v>52</v>
      </c>
      <c r="Q8" s="555">
        <v>40</v>
      </c>
      <c r="R8" s="554">
        <f>P8*Q8</f>
        <v>2080</v>
      </c>
    </row>
    <row r="9" spans="1:18" x14ac:dyDescent="0.25">
      <c r="A9" s="440">
        <v>1</v>
      </c>
      <c r="B9" s="447"/>
      <c r="C9" s="494" t="str">
        <f>IF(INDEX('Master Lookup'!$B$58:$B$67,A9)=0,"",INDEX('Master Lookup'!$B$58:$B$67,A9))</f>
        <v>Management</v>
      </c>
      <c r="D9" s="496">
        <f>IFERROR(INDEX('Master Lookup'!$D$58:$D$67,MATCH(C9,'Master Lookup'!$B$58:$B$67,0)),"")</f>
        <v>79415.232000000018</v>
      </c>
      <c r="E9" s="547">
        <f>IFERROR(INDEX('Master Lookup'!$E$58:$E$67,MATCH(C9,'Master Lookup'!$B$58:$B$67,0)),"")</f>
        <v>0.08</v>
      </c>
      <c r="F9" s="483">
        <f>IFERROR(D9*E9,0)</f>
        <v>6353.2185600000012</v>
      </c>
      <c r="G9" s="447"/>
      <c r="H9" s="494" t="str">
        <f>IF(INDEX('Master Lookup'!$B$58:$B$67,A9)=0,"",INDEX('Master Lookup'!$B$58:$B$67,A9))</f>
        <v>Management</v>
      </c>
      <c r="I9" s="496">
        <f>IFERROR(INDEX('Master Lookup'!$D$58:$D$67,MATCH(H9,'Master Lookup'!$B$58:$B$67,0)),"")</f>
        <v>79415.232000000018</v>
      </c>
      <c r="J9" s="547">
        <f>IFERROR(INDEX('Master Lookup'!$F$58:$F$67,MATCH(H9,'Master Lookup'!$B$58:$B$67,0)),"")</f>
        <v>0.08</v>
      </c>
      <c r="K9" s="483">
        <f>IFERROR(I9*J9,0)</f>
        <v>6353.2185600000012</v>
      </c>
      <c r="L9" s="447"/>
      <c r="M9" s="553" t="s">
        <v>547</v>
      </c>
      <c r="N9" s="552"/>
      <c r="O9" s="551"/>
      <c r="P9" s="550"/>
      <c r="Q9" s="549"/>
      <c r="R9" s="548"/>
    </row>
    <row r="10" spans="1:18" x14ac:dyDescent="0.25">
      <c r="A10" s="440">
        <v>2</v>
      </c>
      <c r="B10" s="447"/>
      <c r="C10" s="494" t="str">
        <f>IF(INDEX('Master Lookup'!$B$58:$B$67,A10)=0,"",INDEX('Master Lookup'!$B$58:$B$67,A10))</f>
        <v>Family Navigator</v>
      </c>
      <c r="D10" s="496">
        <f>IFERROR(INDEX('Master Lookup'!$D$58:$D$67,MATCH(C10,'Master Lookup'!$B$58:$B$67,0)),"")</f>
        <v>58616.063999999998</v>
      </c>
      <c r="E10" s="547">
        <f>IFERROR(INDEX('Master Lookup'!$E$58:$E$67,MATCH(C10,'Master Lookup'!$B$58:$B$67,0)),"")</f>
        <v>2</v>
      </c>
      <c r="F10" s="483">
        <f>IFERROR(D10*E10,0)</f>
        <v>117232.128</v>
      </c>
      <c r="G10" s="447"/>
      <c r="H10" s="494" t="str">
        <f>IF(INDEX('Master Lookup'!$B$58:$B$67,A10)=0,"",INDEX('Master Lookup'!$B$58:$B$67,A10))</f>
        <v>Family Navigator</v>
      </c>
      <c r="I10" s="496">
        <f>IFERROR(INDEX('Master Lookup'!$D$58:$D$67,MATCH(H10,'Master Lookup'!$B$58:$B$67,0)),"")</f>
        <v>58616.063999999998</v>
      </c>
      <c r="J10" s="547">
        <f>IFERROR(INDEX('Master Lookup'!$F$58:$F$67,MATCH(H10,'Master Lookup'!$B$58:$B$67,0)),"")</f>
        <v>2</v>
      </c>
      <c r="K10" s="483">
        <f>IFERROR(I10*J10,0)</f>
        <v>117232.128</v>
      </c>
      <c r="L10" s="447"/>
      <c r="M10" s="537" t="s">
        <v>39</v>
      </c>
      <c r="N10" s="518"/>
      <c r="O10" s="536">
        <v>15</v>
      </c>
      <c r="P10" s="536">
        <v>3</v>
      </c>
      <c r="Q10" s="541">
        <v>40</v>
      </c>
      <c r="R10" s="535">
        <f>Q10*P10</f>
        <v>120</v>
      </c>
    </row>
    <row r="11" spans="1:18" x14ac:dyDescent="0.25">
      <c r="A11" s="440">
        <v>3</v>
      </c>
      <c r="B11" s="447"/>
      <c r="C11" s="494" t="str">
        <f>IF(INDEX('Master Lookup'!$B$58:$B$67,A11)=0,"",INDEX('Master Lookup'!$B$58:$B$67,A11))</f>
        <v>Direct Care Staff</v>
      </c>
      <c r="D11" s="496">
        <f>IFERROR(INDEX('Master Lookup'!$D$58:$D$67,MATCH(C11,'Master Lookup'!$B$58:$B$67,0)),"")</f>
        <v>41600</v>
      </c>
      <c r="E11" s="547">
        <f>IFERROR(INDEX('Master Lookup'!$E$58:$E$67,MATCH(C11,'Master Lookup'!$B$58:$B$67,0)),"")</f>
        <v>0.1</v>
      </c>
      <c r="F11" s="483">
        <f>IFERROR(D11*E11,0)</f>
        <v>4160</v>
      </c>
      <c r="G11" s="447"/>
      <c r="H11" s="494" t="str">
        <f>IF(INDEX('Master Lookup'!$B$58:$B$67,A11)=0,"",INDEX('Master Lookup'!$B$58:$B$67,A11))</f>
        <v>Direct Care Staff</v>
      </c>
      <c r="I11" s="496">
        <f>IFERROR(INDEX('Master Lookup'!$D$58:$D$67,MATCH(H11,'Master Lookup'!$B$58:$B$67,0)),"")</f>
        <v>41600</v>
      </c>
      <c r="J11" s="547">
        <f>IFERROR(INDEX('Master Lookup'!$F$58:$F$67,MATCH(H11,'Master Lookup'!$B$58:$B$67,0)),"")</f>
        <v>0.1</v>
      </c>
      <c r="K11" s="483">
        <f>IFERROR(I11*J11,0)</f>
        <v>4160</v>
      </c>
      <c r="L11" s="447"/>
      <c r="M11" s="537" t="s">
        <v>546</v>
      </c>
      <c r="N11" s="518"/>
      <c r="O11" s="536">
        <v>10</v>
      </c>
      <c r="P11" s="536">
        <v>2</v>
      </c>
      <c r="Q11" s="541">
        <v>40</v>
      </c>
      <c r="R11" s="535">
        <f>Q11*P11</f>
        <v>80</v>
      </c>
    </row>
    <row r="12" spans="1:18" x14ac:dyDescent="0.25">
      <c r="A12" s="440">
        <v>4</v>
      </c>
      <c r="B12" s="447"/>
      <c r="C12" s="500" t="s">
        <v>503</v>
      </c>
      <c r="D12" s="499"/>
      <c r="E12" s="542"/>
      <c r="F12" s="497">
        <f>SUM(F9:F11)</f>
        <v>127745.34656000001</v>
      </c>
      <c r="G12" s="447"/>
      <c r="H12" s="546" t="s">
        <v>503</v>
      </c>
      <c r="I12" s="545"/>
      <c r="J12" s="542"/>
      <c r="K12" s="497">
        <f>SUM(K9:K11)</f>
        <v>127745.34656000001</v>
      </c>
      <c r="L12" s="447"/>
      <c r="M12" s="537" t="s">
        <v>36</v>
      </c>
      <c r="N12" s="518"/>
      <c r="O12" s="536">
        <v>11</v>
      </c>
      <c r="P12" s="536">
        <v>2</v>
      </c>
      <c r="Q12" s="541">
        <v>44</v>
      </c>
      <c r="R12" s="535">
        <f>P12*Q12</f>
        <v>88</v>
      </c>
    </row>
    <row r="13" spans="1:18" x14ac:dyDescent="0.25">
      <c r="A13" s="440">
        <v>5</v>
      </c>
      <c r="B13" s="447"/>
      <c r="C13" s="544" t="s">
        <v>368</v>
      </c>
      <c r="D13" s="543">
        <f>INDEX('Master Lookup'!$C$82:$C$84,MATCH(C13,'Master Lookup'!$B$82:$B$84,0))</f>
        <v>0.27379999999999999</v>
      </c>
      <c r="E13" s="542"/>
      <c r="F13" s="483">
        <f>SUM(F12)*D13</f>
        <v>34976.675888127997</v>
      </c>
      <c r="G13" s="447"/>
      <c r="H13" s="544" t="s">
        <v>368</v>
      </c>
      <c r="I13" s="543">
        <f>INDEX('Master Lookup'!$C$82:$C$84,MATCH(H13,'Master Lookup'!$B$82:$B$84,0))</f>
        <v>0.27379999999999999</v>
      </c>
      <c r="J13" s="542"/>
      <c r="K13" s="483">
        <f>SUM(K12)*I13</f>
        <v>34976.675888127997</v>
      </c>
      <c r="L13" s="447"/>
      <c r="M13" s="537" t="s">
        <v>545</v>
      </c>
      <c r="N13" s="518"/>
      <c r="O13" s="536">
        <v>3</v>
      </c>
      <c r="P13" s="536">
        <v>1</v>
      </c>
      <c r="Q13" s="541">
        <v>24</v>
      </c>
      <c r="R13" s="535">
        <f>Q13*P13</f>
        <v>24</v>
      </c>
    </row>
    <row r="14" spans="1:18" ht="15.75" thickBot="1" x14ac:dyDescent="0.3">
      <c r="A14" s="440">
        <v>6</v>
      </c>
      <c r="B14" s="447"/>
      <c r="C14" s="540"/>
      <c r="D14" s="539"/>
      <c r="E14" s="538"/>
      <c r="F14" s="479"/>
      <c r="G14" s="447"/>
      <c r="H14" s="540"/>
      <c r="I14" s="539"/>
      <c r="J14" s="538"/>
      <c r="K14" s="479"/>
      <c r="L14" s="447"/>
      <c r="M14" s="537" t="s">
        <v>544</v>
      </c>
      <c r="N14" s="518"/>
      <c r="O14" s="536"/>
      <c r="P14" s="536">
        <v>52</v>
      </c>
      <c r="Q14" s="516">
        <v>4</v>
      </c>
      <c r="R14" s="535">
        <f>Q14*P14</f>
        <v>208</v>
      </c>
    </row>
    <row r="15" spans="1:18" ht="16.5" thickTop="1" thickBot="1" x14ac:dyDescent="0.3">
      <c r="A15" s="440">
        <v>7</v>
      </c>
      <c r="B15" s="447"/>
      <c r="C15" s="534" t="s">
        <v>502</v>
      </c>
      <c r="D15" s="533"/>
      <c r="E15" s="532">
        <f>SUM(E9:E11)</f>
        <v>2.1800000000000002</v>
      </c>
      <c r="F15" s="531">
        <f>SUM(F12:F14)</f>
        <v>162722.022448128</v>
      </c>
      <c r="G15" s="447"/>
      <c r="H15" s="534" t="s">
        <v>502</v>
      </c>
      <c r="I15" s="533"/>
      <c r="J15" s="532">
        <f>SUM(J9:J11)</f>
        <v>2.1800000000000002</v>
      </c>
      <c r="K15" s="531">
        <f>SUM(K12:K14)</f>
        <v>162722.022448128</v>
      </c>
      <c r="L15" s="447"/>
      <c r="M15" s="530" t="s">
        <v>543</v>
      </c>
      <c r="N15" s="529"/>
      <c r="O15" s="528"/>
      <c r="P15" s="528">
        <v>52</v>
      </c>
      <c r="Q15" s="521">
        <v>4</v>
      </c>
      <c r="R15" s="527">
        <f>Q15*P15</f>
        <v>208</v>
      </c>
    </row>
    <row r="16" spans="1:18" ht="15.75" thickTop="1" x14ac:dyDescent="0.25">
      <c r="A16" s="440">
        <v>8</v>
      </c>
      <c r="B16" s="447"/>
      <c r="C16" s="526" t="s">
        <v>372</v>
      </c>
      <c r="D16" s="525"/>
      <c r="E16" s="498"/>
      <c r="F16" s="497"/>
      <c r="G16" s="447"/>
      <c r="H16" s="526" t="s">
        <v>372</v>
      </c>
      <c r="I16" s="525"/>
      <c r="J16" s="498"/>
      <c r="K16" s="497"/>
      <c r="L16" s="447"/>
      <c r="M16" s="524" t="s">
        <v>542</v>
      </c>
      <c r="N16" s="523"/>
      <c r="O16" s="523"/>
      <c r="P16" s="522"/>
      <c r="Q16" s="521"/>
      <c r="R16" s="515">
        <f>SUM(R10:R15)</f>
        <v>728</v>
      </c>
    </row>
    <row r="17" spans="1:18" x14ac:dyDescent="0.25">
      <c r="A17" s="440">
        <v>9</v>
      </c>
      <c r="B17" s="447"/>
      <c r="C17" s="494" t="str">
        <f>IF(INDEX('Master Lookup'!$B$72:$B$80,A25)=0,"",INDEX('Master Lookup'!$B$72:$B$80,A25))</f>
        <v>Staff Mileage / Travel 205</v>
      </c>
      <c r="D17" s="496">
        <f>IFERROR(INDEX('Master Lookup'!$C$72:$C$80,MATCH(C17,'Master Lookup'!$B$72:$B$80,0)),"")</f>
        <v>823.75132959083601</v>
      </c>
      <c r="E17" s="495"/>
      <c r="F17" s="483">
        <f>D17*(E15-E11)</f>
        <v>1713.402765548939</v>
      </c>
      <c r="G17" s="447"/>
      <c r="H17" s="494" t="str">
        <f>IF(INDEX('Master Lookup'!$B$72:$B$80,A25)=0,"",INDEX('Master Lookup'!$B$72:$B$80,A25))</f>
        <v>Staff Mileage / Travel 205</v>
      </c>
      <c r="I17" s="496">
        <f>IFERROR(INDEX('Master Lookup'!$C$72:$C$80,MATCH(H17,'Master Lookup'!$B$72:$B$80,0)),"")</f>
        <v>823.75132959083601</v>
      </c>
      <c r="J17" s="495"/>
      <c r="K17" s="483">
        <f>I17*$J$15</f>
        <v>1795.7778985080226</v>
      </c>
      <c r="L17" s="447"/>
      <c r="M17" s="520" t="s">
        <v>541</v>
      </c>
      <c r="N17" s="519"/>
      <c r="O17" s="518"/>
      <c r="P17" s="517"/>
      <c r="Q17" s="516"/>
      <c r="R17" s="515">
        <f>R8-R16</f>
        <v>1352</v>
      </c>
    </row>
    <row r="18" spans="1:18" ht="15.75" thickBot="1" x14ac:dyDescent="0.3">
      <c r="A18" s="440">
        <v>10</v>
      </c>
      <c r="B18" s="447"/>
      <c r="C18" s="494" t="str">
        <f>IF(INDEX('Master Lookup'!$B$72:$B$80,A26)=0,"",INDEX('Master Lookup'!$B$72:$B$80,A26))</f>
        <v>Program Supplies &amp; Materials 215</v>
      </c>
      <c r="D18" s="496">
        <f>IFERROR(INDEX('Master Lookup'!$C$72:$C$80,MATCH(C18,'Master Lookup'!$B$72:$B$80,0)),"")</f>
        <v>1493.1564099112707</v>
      </c>
      <c r="E18" s="495"/>
      <c r="F18" s="483">
        <f>D18*(E15-E11)</f>
        <v>3105.7653326154432</v>
      </c>
      <c r="G18" s="447"/>
      <c r="H18" s="494" t="str">
        <f>IF(INDEX('Master Lookup'!$B$72:$B$80,A26)=0,"",INDEX('Master Lookup'!$B$72:$B$80,A26))</f>
        <v>Program Supplies &amp; Materials 215</v>
      </c>
      <c r="I18" s="496">
        <f>IFERROR(INDEX('Master Lookup'!$C$72:$C$80,MATCH(H18,'Master Lookup'!$B$72:$B$80,0)),"")</f>
        <v>1493.1564099112707</v>
      </c>
      <c r="J18" s="495"/>
      <c r="K18" s="483">
        <f>I18*$J15</f>
        <v>3255.0809736065703</v>
      </c>
      <c r="L18" s="447"/>
      <c r="M18" s="514" t="s">
        <v>540</v>
      </c>
      <c r="N18" s="513"/>
      <c r="O18" s="513"/>
      <c r="P18" s="512"/>
      <c r="Q18" s="512"/>
      <c r="R18" s="511">
        <v>2</v>
      </c>
    </row>
    <row r="19" spans="1:18" ht="15.75" thickBot="1" x14ac:dyDescent="0.3">
      <c r="B19" s="447"/>
      <c r="C19" s="494" t="str">
        <f>IF(INDEX('Master Lookup'!$B$72:$B$80,A27)=0,"",INDEX('Master Lookup'!$B$72:$B$80,A27))</f>
        <v>Other Expense</v>
      </c>
      <c r="D19" s="496">
        <f>IFERROR(INDEX('Master Lookup'!$C$72:$C$80,MATCH(C19,'Master Lookup'!$B$72:$B$80,0)),"")</f>
        <v>3151.0944966340862</v>
      </c>
      <c r="E19" s="495"/>
      <c r="F19" s="483">
        <f>D19*E10</f>
        <v>6302.1889932681725</v>
      </c>
      <c r="G19" s="447"/>
      <c r="H19" s="494" t="str">
        <f>IF(INDEX('Master Lookup'!$B$72:$B$80,A27)=0,"",INDEX('Master Lookup'!$B$72:$B$80,A27))</f>
        <v>Other Expense</v>
      </c>
      <c r="I19" s="496">
        <f>IFERROR(INDEX('Master Lookup'!$C$72:$C$80,MATCH(H19,'Master Lookup'!$B$72:$B$80,0)),"")</f>
        <v>3151.0944966340862</v>
      </c>
      <c r="J19" s="495"/>
      <c r="K19" s="483">
        <f>I19*J15</f>
        <v>6869.3860026623088</v>
      </c>
      <c r="L19" s="447"/>
      <c r="M19" s="510" t="s">
        <v>539</v>
      </c>
      <c r="N19" s="509"/>
      <c r="O19" s="508"/>
      <c r="P19" s="507"/>
      <c r="Q19" s="506"/>
      <c r="R19" s="505">
        <f>R17*R18</f>
        <v>2704</v>
      </c>
    </row>
    <row r="20" spans="1:18" x14ac:dyDescent="0.25">
      <c r="B20" s="447"/>
      <c r="C20" s="494" t="str">
        <f>IF(INDEX('Master Lookup'!$B$72:$B$80,A28)=0,"",INDEX('Master Lookup'!$B$72:$B$80,A28))</f>
        <v xml:space="preserve">Flex Spending </v>
      </c>
      <c r="D20" s="496">
        <f>IFERROR(INDEX('Master Lookup'!$C$72:$C$80,MATCH(C20,'Master Lookup'!$B$72:$B$80,0)),"")</f>
        <v>1000</v>
      </c>
      <c r="E20" s="495"/>
      <c r="F20" s="483">
        <f>E10*D20</f>
        <v>2000</v>
      </c>
      <c r="G20" s="447"/>
      <c r="H20" s="494" t="str">
        <f>IF(INDEX('Master Lookup'!$B$72:$B$80,A28)=0,"",INDEX('Master Lookup'!$B$72:$B$80,A28))</f>
        <v xml:space="preserve">Flex Spending </v>
      </c>
      <c r="I20" s="496">
        <f>IFERROR(INDEX('Master Lookup'!$C$72:$C$80,MATCH(H20,'Master Lookup'!$B$72:$B$80,0)),"")</f>
        <v>1000</v>
      </c>
      <c r="J20" s="495"/>
      <c r="K20" s="483">
        <f>J10*I20</f>
        <v>2000</v>
      </c>
      <c r="L20" s="447"/>
      <c r="M20" s="447"/>
    </row>
    <row r="21" spans="1:18" hidden="1" x14ac:dyDescent="0.25">
      <c r="B21" s="447"/>
      <c r="C21" s="504"/>
      <c r="D21" s="503" t="str">
        <f>IFERROR(INDEX('Master Lookup'!$C$72:$C$80,MATCH(C21,'Master Lookup'!$B$72:$B$80,0)),"")</f>
        <v/>
      </c>
      <c r="E21" s="502"/>
      <c r="F21" s="501"/>
      <c r="G21" s="447"/>
      <c r="H21" s="504" t="str">
        <f>IF(INDEX('Master Lookup'!$B$72:$B$80,A29)=0,"",INDEX('Master Lookup'!$B$72:$B$80,A29))</f>
        <v/>
      </c>
      <c r="I21" s="503" t="str">
        <f>IFERROR(INDEX('Master Lookup'!$C$72:$C$80,MATCH(H21,'Master Lookup'!$B$72:$B$80,0)),"")</f>
        <v/>
      </c>
      <c r="J21" s="502"/>
      <c r="K21" s="501"/>
      <c r="L21" s="447"/>
      <c r="M21" s="447"/>
    </row>
    <row r="22" spans="1:18" hidden="1" x14ac:dyDescent="0.25">
      <c r="B22" s="447"/>
      <c r="C22" s="504"/>
      <c r="D22" s="503" t="str">
        <f>IFERROR(INDEX('Master Lookup'!$C$72:$C$80,MATCH(C22,'Master Lookup'!$B$72:$B$80,0)),"")</f>
        <v/>
      </c>
      <c r="E22" s="502"/>
      <c r="F22" s="501"/>
      <c r="G22" s="447"/>
      <c r="H22" s="504" t="str">
        <f>IF(INDEX('Master Lookup'!$B$72:$B$80,A30)=0,"",INDEX('Master Lookup'!$B$72:$B$80,A30))</f>
        <v/>
      </c>
      <c r="I22" s="503" t="str">
        <f>IFERROR(INDEX('Master Lookup'!$C$72:$C$80,MATCH(H22,'Master Lookup'!$B$72:$B$80,0)),"")</f>
        <v/>
      </c>
      <c r="J22" s="502"/>
      <c r="K22" s="501"/>
      <c r="L22" s="451"/>
      <c r="M22" s="447"/>
    </row>
    <row r="23" spans="1:18" x14ac:dyDescent="0.25">
      <c r="B23" s="447"/>
      <c r="C23" s="494"/>
      <c r="D23" s="496"/>
      <c r="E23" s="495"/>
      <c r="F23" s="483"/>
      <c r="G23" s="447"/>
      <c r="H23" s="494"/>
      <c r="I23" s="496"/>
      <c r="J23" s="495"/>
      <c r="K23" s="483"/>
      <c r="L23" s="451"/>
      <c r="M23" s="447"/>
    </row>
    <row r="24" spans="1:18" x14ac:dyDescent="0.25">
      <c r="B24" s="447"/>
      <c r="C24" s="500" t="s">
        <v>538</v>
      </c>
      <c r="D24" s="499"/>
      <c r="E24" s="498"/>
      <c r="F24" s="497">
        <f>SUM(F17:F23)</f>
        <v>13121.357091432554</v>
      </c>
      <c r="G24" s="447"/>
      <c r="H24" s="500" t="s">
        <v>538</v>
      </c>
      <c r="I24" s="499"/>
      <c r="J24" s="498"/>
      <c r="K24" s="497">
        <f>SUM(K17:K23)</f>
        <v>13920.244874776901</v>
      </c>
      <c r="L24" s="451"/>
      <c r="M24" s="447"/>
    </row>
    <row r="25" spans="1:18" x14ac:dyDescent="0.25">
      <c r="A25" s="440">
        <v>1</v>
      </c>
      <c r="B25" s="447"/>
      <c r="C25" s="494"/>
      <c r="D25" s="496"/>
      <c r="E25" s="495"/>
      <c r="F25" s="483"/>
      <c r="G25" s="447"/>
      <c r="H25" s="494"/>
      <c r="I25" s="496"/>
      <c r="J25" s="495"/>
      <c r="K25" s="483"/>
      <c r="L25" s="451"/>
      <c r="M25" s="447"/>
    </row>
    <row r="26" spans="1:18" x14ac:dyDescent="0.25">
      <c r="A26" s="440">
        <v>2</v>
      </c>
      <c r="B26" s="447"/>
      <c r="C26" s="494"/>
      <c r="D26" s="492"/>
      <c r="E26" s="491"/>
      <c r="F26" s="490"/>
      <c r="G26" s="447"/>
      <c r="H26" s="493"/>
      <c r="I26" s="492"/>
      <c r="J26" s="491"/>
      <c r="K26" s="490"/>
      <c r="L26" s="447"/>
      <c r="M26" s="447"/>
    </row>
    <row r="27" spans="1:18" ht="30" x14ac:dyDescent="0.25">
      <c r="A27" s="440">
        <v>3</v>
      </c>
      <c r="B27" s="447"/>
      <c r="C27" s="489" t="s">
        <v>537</v>
      </c>
      <c r="D27" s="488"/>
      <c r="E27" s="487"/>
      <c r="F27" s="486">
        <f>SUM(F15,F24)</f>
        <v>175843.37953956056</v>
      </c>
      <c r="G27" s="447"/>
      <c r="H27" s="489" t="s">
        <v>537</v>
      </c>
      <c r="I27" s="488"/>
      <c r="J27" s="487"/>
      <c r="K27" s="486">
        <f>SUM(K15,K24)</f>
        <v>176642.2673229049</v>
      </c>
      <c r="L27" s="447"/>
      <c r="M27" s="447"/>
    </row>
    <row r="28" spans="1:18" x14ac:dyDescent="0.25">
      <c r="A28" s="440">
        <v>4</v>
      </c>
      <c r="B28" s="447"/>
      <c r="C28" s="482" t="s">
        <v>366</v>
      </c>
      <c r="D28" s="485">
        <f>IFERROR(INDEX('Master Lookup'!$C$82:$C$84,MATCH(C28,'Master Lookup'!$B$82:$B$84,0)),"")</f>
        <v>0.12</v>
      </c>
      <c r="E28" s="484"/>
      <c r="F28" s="483">
        <f>F27*D28</f>
        <v>21101.205544747267</v>
      </c>
      <c r="G28" s="447"/>
      <c r="H28" s="482" t="s">
        <v>366</v>
      </c>
      <c r="I28" s="485">
        <f>IFERROR(INDEX('Master Lookup'!$C$82:$C$84,MATCH(H28,'Master Lookup'!$B$82:$B$84,0)),"")</f>
        <v>0.12</v>
      </c>
      <c r="J28" s="484"/>
      <c r="K28" s="483">
        <f>K27*I28</f>
        <v>21197.072078748588</v>
      </c>
      <c r="L28" s="447"/>
      <c r="M28" s="447"/>
    </row>
    <row r="29" spans="1:18" ht="15.75" thickBot="1" x14ac:dyDescent="0.3">
      <c r="A29" s="440">
        <v>5</v>
      </c>
      <c r="B29" s="447"/>
      <c r="C29" s="482" t="s">
        <v>367</v>
      </c>
      <c r="D29" s="481">
        <f>IFERROR(INDEX('Master Lookup'!$C$82:$C$84,MATCH(C29,'Master Lookup'!$B$82:$B$84,0)),"")</f>
        <v>2.7100379121522307E-2</v>
      </c>
      <c r="E29" s="480"/>
      <c r="F29" s="479">
        <f>(F27+F28)*D29</f>
        <v>5337.2729217156493</v>
      </c>
      <c r="G29" s="447"/>
      <c r="H29" s="482" t="s">
        <v>367</v>
      </c>
      <c r="I29" s="481">
        <f>IFERROR(INDEX('Master Lookup'!$C$82:$C$84,MATCH(H29,'Master Lookup'!$B$82:$B$84,0)),"")</f>
        <v>2.7100379121522307E-2</v>
      </c>
      <c r="J29" s="480"/>
      <c r="K29" s="479">
        <f>(K27+K28)*I29</f>
        <v>5361.5211029363354</v>
      </c>
      <c r="L29" s="447"/>
      <c r="M29" s="447"/>
    </row>
    <row r="30" spans="1:18" ht="15.75" thickTop="1" x14ac:dyDescent="0.25">
      <c r="A30" s="440">
        <v>6</v>
      </c>
      <c r="B30" s="447"/>
      <c r="C30" s="478" t="s">
        <v>536</v>
      </c>
      <c r="D30" s="477"/>
      <c r="E30" s="476"/>
      <c r="F30" s="472">
        <f>SUM(F27:F29)</f>
        <v>202281.85800602348</v>
      </c>
      <c r="G30" s="447"/>
      <c r="H30" s="475" t="s">
        <v>536</v>
      </c>
      <c r="I30" s="474"/>
      <c r="J30" s="473"/>
      <c r="K30" s="472">
        <f>SUM(K27:K29)</f>
        <v>203200.8605045898</v>
      </c>
      <c r="L30" s="447"/>
      <c r="M30" s="447"/>
    </row>
    <row r="31" spans="1:18" ht="15.75" thickBot="1" x14ac:dyDescent="0.3">
      <c r="B31" s="447"/>
      <c r="C31" s="471" t="s">
        <v>535</v>
      </c>
      <c r="D31" s="470"/>
      <c r="E31" s="469"/>
      <c r="F31" s="468">
        <f>F30/F7</f>
        <v>74.80837944009744</v>
      </c>
      <c r="G31" s="447"/>
      <c r="H31" s="471" t="s">
        <v>535</v>
      </c>
      <c r="I31" s="470"/>
      <c r="J31" s="469"/>
      <c r="K31" s="468">
        <f>K30/F7</f>
        <v>75.148247228028765</v>
      </c>
      <c r="L31" s="447"/>
      <c r="M31" s="447"/>
    </row>
    <row r="32" spans="1:18" ht="15.75" thickBot="1" x14ac:dyDescent="0.3">
      <c r="B32" s="447"/>
      <c r="C32" s="467" t="s">
        <v>534</v>
      </c>
      <c r="D32" s="466"/>
      <c r="E32" s="465"/>
      <c r="F32" s="464">
        <f>ROUND(F31*0.25,2)</f>
        <v>18.7</v>
      </c>
      <c r="G32" s="447"/>
      <c r="H32" s="467" t="s">
        <v>533</v>
      </c>
      <c r="I32" s="466"/>
      <c r="J32" s="465"/>
      <c r="K32" s="464">
        <f>ROUND(K31*K7,2)</f>
        <v>375.74</v>
      </c>
      <c r="L32" s="447"/>
      <c r="M32" s="447"/>
    </row>
    <row r="33" spans="1:13" x14ac:dyDescent="0.25">
      <c r="B33" s="447"/>
      <c r="C33" s="447"/>
      <c r="D33" s="463"/>
      <c r="E33" s="463"/>
      <c r="F33" s="462"/>
      <c r="G33" s="447"/>
      <c r="H33" s="447"/>
      <c r="I33" s="463"/>
      <c r="J33" s="463"/>
      <c r="K33" s="462"/>
      <c r="L33" s="447"/>
      <c r="M33" s="447"/>
    </row>
    <row r="34" spans="1:13" x14ac:dyDescent="0.25">
      <c r="B34" s="447"/>
      <c r="C34" s="447"/>
      <c r="D34" s="447"/>
      <c r="E34" s="447"/>
      <c r="F34" s="460"/>
      <c r="G34" s="452"/>
      <c r="H34" s="461"/>
      <c r="I34" s="458"/>
      <c r="J34" s="447"/>
      <c r="K34" s="460"/>
      <c r="L34" s="447"/>
      <c r="M34" s="447"/>
    </row>
    <row r="35" spans="1:13" ht="16.5" customHeight="1" x14ac:dyDescent="0.25">
      <c r="B35" s="447"/>
      <c r="D35" s="447"/>
      <c r="E35" s="447"/>
      <c r="F35" s="447"/>
      <c r="G35" s="459"/>
      <c r="H35" s="458"/>
      <c r="I35" s="458"/>
      <c r="J35" s="447"/>
      <c r="K35" s="447"/>
      <c r="L35" s="447"/>
      <c r="M35" s="447"/>
    </row>
    <row r="36" spans="1:13" x14ac:dyDescent="0.25">
      <c r="B36" s="447"/>
      <c r="D36" s="447"/>
      <c r="E36" s="447"/>
      <c r="F36" s="447"/>
      <c r="G36" s="447"/>
      <c r="H36" s="447"/>
      <c r="I36" s="447"/>
      <c r="J36" s="447"/>
      <c r="K36" s="453"/>
      <c r="L36" s="447"/>
      <c r="M36" s="447"/>
    </row>
    <row r="37" spans="1:13" ht="15" customHeight="1" x14ac:dyDescent="0.25">
      <c r="B37" s="447"/>
      <c r="C37" s="456"/>
      <c r="D37" s="447"/>
      <c r="E37" s="447"/>
      <c r="F37" s="447"/>
      <c r="G37" s="447"/>
      <c r="H37" s="447"/>
      <c r="I37" s="447"/>
      <c r="J37" s="447"/>
      <c r="K37" s="457"/>
      <c r="L37" s="447"/>
      <c r="M37" s="447"/>
    </row>
    <row r="38" spans="1:13" x14ac:dyDescent="0.25">
      <c r="B38" s="447"/>
      <c r="C38" s="456"/>
      <c r="D38" s="447"/>
      <c r="E38" s="447"/>
      <c r="F38" s="447"/>
      <c r="G38" s="447"/>
      <c r="H38" s="447"/>
      <c r="I38" s="447"/>
      <c r="J38" s="447"/>
      <c r="K38" s="455"/>
      <c r="L38" s="453"/>
      <c r="M38" s="447"/>
    </row>
    <row r="39" spans="1:13" x14ac:dyDescent="0.25">
      <c r="B39" s="447"/>
      <c r="C39" s="454"/>
      <c r="D39" s="447"/>
      <c r="E39" s="447"/>
      <c r="F39" s="447"/>
      <c r="G39" s="447"/>
      <c r="H39" s="447"/>
      <c r="I39" s="447"/>
      <c r="J39" s="447"/>
      <c r="K39" s="447"/>
      <c r="L39" s="447"/>
      <c r="M39" s="447"/>
    </row>
    <row r="40" spans="1:13" x14ac:dyDescent="0.25">
      <c r="B40" s="447"/>
      <c r="C40" s="447"/>
      <c r="D40" s="447"/>
      <c r="E40" s="447"/>
      <c r="F40" s="447"/>
      <c r="G40" s="447"/>
      <c r="H40" s="447"/>
      <c r="I40" s="447"/>
      <c r="J40" s="447"/>
      <c r="K40" s="447"/>
      <c r="L40" s="451"/>
      <c r="M40" s="447"/>
    </row>
    <row r="41" spans="1:13" x14ac:dyDescent="0.25">
      <c r="A41" s="448"/>
      <c r="B41" s="447"/>
      <c r="C41" s="447"/>
      <c r="D41" s="447"/>
      <c r="E41" s="447"/>
      <c r="F41" s="447"/>
      <c r="G41" s="447"/>
      <c r="H41" s="447"/>
      <c r="I41" s="447"/>
      <c r="J41" s="447"/>
      <c r="K41" s="447"/>
      <c r="L41" s="451"/>
      <c r="M41" s="447"/>
    </row>
    <row r="42" spans="1:13" x14ac:dyDescent="0.25">
      <c r="A42" s="450"/>
      <c r="B42" s="447"/>
      <c r="C42" s="447"/>
      <c r="D42" s="447"/>
      <c r="E42" s="447"/>
      <c r="F42" s="447"/>
      <c r="G42" s="447"/>
      <c r="H42" s="447"/>
      <c r="I42" s="447"/>
      <c r="J42" s="447"/>
      <c r="K42" s="447"/>
      <c r="L42" s="451"/>
      <c r="M42" s="447"/>
    </row>
    <row r="43" spans="1:13" ht="18.75" customHeight="1" x14ac:dyDescent="0.25">
      <c r="A43" s="450"/>
      <c r="B43" s="447"/>
      <c r="C43" s="447"/>
      <c r="D43" s="447"/>
      <c r="E43" s="447"/>
      <c r="F43" s="447"/>
      <c r="G43" s="447"/>
      <c r="H43" s="447"/>
      <c r="I43" s="447"/>
      <c r="J43" s="447"/>
      <c r="K43" s="447"/>
      <c r="L43" s="451"/>
      <c r="M43" s="447"/>
    </row>
    <row r="44" spans="1:13" x14ac:dyDescent="0.25">
      <c r="A44" s="450"/>
      <c r="B44" s="447"/>
      <c r="G44" s="447"/>
      <c r="K44" s="440"/>
      <c r="L44" s="451"/>
      <c r="M44" s="453"/>
    </row>
    <row r="45" spans="1:13" x14ac:dyDescent="0.25">
      <c r="A45" s="450"/>
      <c r="B45" s="447"/>
      <c r="K45" s="440"/>
      <c r="L45" s="451"/>
      <c r="M45" s="447"/>
    </row>
    <row r="46" spans="1:13" x14ac:dyDescent="0.25">
      <c r="A46" s="450"/>
      <c r="B46" s="447"/>
      <c r="K46" s="440"/>
      <c r="L46" s="452"/>
      <c r="M46" s="447"/>
    </row>
    <row r="47" spans="1:13" x14ac:dyDescent="0.25">
      <c r="A47" s="450"/>
      <c r="B47" s="447"/>
      <c r="K47" s="440"/>
      <c r="L47" s="451"/>
      <c r="M47" s="447"/>
    </row>
    <row r="48" spans="1:13" x14ac:dyDescent="0.25">
      <c r="A48" s="450"/>
      <c r="B48" s="447"/>
      <c r="F48" s="446"/>
      <c r="K48" s="440"/>
      <c r="L48" s="451"/>
      <c r="M48" s="447"/>
    </row>
    <row r="49" spans="1:13" x14ac:dyDescent="0.25">
      <c r="A49" s="450"/>
      <c r="B49" s="447"/>
      <c r="F49" s="446"/>
      <c r="K49" s="440"/>
      <c r="L49" s="447"/>
      <c r="M49" s="447"/>
    </row>
    <row r="50" spans="1:13" x14ac:dyDescent="0.25">
      <c r="A50" s="450"/>
      <c r="B50" s="447"/>
      <c r="F50" s="446"/>
      <c r="K50" s="440"/>
      <c r="L50" s="447"/>
      <c r="M50" s="447"/>
    </row>
    <row r="51" spans="1:13" x14ac:dyDescent="0.25">
      <c r="A51" s="450"/>
      <c r="B51" s="447"/>
      <c r="F51" s="446"/>
      <c r="K51" s="440"/>
      <c r="L51" s="447"/>
      <c r="M51" s="447"/>
    </row>
    <row r="52" spans="1:13" x14ac:dyDescent="0.25">
      <c r="A52" s="449"/>
      <c r="B52" s="447"/>
      <c r="F52" s="446"/>
      <c r="K52" s="440"/>
      <c r="L52" s="447"/>
      <c r="M52" s="447"/>
    </row>
    <row r="53" spans="1:13" x14ac:dyDescent="0.25">
      <c r="A53" s="448"/>
      <c r="B53" s="447"/>
      <c r="F53" s="446"/>
      <c r="K53" s="440"/>
      <c r="L53" s="447"/>
      <c r="M53" s="447"/>
    </row>
    <row r="54" spans="1:13" x14ac:dyDescent="0.25">
      <c r="B54" s="447"/>
      <c r="K54" s="440"/>
      <c r="L54" s="447"/>
      <c r="M54" s="447"/>
    </row>
    <row r="55" spans="1:13" x14ac:dyDescent="0.25">
      <c r="B55" s="447"/>
      <c r="K55" s="440"/>
      <c r="L55" s="447"/>
      <c r="M55" s="447"/>
    </row>
    <row r="56" spans="1:13" x14ac:dyDescent="0.25">
      <c r="K56" s="440"/>
    </row>
  </sheetData>
  <mergeCells count="7">
    <mergeCell ref="C2:K3"/>
    <mergeCell ref="D33:E33"/>
    <mergeCell ref="I33:J33"/>
    <mergeCell ref="C6:F6"/>
    <mergeCell ref="H6:K6"/>
    <mergeCell ref="D7:E7"/>
    <mergeCell ref="I7:J7"/>
  </mergeCells>
  <pageMargins left="0.7" right="0.7" top="0.75" bottom="0.75" header="0.3" footer="0.3"/>
  <pageSetup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989A7-34E1-49E1-8139-7BB481748611}">
  <sheetPr>
    <pageSetUpPr fitToPage="1"/>
  </sheetPr>
  <dimension ref="B1:W74"/>
  <sheetViews>
    <sheetView zoomScaleNormal="100" workbookViewId="0">
      <selection activeCell="J13" sqref="J13"/>
    </sheetView>
  </sheetViews>
  <sheetFormatPr defaultRowHeight="12.75" x14ac:dyDescent="0.2"/>
  <cols>
    <col min="1" max="1" width="4.42578125" style="456" customWidth="1"/>
    <col min="2" max="2" width="24.7109375" style="584" bestFit="1" customWidth="1"/>
    <col min="3" max="5" width="15" style="584" customWidth="1"/>
    <col min="6" max="6" width="2.42578125" style="584" customWidth="1"/>
    <col min="7" max="7" width="5.140625" style="584" hidden="1" customWidth="1"/>
    <col min="8" max="8" width="5.28515625" style="583" customWidth="1"/>
    <col min="9" max="9" width="34.42578125" style="456" customWidth="1"/>
    <col min="10" max="10" width="10.7109375" style="456" customWidth="1"/>
    <col min="11" max="11" width="5.5703125" style="456" customWidth="1"/>
    <col min="12" max="12" width="10.5703125" style="456" customWidth="1"/>
    <col min="13" max="13" width="6.7109375" style="583" bestFit="1" customWidth="1"/>
    <col min="14" max="14" width="32.140625" style="582" bestFit="1" customWidth="1"/>
    <col min="15" max="15" width="10.42578125" style="582" customWidth="1"/>
    <col min="16" max="16" width="5" style="456" bestFit="1" customWidth="1"/>
    <col min="17" max="17" width="10.140625" style="456" customWidth="1"/>
    <col min="18" max="18" width="6.5703125" style="456" bestFit="1" customWidth="1"/>
    <col min="19" max="19" width="32.140625" style="456" bestFit="1" customWidth="1"/>
    <col min="20" max="20" width="10.42578125" style="456" customWidth="1"/>
    <col min="21" max="21" width="5" style="456" bestFit="1" customWidth="1"/>
    <col min="22" max="22" width="9.42578125" style="456" customWidth="1"/>
    <col min="23" max="23" width="7.140625" style="456" bestFit="1" customWidth="1"/>
    <col min="24" max="257" width="9.140625" style="456"/>
    <col min="258" max="258" width="4.42578125" style="456" customWidth="1"/>
    <col min="259" max="259" width="27" style="456" customWidth="1"/>
    <col min="260" max="260" width="10.42578125" style="456" customWidth="1"/>
    <col min="261" max="261" width="38.7109375" style="456" customWidth="1"/>
    <col min="262" max="262" width="5.28515625" style="456" customWidth="1"/>
    <col min="263" max="263" width="36" style="456" customWidth="1"/>
    <col min="264" max="264" width="10.7109375" style="456" customWidth="1"/>
    <col min="265" max="265" width="8.5703125" style="456" customWidth="1"/>
    <col min="266" max="266" width="10.5703125" style="456" customWidth="1"/>
    <col min="267" max="267" width="9.140625" style="456"/>
    <col min="268" max="268" width="33" style="456" customWidth="1"/>
    <col min="269" max="269" width="9.140625" style="456" customWidth="1"/>
    <col min="270" max="270" width="6.5703125" style="456" customWidth="1"/>
    <col min="271" max="271" width="12.28515625" style="456" customWidth="1"/>
    <col min="272" max="273" width="9.140625" style="456"/>
    <col min="274" max="274" width="17.28515625" style="456" customWidth="1"/>
    <col min="275" max="275" width="10.42578125" style="456" bestFit="1" customWidth="1"/>
    <col min="276" max="513" width="9.140625" style="456"/>
    <col min="514" max="514" width="4.42578125" style="456" customWidth="1"/>
    <col min="515" max="515" width="27" style="456" customWidth="1"/>
    <col min="516" max="516" width="10.42578125" style="456" customWidth="1"/>
    <col min="517" max="517" width="38.7109375" style="456" customWidth="1"/>
    <col min="518" max="518" width="5.28515625" style="456" customWidth="1"/>
    <col min="519" max="519" width="36" style="456" customWidth="1"/>
    <col min="520" max="520" width="10.7109375" style="456" customWidth="1"/>
    <col min="521" max="521" width="8.5703125" style="456" customWidth="1"/>
    <col min="522" max="522" width="10.5703125" style="456" customWidth="1"/>
    <col min="523" max="523" width="9.140625" style="456"/>
    <col min="524" max="524" width="33" style="456" customWidth="1"/>
    <col min="525" max="525" width="9.140625" style="456" customWidth="1"/>
    <col min="526" max="526" width="6.5703125" style="456" customWidth="1"/>
    <col min="527" max="527" width="12.28515625" style="456" customWidth="1"/>
    <col min="528" max="529" width="9.140625" style="456"/>
    <col min="530" max="530" width="17.28515625" style="456" customWidth="1"/>
    <col min="531" max="531" width="10.42578125" style="456" bestFit="1" customWidth="1"/>
    <col min="532" max="769" width="9.140625" style="456"/>
    <col min="770" max="770" width="4.42578125" style="456" customWidth="1"/>
    <col min="771" max="771" width="27" style="456" customWidth="1"/>
    <col min="772" max="772" width="10.42578125" style="456" customWidth="1"/>
    <col min="773" max="773" width="38.7109375" style="456" customWidth="1"/>
    <col min="774" max="774" width="5.28515625" style="456" customWidth="1"/>
    <col min="775" max="775" width="36" style="456" customWidth="1"/>
    <col min="776" max="776" width="10.7109375" style="456" customWidth="1"/>
    <col min="777" max="777" width="8.5703125" style="456" customWidth="1"/>
    <col min="778" max="778" width="10.5703125" style="456" customWidth="1"/>
    <col min="779" max="779" width="9.140625" style="456"/>
    <col min="780" max="780" width="33" style="456" customWidth="1"/>
    <col min="781" max="781" width="9.140625" style="456" customWidth="1"/>
    <col min="782" max="782" width="6.5703125" style="456" customWidth="1"/>
    <col min="783" max="783" width="12.28515625" style="456" customWidth="1"/>
    <col min="784" max="785" width="9.140625" style="456"/>
    <col min="786" max="786" width="17.28515625" style="456" customWidth="1"/>
    <col min="787" max="787" width="10.42578125" style="456" bestFit="1" customWidth="1"/>
    <col min="788" max="1025" width="9.140625" style="456"/>
    <col min="1026" max="1026" width="4.42578125" style="456" customWidth="1"/>
    <col min="1027" max="1027" width="27" style="456" customWidth="1"/>
    <col min="1028" max="1028" width="10.42578125" style="456" customWidth="1"/>
    <col min="1029" max="1029" width="38.7109375" style="456" customWidth="1"/>
    <col min="1030" max="1030" width="5.28515625" style="456" customWidth="1"/>
    <col min="1031" max="1031" width="36" style="456" customWidth="1"/>
    <col min="1032" max="1032" width="10.7109375" style="456" customWidth="1"/>
    <col min="1033" max="1033" width="8.5703125" style="456" customWidth="1"/>
    <col min="1034" max="1034" width="10.5703125" style="456" customWidth="1"/>
    <col min="1035" max="1035" width="9.140625" style="456"/>
    <col min="1036" max="1036" width="33" style="456" customWidth="1"/>
    <col min="1037" max="1037" width="9.140625" style="456" customWidth="1"/>
    <col min="1038" max="1038" width="6.5703125" style="456" customWidth="1"/>
    <col min="1039" max="1039" width="12.28515625" style="456" customWidth="1"/>
    <col min="1040" max="1041" width="9.140625" style="456"/>
    <col min="1042" max="1042" width="17.28515625" style="456" customWidth="1"/>
    <col min="1043" max="1043" width="10.42578125" style="456" bestFit="1" customWidth="1"/>
    <col min="1044" max="1281" width="9.140625" style="456"/>
    <col min="1282" max="1282" width="4.42578125" style="456" customWidth="1"/>
    <col min="1283" max="1283" width="27" style="456" customWidth="1"/>
    <col min="1284" max="1284" width="10.42578125" style="456" customWidth="1"/>
    <col min="1285" max="1285" width="38.7109375" style="456" customWidth="1"/>
    <col min="1286" max="1286" width="5.28515625" style="456" customWidth="1"/>
    <col min="1287" max="1287" width="36" style="456" customWidth="1"/>
    <col min="1288" max="1288" width="10.7109375" style="456" customWidth="1"/>
    <col min="1289" max="1289" width="8.5703125" style="456" customWidth="1"/>
    <col min="1290" max="1290" width="10.5703125" style="456" customWidth="1"/>
    <col min="1291" max="1291" width="9.140625" style="456"/>
    <col min="1292" max="1292" width="33" style="456" customWidth="1"/>
    <col min="1293" max="1293" width="9.140625" style="456" customWidth="1"/>
    <col min="1294" max="1294" width="6.5703125" style="456" customWidth="1"/>
    <col min="1295" max="1295" width="12.28515625" style="456" customWidth="1"/>
    <col min="1296" max="1297" width="9.140625" style="456"/>
    <col min="1298" max="1298" width="17.28515625" style="456" customWidth="1"/>
    <col min="1299" max="1299" width="10.42578125" style="456" bestFit="1" customWidth="1"/>
    <col min="1300" max="1537" width="9.140625" style="456"/>
    <col min="1538" max="1538" width="4.42578125" style="456" customWidth="1"/>
    <col min="1539" max="1539" width="27" style="456" customWidth="1"/>
    <col min="1540" max="1540" width="10.42578125" style="456" customWidth="1"/>
    <col min="1541" max="1541" width="38.7109375" style="456" customWidth="1"/>
    <col min="1542" max="1542" width="5.28515625" style="456" customWidth="1"/>
    <col min="1543" max="1543" width="36" style="456" customWidth="1"/>
    <col min="1544" max="1544" width="10.7109375" style="456" customWidth="1"/>
    <col min="1545" max="1545" width="8.5703125" style="456" customWidth="1"/>
    <col min="1546" max="1546" width="10.5703125" style="456" customWidth="1"/>
    <col min="1547" max="1547" width="9.140625" style="456"/>
    <col min="1548" max="1548" width="33" style="456" customWidth="1"/>
    <col min="1549" max="1549" width="9.140625" style="456" customWidth="1"/>
    <col min="1550" max="1550" width="6.5703125" style="456" customWidth="1"/>
    <col min="1551" max="1551" width="12.28515625" style="456" customWidth="1"/>
    <col min="1552" max="1553" width="9.140625" style="456"/>
    <col min="1554" max="1554" width="17.28515625" style="456" customWidth="1"/>
    <col min="1555" max="1555" width="10.42578125" style="456" bestFit="1" customWidth="1"/>
    <col min="1556" max="1793" width="9.140625" style="456"/>
    <col min="1794" max="1794" width="4.42578125" style="456" customWidth="1"/>
    <col min="1795" max="1795" width="27" style="456" customWidth="1"/>
    <col min="1796" max="1796" width="10.42578125" style="456" customWidth="1"/>
    <col min="1797" max="1797" width="38.7109375" style="456" customWidth="1"/>
    <col min="1798" max="1798" width="5.28515625" style="456" customWidth="1"/>
    <col min="1799" max="1799" width="36" style="456" customWidth="1"/>
    <col min="1800" max="1800" width="10.7109375" style="456" customWidth="1"/>
    <col min="1801" max="1801" width="8.5703125" style="456" customWidth="1"/>
    <col min="1802" max="1802" width="10.5703125" style="456" customWidth="1"/>
    <col min="1803" max="1803" width="9.140625" style="456"/>
    <col min="1804" max="1804" width="33" style="456" customWidth="1"/>
    <col min="1805" max="1805" width="9.140625" style="456" customWidth="1"/>
    <col min="1806" max="1806" width="6.5703125" style="456" customWidth="1"/>
    <col min="1807" max="1807" width="12.28515625" style="456" customWidth="1"/>
    <col min="1808" max="1809" width="9.140625" style="456"/>
    <col min="1810" max="1810" width="17.28515625" style="456" customWidth="1"/>
    <col min="1811" max="1811" width="10.42578125" style="456" bestFit="1" customWidth="1"/>
    <col min="1812" max="2049" width="9.140625" style="456"/>
    <col min="2050" max="2050" width="4.42578125" style="456" customWidth="1"/>
    <col min="2051" max="2051" width="27" style="456" customWidth="1"/>
    <col min="2052" max="2052" width="10.42578125" style="456" customWidth="1"/>
    <col min="2053" max="2053" width="38.7109375" style="456" customWidth="1"/>
    <col min="2054" max="2054" width="5.28515625" style="456" customWidth="1"/>
    <col min="2055" max="2055" width="36" style="456" customWidth="1"/>
    <col min="2056" max="2056" width="10.7109375" style="456" customWidth="1"/>
    <col min="2057" max="2057" width="8.5703125" style="456" customWidth="1"/>
    <col min="2058" max="2058" width="10.5703125" style="456" customWidth="1"/>
    <col min="2059" max="2059" width="9.140625" style="456"/>
    <col min="2060" max="2060" width="33" style="456" customWidth="1"/>
    <col min="2061" max="2061" width="9.140625" style="456" customWidth="1"/>
    <col min="2062" max="2062" width="6.5703125" style="456" customWidth="1"/>
    <col min="2063" max="2063" width="12.28515625" style="456" customWidth="1"/>
    <col min="2064" max="2065" width="9.140625" style="456"/>
    <col min="2066" max="2066" width="17.28515625" style="456" customWidth="1"/>
    <col min="2067" max="2067" width="10.42578125" style="456" bestFit="1" customWidth="1"/>
    <col min="2068" max="2305" width="9.140625" style="456"/>
    <col min="2306" max="2306" width="4.42578125" style="456" customWidth="1"/>
    <col min="2307" max="2307" width="27" style="456" customWidth="1"/>
    <col min="2308" max="2308" width="10.42578125" style="456" customWidth="1"/>
    <col min="2309" max="2309" width="38.7109375" style="456" customWidth="1"/>
    <col min="2310" max="2310" width="5.28515625" style="456" customWidth="1"/>
    <col min="2311" max="2311" width="36" style="456" customWidth="1"/>
    <col min="2312" max="2312" width="10.7109375" style="456" customWidth="1"/>
    <col min="2313" max="2313" width="8.5703125" style="456" customWidth="1"/>
    <col min="2314" max="2314" width="10.5703125" style="456" customWidth="1"/>
    <col min="2315" max="2315" width="9.140625" style="456"/>
    <col min="2316" max="2316" width="33" style="456" customWidth="1"/>
    <col min="2317" max="2317" width="9.140625" style="456" customWidth="1"/>
    <col min="2318" max="2318" width="6.5703125" style="456" customWidth="1"/>
    <col min="2319" max="2319" width="12.28515625" style="456" customWidth="1"/>
    <col min="2320" max="2321" width="9.140625" style="456"/>
    <col min="2322" max="2322" width="17.28515625" style="456" customWidth="1"/>
    <col min="2323" max="2323" width="10.42578125" style="456" bestFit="1" customWidth="1"/>
    <col min="2324" max="2561" width="9.140625" style="456"/>
    <col min="2562" max="2562" width="4.42578125" style="456" customWidth="1"/>
    <col min="2563" max="2563" width="27" style="456" customWidth="1"/>
    <col min="2564" max="2564" width="10.42578125" style="456" customWidth="1"/>
    <col min="2565" max="2565" width="38.7109375" style="456" customWidth="1"/>
    <col min="2566" max="2566" width="5.28515625" style="456" customWidth="1"/>
    <col min="2567" max="2567" width="36" style="456" customWidth="1"/>
    <col min="2568" max="2568" width="10.7109375" style="456" customWidth="1"/>
    <col min="2569" max="2569" width="8.5703125" style="456" customWidth="1"/>
    <col min="2570" max="2570" width="10.5703125" style="456" customWidth="1"/>
    <col min="2571" max="2571" width="9.140625" style="456"/>
    <col min="2572" max="2572" width="33" style="456" customWidth="1"/>
    <col min="2573" max="2573" width="9.140625" style="456" customWidth="1"/>
    <col min="2574" max="2574" width="6.5703125" style="456" customWidth="1"/>
    <col min="2575" max="2575" width="12.28515625" style="456" customWidth="1"/>
    <col min="2576" max="2577" width="9.140625" style="456"/>
    <col min="2578" max="2578" width="17.28515625" style="456" customWidth="1"/>
    <col min="2579" max="2579" width="10.42578125" style="456" bestFit="1" customWidth="1"/>
    <col min="2580" max="2817" width="9.140625" style="456"/>
    <col min="2818" max="2818" width="4.42578125" style="456" customWidth="1"/>
    <col min="2819" max="2819" width="27" style="456" customWidth="1"/>
    <col min="2820" max="2820" width="10.42578125" style="456" customWidth="1"/>
    <col min="2821" max="2821" width="38.7109375" style="456" customWidth="1"/>
    <col min="2822" max="2822" width="5.28515625" style="456" customWidth="1"/>
    <col min="2823" max="2823" width="36" style="456" customWidth="1"/>
    <col min="2824" max="2824" width="10.7109375" style="456" customWidth="1"/>
    <col min="2825" max="2825" width="8.5703125" style="456" customWidth="1"/>
    <col min="2826" max="2826" width="10.5703125" style="456" customWidth="1"/>
    <col min="2827" max="2827" width="9.140625" style="456"/>
    <col min="2828" max="2828" width="33" style="456" customWidth="1"/>
    <col min="2829" max="2829" width="9.140625" style="456" customWidth="1"/>
    <col min="2830" max="2830" width="6.5703125" style="456" customWidth="1"/>
    <col min="2831" max="2831" width="12.28515625" style="456" customWidth="1"/>
    <col min="2832" max="2833" width="9.140625" style="456"/>
    <col min="2834" max="2834" width="17.28515625" style="456" customWidth="1"/>
    <col min="2835" max="2835" width="10.42578125" style="456" bestFit="1" customWidth="1"/>
    <col min="2836" max="3073" width="9.140625" style="456"/>
    <col min="3074" max="3074" width="4.42578125" style="456" customWidth="1"/>
    <col min="3075" max="3075" width="27" style="456" customWidth="1"/>
    <col min="3076" max="3076" width="10.42578125" style="456" customWidth="1"/>
    <col min="3077" max="3077" width="38.7109375" style="456" customWidth="1"/>
    <col min="3078" max="3078" width="5.28515625" style="456" customWidth="1"/>
    <col min="3079" max="3079" width="36" style="456" customWidth="1"/>
    <col min="3080" max="3080" width="10.7109375" style="456" customWidth="1"/>
    <col min="3081" max="3081" width="8.5703125" style="456" customWidth="1"/>
    <col min="3082" max="3082" width="10.5703125" style="456" customWidth="1"/>
    <col min="3083" max="3083" width="9.140625" style="456"/>
    <col min="3084" max="3084" width="33" style="456" customWidth="1"/>
    <col min="3085" max="3085" width="9.140625" style="456" customWidth="1"/>
    <col min="3086" max="3086" width="6.5703125" style="456" customWidth="1"/>
    <col min="3087" max="3087" width="12.28515625" style="456" customWidth="1"/>
    <col min="3088" max="3089" width="9.140625" style="456"/>
    <col min="3090" max="3090" width="17.28515625" style="456" customWidth="1"/>
    <col min="3091" max="3091" width="10.42578125" style="456" bestFit="1" customWidth="1"/>
    <col min="3092" max="3329" width="9.140625" style="456"/>
    <col min="3330" max="3330" width="4.42578125" style="456" customWidth="1"/>
    <col min="3331" max="3331" width="27" style="456" customWidth="1"/>
    <col min="3332" max="3332" width="10.42578125" style="456" customWidth="1"/>
    <col min="3333" max="3333" width="38.7109375" style="456" customWidth="1"/>
    <col min="3334" max="3334" width="5.28515625" style="456" customWidth="1"/>
    <col min="3335" max="3335" width="36" style="456" customWidth="1"/>
    <col min="3336" max="3336" width="10.7109375" style="456" customWidth="1"/>
    <col min="3337" max="3337" width="8.5703125" style="456" customWidth="1"/>
    <col min="3338" max="3338" width="10.5703125" style="456" customWidth="1"/>
    <col min="3339" max="3339" width="9.140625" style="456"/>
    <col min="3340" max="3340" width="33" style="456" customWidth="1"/>
    <col min="3341" max="3341" width="9.140625" style="456" customWidth="1"/>
    <col min="3342" max="3342" width="6.5703125" style="456" customWidth="1"/>
    <col min="3343" max="3343" width="12.28515625" style="456" customWidth="1"/>
    <col min="3344" max="3345" width="9.140625" style="456"/>
    <col min="3346" max="3346" width="17.28515625" style="456" customWidth="1"/>
    <col min="3347" max="3347" width="10.42578125" style="456" bestFit="1" customWidth="1"/>
    <col min="3348" max="3585" width="9.140625" style="456"/>
    <col min="3586" max="3586" width="4.42578125" style="456" customWidth="1"/>
    <col min="3587" max="3587" width="27" style="456" customWidth="1"/>
    <col min="3588" max="3588" width="10.42578125" style="456" customWidth="1"/>
    <col min="3589" max="3589" width="38.7109375" style="456" customWidth="1"/>
    <col min="3590" max="3590" width="5.28515625" style="456" customWidth="1"/>
    <col min="3591" max="3591" width="36" style="456" customWidth="1"/>
    <col min="3592" max="3592" width="10.7109375" style="456" customWidth="1"/>
    <col min="3593" max="3593" width="8.5703125" style="456" customWidth="1"/>
    <col min="3594" max="3594" width="10.5703125" style="456" customWidth="1"/>
    <col min="3595" max="3595" width="9.140625" style="456"/>
    <col min="3596" max="3596" width="33" style="456" customWidth="1"/>
    <col min="3597" max="3597" width="9.140625" style="456" customWidth="1"/>
    <col min="3598" max="3598" width="6.5703125" style="456" customWidth="1"/>
    <col min="3599" max="3599" width="12.28515625" style="456" customWidth="1"/>
    <col min="3600" max="3601" width="9.140625" style="456"/>
    <col min="3602" max="3602" width="17.28515625" style="456" customWidth="1"/>
    <col min="3603" max="3603" width="10.42578125" style="456" bestFit="1" customWidth="1"/>
    <col min="3604" max="3841" width="9.140625" style="456"/>
    <col min="3842" max="3842" width="4.42578125" style="456" customWidth="1"/>
    <col min="3843" max="3843" width="27" style="456" customWidth="1"/>
    <col min="3844" max="3844" width="10.42578125" style="456" customWidth="1"/>
    <col min="3845" max="3845" width="38.7109375" style="456" customWidth="1"/>
    <col min="3846" max="3846" width="5.28515625" style="456" customWidth="1"/>
    <col min="3847" max="3847" width="36" style="456" customWidth="1"/>
    <col min="3848" max="3848" width="10.7109375" style="456" customWidth="1"/>
    <col min="3849" max="3849" width="8.5703125" style="456" customWidth="1"/>
    <col min="3850" max="3850" width="10.5703125" style="456" customWidth="1"/>
    <col min="3851" max="3851" width="9.140625" style="456"/>
    <col min="3852" max="3852" width="33" style="456" customWidth="1"/>
    <col min="3853" max="3853" width="9.140625" style="456" customWidth="1"/>
    <col min="3854" max="3854" width="6.5703125" style="456" customWidth="1"/>
    <col min="3855" max="3855" width="12.28515625" style="456" customWidth="1"/>
    <col min="3856" max="3857" width="9.140625" style="456"/>
    <col min="3858" max="3858" width="17.28515625" style="456" customWidth="1"/>
    <col min="3859" max="3859" width="10.42578125" style="456" bestFit="1" customWidth="1"/>
    <col min="3860" max="4097" width="9.140625" style="456"/>
    <col min="4098" max="4098" width="4.42578125" style="456" customWidth="1"/>
    <col min="4099" max="4099" width="27" style="456" customWidth="1"/>
    <col min="4100" max="4100" width="10.42578125" style="456" customWidth="1"/>
    <col min="4101" max="4101" width="38.7109375" style="456" customWidth="1"/>
    <col min="4102" max="4102" width="5.28515625" style="456" customWidth="1"/>
    <col min="4103" max="4103" width="36" style="456" customWidth="1"/>
    <col min="4104" max="4104" width="10.7109375" style="456" customWidth="1"/>
    <col min="4105" max="4105" width="8.5703125" style="456" customWidth="1"/>
    <col min="4106" max="4106" width="10.5703125" style="456" customWidth="1"/>
    <col min="4107" max="4107" width="9.140625" style="456"/>
    <col min="4108" max="4108" width="33" style="456" customWidth="1"/>
    <col min="4109" max="4109" width="9.140625" style="456" customWidth="1"/>
    <col min="4110" max="4110" width="6.5703125" style="456" customWidth="1"/>
    <col min="4111" max="4111" width="12.28515625" style="456" customWidth="1"/>
    <col min="4112" max="4113" width="9.140625" style="456"/>
    <col min="4114" max="4114" width="17.28515625" style="456" customWidth="1"/>
    <col min="4115" max="4115" width="10.42578125" style="456" bestFit="1" customWidth="1"/>
    <col min="4116" max="4353" width="9.140625" style="456"/>
    <col min="4354" max="4354" width="4.42578125" style="456" customWidth="1"/>
    <col min="4355" max="4355" width="27" style="456" customWidth="1"/>
    <col min="4356" max="4356" width="10.42578125" style="456" customWidth="1"/>
    <col min="4357" max="4357" width="38.7109375" style="456" customWidth="1"/>
    <col min="4358" max="4358" width="5.28515625" style="456" customWidth="1"/>
    <col min="4359" max="4359" width="36" style="456" customWidth="1"/>
    <col min="4360" max="4360" width="10.7109375" style="456" customWidth="1"/>
    <col min="4361" max="4361" width="8.5703125" style="456" customWidth="1"/>
    <col min="4362" max="4362" width="10.5703125" style="456" customWidth="1"/>
    <col min="4363" max="4363" width="9.140625" style="456"/>
    <col min="4364" max="4364" width="33" style="456" customWidth="1"/>
    <col min="4365" max="4365" width="9.140625" style="456" customWidth="1"/>
    <col min="4366" max="4366" width="6.5703125" style="456" customWidth="1"/>
    <col min="4367" max="4367" width="12.28515625" style="456" customWidth="1"/>
    <col min="4368" max="4369" width="9.140625" style="456"/>
    <col min="4370" max="4370" width="17.28515625" style="456" customWidth="1"/>
    <col min="4371" max="4371" width="10.42578125" style="456" bestFit="1" customWidth="1"/>
    <col min="4372" max="4609" width="9.140625" style="456"/>
    <col min="4610" max="4610" width="4.42578125" style="456" customWidth="1"/>
    <col min="4611" max="4611" width="27" style="456" customWidth="1"/>
    <col min="4612" max="4612" width="10.42578125" style="456" customWidth="1"/>
    <col min="4613" max="4613" width="38.7109375" style="456" customWidth="1"/>
    <col min="4614" max="4614" width="5.28515625" style="456" customWidth="1"/>
    <col min="4615" max="4615" width="36" style="456" customWidth="1"/>
    <col min="4616" max="4616" width="10.7109375" style="456" customWidth="1"/>
    <col min="4617" max="4617" width="8.5703125" style="456" customWidth="1"/>
    <col min="4618" max="4618" width="10.5703125" style="456" customWidth="1"/>
    <col min="4619" max="4619" width="9.140625" style="456"/>
    <col min="4620" max="4620" width="33" style="456" customWidth="1"/>
    <col min="4621" max="4621" width="9.140625" style="456" customWidth="1"/>
    <col min="4622" max="4622" width="6.5703125" style="456" customWidth="1"/>
    <col min="4623" max="4623" width="12.28515625" style="456" customWidth="1"/>
    <col min="4624" max="4625" width="9.140625" style="456"/>
    <col min="4626" max="4626" width="17.28515625" style="456" customWidth="1"/>
    <col min="4627" max="4627" width="10.42578125" style="456" bestFit="1" customWidth="1"/>
    <col min="4628" max="4865" width="9.140625" style="456"/>
    <col min="4866" max="4866" width="4.42578125" style="456" customWidth="1"/>
    <col min="4867" max="4867" width="27" style="456" customWidth="1"/>
    <col min="4868" max="4868" width="10.42578125" style="456" customWidth="1"/>
    <col min="4869" max="4869" width="38.7109375" style="456" customWidth="1"/>
    <col min="4870" max="4870" width="5.28515625" style="456" customWidth="1"/>
    <col min="4871" max="4871" width="36" style="456" customWidth="1"/>
    <col min="4872" max="4872" width="10.7109375" style="456" customWidth="1"/>
    <col min="4873" max="4873" width="8.5703125" style="456" customWidth="1"/>
    <col min="4874" max="4874" width="10.5703125" style="456" customWidth="1"/>
    <col min="4875" max="4875" width="9.140625" style="456"/>
    <col min="4876" max="4876" width="33" style="456" customWidth="1"/>
    <col min="4877" max="4877" width="9.140625" style="456" customWidth="1"/>
    <col min="4878" max="4878" width="6.5703125" style="456" customWidth="1"/>
    <col min="4879" max="4879" width="12.28515625" style="456" customWidth="1"/>
    <col min="4880" max="4881" width="9.140625" style="456"/>
    <col min="4882" max="4882" width="17.28515625" style="456" customWidth="1"/>
    <col min="4883" max="4883" width="10.42578125" style="456" bestFit="1" customWidth="1"/>
    <col min="4884" max="5121" width="9.140625" style="456"/>
    <col min="5122" max="5122" width="4.42578125" style="456" customWidth="1"/>
    <col min="5123" max="5123" width="27" style="456" customWidth="1"/>
    <col min="5124" max="5124" width="10.42578125" style="456" customWidth="1"/>
    <col min="5125" max="5125" width="38.7109375" style="456" customWidth="1"/>
    <col min="5126" max="5126" width="5.28515625" style="456" customWidth="1"/>
    <col min="5127" max="5127" width="36" style="456" customWidth="1"/>
    <col min="5128" max="5128" width="10.7109375" style="456" customWidth="1"/>
    <col min="5129" max="5129" width="8.5703125" style="456" customWidth="1"/>
    <col min="5130" max="5130" width="10.5703125" style="456" customWidth="1"/>
    <col min="5131" max="5131" width="9.140625" style="456"/>
    <col min="5132" max="5132" width="33" style="456" customWidth="1"/>
    <col min="5133" max="5133" width="9.140625" style="456" customWidth="1"/>
    <col min="5134" max="5134" width="6.5703125" style="456" customWidth="1"/>
    <col min="5135" max="5135" width="12.28515625" style="456" customWidth="1"/>
    <col min="5136" max="5137" width="9.140625" style="456"/>
    <col min="5138" max="5138" width="17.28515625" style="456" customWidth="1"/>
    <col min="5139" max="5139" width="10.42578125" style="456" bestFit="1" customWidth="1"/>
    <col min="5140" max="5377" width="9.140625" style="456"/>
    <col min="5378" max="5378" width="4.42578125" style="456" customWidth="1"/>
    <col min="5379" max="5379" width="27" style="456" customWidth="1"/>
    <col min="5380" max="5380" width="10.42578125" style="456" customWidth="1"/>
    <col min="5381" max="5381" width="38.7109375" style="456" customWidth="1"/>
    <col min="5382" max="5382" width="5.28515625" style="456" customWidth="1"/>
    <col min="5383" max="5383" width="36" style="456" customWidth="1"/>
    <col min="5384" max="5384" width="10.7109375" style="456" customWidth="1"/>
    <col min="5385" max="5385" width="8.5703125" style="456" customWidth="1"/>
    <col min="5386" max="5386" width="10.5703125" style="456" customWidth="1"/>
    <col min="5387" max="5387" width="9.140625" style="456"/>
    <col min="5388" max="5388" width="33" style="456" customWidth="1"/>
    <col min="5389" max="5389" width="9.140625" style="456" customWidth="1"/>
    <col min="5390" max="5390" width="6.5703125" style="456" customWidth="1"/>
    <col min="5391" max="5391" width="12.28515625" style="456" customWidth="1"/>
    <col min="5392" max="5393" width="9.140625" style="456"/>
    <col min="5394" max="5394" width="17.28515625" style="456" customWidth="1"/>
    <col min="5395" max="5395" width="10.42578125" style="456" bestFit="1" customWidth="1"/>
    <col min="5396" max="5633" width="9.140625" style="456"/>
    <col min="5634" max="5634" width="4.42578125" style="456" customWidth="1"/>
    <col min="5635" max="5635" width="27" style="456" customWidth="1"/>
    <col min="5636" max="5636" width="10.42578125" style="456" customWidth="1"/>
    <col min="5637" max="5637" width="38.7109375" style="456" customWidth="1"/>
    <col min="5638" max="5638" width="5.28515625" style="456" customWidth="1"/>
    <col min="5639" max="5639" width="36" style="456" customWidth="1"/>
    <col min="5640" max="5640" width="10.7109375" style="456" customWidth="1"/>
    <col min="5641" max="5641" width="8.5703125" style="456" customWidth="1"/>
    <col min="5642" max="5642" width="10.5703125" style="456" customWidth="1"/>
    <col min="5643" max="5643" width="9.140625" style="456"/>
    <col min="5644" max="5644" width="33" style="456" customWidth="1"/>
    <col min="5645" max="5645" width="9.140625" style="456" customWidth="1"/>
    <col min="5646" max="5646" width="6.5703125" style="456" customWidth="1"/>
    <col min="5647" max="5647" width="12.28515625" style="456" customWidth="1"/>
    <col min="5648" max="5649" width="9.140625" style="456"/>
    <col min="5650" max="5650" width="17.28515625" style="456" customWidth="1"/>
    <col min="5651" max="5651" width="10.42578125" style="456" bestFit="1" customWidth="1"/>
    <col min="5652" max="5889" width="9.140625" style="456"/>
    <col min="5890" max="5890" width="4.42578125" style="456" customWidth="1"/>
    <col min="5891" max="5891" width="27" style="456" customWidth="1"/>
    <col min="5892" max="5892" width="10.42578125" style="456" customWidth="1"/>
    <col min="5893" max="5893" width="38.7109375" style="456" customWidth="1"/>
    <col min="5894" max="5894" width="5.28515625" style="456" customWidth="1"/>
    <col min="5895" max="5895" width="36" style="456" customWidth="1"/>
    <col min="5896" max="5896" width="10.7109375" style="456" customWidth="1"/>
    <col min="5897" max="5897" width="8.5703125" style="456" customWidth="1"/>
    <col min="5898" max="5898" width="10.5703125" style="456" customWidth="1"/>
    <col min="5899" max="5899" width="9.140625" style="456"/>
    <col min="5900" max="5900" width="33" style="456" customWidth="1"/>
    <col min="5901" max="5901" width="9.140625" style="456" customWidth="1"/>
    <col min="5902" max="5902" width="6.5703125" style="456" customWidth="1"/>
    <col min="5903" max="5903" width="12.28515625" style="456" customWidth="1"/>
    <col min="5904" max="5905" width="9.140625" style="456"/>
    <col min="5906" max="5906" width="17.28515625" style="456" customWidth="1"/>
    <col min="5907" max="5907" width="10.42578125" style="456" bestFit="1" customWidth="1"/>
    <col min="5908" max="6145" width="9.140625" style="456"/>
    <col min="6146" max="6146" width="4.42578125" style="456" customWidth="1"/>
    <col min="6147" max="6147" width="27" style="456" customWidth="1"/>
    <col min="6148" max="6148" width="10.42578125" style="456" customWidth="1"/>
    <col min="6149" max="6149" width="38.7109375" style="456" customWidth="1"/>
    <col min="6150" max="6150" width="5.28515625" style="456" customWidth="1"/>
    <col min="6151" max="6151" width="36" style="456" customWidth="1"/>
    <col min="6152" max="6152" width="10.7109375" style="456" customWidth="1"/>
    <col min="6153" max="6153" width="8.5703125" style="456" customWidth="1"/>
    <col min="6154" max="6154" width="10.5703125" style="456" customWidth="1"/>
    <col min="6155" max="6155" width="9.140625" style="456"/>
    <col min="6156" max="6156" width="33" style="456" customWidth="1"/>
    <col min="6157" max="6157" width="9.140625" style="456" customWidth="1"/>
    <col min="6158" max="6158" width="6.5703125" style="456" customWidth="1"/>
    <col min="6159" max="6159" width="12.28515625" style="456" customWidth="1"/>
    <col min="6160" max="6161" width="9.140625" style="456"/>
    <col min="6162" max="6162" width="17.28515625" style="456" customWidth="1"/>
    <col min="6163" max="6163" width="10.42578125" style="456" bestFit="1" customWidth="1"/>
    <col min="6164" max="6401" width="9.140625" style="456"/>
    <col min="6402" max="6402" width="4.42578125" style="456" customWidth="1"/>
    <col min="6403" max="6403" width="27" style="456" customWidth="1"/>
    <col min="6404" max="6404" width="10.42578125" style="456" customWidth="1"/>
    <col min="6405" max="6405" width="38.7109375" style="456" customWidth="1"/>
    <col min="6406" max="6406" width="5.28515625" style="456" customWidth="1"/>
    <col min="6407" max="6407" width="36" style="456" customWidth="1"/>
    <col min="6408" max="6408" width="10.7109375" style="456" customWidth="1"/>
    <col min="6409" max="6409" width="8.5703125" style="456" customWidth="1"/>
    <col min="6410" max="6410" width="10.5703125" style="456" customWidth="1"/>
    <col min="6411" max="6411" width="9.140625" style="456"/>
    <col min="6412" max="6412" width="33" style="456" customWidth="1"/>
    <col min="6413" max="6413" width="9.140625" style="456" customWidth="1"/>
    <col min="6414" max="6414" width="6.5703125" style="456" customWidth="1"/>
    <col min="6415" max="6415" width="12.28515625" style="456" customWidth="1"/>
    <col min="6416" max="6417" width="9.140625" style="456"/>
    <col min="6418" max="6418" width="17.28515625" style="456" customWidth="1"/>
    <col min="6419" max="6419" width="10.42578125" style="456" bestFit="1" customWidth="1"/>
    <col min="6420" max="6657" width="9.140625" style="456"/>
    <col min="6658" max="6658" width="4.42578125" style="456" customWidth="1"/>
    <col min="6659" max="6659" width="27" style="456" customWidth="1"/>
    <col min="6660" max="6660" width="10.42578125" style="456" customWidth="1"/>
    <col min="6661" max="6661" width="38.7109375" style="456" customWidth="1"/>
    <col min="6662" max="6662" width="5.28515625" style="456" customWidth="1"/>
    <col min="6663" max="6663" width="36" style="456" customWidth="1"/>
    <col min="6664" max="6664" width="10.7109375" style="456" customWidth="1"/>
    <col min="6665" max="6665" width="8.5703125" style="456" customWidth="1"/>
    <col min="6666" max="6666" width="10.5703125" style="456" customWidth="1"/>
    <col min="6667" max="6667" width="9.140625" style="456"/>
    <col min="6668" max="6668" width="33" style="456" customWidth="1"/>
    <col min="6669" max="6669" width="9.140625" style="456" customWidth="1"/>
    <col min="6670" max="6670" width="6.5703125" style="456" customWidth="1"/>
    <col min="6671" max="6671" width="12.28515625" style="456" customWidth="1"/>
    <col min="6672" max="6673" width="9.140625" style="456"/>
    <col min="6674" max="6674" width="17.28515625" style="456" customWidth="1"/>
    <col min="6675" max="6675" width="10.42578125" style="456" bestFit="1" customWidth="1"/>
    <col min="6676" max="6913" width="9.140625" style="456"/>
    <col min="6914" max="6914" width="4.42578125" style="456" customWidth="1"/>
    <col min="6915" max="6915" width="27" style="456" customWidth="1"/>
    <col min="6916" max="6916" width="10.42578125" style="456" customWidth="1"/>
    <col min="6917" max="6917" width="38.7109375" style="456" customWidth="1"/>
    <col min="6918" max="6918" width="5.28515625" style="456" customWidth="1"/>
    <col min="6919" max="6919" width="36" style="456" customWidth="1"/>
    <col min="6920" max="6920" width="10.7109375" style="456" customWidth="1"/>
    <col min="6921" max="6921" width="8.5703125" style="456" customWidth="1"/>
    <col min="6922" max="6922" width="10.5703125" style="456" customWidth="1"/>
    <col min="6923" max="6923" width="9.140625" style="456"/>
    <col min="6924" max="6924" width="33" style="456" customWidth="1"/>
    <col min="6925" max="6925" width="9.140625" style="456" customWidth="1"/>
    <col min="6926" max="6926" width="6.5703125" style="456" customWidth="1"/>
    <col min="6927" max="6927" width="12.28515625" style="456" customWidth="1"/>
    <col min="6928" max="6929" width="9.140625" style="456"/>
    <col min="6930" max="6930" width="17.28515625" style="456" customWidth="1"/>
    <col min="6931" max="6931" width="10.42578125" style="456" bestFit="1" customWidth="1"/>
    <col min="6932" max="7169" width="9.140625" style="456"/>
    <col min="7170" max="7170" width="4.42578125" style="456" customWidth="1"/>
    <col min="7171" max="7171" width="27" style="456" customWidth="1"/>
    <col min="7172" max="7172" width="10.42578125" style="456" customWidth="1"/>
    <col min="7173" max="7173" width="38.7109375" style="456" customWidth="1"/>
    <col min="7174" max="7174" width="5.28515625" style="456" customWidth="1"/>
    <col min="7175" max="7175" width="36" style="456" customWidth="1"/>
    <col min="7176" max="7176" width="10.7109375" style="456" customWidth="1"/>
    <col min="7177" max="7177" width="8.5703125" style="456" customWidth="1"/>
    <col min="7178" max="7178" width="10.5703125" style="456" customWidth="1"/>
    <col min="7179" max="7179" width="9.140625" style="456"/>
    <col min="7180" max="7180" width="33" style="456" customWidth="1"/>
    <col min="7181" max="7181" width="9.140625" style="456" customWidth="1"/>
    <col min="7182" max="7182" width="6.5703125" style="456" customWidth="1"/>
    <col min="7183" max="7183" width="12.28515625" style="456" customWidth="1"/>
    <col min="7184" max="7185" width="9.140625" style="456"/>
    <col min="7186" max="7186" width="17.28515625" style="456" customWidth="1"/>
    <col min="7187" max="7187" width="10.42578125" style="456" bestFit="1" customWidth="1"/>
    <col min="7188" max="7425" width="9.140625" style="456"/>
    <col min="7426" max="7426" width="4.42578125" style="456" customWidth="1"/>
    <col min="7427" max="7427" width="27" style="456" customWidth="1"/>
    <col min="7428" max="7428" width="10.42578125" style="456" customWidth="1"/>
    <col min="7429" max="7429" width="38.7109375" style="456" customWidth="1"/>
    <col min="7430" max="7430" width="5.28515625" style="456" customWidth="1"/>
    <col min="7431" max="7431" width="36" style="456" customWidth="1"/>
    <col min="7432" max="7432" width="10.7109375" style="456" customWidth="1"/>
    <col min="7433" max="7433" width="8.5703125" style="456" customWidth="1"/>
    <col min="7434" max="7434" width="10.5703125" style="456" customWidth="1"/>
    <col min="7435" max="7435" width="9.140625" style="456"/>
    <col min="7436" max="7436" width="33" style="456" customWidth="1"/>
    <col min="7437" max="7437" width="9.140625" style="456" customWidth="1"/>
    <col min="7438" max="7438" width="6.5703125" style="456" customWidth="1"/>
    <col min="7439" max="7439" width="12.28515625" style="456" customWidth="1"/>
    <col min="7440" max="7441" width="9.140625" style="456"/>
    <col min="7442" max="7442" width="17.28515625" style="456" customWidth="1"/>
    <col min="7443" max="7443" width="10.42578125" style="456" bestFit="1" customWidth="1"/>
    <col min="7444" max="7681" width="9.140625" style="456"/>
    <col min="7682" max="7682" width="4.42578125" style="456" customWidth="1"/>
    <col min="7683" max="7683" width="27" style="456" customWidth="1"/>
    <col min="7684" max="7684" width="10.42578125" style="456" customWidth="1"/>
    <col min="7685" max="7685" width="38.7109375" style="456" customWidth="1"/>
    <col min="7686" max="7686" width="5.28515625" style="456" customWidth="1"/>
    <col min="7687" max="7687" width="36" style="456" customWidth="1"/>
    <col min="7688" max="7688" width="10.7109375" style="456" customWidth="1"/>
    <col min="7689" max="7689" width="8.5703125" style="456" customWidth="1"/>
    <col min="7690" max="7690" width="10.5703125" style="456" customWidth="1"/>
    <col min="7691" max="7691" width="9.140625" style="456"/>
    <col min="7692" max="7692" width="33" style="456" customWidth="1"/>
    <col min="7693" max="7693" width="9.140625" style="456" customWidth="1"/>
    <col min="7694" max="7694" width="6.5703125" style="456" customWidth="1"/>
    <col min="7695" max="7695" width="12.28515625" style="456" customWidth="1"/>
    <col min="7696" max="7697" width="9.140625" style="456"/>
    <col min="7698" max="7698" width="17.28515625" style="456" customWidth="1"/>
    <col min="7699" max="7699" width="10.42578125" style="456" bestFit="1" customWidth="1"/>
    <col min="7700" max="7937" width="9.140625" style="456"/>
    <col min="7938" max="7938" width="4.42578125" style="456" customWidth="1"/>
    <col min="7939" max="7939" width="27" style="456" customWidth="1"/>
    <col min="7940" max="7940" width="10.42578125" style="456" customWidth="1"/>
    <col min="7941" max="7941" width="38.7109375" style="456" customWidth="1"/>
    <col min="7942" max="7942" width="5.28515625" style="456" customWidth="1"/>
    <col min="7943" max="7943" width="36" style="456" customWidth="1"/>
    <col min="7944" max="7944" width="10.7109375" style="456" customWidth="1"/>
    <col min="7945" max="7945" width="8.5703125" style="456" customWidth="1"/>
    <col min="7946" max="7946" width="10.5703125" style="456" customWidth="1"/>
    <col min="7947" max="7947" width="9.140625" style="456"/>
    <col min="7948" max="7948" width="33" style="456" customWidth="1"/>
    <col min="7949" max="7949" width="9.140625" style="456" customWidth="1"/>
    <col min="7950" max="7950" width="6.5703125" style="456" customWidth="1"/>
    <col min="7951" max="7951" width="12.28515625" style="456" customWidth="1"/>
    <col min="7952" max="7953" width="9.140625" style="456"/>
    <col min="7954" max="7954" width="17.28515625" style="456" customWidth="1"/>
    <col min="7955" max="7955" width="10.42578125" style="456" bestFit="1" customWidth="1"/>
    <col min="7956" max="8193" width="9.140625" style="456"/>
    <col min="8194" max="8194" width="4.42578125" style="456" customWidth="1"/>
    <col min="8195" max="8195" width="27" style="456" customWidth="1"/>
    <col min="8196" max="8196" width="10.42578125" style="456" customWidth="1"/>
    <col min="8197" max="8197" width="38.7109375" style="456" customWidth="1"/>
    <col min="8198" max="8198" width="5.28515625" style="456" customWidth="1"/>
    <col min="8199" max="8199" width="36" style="456" customWidth="1"/>
    <col min="8200" max="8200" width="10.7109375" style="456" customWidth="1"/>
    <col min="8201" max="8201" width="8.5703125" style="456" customWidth="1"/>
    <col min="8202" max="8202" width="10.5703125" style="456" customWidth="1"/>
    <col min="8203" max="8203" width="9.140625" style="456"/>
    <col min="8204" max="8204" width="33" style="456" customWidth="1"/>
    <col min="8205" max="8205" width="9.140625" style="456" customWidth="1"/>
    <col min="8206" max="8206" width="6.5703125" style="456" customWidth="1"/>
    <col min="8207" max="8207" width="12.28515625" style="456" customWidth="1"/>
    <col min="8208" max="8209" width="9.140625" style="456"/>
    <col min="8210" max="8210" width="17.28515625" style="456" customWidth="1"/>
    <col min="8211" max="8211" width="10.42578125" style="456" bestFit="1" customWidth="1"/>
    <col min="8212" max="8449" width="9.140625" style="456"/>
    <col min="8450" max="8450" width="4.42578125" style="456" customWidth="1"/>
    <col min="8451" max="8451" width="27" style="456" customWidth="1"/>
    <col min="8452" max="8452" width="10.42578125" style="456" customWidth="1"/>
    <col min="8453" max="8453" width="38.7109375" style="456" customWidth="1"/>
    <col min="8454" max="8454" width="5.28515625" style="456" customWidth="1"/>
    <col min="8455" max="8455" width="36" style="456" customWidth="1"/>
    <col min="8456" max="8456" width="10.7109375" style="456" customWidth="1"/>
    <col min="8457" max="8457" width="8.5703125" style="456" customWidth="1"/>
    <col min="8458" max="8458" width="10.5703125" style="456" customWidth="1"/>
    <col min="8459" max="8459" width="9.140625" style="456"/>
    <col min="8460" max="8460" width="33" style="456" customWidth="1"/>
    <col min="8461" max="8461" width="9.140625" style="456" customWidth="1"/>
    <col min="8462" max="8462" width="6.5703125" style="456" customWidth="1"/>
    <col min="8463" max="8463" width="12.28515625" style="456" customWidth="1"/>
    <col min="8464" max="8465" width="9.140625" style="456"/>
    <col min="8466" max="8466" width="17.28515625" style="456" customWidth="1"/>
    <col min="8467" max="8467" width="10.42578125" style="456" bestFit="1" customWidth="1"/>
    <col min="8468" max="8705" width="9.140625" style="456"/>
    <col min="8706" max="8706" width="4.42578125" style="456" customWidth="1"/>
    <col min="8707" max="8707" width="27" style="456" customWidth="1"/>
    <col min="8708" max="8708" width="10.42578125" style="456" customWidth="1"/>
    <col min="8709" max="8709" width="38.7109375" style="456" customWidth="1"/>
    <col min="8710" max="8710" width="5.28515625" style="456" customWidth="1"/>
    <col min="8711" max="8711" width="36" style="456" customWidth="1"/>
    <col min="8712" max="8712" width="10.7109375" style="456" customWidth="1"/>
    <col min="8713" max="8713" width="8.5703125" style="456" customWidth="1"/>
    <col min="8714" max="8714" width="10.5703125" style="456" customWidth="1"/>
    <col min="8715" max="8715" width="9.140625" style="456"/>
    <col min="8716" max="8716" width="33" style="456" customWidth="1"/>
    <col min="8717" max="8717" width="9.140625" style="456" customWidth="1"/>
    <col min="8718" max="8718" width="6.5703125" style="456" customWidth="1"/>
    <col min="8719" max="8719" width="12.28515625" style="456" customWidth="1"/>
    <col min="8720" max="8721" width="9.140625" style="456"/>
    <col min="8722" max="8722" width="17.28515625" style="456" customWidth="1"/>
    <col min="8723" max="8723" width="10.42578125" style="456" bestFit="1" customWidth="1"/>
    <col min="8724" max="8961" width="9.140625" style="456"/>
    <col min="8962" max="8962" width="4.42578125" style="456" customWidth="1"/>
    <col min="8963" max="8963" width="27" style="456" customWidth="1"/>
    <col min="8964" max="8964" width="10.42578125" style="456" customWidth="1"/>
    <col min="8965" max="8965" width="38.7109375" style="456" customWidth="1"/>
    <col min="8966" max="8966" width="5.28515625" style="456" customWidth="1"/>
    <col min="8967" max="8967" width="36" style="456" customWidth="1"/>
    <col min="8968" max="8968" width="10.7109375" style="456" customWidth="1"/>
    <col min="8969" max="8969" width="8.5703125" style="456" customWidth="1"/>
    <col min="8970" max="8970" width="10.5703125" style="456" customWidth="1"/>
    <col min="8971" max="8971" width="9.140625" style="456"/>
    <col min="8972" max="8972" width="33" style="456" customWidth="1"/>
    <col min="8973" max="8973" width="9.140625" style="456" customWidth="1"/>
    <col min="8974" max="8974" width="6.5703125" style="456" customWidth="1"/>
    <col min="8975" max="8975" width="12.28515625" style="456" customWidth="1"/>
    <col min="8976" max="8977" width="9.140625" style="456"/>
    <col min="8978" max="8978" width="17.28515625" style="456" customWidth="1"/>
    <col min="8979" max="8979" width="10.42578125" style="456" bestFit="1" customWidth="1"/>
    <col min="8980" max="9217" width="9.140625" style="456"/>
    <col min="9218" max="9218" width="4.42578125" style="456" customWidth="1"/>
    <col min="9219" max="9219" width="27" style="456" customWidth="1"/>
    <col min="9220" max="9220" width="10.42578125" style="456" customWidth="1"/>
    <col min="9221" max="9221" width="38.7109375" style="456" customWidth="1"/>
    <col min="9222" max="9222" width="5.28515625" style="456" customWidth="1"/>
    <col min="9223" max="9223" width="36" style="456" customWidth="1"/>
    <col min="9224" max="9224" width="10.7109375" style="456" customWidth="1"/>
    <col min="9225" max="9225" width="8.5703125" style="456" customWidth="1"/>
    <col min="9226" max="9226" width="10.5703125" style="456" customWidth="1"/>
    <col min="9227" max="9227" width="9.140625" style="456"/>
    <col min="9228" max="9228" width="33" style="456" customWidth="1"/>
    <col min="9229" max="9229" width="9.140625" style="456" customWidth="1"/>
    <col min="9230" max="9230" width="6.5703125" style="456" customWidth="1"/>
    <col min="9231" max="9231" width="12.28515625" style="456" customWidth="1"/>
    <col min="9232" max="9233" width="9.140625" style="456"/>
    <col min="9234" max="9234" width="17.28515625" style="456" customWidth="1"/>
    <col min="9235" max="9235" width="10.42578125" style="456" bestFit="1" customWidth="1"/>
    <col min="9236" max="9473" width="9.140625" style="456"/>
    <col min="9474" max="9474" width="4.42578125" style="456" customWidth="1"/>
    <col min="9475" max="9475" width="27" style="456" customWidth="1"/>
    <col min="9476" max="9476" width="10.42578125" style="456" customWidth="1"/>
    <col min="9477" max="9477" width="38.7109375" style="456" customWidth="1"/>
    <col min="9478" max="9478" width="5.28515625" style="456" customWidth="1"/>
    <col min="9479" max="9479" width="36" style="456" customWidth="1"/>
    <col min="9480" max="9480" width="10.7109375" style="456" customWidth="1"/>
    <col min="9481" max="9481" width="8.5703125" style="456" customWidth="1"/>
    <col min="9482" max="9482" width="10.5703125" style="456" customWidth="1"/>
    <col min="9483" max="9483" width="9.140625" style="456"/>
    <col min="9484" max="9484" width="33" style="456" customWidth="1"/>
    <col min="9485" max="9485" width="9.140625" style="456" customWidth="1"/>
    <col min="9486" max="9486" width="6.5703125" style="456" customWidth="1"/>
    <col min="9487" max="9487" width="12.28515625" style="456" customWidth="1"/>
    <col min="9488" max="9489" width="9.140625" style="456"/>
    <col min="9490" max="9490" width="17.28515625" style="456" customWidth="1"/>
    <col min="9491" max="9491" width="10.42578125" style="456" bestFit="1" customWidth="1"/>
    <col min="9492" max="9729" width="9.140625" style="456"/>
    <col min="9730" max="9730" width="4.42578125" style="456" customWidth="1"/>
    <col min="9731" max="9731" width="27" style="456" customWidth="1"/>
    <col min="9732" max="9732" width="10.42578125" style="456" customWidth="1"/>
    <col min="9733" max="9733" width="38.7109375" style="456" customWidth="1"/>
    <col min="9734" max="9734" width="5.28515625" style="456" customWidth="1"/>
    <col min="9735" max="9735" width="36" style="456" customWidth="1"/>
    <col min="9736" max="9736" width="10.7109375" style="456" customWidth="1"/>
    <col min="9737" max="9737" width="8.5703125" style="456" customWidth="1"/>
    <col min="9738" max="9738" width="10.5703125" style="456" customWidth="1"/>
    <col min="9739" max="9739" width="9.140625" style="456"/>
    <col min="9740" max="9740" width="33" style="456" customWidth="1"/>
    <col min="9741" max="9741" width="9.140625" style="456" customWidth="1"/>
    <col min="9742" max="9742" width="6.5703125" style="456" customWidth="1"/>
    <col min="9743" max="9743" width="12.28515625" style="456" customWidth="1"/>
    <col min="9744" max="9745" width="9.140625" style="456"/>
    <col min="9746" max="9746" width="17.28515625" style="456" customWidth="1"/>
    <col min="9747" max="9747" width="10.42578125" style="456" bestFit="1" customWidth="1"/>
    <col min="9748" max="9985" width="9.140625" style="456"/>
    <col min="9986" max="9986" width="4.42578125" style="456" customWidth="1"/>
    <col min="9987" max="9987" width="27" style="456" customWidth="1"/>
    <col min="9988" max="9988" width="10.42578125" style="456" customWidth="1"/>
    <col min="9989" max="9989" width="38.7109375" style="456" customWidth="1"/>
    <col min="9990" max="9990" width="5.28515625" style="456" customWidth="1"/>
    <col min="9991" max="9991" width="36" style="456" customWidth="1"/>
    <col min="9992" max="9992" width="10.7109375" style="456" customWidth="1"/>
    <col min="9993" max="9993" width="8.5703125" style="456" customWidth="1"/>
    <col min="9994" max="9994" width="10.5703125" style="456" customWidth="1"/>
    <col min="9995" max="9995" width="9.140625" style="456"/>
    <col min="9996" max="9996" width="33" style="456" customWidth="1"/>
    <col min="9997" max="9997" width="9.140625" style="456" customWidth="1"/>
    <col min="9998" max="9998" width="6.5703125" style="456" customWidth="1"/>
    <col min="9999" max="9999" width="12.28515625" style="456" customWidth="1"/>
    <col min="10000" max="10001" width="9.140625" style="456"/>
    <col min="10002" max="10002" width="17.28515625" style="456" customWidth="1"/>
    <col min="10003" max="10003" width="10.42578125" style="456" bestFit="1" customWidth="1"/>
    <col min="10004" max="10241" width="9.140625" style="456"/>
    <col min="10242" max="10242" width="4.42578125" style="456" customWidth="1"/>
    <col min="10243" max="10243" width="27" style="456" customWidth="1"/>
    <col min="10244" max="10244" width="10.42578125" style="456" customWidth="1"/>
    <col min="10245" max="10245" width="38.7109375" style="456" customWidth="1"/>
    <col min="10246" max="10246" width="5.28515625" style="456" customWidth="1"/>
    <col min="10247" max="10247" width="36" style="456" customWidth="1"/>
    <col min="10248" max="10248" width="10.7109375" style="456" customWidth="1"/>
    <col min="10249" max="10249" width="8.5703125" style="456" customWidth="1"/>
    <col min="10250" max="10250" width="10.5703125" style="456" customWidth="1"/>
    <col min="10251" max="10251" width="9.140625" style="456"/>
    <col min="10252" max="10252" width="33" style="456" customWidth="1"/>
    <col min="10253" max="10253" width="9.140625" style="456" customWidth="1"/>
    <col min="10254" max="10254" width="6.5703125" style="456" customWidth="1"/>
    <col min="10255" max="10255" width="12.28515625" style="456" customWidth="1"/>
    <col min="10256" max="10257" width="9.140625" style="456"/>
    <col min="10258" max="10258" width="17.28515625" style="456" customWidth="1"/>
    <col min="10259" max="10259" width="10.42578125" style="456" bestFit="1" customWidth="1"/>
    <col min="10260" max="10497" width="9.140625" style="456"/>
    <col min="10498" max="10498" width="4.42578125" style="456" customWidth="1"/>
    <col min="10499" max="10499" width="27" style="456" customWidth="1"/>
    <col min="10500" max="10500" width="10.42578125" style="456" customWidth="1"/>
    <col min="10501" max="10501" width="38.7109375" style="456" customWidth="1"/>
    <col min="10502" max="10502" width="5.28515625" style="456" customWidth="1"/>
    <col min="10503" max="10503" width="36" style="456" customWidth="1"/>
    <col min="10504" max="10504" width="10.7109375" style="456" customWidth="1"/>
    <col min="10505" max="10505" width="8.5703125" style="456" customWidth="1"/>
    <col min="10506" max="10506" width="10.5703125" style="456" customWidth="1"/>
    <col min="10507" max="10507" width="9.140625" style="456"/>
    <col min="10508" max="10508" width="33" style="456" customWidth="1"/>
    <col min="10509" max="10509" width="9.140625" style="456" customWidth="1"/>
    <col min="10510" max="10510" width="6.5703125" style="456" customWidth="1"/>
    <col min="10511" max="10511" width="12.28515625" style="456" customWidth="1"/>
    <col min="10512" max="10513" width="9.140625" style="456"/>
    <col min="10514" max="10514" width="17.28515625" style="456" customWidth="1"/>
    <col min="10515" max="10515" width="10.42578125" style="456" bestFit="1" customWidth="1"/>
    <col min="10516" max="10753" width="9.140625" style="456"/>
    <col min="10754" max="10754" width="4.42578125" style="456" customWidth="1"/>
    <col min="10755" max="10755" width="27" style="456" customWidth="1"/>
    <col min="10756" max="10756" width="10.42578125" style="456" customWidth="1"/>
    <col min="10757" max="10757" width="38.7109375" style="456" customWidth="1"/>
    <col min="10758" max="10758" width="5.28515625" style="456" customWidth="1"/>
    <col min="10759" max="10759" width="36" style="456" customWidth="1"/>
    <col min="10760" max="10760" width="10.7109375" style="456" customWidth="1"/>
    <col min="10761" max="10761" width="8.5703125" style="456" customWidth="1"/>
    <col min="10762" max="10762" width="10.5703125" style="456" customWidth="1"/>
    <col min="10763" max="10763" width="9.140625" style="456"/>
    <col min="10764" max="10764" width="33" style="456" customWidth="1"/>
    <col min="10765" max="10765" width="9.140625" style="456" customWidth="1"/>
    <col min="10766" max="10766" width="6.5703125" style="456" customWidth="1"/>
    <col min="10767" max="10767" width="12.28515625" style="456" customWidth="1"/>
    <col min="10768" max="10769" width="9.140625" style="456"/>
    <col min="10770" max="10770" width="17.28515625" style="456" customWidth="1"/>
    <col min="10771" max="10771" width="10.42578125" style="456" bestFit="1" customWidth="1"/>
    <col min="10772" max="11009" width="9.140625" style="456"/>
    <col min="11010" max="11010" width="4.42578125" style="456" customWidth="1"/>
    <col min="11011" max="11011" width="27" style="456" customWidth="1"/>
    <col min="11012" max="11012" width="10.42578125" style="456" customWidth="1"/>
    <col min="11013" max="11013" width="38.7109375" style="456" customWidth="1"/>
    <col min="11014" max="11014" width="5.28515625" style="456" customWidth="1"/>
    <col min="11015" max="11015" width="36" style="456" customWidth="1"/>
    <col min="11016" max="11016" width="10.7109375" style="456" customWidth="1"/>
    <col min="11017" max="11017" width="8.5703125" style="456" customWidth="1"/>
    <col min="11018" max="11018" width="10.5703125" style="456" customWidth="1"/>
    <col min="11019" max="11019" width="9.140625" style="456"/>
    <col min="11020" max="11020" width="33" style="456" customWidth="1"/>
    <col min="11021" max="11021" width="9.140625" style="456" customWidth="1"/>
    <col min="11022" max="11022" width="6.5703125" style="456" customWidth="1"/>
    <col min="11023" max="11023" width="12.28515625" style="456" customWidth="1"/>
    <col min="11024" max="11025" width="9.140625" style="456"/>
    <col min="11026" max="11026" width="17.28515625" style="456" customWidth="1"/>
    <col min="11027" max="11027" width="10.42578125" style="456" bestFit="1" customWidth="1"/>
    <col min="11028" max="11265" width="9.140625" style="456"/>
    <col min="11266" max="11266" width="4.42578125" style="456" customWidth="1"/>
    <col min="11267" max="11267" width="27" style="456" customWidth="1"/>
    <col min="11268" max="11268" width="10.42578125" style="456" customWidth="1"/>
    <col min="11269" max="11269" width="38.7109375" style="456" customWidth="1"/>
    <col min="11270" max="11270" width="5.28515625" style="456" customWidth="1"/>
    <col min="11271" max="11271" width="36" style="456" customWidth="1"/>
    <col min="11272" max="11272" width="10.7109375" style="456" customWidth="1"/>
    <col min="11273" max="11273" width="8.5703125" style="456" customWidth="1"/>
    <col min="11274" max="11274" width="10.5703125" style="456" customWidth="1"/>
    <col min="11275" max="11275" width="9.140625" style="456"/>
    <col min="11276" max="11276" width="33" style="456" customWidth="1"/>
    <col min="11277" max="11277" width="9.140625" style="456" customWidth="1"/>
    <col min="11278" max="11278" width="6.5703125" style="456" customWidth="1"/>
    <col min="11279" max="11279" width="12.28515625" style="456" customWidth="1"/>
    <col min="11280" max="11281" width="9.140625" style="456"/>
    <col min="11282" max="11282" width="17.28515625" style="456" customWidth="1"/>
    <col min="11283" max="11283" width="10.42578125" style="456" bestFit="1" customWidth="1"/>
    <col min="11284" max="11521" width="9.140625" style="456"/>
    <col min="11522" max="11522" width="4.42578125" style="456" customWidth="1"/>
    <col min="11523" max="11523" width="27" style="456" customWidth="1"/>
    <col min="11524" max="11524" width="10.42578125" style="456" customWidth="1"/>
    <col min="11525" max="11525" width="38.7109375" style="456" customWidth="1"/>
    <col min="11526" max="11526" width="5.28515625" style="456" customWidth="1"/>
    <col min="11527" max="11527" width="36" style="456" customWidth="1"/>
    <col min="11528" max="11528" width="10.7109375" style="456" customWidth="1"/>
    <col min="11529" max="11529" width="8.5703125" style="456" customWidth="1"/>
    <col min="11530" max="11530" width="10.5703125" style="456" customWidth="1"/>
    <col min="11531" max="11531" width="9.140625" style="456"/>
    <col min="11532" max="11532" width="33" style="456" customWidth="1"/>
    <col min="11533" max="11533" width="9.140625" style="456" customWidth="1"/>
    <col min="11534" max="11534" width="6.5703125" style="456" customWidth="1"/>
    <col min="11535" max="11535" width="12.28515625" style="456" customWidth="1"/>
    <col min="11536" max="11537" width="9.140625" style="456"/>
    <col min="11538" max="11538" width="17.28515625" style="456" customWidth="1"/>
    <col min="11539" max="11539" width="10.42578125" style="456" bestFit="1" customWidth="1"/>
    <col min="11540" max="11777" width="9.140625" style="456"/>
    <col min="11778" max="11778" width="4.42578125" style="456" customWidth="1"/>
    <col min="11779" max="11779" width="27" style="456" customWidth="1"/>
    <col min="11780" max="11780" width="10.42578125" style="456" customWidth="1"/>
    <col min="11781" max="11781" width="38.7109375" style="456" customWidth="1"/>
    <col min="11782" max="11782" width="5.28515625" style="456" customWidth="1"/>
    <col min="11783" max="11783" width="36" style="456" customWidth="1"/>
    <col min="11784" max="11784" width="10.7109375" style="456" customWidth="1"/>
    <col min="11785" max="11785" width="8.5703125" style="456" customWidth="1"/>
    <col min="11786" max="11786" width="10.5703125" style="456" customWidth="1"/>
    <col min="11787" max="11787" width="9.140625" style="456"/>
    <col min="11788" max="11788" width="33" style="456" customWidth="1"/>
    <col min="11789" max="11789" width="9.140625" style="456" customWidth="1"/>
    <col min="11790" max="11790" width="6.5703125" style="456" customWidth="1"/>
    <col min="11791" max="11791" width="12.28515625" style="456" customWidth="1"/>
    <col min="11792" max="11793" width="9.140625" style="456"/>
    <col min="11794" max="11794" width="17.28515625" style="456" customWidth="1"/>
    <col min="11795" max="11795" width="10.42578125" style="456" bestFit="1" customWidth="1"/>
    <col min="11796" max="12033" width="9.140625" style="456"/>
    <col min="12034" max="12034" width="4.42578125" style="456" customWidth="1"/>
    <col min="12035" max="12035" width="27" style="456" customWidth="1"/>
    <col min="12036" max="12036" width="10.42578125" style="456" customWidth="1"/>
    <col min="12037" max="12037" width="38.7109375" style="456" customWidth="1"/>
    <col min="12038" max="12038" width="5.28515625" style="456" customWidth="1"/>
    <col min="12039" max="12039" width="36" style="456" customWidth="1"/>
    <col min="12040" max="12040" width="10.7109375" style="456" customWidth="1"/>
    <col min="12041" max="12041" width="8.5703125" style="456" customWidth="1"/>
    <col min="12042" max="12042" width="10.5703125" style="456" customWidth="1"/>
    <col min="12043" max="12043" width="9.140625" style="456"/>
    <col min="12044" max="12044" width="33" style="456" customWidth="1"/>
    <col min="12045" max="12045" width="9.140625" style="456" customWidth="1"/>
    <col min="12046" max="12046" width="6.5703125" style="456" customWidth="1"/>
    <col min="12047" max="12047" width="12.28515625" style="456" customWidth="1"/>
    <col min="12048" max="12049" width="9.140625" style="456"/>
    <col min="12050" max="12050" width="17.28515625" style="456" customWidth="1"/>
    <col min="12051" max="12051" width="10.42578125" style="456" bestFit="1" customWidth="1"/>
    <col min="12052" max="12289" width="9.140625" style="456"/>
    <col min="12290" max="12290" width="4.42578125" style="456" customWidth="1"/>
    <col min="12291" max="12291" width="27" style="456" customWidth="1"/>
    <col min="12292" max="12292" width="10.42578125" style="456" customWidth="1"/>
    <col min="12293" max="12293" width="38.7109375" style="456" customWidth="1"/>
    <col min="12294" max="12294" width="5.28515625" style="456" customWidth="1"/>
    <col min="12295" max="12295" width="36" style="456" customWidth="1"/>
    <col min="12296" max="12296" width="10.7109375" style="456" customWidth="1"/>
    <col min="12297" max="12297" width="8.5703125" style="456" customWidth="1"/>
    <col min="12298" max="12298" width="10.5703125" style="456" customWidth="1"/>
    <col min="12299" max="12299" width="9.140625" style="456"/>
    <col min="12300" max="12300" width="33" style="456" customWidth="1"/>
    <col min="12301" max="12301" width="9.140625" style="456" customWidth="1"/>
    <col min="12302" max="12302" width="6.5703125" style="456" customWidth="1"/>
    <col min="12303" max="12303" width="12.28515625" style="456" customWidth="1"/>
    <col min="12304" max="12305" width="9.140625" style="456"/>
    <col min="12306" max="12306" width="17.28515625" style="456" customWidth="1"/>
    <col min="12307" max="12307" width="10.42578125" style="456" bestFit="1" customWidth="1"/>
    <col min="12308" max="12545" width="9.140625" style="456"/>
    <col min="12546" max="12546" width="4.42578125" style="456" customWidth="1"/>
    <col min="12547" max="12547" width="27" style="456" customWidth="1"/>
    <col min="12548" max="12548" width="10.42578125" style="456" customWidth="1"/>
    <col min="12549" max="12549" width="38.7109375" style="456" customWidth="1"/>
    <col min="12550" max="12550" width="5.28515625" style="456" customWidth="1"/>
    <col min="12551" max="12551" width="36" style="456" customWidth="1"/>
    <col min="12552" max="12552" width="10.7109375" style="456" customWidth="1"/>
    <col min="12553" max="12553" width="8.5703125" style="456" customWidth="1"/>
    <col min="12554" max="12554" width="10.5703125" style="456" customWidth="1"/>
    <col min="12555" max="12555" width="9.140625" style="456"/>
    <col min="12556" max="12556" width="33" style="456" customWidth="1"/>
    <col min="12557" max="12557" width="9.140625" style="456" customWidth="1"/>
    <col min="12558" max="12558" width="6.5703125" style="456" customWidth="1"/>
    <col min="12559" max="12559" width="12.28515625" style="456" customWidth="1"/>
    <col min="12560" max="12561" width="9.140625" style="456"/>
    <col min="12562" max="12562" width="17.28515625" style="456" customWidth="1"/>
    <col min="12563" max="12563" width="10.42578125" style="456" bestFit="1" customWidth="1"/>
    <col min="12564" max="12801" width="9.140625" style="456"/>
    <col min="12802" max="12802" width="4.42578125" style="456" customWidth="1"/>
    <col min="12803" max="12803" width="27" style="456" customWidth="1"/>
    <col min="12804" max="12804" width="10.42578125" style="456" customWidth="1"/>
    <col min="12805" max="12805" width="38.7109375" style="456" customWidth="1"/>
    <col min="12806" max="12806" width="5.28515625" style="456" customWidth="1"/>
    <col min="12807" max="12807" width="36" style="456" customWidth="1"/>
    <col min="12808" max="12808" width="10.7109375" style="456" customWidth="1"/>
    <col min="12809" max="12809" width="8.5703125" style="456" customWidth="1"/>
    <col min="12810" max="12810" width="10.5703125" style="456" customWidth="1"/>
    <col min="12811" max="12811" width="9.140625" style="456"/>
    <col min="12812" max="12812" width="33" style="456" customWidth="1"/>
    <col min="12813" max="12813" width="9.140625" style="456" customWidth="1"/>
    <col min="12814" max="12814" width="6.5703125" style="456" customWidth="1"/>
    <col min="12815" max="12815" width="12.28515625" style="456" customWidth="1"/>
    <col min="12816" max="12817" width="9.140625" style="456"/>
    <col min="12818" max="12818" width="17.28515625" style="456" customWidth="1"/>
    <col min="12819" max="12819" width="10.42578125" style="456" bestFit="1" customWidth="1"/>
    <col min="12820" max="13057" width="9.140625" style="456"/>
    <col min="13058" max="13058" width="4.42578125" style="456" customWidth="1"/>
    <col min="13059" max="13059" width="27" style="456" customWidth="1"/>
    <col min="13060" max="13060" width="10.42578125" style="456" customWidth="1"/>
    <col min="13061" max="13061" width="38.7109375" style="456" customWidth="1"/>
    <col min="13062" max="13062" width="5.28515625" style="456" customWidth="1"/>
    <col min="13063" max="13063" width="36" style="456" customWidth="1"/>
    <col min="13064" max="13064" width="10.7109375" style="456" customWidth="1"/>
    <col min="13065" max="13065" width="8.5703125" style="456" customWidth="1"/>
    <col min="13066" max="13066" width="10.5703125" style="456" customWidth="1"/>
    <col min="13067" max="13067" width="9.140625" style="456"/>
    <col min="13068" max="13068" width="33" style="456" customWidth="1"/>
    <col min="13069" max="13069" width="9.140625" style="456" customWidth="1"/>
    <col min="13070" max="13070" width="6.5703125" style="456" customWidth="1"/>
    <col min="13071" max="13071" width="12.28515625" style="456" customWidth="1"/>
    <col min="13072" max="13073" width="9.140625" style="456"/>
    <col min="13074" max="13074" width="17.28515625" style="456" customWidth="1"/>
    <col min="13075" max="13075" width="10.42578125" style="456" bestFit="1" customWidth="1"/>
    <col min="13076" max="13313" width="9.140625" style="456"/>
    <col min="13314" max="13314" width="4.42578125" style="456" customWidth="1"/>
    <col min="13315" max="13315" width="27" style="456" customWidth="1"/>
    <col min="13316" max="13316" width="10.42578125" style="456" customWidth="1"/>
    <col min="13317" max="13317" width="38.7109375" style="456" customWidth="1"/>
    <col min="13318" max="13318" width="5.28515625" style="456" customWidth="1"/>
    <col min="13319" max="13319" width="36" style="456" customWidth="1"/>
    <col min="13320" max="13320" width="10.7109375" style="456" customWidth="1"/>
    <col min="13321" max="13321" width="8.5703125" style="456" customWidth="1"/>
    <col min="13322" max="13322" width="10.5703125" style="456" customWidth="1"/>
    <col min="13323" max="13323" width="9.140625" style="456"/>
    <col min="13324" max="13324" width="33" style="456" customWidth="1"/>
    <col min="13325" max="13325" width="9.140625" style="456" customWidth="1"/>
    <col min="13326" max="13326" width="6.5703125" style="456" customWidth="1"/>
    <col min="13327" max="13327" width="12.28515625" style="456" customWidth="1"/>
    <col min="13328" max="13329" width="9.140625" style="456"/>
    <col min="13330" max="13330" width="17.28515625" style="456" customWidth="1"/>
    <col min="13331" max="13331" width="10.42578125" style="456" bestFit="1" customWidth="1"/>
    <col min="13332" max="13569" width="9.140625" style="456"/>
    <col min="13570" max="13570" width="4.42578125" style="456" customWidth="1"/>
    <col min="13571" max="13571" width="27" style="456" customWidth="1"/>
    <col min="13572" max="13572" width="10.42578125" style="456" customWidth="1"/>
    <col min="13573" max="13573" width="38.7109375" style="456" customWidth="1"/>
    <col min="13574" max="13574" width="5.28515625" style="456" customWidth="1"/>
    <col min="13575" max="13575" width="36" style="456" customWidth="1"/>
    <col min="13576" max="13576" width="10.7109375" style="456" customWidth="1"/>
    <col min="13577" max="13577" width="8.5703125" style="456" customWidth="1"/>
    <col min="13578" max="13578" width="10.5703125" style="456" customWidth="1"/>
    <col min="13579" max="13579" width="9.140625" style="456"/>
    <col min="13580" max="13580" width="33" style="456" customWidth="1"/>
    <col min="13581" max="13581" width="9.140625" style="456" customWidth="1"/>
    <col min="13582" max="13582" width="6.5703125" style="456" customWidth="1"/>
    <col min="13583" max="13583" width="12.28515625" style="456" customWidth="1"/>
    <col min="13584" max="13585" width="9.140625" style="456"/>
    <col min="13586" max="13586" width="17.28515625" style="456" customWidth="1"/>
    <col min="13587" max="13587" width="10.42578125" style="456" bestFit="1" customWidth="1"/>
    <col min="13588" max="13825" width="9.140625" style="456"/>
    <col min="13826" max="13826" width="4.42578125" style="456" customWidth="1"/>
    <col min="13827" max="13827" width="27" style="456" customWidth="1"/>
    <col min="13828" max="13828" width="10.42578125" style="456" customWidth="1"/>
    <col min="13829" max="13829" width="38.7109375" style="456" customWidth="1"/>
    <col min="13830" max="13830" width="5.28515625" style="456" customWidth="1"/>
    <col min="13831" max="13831" width="36" style="456" customWidth="1"/>
    <col min="13832" max="13832" width="10.7109375" style="456" customWidth="1"/>
    <col min="13833" max="13833" width="8.5703125" style="456" customWidth="1"/>
    <col min="13834" max="13834" width="10.5703125" style="456" customWidth="1"/>
    <col min="13835" max="13835" width="9.140625" style="456"/>
    <col min="13836" max="13836" width="33" style="456" customWidth="1"/>
    <col min="13837" max="13837" width="9.140625" style="456" customWidth="1"/>
    <col min="13838" max="13838" width="6.5703125" style="456" customWidth="1"/>
    <col min="13839" max="13839" width="12.28515625" style="456" customWidth="1"/>
    <col min="13840" max="13841" width="9.140625" style="456"/>
    <col min="13842" max="13842" width="17.28515625" style="456" customWidth="1"/>
    <col min="13843" max="13843" width="10.42578125" style="456" bestFit="1" customWidth="1"/>
    <col min="13844" max="14081" width="9.140625" style="456"/>
    <col min="14082" max="14082" width="4.42578125" style="456" customWidth="1"/>
    <col min="14083" max="14083" width="27" style="456" customWidth="1"/>
    <col min="14084" max="14084" width="10.42578125" style="456" customWidth="1"/>
    <col min="14085" max="14085" width="38.7109375" style="456" customWidth="1"/>
    <col min="14086" max="14086" width="5.28515625" style="456" customWidth="1"/>
    <col min="14087" max="14087" width="36" style="456" customWidth="1"/>
    <col min="14088" max="14088" width="10.7109375" style="456" customWidth="1"/>
    <col min="14089" max="14089" width="8.5703125" style="456" customWidth="1"/>
    <col min="14090" max="14090" width="10.5703125" style="456" customWidth="1"/>
    <col min="14091" max="14091" width="9.140625" style="456"/>
    <col min="14092" max="14092" width="33" style="456" customWidth="1"/>
    <col min="14093" max="14093" width="9.140625" style="456" customWidth="1"/>
    <col min="14094" max="14094" width="6.5703125" style="456" customWidth="1"/>
    <col min="14095" max="14095" width="12.28515625" style="456" customWidth="1"/>
    <col min="14096" max="14097" width="9.140625" style="456"/>
    <col min="14098" max="14098" width="17.28515625" style="456" customWidth="1"/>
    <col min="14099" max="14099" width="10.42578125" style="456" bestFit="1" customWidth="1"/>
    <col min="14100" max="14337" width="9.140625" style="456"/>
    <col min="14338" max="14338" width="4.42578125" style="456" customWidth="1"/>
    <col min="14339" max="14339" width="27" style="456" customWidth="1"/>
    <col min="14340" max="14340" width="10.42578125" style="456" customWidth="1"/>
    <col min="14341" max="14341" width="38.7109375" style="456" customWidth="1"/>
    <col min="14342" max="14342" width="5.28515625" style="456" customWidth="1"/>
    <col min="14343" max="14343" width="36" style="456" customWidth="1"/>
    <col min="14344" max="14344" width="10.7109375" style="456" customWidth="1"/>
    <col min="14345" max="14345" width="8.5703125" style="456" customWidth="1"/>
    <col min="14346" max="14346" width="10.5703125" style="456" customWidth="1"/>
    <col min="14347" max="14347" width="9.140625" style="456"/>
    <col min="14348" max="14348" width="33" style="456" customWidth="1"/>
    <col min="14349" max="14349" width="9.140625" style="456" customWidth="1"/>
    <col min="14350" max="14350" width="6.5703125" style="456" customWidth="1"/>
    <col min="14351" max="14351" width="12.28515625" style="456" customWidth="1"/>
    <col min="14352" max="14353" width="9.140625" style="456"/>
    <col min="14354" max="14354" width="17.28515625" style="456" customWidth="1"/>
    <col min="14355" max="14355" width="10.42578125" style="456" bestFit="1" customWidth="1"/>
    <col min="14356" max="14593" width="9.140625" style="456"/>
    <col min="14594" max="14594" width="4.42578125" style="456" customWidth="1"/>
    <col min="14595" max="14595" width="27" style="456" customWidth="1"/>
    <col min="14596" max="14596" width="10.42578125" style="456" customWidth="1"/>
    <col min="14597" max="14597" width="38.7109375" style="456" customWidth="1"/>
    <col min="14598" max="14598" width="5.28515625" style="456" customWidth="1"/>
    <col min="14599" max="14599" width="36" style="456" customWidth="1"/>
    <col min="14600" max="14600" width="10.7109375" style="456" customWidth="1"/>
    <col min="14601" max="14601" width="8.5703125" style="456" customWidth="1"/>
    <col min="14602" max="14602" width="10.5703125" style="456" customWidth="1"/>
    <col min="14603" max="14603" width="9.140625" style="456"/>
    <col min="14604" max="14604" width="33" style="456" customWidth="1"/>
    <col min="14605" max="14605" width="9.140625" style="456" customWidth="1"/>
    <col min="14606" max="14606" width="6.5703125" style="456" customWidth="1"/>
    <col min="14607" max="14607" width="12.28515625" style="456" customWidth="1"/>
    <col min="14608" max="14609" width="9.140625" style="456"/>
    <col min="14610" max="14610" width="17.28515625" style="456" customWidth="1"/>
    <col min="14611" max="14611" width="10.42578125" style="456" bestFit="1" customWidth="1"/>
    <col min="14612" max="14849" width="9.140625" style="456"/>
    <col min="14850" max="14850" width="4.42578125" style="456" customWidth="1"/>
    <col min="14851" max="14851" width="27" style="456" customWidth="1"/>
    <col min="14852" max="14852" width="10.42578125" style="456" customWidth="1"/>
    <col min="14853" max="14853" width="38.7109375" style="456" customWidth="1"/>
    <col min="14854" max="14854" width="5.28515625" style="456" customWidth="1"/>
    <col min="14855" max="14855" width="36" style="456" customWidth="1"/>
    <col min="14856" max="14856" width="10.7109375" style="456" customWidth="1"/>
    <col min="14857" max="14857" width="8.5703125" style="456" customWidth="1"/>
    <col min="14858" max="14858" width="10.5703125" style="456" customWidth="1"/>
    <col min="14859" max="14859" width="9.140625" style="456"/>
    <col min="14860" max="14860" width="33" style="456" customWidth="1"/>
    <col min="14861" max="14861" width="9.140625" style="456" customWidth="1"/>
    <col min="14862" max="14862" width="6.5703125" style="456" customWidth="1"/>
    <col min="14863" max="14863" width="12.28515625" style="456" customWidth="1"/>
    <col min="14864" max="14865" width="9.140625" style="456"/>
    <col min="14866" max="14866" width="17.28515625" style="456" customWidth="1"/>
    <col min="14867" max="14867" width="10.42578125" style="456" bestFit="1" customWidth="1"/>
    <col min="14868" max="15105" width="9.140625" style="456"/>
    <col min="15106" max="15106" width="4.42578125" style="456" customWidth="1"/>
    <col min="15107" max="15107" width="27" style="456" customWidth="1"/>
    <col min="15108" max="15108" width="10.42578125" style="456" customWidth="1"/>
    <col min="15109" max="15109" width="38.7109375" style="456" customWidth="1"/>
    <col min="15110" max="15110" width="5.28515625" style="456" customWidth="1"/>
    <col min="15111" max="15111" width="36" style="456" customWidth="1"/>
    <col min="15112" max="15112" width="10.7109375" style="456" customWidth="1"/>
    <col min="15113" max="15113" width="8.5703125" style="456" customWidth="1"/>
    <col min="15114" max="15114" width="10.5703125" style="456" customWidth="1"/>
    <col min="15115" max="15115" width="9.140625" style="456"/>
    <col min="15116" max="15116" width="33" style="456" customWidth="1"/>
    <col min="15117" max="15117" width="9.140625" style="456" customWidth="1"/>
    <col min="15118" max="15118" width="6.5703125" style="456" customWidth="1"/>
    <col min="15119" max="15119" width="12.28515625" style="456" customWidth="1"/>
    <col min="15120" max="15121" width="9.140625" style="456"/>
    <col min="15122" max="15122" width="17.28515625" style="456" customWidth="1"/>
    <col min="15123" max="15123" width="10.42578125" style="456" bestFit="1" customWidth="1"/>
    <col min="15124" max="15361" width="9.140625" style="456"/>
    <col min="15362" max="15362" width="4.42578125" style="456" customWidth="1"/>
    <col min="15363" max="15363" width="27" style="456" customWidth="1"/>
    <col min="15364" max="15364" width="10.42578125" style="456" customWidth="1"/>
    <col min="15365" max="15365" width="38.7109375" style="456" customWidth="1"/>
    <col min="15366" max="15366" width="5.28515625" style="456" customWidth="1"/>
    <col min="15367" max="15367" width="36" style="456" customWidth="1"/>
    <col min="15368" max="15368" width="10.7109375" style="456" customWidth="1"/>
    <col min="15369" max="15369" width="8.5703125" style="456" customWidth="1"/>
    <col min="15370" max="15370" width="10.5703125" style="456" customWidth="1"/>
    <col min="15371" max="15371" width="9.140625" style="456"/>
    <col min="15372" max="15372" width="33" style="456" customWidth="1"/>
    <col min="15373" max="15373" width="9.140625" style="456" customWidth="1"/>
    <col min="15374" max="15374" width="6.5703125" style="456" customWidth="1"/>
    <col min="15375" max="15375" width="12.28515625" style="456" customWidth="1"/>
    <col min="15376" max="15377" width="9.140625" style="456"/>
    <col min="15378" max="15378" width="17.28515625" style="456" customWidth="1"/>
    <col min="15379" max="15379" width="10.42578125" style="456" bestFit="1" customWidth="1"/>
    <col min="15380" max="15617" width="9.140625" style="456"/>
    <col min="15618" max="15618" width="4.42578125" style="456" customWidth="1"/>
    <col min="15619" max="15619" width="27" style="456" customWidth="1"/>
    <col min="15620" max="15620" width="10.42578125" style="456" customWidth="1"/>
    <col min="15621" max="15621" width="38.7109375" style="456" customWidth="1"/>
    <col min="15622" max="15622" width="5.28515625" style="456" customWidth="1"/>
    <col min="15623" max="15623" width="36" style="456" customWidth="1"/>
    <col min="15624" max="15624" width="10.7109375" style="456" customWidth="1"/>
    <col min="15625" max="15625" width="8.5703125" style="456" customWidth="1"/>
    <col min="15626" max="15626" width="10.5703125" style="456" customWidth="1"/>
    <col min="15627" max="15627" width="9.140625" style="456"/>
    <col min="15628" max="15628" width="33" style="456" customWidth="1"/>
    <col min="15629" max="15629" width="9.140625" style="456" customWidth="1"/>
    <col min="15630" max="15630" width="6.5703125" style="456" customWidth="1"/>
    <col min="15631" max="15631" width="12.28515625" style="456" customWidth="1"/>
    <col min="15632" max="15633" width="9.140625" style="456"/>
    <col min="15634" max="15634" width="17.28515625" style="456" customWidth="1"/>
    <col min="15635" max="15635" width="10.42578125" style="456" bestFit="1" customWidth="1"/>
    <col min="15636" max="15873" width="9.140625" style="456"/>
    <col min="15874" max="15874" width="4.42578125" style="456" customWidth="1"/>
    <col min="15875" max="15875" width="27" style="456" customWidth="1"/>
    <col min="15876" max="15876" width="10.42578125" style="456" customWidth="1"/>
    <col min="15877" max="15877" width="38.7109375" style="456" customWidth="1"/>
    <col min="15878" max="15878" width="5.28515625" style="456" customWidth="1"/>
    <col min="15879" max="15879" width="36" style="456" customWidth="1"/>
    <col min="15880" max="15880" width="10.7109375" style="456" customWidth="1"/>
    <col min="15881" max="15881" width="8.5703125" style="456" customWidth="1"/>
    <col min="15882" max="15882" width="10.5703125" style="456" customWidth="1"/>
    <col min="15883" max="15883" width="9.140625" style="456"/>
    <col min="15884" max="15884" width="33" style="456" customWidth="1"/>
    <col min="15885" max="15885" width="9.140625" style="456" customWidth="1"/>
    <col min="15886" max="15886" width="6.5703125" style="456" customWidth="1"/>
    <col min="15887" max="15887" width="12.28515625" style="456" customWidth="1"/>
    <col min="15888" max="15889" width="9.140625" style="456"/>
    <col min="15890" max="15890" width="17.28515625" style="456" customWidth="1"/>
    <col min="15891" max="15891" width="10.42578125" style="456" bestFit="1" customWidth="1"/>
    <col min="15892" max="16129" width="9.140625" style="456"/>
    <col min="16130" max="16130" width="4.42578125" style="456" customWidth="1"/>
    <col min="16131" max="16131" width="27" style="456" customWidth="1"/>
    <col min="16132" max="16132" width="10.42578125" style="456" customWidth="1"/>
    <col min="16133" max="16133" width="38.7109375" style="456" customWidth="1"/>
    <col min="16134" max="16134" width="5.28515625" style="456" customWidth="1"/>
    <col min="16135" max="16135" width="36" style="456" customWidth="1"/>
    <col min="16136" max="16136" width="10.7109375" style="456" customWidth="1"/>
    <col min="16137" max="16137" width="8.5703125" style="456" customWidth="1"/>
    <col min="16138" max="16138" width="10.5703125" style="456" customWidth="1"/>
    <col min="16139" max="16139" width="9.140625" style="456"/>
    <col min="16140" max="16140" width="33" style="456" customWidth="1"/>
    <col min="16141" max="16141" width="9.140625" style="456" customWidth="1"/>
    <col min="16142" max="16142" width="6.5703125" style="456" customWidth="1"/>
    <col min="16143" max="16143" width="12.28515625" style="456" customWidth="1"/>
    <col min="16144" max="16145" width="9.140625" style="456"/>
    <col min="16146" max="16146" width="17.28515625" style="456" customWidth="1"/>
    <col min="16147" max="16147" width="10.42578125" style="456" bestFit="1" customWidth="1"/>
    <col min="16148" max="16368" width="9.140625" style="456"/>
    <col min="16369" max="16384" width="9.140625" style="456" customWidth="1"/>
  </cols>
  <sheetData>
    <row r="1" spans="2:23" ht="13.5" thickBot="1" x14ac:dyDescent="0.25"/>
    <row r="2" spans="2:23" ht="19.5" thickBot="1" x14ac:dyDescent="0.35">
      <c r="B2" s="697"/>
      <c r="C2" s="697"/>
      <c r="D2" s="697"/>
      <c r="E2" s="697"/>
      <c r="F2" s="697"/>
      <c r="G2" s="697"/>
      <c r="H2" s="697"/>
      <c r="I2" s="696" t="s">
        <v>578</v>
      </c>
      <c r="J2" s="695"/>
      <c r="K2" s="695"/>
      <c r="L2" s="695"/>
      <c r="M2" s="695"/>
      <c r="N2" s="695"/>
      <c r="O2" s="695"/>
      <c r="P2" s="695"/>
      <c r="Q2" s="695"/>
      <c r="R2" s="695"/>
      <c r="S2" s="695"/>
      <c r="T2" s="695"/>
      <c r="U2" s="695"/>
      <c r="V2" s="694"/>
    </row>
    <row r="3" spans="2:23" ht="15" customHeight="1" thickBot="1" x14ac:dyDescent="0.25"/>
    <row r="4" spans="2:23" ht="15" customHeight="1" thickBot="1" x14ac:dyDescent="0.25">
      <c r="B4" s="693" t="s">
        <v>577</v>
      </c>
      <c r="C4" s="692" t="s">
        <v>576</v>
      </c>
      <c r="D4" s="692" t="s">
        <v>575</v>
      </c>
      <c r="E4" s="691" t="s">
        <v>574</v>
      </c>
      <c r="F4" s="597"/>
      <c r="G4" s="596"/>
      <c r="H4" s="456"/>
      <c r="I4" s="690" t="s">
        <v>459</v>
      </c>
      <c r="J4" s="689"/>
      <c r="K4" s="689"/>
      <c r="L4" s="688"/>
      <c r="M4" s="456"/>
      <c r="N4" s="687" t="s">
        <v>458</v>
      </c>
      <c r="O4" s="686"/>
      <c r="P4" s="686"/>
      <c r="Q4" s="685"/>
      <c r="R4" s="583"/>
      <c r="S4" s="684" t="s">
        <v>457</v>
      </c>
      <c r="T4" s="683"/>
      <c r="U4" s="683"/>
      <c r="V4" s="682"/>
      <c r="W4" s="585"/>
    </row>
    <row r="5" spans="2:23" ht="15" customHeight="1" x14ac:dyDescent="0.2">
      <c r="B5" s="681" t="s">
        <v>573</v>
      </c>
      <c r="C5" s="680">
        <v>2080</v>
      </c>
      <c r="D5" s="680">
        <v>2080</v>
      </c>
      <c r="E5" s="680">
        <v>2080</v>
      </c>
      <c r="F5" s="587"/>
      <c r="G5" s="595"/>
      <c r="H5" s="456"/>
      <c r="I5" s="679" t="s">
        <v>572</v>
      </c>
      <c r="J5" s="678"/>
      <c r="K5" s="678"/>
      <c r="L5" s="677">
        <f>C16</f>
        <v>1136</v>
      </c>
      <c r="M5" s="456"/>
      <c r="N5" s="679" t="s">
        <v>572</v>
      </c>
      <c r="O5" s="678"/>
      <c r="P5" s="678"/>
      <c r="Q5" s="677">
        <f>D16</f>
        <v>960</v>
      </c>
      <c r="R5" s="585"/>
      <c r="S5" s="679" t="s">
        <v>572</v>
      </c>
      <c r="T5" s="678"/>
      <c r="U5" s="678"/>
      <c r="V5" s="677">
        <f>E16</f>
        <v>940</v>
      </c>
      <c r="W5" s="585"/>
    </row>
    <row r="6" spans="2:23" ht="15" customHeight="1" x14ac:dyDescent="0.2">
      <c r="B6" s="669" t="s">
        <v>571</v>
      </c>
      <c r="C6" s="667">
        <f>3*40</f>
        <v>120</v>
      </c>
      <c r="D6" s="667">
        <f>3*40</f>
        <v>120</v>
      </c>
      <c r="E6" s="667">
        <f>3*40</f>
        <v>120</v>
      </c>
      <c r="F6" s="592"/>
      <c r="G6" s="591"/>
      <c r="H6" s="456"/>
      <c r="I6" s="676" t="s">
        <v>570</v>
      </c>
      <c r="J6" s="675" t="s">
        <v>377</v>
      </c>
      <c r="K6" s="674" t="s">
        <v>569</v>
      </c>
      <c r="L6" s="673" t="s">
        <v>504</v>
      </c>
      <c r="M6" s="456"/>
      <c r="N6" s="676" t="s">
        <v>570</v>
      </c>
      <c r="O6" s="675" t="s">
        <v>377</v>
      </c>
      <c r="P6" s="674" t="s">
        <v>569</v>
      </c>
      <c r="Q6" s="673" t="s">
        <v>504</v>
      </c>
      <c r="R6" s="585"/>
      <c r="S6" s="676" t="s">
        <v>570</v>
      </c>
      <c r="T6" s="675" t="s">
        <v>377</v>
      </c>
      <c r="U6" s="674" t="s">
        <v>569</v>
      </c>
      <c r="V6" s="673" t="s">
        <v>504</v>
      </c>
      <c r="W6" s="585"/>
    </row>
    <row r="7" spans="2:23" ht="15" customHeight="1" x14ac:dyDescent="0.25">
      <c r="B7" s="672" t="s">
        <v>568</v>
      </c>
      <c r="C7" s="667">
        <f>2*40</f>
        <v>80</v>
      </c>
      <c r="D7" s="667">
        <f>2*40</f>
        <v>80</v>
      </c>
      <c r="E7" s="667">
        <f>2*40</f>
        <v>80</v>
      </c>
      <c r="F7" s="592"/>
      <c r="G7" s="440">
        <v>1</v>
      </c>
      <c r="H7" s="456"/>
      <c r="I7" s="640" t="str">
        <f>IF(INDEX('Master Lookup'!$B$93:$B$100,G7)=0,"",INDEX('Master Lookup'!$B$93:$B$100,G7))</f>
        <v>Behav.Supp. - Bachelor's</v>
      </c>
      <c r="J7" s="671">
        <f>IFERROR(INDEX('Master Lookup'!$D$93:$D$100,MATCH(I7,'Master Lookup'!$B$93:$B$100,0)),"")</f>
        <v>58616.063999999998</v>
      </c>
      <c r="K7" s="670">
        <f>IFERROR(INDEX('Master Lookup'!$E$93:$E$100,MATCH(I7,'Master Lookup'!$B$93:$B$100,0)),"")</f>
        <v>1</v>
      </c>
      <c r="L7" s="622">
        <f>IFERROR(J7*K7,0)</f>
        <v>58616.063999999998</v>
      </c>
      <c r="M7" s="456"/>
      <c r="N7" s="640" t="str">
        <f>IF(INDEX('Master Lookup'!$B$93:$B$100,G7)=0,"",INDEX('Master Lookup'!$B$93:$B$100,G7))</f>
        <v>Behav.Supp. - Bachelor's</v>
      </c>
      <c r="O7" s="671">
        <f>IFERROR(INDEX('Master Lookup'!$D$93:$D$100,MATCH(N7,'Master Lookup'!$B$93:$B$100,0)),"")</f>
        <v>58616.063999999998</v>
      </c>
      <c r="P7" s="670">
        <f>IFERROR(INDEX('Master Lookup'!$F$93:$F$100,MATCH(N7,'Master Lookup'!$B$93:$B$100,0)),"")</f>
        <v>0</v>
      </c>
      <c r="Q7" s="622">
        <f>IFERROR(O7*P7,0)</f>
        <v>0</v>
      </c>
      <c r="R7" s="585"/>
      <c r="S7" s="640" t="str">
        <f>IF(INDEX('Master Lookup'!$B$93:$B$100,G7)=0,"",INDEX('Master Lookup'!$B$93:$B$100,G7))</f>
        <v>Behav.Supp. - Bachelor's</v>
      </c>
      <c r="T7" s="671">
        <f>IFERROR(INDEX('Master Lookup'!$D$93:$D$100,MATCH(S7,'Master Lookup'!$B$93:$B$100,0)),"")</f>
        <v>58616.063999999998</v>
      </c>
      <c r="U7" s="670">
        <f>IFERROR(INDEX('Master Lookup'!$G$93:$G$100,MATCH(S7,'Master Lookup'!$B$93:$B$100,0)),"")</f>
        <v>0</v>
      </c>
      <c r="V7" s="622">
        <f>IFERROR(T7*U7,0)</f>
        <v>0</v>
      </c>
      <c r="W7" s="583"/>
    </row>
    <row r="8" spans="2:23" ht="15" customHeight="1" x14ac:dyDescent="0.25">
      <c r="B8" s="669" t="s">
        <v>567</v>
      </c>
      <c r="C8" s="667">
        <f>1*40</f>
        <v>40</v>
      </c>
      <c r="D8" s="667">
        <f>1*40</f>
        <v>40</v>
      </c>
      <c r="E8" s="667">
        <f>40*1.5</f>
        <v>60</v>
      </c>
      <c r="F8" s="592"/>
      <c r="G8" s="440">
        <v>2</v>
      </c>
      <c r="H8" s="456"/>
      <c r="I8" s="494" t="str">
        <f>IF(INDEX('Master Lookup'!$B$93:$B$100,G8)=0,"",INDEX('Master Lookup'!$B$93:$B$100,G8))</f>
        <v>Behav. Supp. - Doctorate</v>
      </c>
      <c r="J8" s="496">
        <f>IFERROR(INDEX('Master Lookup'!$D$93:$D$100,MATCH(I8,'Master Lookup'!$B$93:$B$100,0)),"")</f>
        <v>101383.77600000001</v>
      </c>
      <c r="K8" s="547">
        <f>IFERROR(INDEX('Master Lookup'!$E$93:$E$100,MATCH(I8,'Master Lookup'!$B$93:$B$100,0)),"")</f>
        <v>0</v>
      </c>
      <c r="L8" s="668">
        <f>IFERROR(J8*K8,0)</f>
        <v>0</v>
      </c>
      <c r="M8" s="456"/>
      <c r="N8" s="494" t="str">
        <f>IF(INDEX('Master Lookup'!$B$93:$B$100,G8)=0,"",INDEX('Master Lookup'!$B$93:$B$100,G8))</f>
        <v>Behav. Supp. - Doctorate</v>
      </c>
      <c r="O8" s="496">
        <f>IFERROR(INDEX('Master Lookup'!$D$93:$D$100,MATCH(N8,'Master Lookup'!$B$93:$B$100,0)),"")</f>
        <v>101383.77600000001</v>
      </c>
      <c r="P8" s="547">
        <f>IFERROR(INDEX('Master Lookup'!$F$93:$F$100,MATCH(N8,'Master Lookup'!$B$93:$B$100,0)),"")</f>
        <v>0</v>
      </c>
      <c r="Q8" s="668">
        <f>IFERROR(O8*P8,0)</f>
        <v>0</v>
      </c>
      <c r="R8" s="585"/>
      <c r="S8" s="494" t="str">
        <f>IF(INDEX('Master Lookup'!$B$93:$B$100,G8)=0,"",INDEX('Master Lookup'!$B$93:$B$100,G8))</f>
        <v>Behav. Supp. - Doctorate</v>
      </c>
      <c r="T8" s="496">
        <f>IFERROR(INDEX('Master Lookup'!$D$93:$D$100,MATCH(S8,'Master Lookup'!$B$93:$B$100,0)),"")</f>
        <v>101383.77600000001</v>
      </c>
      <c r="U8" s="547">
        <f>IFERROR(INDEX('Master Lookup'!$G$93:$G$100,MATCH(S8,'Master Lookup'!$B$93:$B$100,0)),"")</f>
        <v>1</v>
      </c>
      <c r="V8" s="668">
        <f>IFERROR(T8*U8,0)</f>
        <v>101383.77600000001</v>
      </c>
      <c r="W8" s="585"/>
    </row>
    <row r="9" spans="2:23" ht="15" customHeight="1" x14ac:dyDescent="0.25">
      <c r="B9" s="669" t="s">
        <v>566</v>
      </c>
      <c r="C9" s="667">
        <f>44*2</f>
        <v>88</v>
      </c>
      <c r="D9" s="667">
        <f>44*2</f>
        <v>88</v>
      </c>
      <c r="E9" s="667">
        <f>44*2</f>
        <v>88</v>
      </c>
      <c r="F9" s="592"/>
      <c r="G9" s="440">
        <v>3</v>
      </c>
      <c r="H9" s="456"/>
      <c r="I9" s="494" t="str">
        <f>IF(INDEX('Master Lookup'!$B$93:$B$100,G9)=0,"",INDEX('Master Lookup'!$B$93:$B$100,G9))</f>
        <v>Behav. Supp. - Master's</v>
      </c>
      <c r="J9" s="496">
        <f>IFERROR(INDEX('Master Lookup'!$D$93:$D$100,MATCH(I9,'Master Lookup'!$B$93:$B$100,0)),"")</f>
        <v>80606.448000000004</v>
      </c>
      <c r="K9" s="547">
        <f>IFERROR(INDEX('Master Lookup'!$E$93:$E$100,MATCH(I9,'Master Lookup'!$B$93:$B$100,0)),"")</f>
        <v>0</v>
      </c>
      <c r="L9" s="668">
        <f>IFERROR(J9*K9,0)</f>
        <v>0</v>
      </c>
      <c r="M9" s="456"/>
      <c r="N9" s="494" t="str">
        <f>IF(INDEX('Master Lookup'!$B$93:$B$100,G9)=0,"",INDEX('Master Lookup'!$B$93:$B$100,G9))</f>
        <v>Behav. Supp. - Master's</v>
      </c>
      <c r="O9" s="496">
        <f>IFERROR(INDEX('Master Lookup'!$D$93:$D$100,MATCH(N9,'Master Lookup'!$B$93:$B$100,0)),"")</f>
        <v>80606.448000000004</v>
      </c>
      <c r="P9" s="547">
        <f>IFERROR(INDEX('Master Lookup'!$F$93:$F$100,MATCH(N9,'Master Lookup'!$B$93:$B$100,0)),"")</f>
        <v>1</v>
      </c>
      <c r="Q9" s="668">
        <f>IFERROR(O9*P9,0)</f>
        <v>80606.448000000004</v>
      </c>
      <c r="R9" s="585"/>
      <c r="S9" s="494" t="str">
        <f>IF(INDEX('Master Lookup'!$B$93:$B$100,G9)=0,"",INDEX('Master Lookup'!$B$93:$B$100,G9))</f>
        <v>Behav. Supp. - Master's</v>
      </c>
      <c r="T9" s="496">
        <f>IFERROR(INDEX('Master Lookup'!$D$93:$D$100,MATCH(S9,'Master Lookup'!$B$93:$B$100,0)),"")</f>
        <v>80606.448000000004</v>
      </c>
      <c r="U9" s="547">
        <f>IFERROR(INDEX('Master Lookup'!$G$93:$G$100,MATCH(S9,'Master Lookup'!$B$93:$B$100,0)),"")</f>
        <v>0</v>
      </c>
      <c r="V9" s="668">
        <f>IFERROR(T9*U9,0)</f>
        <v>0</v>
      </c>
      <c r="W9" s="585"/>
    </row>
    <row r="10" spans="2:23" ht="15" customHeight="1" x14ac:dyDescent="0.25">
      <c r="B10" s="662" t="s">
        <v>544</v>
      </c>
      <c r="C10" s="667">
        <f>6*44</f>
        <v>264</v>
      </c>
      <c r="D10" s="667">
        <f>8*44</f>
        <v>352</v>
      </c>
      <c r="E10" s="667">
        <f>8*44</f>
        <v>352</v>
      </c>
      <c r="F10" s="592"/>
      <c r="G10" s="440">
        <v>4</v>
      </c>
      <c r="H10" s="456"/>
      <c r="I10" s="665" t="s">
        <v>503</v>
      </c>
      <c r="J10" s="664"/>
      <c r="K10" s="663"/>
      <c r="L10" s="625">
        <f>SUM(L7:L9)</f>
        <v>58616.063999999998</v>
      </c>
      <c r="M10" s="604"/>
      <c r="N10" s="665" t="s">
        <v>503</v>
      </c>
      <c r="O10" s="664"/>
      <c r="P10" s="663"/>
      <c r="Q10" s="625">
        <f>SUM(Q7:Q9)</f>
        <v>80606.448000000004</v>
      </c>
      <c r="R10" s="666"/>
      <c r="S10" s="665" t="s">
        <v>503</v>
      </c>
      <c r="T10" s="664"/>
      <c r="U10" s="663"/>
      <c r="V10" s="625">
        <f>SUM(V7:V9)</f>
        <v>101383.77600000001</v>
      </c>
      <c r="W10" s="585"/>
    </row>
    <row r="11" spans="2:23" ht="15" customHeight="1" thickBot="1" x14ac:dyDescent="0.3">
      <c r="B11" s="662" t="s">
        <v>565</v>
      </c>
      <c r="C11" s="661">
        <f>8*44</f>
        <v>352</v>
      </c>
      <c r="D11" s="661">
        <f>10*44</f>
        <v>440</v>
      </c>
      <c r="E11" s="661">
        <f>10*44</f>
        <v>440</v>
      </c>
      <c r="F11" s="592"/>
      <c r="G11" s="440">
        <v>5</v>
      </c>
      <c r="H11" s="456"/>
      <c r="I11" s="660" t="s">
        <v>368</v>
      </c>
      <c r="J11" s="659">
        <f>INDEX('Master Lookup'!$C$113:$C$115,MATCH(I11,'Master Lookup'!$B$113:$B$115,0))</f>
        <v>0.27379999999999999</v>
      </c>
      <c r="K11" s="658"/>
      <c r="L11" s="657">
        <f>L10*J11</f>
        <v>16049.078323199999</v>
      </c>
      <c r="M11" s="456"/>
      <c r="N11" s="660" t="s">
        <v>368</v>
      </c>
      <c r="O11" s="659">
        <f>INDEX('Master Lookup'!$C$113:$C$115,MATCH(N11,'Master Lookup'!$B$113:$B$115,0))</f>
        <v>0.27379999999999999</v>
      </c>
      <c r="P11" s="658"/>
      <c r="Q11" s="657">
        <f>Q10*O11</f>
        <v>22070.045462400001</v>
      </c>
      <c r="R11" s="452"/>
      <c r="S11" s="660" t="s">
        <v>368</v>
      </c>
      <c r="T11" s="659">
        <f>INDEX('Master Lookup'!$C$113:$C$115,MATCH(S11,'Master Lookup'!$B$113:$B$115,0))</f>
        <v>0.27379999999999999</v>
      </c>
      <c r="U11" s="658"/>
      <c r="V11" s="657">
        <f>V10*T11</f>
        <v>27758.877868800002</v>
      </c>
      <c r="W11" s="585"/>
    </row>
    <row r="12" spans="2:23" ht="15" customHeight="1" thickBot="1" x14ac:dyDescent="0.3">
      <c r="B12" s="637" t="s">
        <v>564</v>
      </c>
      <c r="C12" s="656">
        <f>SUM(C6:C11)</f>
        <v>944</v>
      </c>
      <c r="D12" s="655">
        <f>SUM(D6:D11)</f>
        <v>1120</v>
      </c>
      <c r="E12" s="655">
        <f>SUM(E6:E11)</f>
        <v>1140</v>
      </c>
      <c r="F12" s="587"/>
      <c r="G12" s="440">
        <v>6</v>
      </c>
      <c r="H12" s="456"/>
      <c r="I12" s="654" t="s">
        <v>502</v>
      </c>
      <c r="J12" s="653"/>
      <c r="K12" s="652">
        <f>K7</f>
        <v>1</v>
      </c>
      <c r="L12" s="625">
        <f>SUM(L10:L11)</f>
        <v>74665.142323199994</v>
      </c>
      <c r="M12" s="456"/>
      <c r="N12" s="654" t="s">
        <v>502</v>
      </c>
      <c r="O12" s="653"/>
      <c r="P12" s="652">
        <f>P7</f>
        <v>0</v>
      </c>
      <c r="Q12" s="625">
        <f>SUM(Q10:Q11)</f>
        <v>102676.4934624</v>
      </c>
      <c r="R12" s="585"/>
      <c r="S12" s="654" t="s">
        <v>502</v>
      </c>
      <c r="T12" s="653"/>
      <c r="U12" s="652"/>
      <c r="V12" s="625">
        <f>SUM(V10:V11)</f>
        <v>129142.65386880001</v>
      </c>
      <c r="W12" s="585"/>
    </row>
    <row r="13" spans="2:23" ht="15" customHeight="1" x14ac:dyDescent="0.25">
      <c r="B13" s="651"/>
      <c r="C13" s="650"/>
      <c r="D13" s="649"/>
      <c r="E13" s="649"/>
      <c r="F13" s="587"/>
      <c r="G13" s="440"/>
      <c r="H13" s="456"/>
      <c r="I13" s="613"/>
      <c r="J13" s="645"/>
      <c r="K13" s="603"/>
      <c r="L13" s="644"/>
      <c r="M13" s="456"/>
      <c r="N13" s="613"/>
      <c r="O13" s="645"/>
      <c r="P13" s="603"/>
      <c r="Q13" s="644"/>
      <c r="R13" s="585"/>
      <c r="S13" s="613"/>
      <c r="T13" s="645"/>
      <c r="U13" s="603"/>
      <c r="V13" s="644"/>
      <c r="W13" s="585"/>
    </row>
    <row r="14" spans="2:23" ht="15" customHeight="1" x14ac:dyDescent="0.2">
      <c r="B14" s="648" t="s">
        <v>563</v>
      </c>
      <c r="C14" s="647">
        <f>C5-C12</f>
        <v>1136</v>
      </c>
      <c r="D14" s="646">
        <f>D5-D12</f>
        <v>960</v>
      </c>
      <c r="E14" s="646">
        <f>E5-E12</f>
        <v>940</v>
      </c>
      <c r="F14" s="587"/>
      <c r="G14" s="594"/>
      <c r="H14" s="456"/>
      <c r="I14" s="613" t="s">
        <v>372</v>
      </c>
      <c r="J14" s="645"/>
      <c r="K14" s="603"/>
      <c r="L14" s="644"/>
      <c r="M14" s="456"/>
      <c r="N14" s="613" t="s">
        <v>372</v>
      </c>
      <c r="O14" s="645"/>
      <c r="P14" s="603"/>
      <c r="Q14" s="644"/>
      <c r="R14" s="585"/>
      <c r="S14" s="613" t="s">
        <v>372</v>
      </c>
      <c r="T14" s="645"/>
      <c r="U14" s="603"/>
      <c r="V14" s="644"/>
      <c r="W14" s="585"/>
    </row>
    <row r="15" spans="2:23" ht="15" customHeight="1" thickBot="1" x14ac:dyDescent="0.25">
      <c r="B15" s="643" t="s">
        <v>562</v>
      </c>
      <c r="C15" s="642">
        <v>1</v>
      </c>
      <c r="D15" s="590">
        <v>1</v>
      </c>
      <c r="E15" s="641">
        <v>1</v>
      </c>
      <c r="F15" s="590"/>
      <c r="G15" s="589"/>
      <c r="H15" s="456"/>
      <c r="I15" s="640" t="str">
        <f>IF(INDEX('Master Lookup'!$B$105:$B$111,G18)=0,"",INDEX('Master Lookup'!$B$105:$B$111,G18))</f>
        <v>Total Occupancy</v>
      </c>
      <c r="J15" s="639"/>
      <c r="K15" s="639"/>
      <c r="L15" s="638">
        <f>IFERROR(INDEX('Master Lookup'!$C$105:$C$111,MATCH(I15,'Master Lookup'!$B$105:$B$111,0)),"")</f>
        <v>6221.9259542286536</v>
      </c>
      <c r="M15" s="456"/>
      <c r="N15" s="640" t="str">
        <f>IF(INDEX('Master Lookup'!$B$105:$B$111,G18)=0,"",INDEX('Master Lookup'!$B$105:$B$111,G18))</f>
        <v>Total Occupancy</v>
      </c>
      <c r="O15" s="639"/>
      <c r="P15" s="639"/>
      <c r="Q15" s="638">
        <f>IFERROR(INDEX('Master Lookup'!$C$105:$C$111,MATCH(N15,'Master Lookup'!$B$105:$B$111,0)),"")</f>
        <v>6221.9259542286536</v>
      </c>
      <c r="R15" s="585"/>
      <c r="S15" s="640" t="str">
        <f>IF(INDEX('Master Lookup'!$B$105:$B$111,G18)=0,"",INDEX('Master Lookup'!$B$105:$B$111,G18))</f>
        <v>Total Occupancy</v>
      </c>
      <c r="T15" s="639"/>
      <c r="U15" s="639"/>
      <c r="V15" s="638">
        <f>IFERROR(INDEX('Master Lookup'!$C$105:$C$111,MATCH(S15,'Master Lookup'!$B$105:$B$111,0)),"")</f>
        <v>6221.9259542286536</v>
      </c>
      <c r="W15" s="585"/>
    </row>
    <row r="16" spans="2:23" ht="15.75" customHeight="1" thickBot="1" x14ac:dyDescent="0.25">
      <c r="B16" s="637" t="s">
        <v>561</v>
      </c>
      <c r="C16" s="636">
        <f>C15*C14</f>
        <v>1136</v>
      </c>
      <c r="D16" s="635">
        <f>D15*D14</f>
        <v>960</v>
      </c>
      <c r="E16" s="635">
        <f>E15*E14</f>
        <v>940</v>
      </c>
      <c r="F16" s="587"/>
      <c r="G16" s="586"/>
      <c r="H16" s="456"/>
      <c r="I16" s="494" t="str">
        <f>IF(INDEX('Master Lookup'!$B$105:$B$111,G19)=0,"",INDEX('Master Lookup'!$B$105:$B$111,G19))</f>
        <v>Client Transportation 208</v>
      </c>
      <c r="J16" s="593"/>
      <c r="K16" s="628"/>
      <c r="L16" s="627">
        <f>IFERROR(INDEX('Master Lookup'!$C$105:$C$111,MATCH(I16,'Master Lookup'!$B$105:$B$111,0)),"")</f>
        <v>1741.693522928565</v>
      </c>
      <c r="M16" s="456"/>
      <c r="N16" s="494" t="str">
        <f>IF(INDEX('Master Lookup'!$B$105:$B$111,G19)=0,"",INDEX('Master Lookup'!$B$105:$B$111,G19))</f>
        <v>Client Transportation 208</v>
      </c>
      <c r="O16" s="593"/>
      <c r="P16" s="628"/>
      <c r="Q16" s="627">
        <f>IFERROR(INDEX('Master Lookup'!$C$105:$C$111,MATCH(N16,'Master Lookup'!$B$105:$B$111,0)),"")</f>
        <v>1741.693522928565</v>
      </c>
      <c r="R16" s="585"/>
      <c r="S16" s="494" t="str">
        <f>IF(INDEX('Master Lookup'!$B$105:$B$111,G19)=0,"",INDEX('Master Lookup'!$B$105:$B$111,G19))</f>
        <v>Client Transportation 208</v>
      </c>
      <c r="T16" s="593"/>
      <c r="U16" s="628"/>
      <c r="V16" s="627">
        <f>IFERROR(INDEX('Master Lookup'!$C$105:$C$111,MATCH(S16,'Master Lookup'!$B$105:$B$111,0)),"")</f>
        <v>1741.693522928565</v>
      </c>
      <c r="W16" s="585"/>
    </row>
    <row r="17" spans="2:23" ht="15.75" customHeight="1" x14ac:dyDescent="0.2">
      <c r="B17" s="629"/>
      <c r="C17" s="587"/>
      <c r="D17" s="587"/>
      <c r="E17" s="587"/>
      <c r="F17" s="587"/>
      <c r="G17" s="586"/>
      <c r="H17" s="456"/>
      <c r="I17" s="633" t="s">
        <v>538</v>
      </c>
      <c r="J17" s="634"/>
      <c r="K17" s="631"/>
      <c r="L17" s="630">
        <f>SUM(L15:L16)</f>
        <v>7963.6194771572191</v>
      </c>
      <c r="M17" s="456"/>
      <c r="N17" s="633" t="s">
        <v>538</v>
      </c>
      <c r="O17" s="632"/>
      <c r="P17" s="631"/>
      <c r="Q17" s="630">
        <f>SUM(Q15:Q16)</f>
        <v>7963.6194771572191</v>
      </c>
      <c r="R17" s="585"/>
      <c r="S17" s="633" t="s">
        <v>538</v>
      </c>
      <c r="T17" s="632"/>
      <c r="U17" s="631"/>
      <c r="V17" s="630">
        <f>SUM(V15:V16)</f>
        <v>7963.6194771572191</v>
      </c>
      <c r="W17" s="585"/>
    </row>
    <row r="18" spans="2:23" ht="15.75" customHeight="1" x14ac:dyDescent="0.25">
      <c r="B18" s="629"/>
      <c r="C18" s="587"/>
      <c r="D18" s="587"/>
      <c r="E18" s="587"/>
      <c r="F18" s="587"/>
      <c r="G18" s="440">
        <v>1</v>
      </c>
      <c r="H18" s="456"/>
      <c r="I18" s="494"/>
      <c r="J18" s="593"/>
      <c r="K18" s="628"/>
      <c r="L18" s="627"/>
      <c r="M18" s="456"/>
      <c r="N18" s="494"/>
      <c r="O18" s="593"/>
      <c r="P18" s="628"/>
      <c r="Q18" s="627"/>
      <c r="R18" s="585"/>
      <c r="S18" s="494"/>
      <c r="T18" s="593"/>
      <c r="U18" s="628"/>
      <c r="V18" s="627"/>
      <c r="W18" s="585"/>
    </row>
    <row r="19" spans="2:23" ht="15" customHeight="1" x14ac:dyDescent="0.25">
      <c r="B19" s="587"/>
      <c r="C19" s="587"/>
      <c r="D19" s="587"/>
      <c r="E19" s="587"/>
      <c r="F19" s="587"/>
      <c r="G19" s="440">
        <v>2</v>
      </c>
      <c r="H19" s="456"/>
      <c r="I19" s="626" t="s">
        <v>499</v>
      </c>
      <c r="J19" s="488"/>
      <c r="K19" s="487"/>
      <c r="L19" s="625">
        <f>SUM(L12,L17)</f>
        <v>82628.761800357213</v>
      </c>
      <c r="M19" s="456"/>
      <c r="N19" s="626" t="s">
        <v>499</v>
      </c>
      <c r="O19" s="488"/>
      <c r="P19" s="487"/>
      <c r="Q19" s="625">
        <f>SUM(Q12,Q17)</f>
        <v>110640.11293955722</v>
      </c>
      <c r="R19" s="585"/>
      <c r="S19" s="626" t="s">
        <v>499</v>
      </c>
      <c r="T19" s="488"/>
      <c r="U19" s="487"/>
      <c r="V19" s="625">
        <f>SUM(V12,V17)</f>
        <v>137106.27334595722</v>
      </c>
      <c r="W19" s="585"/>
    </row>
    <row r="20" spans="2:23" ht="15" customHeight="1" x14ac:dyDescent="0.25">
      <c r="B20" s="587"/>
      <c r="C20" s="587"/>
      <c r="D20" s="587"/>
      <c r="E20" s="587"/>
      <c r="F20" s="587"/>
      <c r="G20" s="440">
        <v>3</v>
      </c>
      <c r="H20" s="456"/>
      <c r="I20" s="395" t="s">
        <v>366</v>
      </c>
      <c r="J20" s="624">
        <f>INDEX('Master Lookup'!$C$113:$C$115,MATCH(I20,'Master Lookup'!$B$113:$B$115,0))</f>
        <v>0.12</v>
      </c>
      <c r="K20" s="623"/>
      <c r="L20" s="622">
        <f>L19*J20</f>
        <v>9915.4514160428644</v>
      </c>
      <c r="M20" s="456"/>
      <c r="N20" s="395" t="s">
        <v>366</v>
      </c>
      <c r="O20" s="624">
        <f>INDEX('Master Lookup'!$C$113:$C$115,MATCH(N20,'Master Lookup'!$B$113:$B$115,0))</f>
        <v>0.12</v>
      </c>
      <c r="P20" s="623"/>
      <c r="Q20" s="622">
        <f>Q19*O20</f>
        <v>13276.813552746866</v>
      </c>
      <c r="R20" s="585"/>
      <c r="S20" s="395" t="s">
        <v>366</v>
      </c>
      <c r="T20" s="624">
        <f>INDEX('Master Lookup'!$C$113:$C$115,MATCH(S20,'Master Lookup'!$B$113:$B$115,0))</f>
        <v>0.12</v>
      </c>
      <c r="U20" s="623"/>
      <c r="V20" s="622">
        <f>V19*T20</f>
        <v>16452.752801514867</v>
      </c>
      <c r="W20" s="585"/>
    </row>
    <row r="21" spans="2:23" ht="15" customHeight="1" x14ac:dyDescent="0.25">
      <c r="B21" s="587"/>
      <c r="C21" s="587"/>
      <c r="D21" s="587"/>
      <c r="E21" s="587"/>
      <c r="F21" s="587"/>
      <c r="G21" s="440">
        <v>4</v>
      </c>
      <c r="H21" s="456"/>
      <c r="I21" s="391" t="s">
        <v>367</v>
      </c>
      <c r="J21" s="620">
        <f>INDEX('Master Lookup'!$C$113:$C$115,MATCH(I21,'Master Lookup'!$B$113:$B$115,0))</f>
        <v>2.7100379121522307E-2</v>
      </c>
      <c r="K21" s="619"/>
      <c r="L21" s="618">
        <f>(L19+L20)*J21</f>
        <v>2507.9832636674373</v>
      </c>
      <c r="M21" s="456"/>
      <c r="N21" s="391" t="s">
        <v>367</v>
      </c>
      <c r="O21" s="620">
        <f>INDEX('Master Lookup'!$C$113:$C$115,MATCH(N21,'Master Lookup'!$B$113:$B$115,0))</f>
        <v>2.7100379121522307E-2</v>
      </c>
      <c r="P21" s="619"/>
      <c r="Q21" s="618">
        <f>(Q19+Q20)*O21</f>
        <v>3358.1956875152523</v>
      </c>
      <c r="R21" s="621"/>
      <c r="S21" s="391" t="s">
        <v>367</v>
      </c>
      <c r="T21" s="620">
        <f>INDEX('Master Lookup'!$C$113:$C$115,MATCH(S21,'Master Lookup'!$B$113:$B$115,0))</f>
        <v>2.7100379121522307E-2</v>
      </c>
      <c r="U21" s="619"/>
      <c r="V21" s="618">
        <f>(V19+V20)*T21</f>
        <v>4161.5078261282506</v>
      </c>
      <c r="W21" s="585"/>
    </row>
    <row r="22" spans="2:23" ht="15" customHeight="1" x14ac:dyDescent="0.25">
      <c r="B22" s="587"/>
      <c r="C22" s="587"/>
      <c r="D22" s="587"/>
      <c r="E22" s="587"/>
      <c r="F22" s="587"/>
      <c r="G22" s="440">
        <v>5</v>
      </c>
      <c r="H22" s="456"/>
      <c r="I22" s="617" t="s">
        <v>536</v>
      </c>
      <c r="J22" s="616"/>
      <c r="K22" s="615"/>
      <c r="L22" s="614">
        <f>SUM(L19:L21)</f>
        <v>95052.19648006752</v>
      </c>
      <c r="M22" s="456"/>
      <c r="N22" s="617" t="s">
        <v>536</v>
      </c>
      <c r="O22" s="616"/>
      <c r="P22" s="615"/>
      <c r="Q22" s="614">
        <f>SUM(Q19:Q21)</f>
        <v>127275.12217981934</v>
      </c>
      <c r="R22" s="585"/>
      <c r="S22" s="617" t="s">
        <v>536</v>
      </c>
      <c r="T22" s="616"/>
      <c r="U22" s="615"/>
      <c r="V22" s="614">
        <f>SUM(V19:V21)</f>
        <v>157720.53397360034</v>
      </c>
      <c r="W22" s="585"/>
    </row>
    <row r="23" spans="2:23" ht="15" customHeight="1" x14ac:dyDescent="0.25">
      <c r="B23" s="587"/>
      <c r="C23" s="587"/>
      <c r="D23" s="587"/>
      <c r="E23" s="587"/>
      <c r="F23" s="587"/>
      <c r="G23" s="440">
        <v>6</v>
      </c>
      <c r="H23" s="456"/>
      <c r="I23" s="613" t="s">
        <v>560</v>
      </c>
      <c r="J23" s="604"/>
      <c r="K23" s="603"/>
      <c r="L23" s="612">
        <f>L22/L5</f>
        <v>83.672708169073516</v>
      </c>
      <c r="M23" s="456"/>
      <c r="N23" s="613" t="s">
        <v>560</v>
      </c>
      <c r="O23" s="604"/>
      <c r="P23" s="603"/>
      <c r="Q23" s="612">
        <f>Q22/Q5</f>
        <v>132.57825227064515</v>
      </c>
      <c r="R23" s="585"/>
      <c r="S23" s="613" t="s">
        <v>559</v>
      </c>
      <c r="T23" s="604"/>
      <c r="U23" s="603"/>
      <c r="V23" s="612">
        <f>V22/V5</f>
        <v>167.78780209957483</v>
      </c>
      <c r="W23" s="585"/>
    </row>
    <row r="24" spans="2:23" ht="15" customHeight="1" thickBot="1" x14ac:dyDescent="0.25">
      <c r="B24" s="598"/>
      <c r="C24" s="598"/>
      <c r="D24" s="598"/>
      <c r="E24" s="598"/>
      <c r="F24" s="598"/>
      <c r="H24" s="456"/>
      <c r="I24" s="611" t="s">
        <v>558</v>
      </c>
      <c r="J24" s="610"/>
      <c r="K24" s="609"/>
      <c r="L24" s="608">
        <f>ROUND(L23*0.25,2)</f>
        <v>20.92</v>
      </c>
      <c r="M24" s="456"/>
      <c r="N24" s="611" t="s">
        <v>558</v>
      </c>
      <c r="O24" s="610"/>
      <c r="P24" s="609"/>
      <c r="Q24" s="608">
        <f>ROUND(Q23*0.25,2)</f>
        <v>33.14</v>
      </c>
      <c r="S24" s="611" t="s">
        <v>557</v>
      </c>
      <c r="T24" s="610"/>
      <c r="U24" s="609"/>
      <c r="V24" s="608">
        <f>ROUND(V23*0.25,2)</f>
        <v>41.95</v>
      </c>
      <c r="W24" s="585"/>
    </row>
    <row r="25" spans="2:23" ht="15" customHeight="1" x14ac:dyDescent="0.25">
      <c r="B25" s="598"/>
      <c r="C25" s="598"/>
      <c r="D25" s="598"/>
      <c r="E25" s="598"/>
      <c r="F25" s="598"/>
      <c r="G25" s="440"/>
      <c r="H25" s="456"/>
      <c r="I25" s="604"/>
      <c r="J25" s="607"/>
      <c r="K25" s="607"/>
      <c r="L25" s="605"/>
      <c r="M25" s="460"/>
      <c r="N25" s="604"/>
      <c r="O25" s="606"/>
      <c r="P25" s="606"/>
      <c r="Q25" s="605"/>
      <c r="R25" s="585"/>
      <c r="T25" s="606"/>
      <c r="U25" s="606"/>
      <c r="V25" s="605"/>
      <c r="W25" s="585"/>
    </row>
    <row r="26" spans="2:23" ht="15" customHeight="1" x14ac:dyDescent="0.25">
      <c r="B26" s="598"/>
      <c r="C26" s="598"/>
      <c r="D26" s="598"/>
      <c r="E26" s="598"/>
      <c r="F26" s="598"/>
      <c r="G26" s="440"/>
      <c r="H26" s="456"/>
      <c r="M26" s="456"/>
      <c r="N26" s="604"/>
      <c r="O26" s="604"/>
      <c r="P26" s="603"/>
      <c r="Q26" s="602"/>
      <c r="R26" s="585"/>
      <c r="S26" s="601"/>
      <c r="W26" s="585"/>
    </row>
    <row r="27" spans="2:23" ht="15" customHeight="1" x14ac:dyDescent="0.2">
      <c r="B27" s="598"/>
      <c r="C27" s="598"/>
      <c r="D27" s="598"/>
      <c r="E27" s="598"/>
      <c r="F27" s="598"/>
      <c r="G27" s="597"/>
      <c r="H27" s="456"/>
      <c r="S27" s="600"/>
      <c r="T27" s="599"/>
    </row>
    <row r="28" spans="2:23" ht="15" customHeight="1" x14ac:dyDescent="0.2">
      <c r="B28" s="598"/>
      <c r="C28" s="598"/>
      <c r="D28" s="598"/>
      <c r="E28" s="598"/>
      <c r="F28" s="598"/>
      <c r="G28" s="597"/>
      <c r="H28" s="456"/>
      <c r="S28" s="600"/>
      <c r="T28" s="599"/>
    </row>
    <row r="29" spans="2:23" ht="15" customHeight="1" x14ac:dyDescent="0.2">
      <c r="B29" s="598"/>
      <c r="C29" s="598"/>
      <c r="D29" s="598"/>
      <c r="E29" s="598"/>
      <c r="F29" s="598"/>
      <c r="G29" s="597"/>
      <c r="H29" s="456"/>
    </row>
    <row r="30" spans="2:23" ht="15" customHeight="1" x14ac:dyDescent="0.2">
      <c r="B30" s="597"/>
      <c r="C30" s="597"/>
      <c r="D30" s="597"/>
      <c r="E30" s="597"/>
      <c r="F30" s="597"/>
      <c r="G30" s="596"/>
      <c r="H30" s="456"/>
    </row>
    <row r="31" spans="2:23" ht="15" customHeight="1" x14ac:dyDescent="0.2">
      <c r="B31" s="587"/>
      <c r="C31" s="587"/>
      <c r="D31" s="587"/>
      <c r="E31" s="587"/>
      <c r="F31" s="587"/>
      <c r="G31" s="595"/>
      <c r="H31" s="456"/>
    </row>
    <row r="32" spans="2:23" ht="15" customHeight="1" x14ac:dyDescent="0.2">
      <c r="B32" s="592"/>
      <c r="C32" s="592"/>
      <c r="D32" s="592"/>
      <c r="E32" s="592"/>
      <c r="F32" s="592"/>
      <c r="G32" s="591"/>
      <c r="H32" s="456"/>
      <c r="W32" s="585"/>
    </row>
    <row r="33" spans="2:18" ht="15" customHeight="1" x14ac:dyDescent="0.2">
      <c r="B33" s="592"/>
      <c r="C33" s="592"/>
      <c r="D33" s="592"/>
      <c r="E33" s="592"/>
      <c r="F33" s="592"/>
      <c r="G33" s="594"/>
      <c r="H33" s="593"/>
    </row>
    <row r="34" spans="2:18" ht="15" customHeight="1" x14ac:dyDescent="0.2">
      <c r="B34" s="592"/>
      <c r="C34" s="592"/>
      <c r="D34" s="592"/>
      <c r="E34" s="592"/>
      <c r="F34" s="592"/>
      <c r="G34" s="594"/>
      <c r="H34" s="593"/>
    </row>
    <row r="35" spans="2:18" ht="15" customHeight="1" x14ac:dyDescent="0.2">
      <c r="B35" s="592"/>
      <c r="C35" s="592"/>
      <c r="D35" s="592"/>
      <c r="E35" s="592"/>
      <c r="F35" s="592"/>
      <c r="G35" s="586"/>
      <c r="H35" s="593"/>
    </row>
    <row r="36" spans="2:18" ht="15" customHeight="1" x14ac:dyDescent="0.2">
      <c r="B36" s="592"/>
      <c r="C36" s="592"/>
      <c r="D36" s="592"/>
      <c r="E36" s="592"/>
      <c r="F36" s="592"/>
      <c r="G36" s="591"/>
      <c r="H36" s="593"/>
    </row>
    <row r="37" spans="2:18" ht="15" customHeight="1" x14ac:dyDescent="0.2">
      <c r="B37" s="592"/>
      <c r="C37" s="592"/>
      <c r="D37" s="592"/>
      <c r="E37" s="592"/>
      <c r="F37" s="592"/>
      <c r="G37" s="591"/>
      <c r="H37" s="593"/>
    </row>
    <row r="38" spans="2:18" ht="15" customHeight="1" x14ac:dyDescent="0.2">
      <c r="B38" s="587"/>
      <c r="C38" s="587"/>
      <c r="D38" s="587"/>
      <c r="E38" s="587"/>
      <c r="F38" s="587"/>
      <c r="G38" s="591"/>
      <c r="H38" s="593"/>
    </row>
    <row r="39" spans="2:18" ht="15" customHeight="1" x14ac:dyDescent="0.2">
      <c r="B39" s="587"/>
      <c r="C39" s="587"/>
      <c r="D39" s="587"/>
      <c r="E39" s="587"/>
      <c r="F39" s="587"/>
      <c r="G39" s="591"/>
      <c r="H39" s="593"/>
    </row>
    <row r="40" spans="2:18" ht="15" customHeight="1" x14ac:dyDescent="0.2">
      <c r="B40" s="590"/>
      <c r="C40" s="590"/>
      <c r="D40" s="590"/>
      <c r="E40" s="590"/>
      <c r="F40" s="590"/>
      <c r="G40" s="589"/>
      <c r="H40" s="593"/>
    </row>
    <row r="41" spans="2:18" ht="15" customHeight="1" x14ac:dyDescent="0.2">
      <c r="B41" s="587"/>
      <c r="C41" s="587"/>
      <c r="D41" s="587"/>
      <c r="E41" s="587"/>
      <c r="F41" s="587"/>
      <c r="G41" s="586"/>
      <c r="H41" s="593"/>
    </row>
    <row r="42" spans="2:18" ht="15" customHeight="1" x14ac:dyDescent="0.2">
      <c r="B42" s="587"/>
      <c r="C42" s="587"/>
      <c r="D42" s="587"/>
      <c r="E42" s="587"/>
      <c r="F42" s="587"/>
      <c r="G42" s="586"/>
      <c r="H42" s="593"/>
    </row>
    <row r="43" spans="2:18" ht="15" customHeight="1" x14ac:dyDescent="0.2">
      <c r="B43" s="587"/>
      <c r="C43" s="587"/>
      <c r="D43" s="587"/>
      <c r="E43" s="587"/>
      <c r="F43" s="587"/>
      <c r="G43" s="586"/>
      <c r="H43" s="593"/>
      <c r="N43" s="456"/>
      <c r="O43" s="456"/>
      <c r="R43" s="585"/>
    </row>
    <row r="44" spans="2:18" ht="15" customHeight="1" x14ac:dyDescent="0.2">
      <c r="B44" s="587"/>
      <c r="C44" s="587"/>
      <c r="D44" s="587"/>
      <c r="E44" s="587"/>
      <c r="F44" s="587"/>
      <c r="H44" s="593"/>
      <c r="N44" s="456"/>
      <c r="O44" s="456"/>
      <c r="R44" s="585"/>
    </row>
    <row r="45" spans="2:18" ht="15" customHeight="1" x14ac:dyDescent="0.2">
      <c r="B45" s="587"/>
      <c r="C45" s="587"/>
      <c r="D45" s="587"/>
      <c r="E45" s="587"/>
      <c r="F45" s="587"/>
      <c r="H45" s="593"/>
      <c r="N45" s="456"/>
      <c r="O45" s="456"/>
      <c r="R45" s="585"/>
    </row>
    <row r="46" spans="2:18" ht="15" customHeight="1" x14ac:dyDescent="0.2">
      <c r="B46" s="587"/>
      <c r="C46" s="587"/>
      <c r="D46" s="587"/>
      <c r="E46" s="587"/>
      <c r="F46" s="587"/>
      <c r="H46" s="593"/>
      <c r="N46" s="456"/>
      <c r="O46" s="456"/>
      <c r="R46" s="585"/>
    </row>
    <row r="47" spans="2:18" ht="15" customHeight="1" x14ac:dyDescent="0.2">
      <c r="B47" s="596"/>
      <c r="C47" s="596"/>
      <c r="D47" s="596"/>
      <c r="E47" s="596"/>
      <c r="F47" s="596"/>
      <c r="G47" s="596"/>
      <c r="H47" s="593"/>
      <c r="N47" s="456"/>
      <c r="O47" s="456"/>
      <c r="R47" s="585"/>
    </row>
    <row r="48" spans="2:18" ht="15" customHeight="1" x14ac:dyDescent="0.2">
      <c r="B48" s="587"/>
      <c r="C48" s="587"/>
      <c r="D48" s="587"/>
      <c r="E48" s="587"/>
      <c r="F48" s="587"/>
      <c r="G48" s="595"/>
      <c r="H48" s="593"/>
      <c r="N48" s="456"/>
      <c r="O48" s="456"/>
      <c r="R48" s="585"/>
    </row>
    <row r="49" spans="2:14" ht="15" customHeight="1" x14ac:dyDescent="0.2">
      <c r="B49" s="592"/>
      <c r="C49" s="592"/>
      <c r="D49" s="592"/>
      <c r="E49" s="592"/>
      <c r="F49" s="592"/>
      <c r="G49" s="591"/>
      <c r="H49" s="593"/>
    </row>
    <row r="50" spans="2:14" ht="16.5" customHeight="1" x14ac:dyDescent="0.2">
      <c r="B50" s="592"/>
      <c r="C50" s="592"/>
      <c r="D50" s="592"/>
      <c r="E50" s="592"/>
      <c r="F50" s="592"/>
      <c r="G50" s="594"/>
      <c r="H50" s="593"/>
    </row>
    <row r="51" spans="2:14" ht="15" customHeight="1" x14ac:dyDescent="0.2">
      <c r="B51" s="592"/>
      <c r="C51" s="592"/>
      <c r="D51" s="592"/>
      <c r="E51" s="592"/>
      <c r="F51" s="592"/>
      <c r="G51" s="594"/>
      <c r="H51" s="593"/>
    </row>
    <row r="52" spans="2:14" ht="15" customHeight="1" x14ac:dyDescent="0.2">
      <c r="B52" s="592"/>
      <c r="C52" s="592"/>
      <c r="D52" s="592"/>
      <c r="E52" s="592"/>
      <c r="F52" s="592"/>
      <c r="G52" s="586"/>
      <c r="H52" s="593"/>
    </row>
    <row r="53" spans="2:14" ht="14.25" customHeight="1" x14ac:dyDescent="0.2">
      <c r="B53" s="592"/>
      <c r="C53" s="592"/>
      <c r="D53" s="592"/>
      <c r="E53" s="592"/>
      <c r="F53" s="592"/>
      <c r="G53" s="591"/>
    </row>
    <row r="54" spans="2:14" ht="16.5" customHeight="1" x14ac:dyDescent="0.2">
      <c r="B54" s="592"/>
      <c r="C54" s="592"/>
      <c r="D54" s="592"/>
      <c r="E54" s="592"/>
      <c r="F54" s="592"/>
      <c r="G54" s="591"/>
    </row>
    <row r="55" spans="2:14" x14ac:dyDescent="0.2">
      <c r="B55" s="587"/>
      <c r="C55" s="587"/>
      <c r="D55" s="587"/>
      <c r="E55" s="587"/>
      <c r="F55" s="587"/>
      <c r="G55" s="591"/>
    </row>
    <row r="56" spans="2:14" x14ac:dyDescent="0.2">
      <c r="B56" s="587"/>
      <c r="C56" s="587"/>
      <c r="D56" s="587"/>
      <c r="E56" s="587"/>
      <c r="F56" s="587"/>
      <c r="G56" s="591"/>
    </row>
    <row r="57" spans="2:14" x14ac:dyDescent="0.2">
      <c r="B57" s="590"/>
      <c r="C57" s="590"/>
      <c r="D57" s="590"/>
      <c r="E57" s="590"/>
      <c r="F57" s="590"/>
      <c r="G57" s="589"/>
      <c r="N57" s="588"/>
    </row>
    <row r="58" spans="2:14" ht="14.25" customHeight="1" x14ac:dyDescent="0.2">
      <c r="B58" s="587"/>
      <c r="C58" s="587"/>
      <c r="D58" s="587"/>
      <c r="E58" s="587"/>
      <c r="F58" s="587"/>
      <c r="G58" s="586"/>
    </row>
    <row r="59" spans="2:14" ht="15" customHeight="1" x14ac:dyDescent="0.2"/>
    <row r="64" spans="2:14" ht="15.75" customHeight="1" x14ac:dyDescent="0.2"/>
    <row r="65" spans="13:13" ht="16.5" customHeight="1" x14ac:dyDescent="0.2"/>
    <row r="66" spans="13:13" x14ac:dyDescent="0.2">
      <c r="M66" s="585"/>
    </row>
    <row r="68" spans="13:13" x14ac:dyDescent="0.2">
      <c r="M68" s="585"/>
    </row>
    <row r="70" spans="13:13" ht="17.25" customHeight="1" x14ac:dyDescent="0.2"/>
    <row r="71" spans="13:13" ht="18.75" customHeight="1" x14ac:dyDescent="0.2"/>
    <row r="74" spans="13:13" ht="17.25" customHeight="1" x14ac:dyDescent="0.2"/>
  </sheetData>
  <mergeCells count="7">
    <mergeCell ref="I2:V2"/>
    <mergeCell ref="O25:P25"/>
    <mergeCell ref="S4:V4"/>
    <mergeCell ref="T25:U25"/>
    <mergeCell ref="I4:L4"/>
    <mergeCell ref="J25:K25"/>
    <mergeCell ref="N4:Q4"/>
  </mergeCells>
  <printOptions verticalCentered="1"/>
  <pageMargins left="0.2" right="0.2" top="0.75" bottom="0.25" header="0.3" footer="0.3"/>
  <pageSetup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35B3-1FF2-4F90-9837-1FE00B2117E8}">
  <sheetPr>
    <pageSetUpPr fitToPage="1"/>
  </sheetPr>
  <dimension ref="A1:O41"/>
  <sheetViews>
    <sheetView zoomScaleNormal="100" workbookViewId="0">
      <selection activeCell="J13" sqref="J13"/>
    </sheetView>
  </sheetViews>
  <sheetFormatPr defaultRowHeight="15" x14ac:dyDescent="0.25"/>
  <cols>
    <col min="1" max="1" width="5" style="158" customWidth="1"/>
    <col min="2" max="2" width="27.140625" style="158" bestFit="1" customWidth="1"/>
    <col min="3" max="3" width="16.140625" style="158" bestFit="1" customWidth="1"/>
    <col min="4" max="4" width="8.85546875" style="158" customWidth="1"/>
    <col min="5" max="5" width="10.140625" style="158" customWidth="1"/>
    <col min="6" max="6" width="4.7109375" style="158" hidden="1" customWidth="1"/>
    <col min="7" max="7" width="4.42578125" style="158" customWidth="1"/>
    <col min="8" max="8" width="22.140625" style="158" bestFit="1" customWidth="1"/>
    <col min="9" max="9" width="11.140625" style="158" customWidth="1"/>
    <col min="10" max="10" width="8.7109375" style="158" bestFit="1" customWidth="1"/>
    <col min="11" max="11" width="9.85546875" style="158" bestFit="1" customWidth="1"/>
    <col min="12" max="12" width="5" style="158" bestFit="1" customWidth="1"/>
    <col min="13" max="13" width="27.7109375" style="158" customWidth="1"/>
    <col min="14" max="14" width="6.140625" style="699" bestFit="1" customWidth="1"/>
    <col min="15" max="15" width="7.42578125" style="698" customWidth="1"/>
    <col min="16" max="16" width="18.42578125" style="158" customWidth="1"/>
    <col min="17" max="252" width="9.140625" style="158"/>
    <col min="253" max="253" width="27.7109375" style="158" customWidth="1"/>
    <col min="254" max="254" width="32.85546875" style="158" bestFit="1" customWidth="1"/>
    <col min="255" max="255" width="11.5703125" style="158" bestFit="1" customWidth="1"/>
    <col min="256" max="256" width="9.7109375" style="158" customWidth="1"/>
    <col min="257" max="257" width="12" style="158" customWidth="1"/>
    <col min="258" max="258" width="30.140625" style="158" customWidth="1"/>
    <col min="259" max="259" width="12" style="158" customWidth="1"/>
    <col min="260" max="260" width="12.140625" style="158" customWidth="1"/>
    <col min="261" max="508" width="9.140625" style="158"/>
    <col min="509" max="509" width="27.7109375" style="158" customWidth="1"/>
    <col min="510" max="510" width="32.85546875" style="158" bestFit="1" customWidth="1"/>
    <col min="511" max="511" width="11.5703125" style="158" bestFit="1" customWidth="1"/>
    <col min="512" max="512" width="9.7109375" style="158" customWidth="1"/>
    <col min="513" max="513" width="12" style="158" customWidth="1"/>
    <col min="514" max="514" width="30.140625" style="158" customWidth="1"/>
    <col min="515" max="515" width="12" style="158" customWidth="1"/>
    <col min="516" max="516" width="12.140625" style="158" customWidth="1"/>
    <col min="517" max="764" width="9.140625" style="158"/>
    <col min="765" max="765" width="27.7109375" style="158" customWidth="1"/>
    <col min="766" max="766" width="32.85546875" style="158" bestFit="1" customWidth="1"/>
    <col min="767" max="767" width="11.5703125" style="158" bestFit="1" customWidth="1"/>
    <col min="768" max="768" width="9.7109375" style="158" customWidth="1"/>
    <col min="769" max="769" width="12" style="158" customWidth="1"/>
    <col min="770" max="770" width="30.140625" style="158" customWidth="1"/>
    <col min="771" max="771" width="12" style="158" customWidth="1"/>
    <col min="772" max="772" width="12.140625" style="158" customWidth="1"/>
    <col min="773" max="1020" width="9.140625" style="158"/>
    <col min="1021" max="1021" width="27.7109375" style="158" customWidth="1"/>
    <col min="1022" max="1022" width="32.85546875" style="158" bestFit="1" customWidth="1"/>
    <col min="1023" max="1023" width="11.5703125" style="158" bestFit="1" customWidth="1"/>
    <col min="1024" max="1024" width="9.7109375" style="158" customWidth="1"/>
    <col min="1025" max="1025" width="12" style="158" customWidth="1"/>
    <col min="1026" max="1026" width="30.140625" style="158" customWidth="1"/>
    <col min="1027" max="1027" width="12" style="158" customWidth="1"/>
    <col min="1028" max="1028" width="12.140625" style="158" customWidth="1"/>
    <col min="1029" max="1276" width="9.140625" style="158"/>
    <col min="1277" max="1277" width="27.7109375" style="158" customWidth="1"/>
    <col min="1278" max="1278" width="32.85546875" style="158" bestFit="1" customWidth="1"/>
    <col min="1279" max="1279" width="11.5703125" style="158" bestFit="1" customWidth="1"/>
    <col min="1280" max="1280" width="9.7109375" style="158" customWidth="1"/>
    <col min="1281" max="1281" width="12" style="158" customWidth="1"/>
    <col min="1282" max="1282" width="30.140625" style="158" customWidth="1"/>
    <col min="1283" max="1283" width="12" style="158" customWidth="1"/>
    <col min="1284" max="1284" width="12.140625" style="158" customWidth="1"/>
    <col min="1285" max="1532" width="9.140625" style="158"/>
    <col min="1533" max="1533" width="27.7109375" style="158" customWidth="1"/>
    <col min="1534" max="1534" width="32.85546875" style="158" bestFit="1" customWidth="1"/>
    <col min="1535" max="1535" width="11.5703125" style="158" bestFit="1" customWidth="1"/>
    <col min="1536" max="1536" width="9.7109375" style="158" customWidth="1"/>
    <col min="1537" max="1537" width="12" style="158" customWidth="1"/>
    <col min="1538" max="1538" width="30.140625" style="158" customWidth="1"/>
    <col min="1539" max="1539" width="12" style="158" customWidth="1"/>
    <col min="1540" max="1540" width="12.140625" style="158" customWidth="1"/>
    <col min="1541" max="1788" width="9.140625" style="158"/>
    <col min="1789" max="1789" width="27.7109375" style="158" customWidth="1"/>
    <col min="1790" max="1790" width="32.85546875" style="158" bestFit="1" customWidth="1"/>
    <col min="1791" max="1791" width="11.5703125" style="158" bestFit="1" customWidth="1"/>
    <col min="1792" max="1792" width="9.7109375" style="158" customWidth="1"/>
    <col min="1793" max="1793" width="12" style="158" customWidth="1"/>
    <col min="1794" max="1794" width="30.140625" style="158" customWidth="1"/>
    <col min="1795" max="1795" width="12" style="158" customWidth="1"/>
    <col min="1796" max="1796" width="12.140625" style="158" customWidth="1"/>
    <col min="1797" max="2044" width="9.140625" style="158"/>
    <col min="2045" max="2045" width="27.7109375" style="158" customWidth="1"/>
    <col min="2046" max="2046" width="32.85546875" style="158" bestFit="1" customWidth="1"/>
    <col min="2047" max="2047" width="11.5703125" style="158" bestFit="1" customWidth="1"/>
    <col min="2048" max="2048" width="9.7109375" style="158" customWidth="1"/>
    <col min="2049" max="2049" width="12" style="158" customWidth="1"/>
    <col min="2050" max="2050" width="30.140625" style="158" customWidth="1"/>
    <col min="2051" max="2051" width="12" style="158" customWidth="1"/>
    <col min="2052" max="2052" width="12.140625" style="158" customWidth="1"/>
    <col min="2053" max="2300" width="9.140625" style="158"/>
    <col min="2301" max="2301" width="27.7109375" style="158" customWidth="1"/>
    <col min="2302" max="2302" width="32.85546875" style="158" bestFit="1" customWidth="1"/>
    <col min="2303" max="2303" width="11.5703125" style="158" bestFit="1" customWidth="1"/>
    <col min="2304" max="2304" width="9.7109375" style="158" customWidth="1"/>
    <col min="2305" max="2305" width="12" style="158" customWidth="1"/>
    <col min="2306" max="2306" width="30.140625" style="158" customWidth="1"/>
    <col min="2307" max="2307" width="12" style="158" customWidth="1"/>
    <col min="2308" max="2308" width="12.140625" style="158" customWidth="1"/>
    <col min="2309" max="2556" width="9.140625" style="158"/>
    <col min="2557" max="2557" width="27.7109375" style="158" customWidth="1"/>
    <col min="2558" max="2558" width="32.85546875" style="158" bestFit="1" customWidth="1"/>
    <col min="2559" max="2559" width="11.5703125" style="158" bestFit="1" customWidth="1"/>
    <col min="2560" max="2560" width="9.7109375" style="158" customWidth="1"/>
    <col min="2561" max="2561" width="12" style="158" customWidth="1"/>
    <col min="2562" max="2562" width="30.140625" style="158" customWidth="1"/>
    <col min="2563" max="2563" width="12" style="158" customWidth="1"/>
    <col min="2564" max="2564" width="12.140625" style="158" customWidth="1"/>
    <col min="2565" max="2812" width="9.140625" style="158"/>
    <col min="2813" max="2813" width="27.7109375" style="158" customWidth="1"/>
    <col min="2814" max="2814" width="32.85546875" style="158" bestFit="1" customWidth="1"/>
    <col min="2815" max="2815" width="11.5703125" style="158" bestFit="1" customWidth="1"/>
    <col min="2816" max="2816" width="9.7109375" style="158" customWidth="1"/>
    <col min="2817" max="2817" width="12" style="158" customWidth="1"/>
    <col min="2818" max="2818" width="30.140625" style="158" customWidth="1"/>
    <col min="2819" max="2819" width="12" style="158" customWidth="1"/>
    <col min="2820" max="2820" width="12.140625" style="158" customWidth="1"/>
    <col min="2821" max="3068" width="9.140625" style="158"/>
    <col min="3069" max="3069" width="27.7109375" style="158" customWidth="1"/>
    <col min="3070" max="3070" width="32.85546875" style="158" bestFit="1" customWidth="1"/>
    <col min="3071" max="3071" width="11.5703125" style="158" bestFit="1" customWidth="1"/>
    <col min="3072" max="3072" width="9.7109375" style="158" customWidth="1"/>
    <col min="3073" max="3073" width="12" style="158" customWidth="1"/>
    <col min="3074" max="3074" width="30.140625" style="158" customWidth="1"/>
    <col min="3075" max="3075" width="12" style="158" customWidth="1"/>
    <col min="3076" max="3076" width="12.140625" style="158" customWidth="1"/>
    <col min="3077" max="3324" width="9.140625" style="158"/>
    <col min="3325" max="3325" width="27.7109375" style="158" customWidth="1"/>
    <col min="3326" max="3326" width="32.85546875" style="158" bestFit="1" customWidth="1"/>
    <col min="3327" max="3327" width="11.5703125" style="158" bestFit="1" customWidth="1"/>
    <col min="3328" max="3328" width="9.7109375" style="158" customWidth="1"/>
    <col min="3329" max="3329" width="12" style="158" customWidth="1"/>
    <col min="3330" max="3330" width="30.140625" style="158" customWidth="1"/>
    <col min="3331" max="3331" width="12" style="158" customWidth="1"/>
    <col min="3332" max="3332" width="12.140625" style="158" customWidth="1"/>
    <col min="3333" max="3580" width="9.140625" style="158"/>
    <col min="3581" max="3581" width="27.7109375" style="158" customWidth="1"/>
    <col min="3582" max="3582" width="32.85546875" style="158" bestFit="1" customWidth="1"/>
    <col min="3583" max="3583" width="11.5703125" style="158" bestFit="1" customWidth="1"/>
    <col min="3584" max="3584" width="9.7109375" style="158" customWidth="1"/>
    <col min="3585" max="3585" width="12" style="158" customWidth="1"/>
    <col min="3586" max="3586" width="30.140625" style="158" customWidth="1"/>
    <col min="3587" max="3587" width="12" style="158" customWidth="1"/>
    <col min="3588" max="3588" width="12.140625" style="158" customWidth="1"/>
    <col min="3589" max="3836" width="9.140625" style="158"/>
    <col min="3837" max="3837" width="27.7109375" style="158" customWidth="1"/>
    <col min="3838" max="3838" width="32.85546875" style="158" bestFit="1" customWidth="1"/>
    <col min="3839" max="3839" width="11.5703125" style="158" bestFit="1" customWidth="1"/>
    <col min="3840" max="3840" width="9.7109375" style="158" customWidth="1"/>
    <col min="3841" max="3841" width="12" style="158" customWidth="1"/>
    <col min="3842" max="3842" width="30.140625" style="158" customWidth="1"/>
    <col min="3843" max="3843" width="12" style="158" customWidth="1"/>
    <col min="3844" max="3844" width="12.140625" style="158" customWidth="1"/>
    <col min="3845" max="4092" width="9.140625" style="158"/>
    <col min="4093" max="4093" width="27.7109375" style="158" customWidth="1"/>
    <col min="4094" max="4094" width="32.85546875" style="158" bestFit="1" customWidth="1"/>
    <col min="4095" max="4095" width="11.5703125" style="158" bestFit="1" customWidth="1"/>
    <col min="4096" max="4096" width="9.7109375" style="158" customWidth="1"/>
    <col min="4097" max="4097" width="12" style="158" customWidth="1"/>
    <col min="4098" max="4098" width="30.140625" style="158" customWidth="1"/>
    <col min="4099" max="4099" width="12" style="158" customWidth="1"/>
    <col min="4100" max="4100" width="12.140625" style="158" customWidth="1"/>
    <col min="4101" max="4348" width="9.140625" style="158"/>
    <col min="4349" max="4349" width="27.7109375" style="158" customWidth="1"/>
    <col min="4350" max="4350" width="32.85546875" style="158" bestFit="1" customWidth="1"/>
    <col min="4351" max="4351" width="11.5703125" style="158" bestFit="1" customWidth="1"/>
    <col min="4352" max="4352" width="9.7109375" style="158" customWidth="1"/>
    <col min="4353" max="4353" width="12" style="158" customWidth="1"/>
    <col min="4354" max="4354" width="30.140625" style="158" customWidth="1"/>
    <col min="4355" max="4355" width="12" style="158" customWidth="1"/>
    <col min="4356" max="4356" width="12.140625" style="158" customWidth="1"/>
    <col min="4357" max="4604" width="9.140625" style="158"/>
    <col min="4605" max="4605" width="27.7109375" style="158" customWidth="1"/>
    <col min="4606" max="4606" width="32.85546875" style="158" bestFit="1" customWidth="1"/>
    <col min="4607" max="4607" width="11.5703125" style="158" bestFit="1" customWidth="1"/>
    <col min="4608" max="4608" width="9.7109375" style="158" customWidth="1"/>
    <col min="4609" max="4609" width="12" style="158" customWidth="1"/>
    <col min="4610" max="4610" width="30.140625" style="158" customWidth="1"/>
    <col min="4611" max="4611" width="12" style="158" customWidth="1"/>
    <col min="4612" max="4612" width="12.140625" style="158" customWidth="1"/>
    <col min="4613" max="4860" width="9.140625" style="158"/>
    <col min="4861" max="4861" width="27.7109375" style="158" customWidth="1"/>
    <col min="4862" max="4862" width="32.85546875" style="158" bestFit="1" customWidth="1"/>
    <col min="4863" max="4863" width="11.5703125" style="158" bestFit="1" customWidth="1"/>
    <col min="4864" max="4864" width="9.7109375" style="158" customWidth="1"/>
    <col min="4865" max="4865" width="12" style="158" customWidth="1"/>
    <col min="4866" max="4866" width="30.140625" style="158" customWidth="1"/>
    <col min="4867" max="4867" width="12" style="158" customWidth="1"/>
    <col min="4868" max="4868" width="12.140625" style="158" customWidth="1"/>
    <col min="4869" max="5116" width="9.140625" style="158"/>
    <col min="5117" max="5117" width="27.7109375" style="158" customWidth="1"/>
    <col min="5118" max="5118" width="32.85546875" style="158" bestFit="1" customWidth="1"/>
    <col min="5119" max="5119" width="11.5703125" style="158" bestFit="1" customWidth="1"/>
    <col min="5120" max="5120" width="9.7109375" style="158" customWidth="1"/>
    <col min="5121" max="5121" width="12" style="158" customWidth="1"/>
    <col min="5122" max="5122" width="30.140625" style="158" customWidth="1"/>
    <col min="5123" max="5123" width="12" style="158" customWidth="1"/>
    <col min="5124" max="5124" width="12.140625" style="158" customWidth="1"/>
    <col min="5125" max="5372" width="9.140625" style="158"/>
    <col min="5373" max="5373" width="27.7109375" style="158" customWidth="1"/>
    <col min="5374" max="5374" width="32.85546875" style="158" bestFit="1" customWidth="1"/>
    <col min="5375" max="5375" width="11.5703125" style="158" bestFit="1" customWidth="1"/>
    <col min="5376" max="5376" width="9.7109375" style="158" customWidth="1"/>
    <col min="5377" max="5377" width="12" style="158" customWidth="1"/>
    <col min="5378" max="5378" width="30.140625" style="158" customWidth="1"/>
    <col min="5379" max="5379" width="12" style="158" customWidth="1"/>
    <col min="5380" max="5380" width="12.140625" style="158" customWidth="1"/>
    <col min="5381" max="5628" width="9.140625" style="158"/>
    <col min="5629" max="5629" width="27.7109375" style="158" customWidth="1"/>
    <col min="5630" max="5630" width="32.85546875" style="158" bestFit="1" customWidth="1"/>
    <col min="5631" max="5631" width="11.5703125" style="158" bestFit="1" customWidth="1"/>
    <col min="5632" max="5632" width="9.7109375" style="158" customWidth="1"/>
    <col min="5633" max="5633" width="12" style="158" customWidth="1"/>
    <col min="5634" max="5634" width="30.140625" style="158" customWidth="1"/>
    <col min="5635" max="5635" width="12" style="158" customWidth="1"/>
    <col min="5636" max="5636" width="12.140625" style="158" customWidth="1"/>
    <col min="5637" max="5884" width="9.140625" style="158"/>
    <col min="5885" max="5885" width="27.7109375" style="158" customWidth="1"/>
    <col min="5886" max="5886" width="32.85546875" style="158" bestFit="1" customWidth="1"/>
    <col min="5887" max="5887" width="11.5703125" style="158" bestFit="1" customWidth="1"/>
    <col min="5888" max="5888" width="9.7109375" style="158" customWidth="1"/>
    <col min="5889" max="5889" width="12" style="158" customWidth="1"/>
    <col min="5890" max="5890" width="30.140625" style="158" customWidth="1"/>
    <col min="5891" max="5891" width="12" style="158" customWidth="1"/>
    <col min="5892" max="5892" width="12.140625" style="158" customWidth="1"/>
    <col min="5893" max="6140" width="9.140625" style="158"/>
    <col min="6141" max="6141" width="27.7109375" style="158" customWidth="1"/>
    <col min="6142" max="6142" width="32.85546875" style="158" bestFit="1" customWidth="1"/>
    <col min="6143" max="6143" width="11.5703125" style="158" bestFit="1" customWidth="1"/>
    <col min="6144" max="6144" width="9.7109375" style="158" customWidth="1"/>
    <col min="6145" max="6145" width="12" style="158" customWidth="1"/>
    <col min="6146" max="6146" width="30.140625" style="158" customWidth="1"/>
    <col min="6147" max="6147" width="12" style="158" customWidth="1"/>
    <col min="6148" max="6148" width="12.140625" style="158" customWidth="1"/>
    <col min="6149" max="6396" width="9.140625" style="158"/>
    <col min="6397" max="6397" width="27.7109375" style="158" customWidth="1"/>
    <col min="6398" max="6398" width="32.85546875" style="158" bestFit="1" customWidth="1"/>
    <col min="6399" max="6399" width="11.5703125" style="158" bestFit="1" customWidth="1"/>
    <col min="6400" max="6400" width="9.7109375" style="158" customWidth="1"/>
    <col min="6401" max="6401" width="12" style="158" customWidth="1"/>
    <col min="6402" max="6402" width="30.140625" style="158" customWidth="1"/>
    <col min="6403" max="6403" width="12" style="158" customWidth="1"/>
    <col min="6404" max="6404" width="12.140625" style="158" customWidth="1"/>
    <col min="6405" max="6652" width="9.140625" style="158"/>
    <col min="6653" max="6653" width="27.7109375" style="158" customWidth="1"/>
    <col min="6654" max="6654" width="32.85546875" style="158" bestFit="1" customWidth="1"/>
    <col min="6655" max="6655" width="11.5703125" style="158" bestFit="1" customWidth="1"/>
    <col min="6656" max="6656" width="9.7109375" style="158" customWidth="1"/>
    <col min="6657" max="6657" width="12" style="158" customWidth="1"/>
    <col min="6658" max="6658" width="30.140625" style="158" customWidth="1"/>
    <col min="6659" max="6659" width="12" style="158" customWidth="1"/>
    <col min="6660" max="6660" width="12.140625" style="158" customWidth="1"/>
    <col min="6661" max="6908" width="9.140625" style="158"/>
    <col min="6909" max="6909" width="27.7109375" style="158" customWidth="1"/>
    <col min="6910" max="6910" width="32.85546875" style="158" bestFit="1" customWidth="1"/>
    <col min="6911" max="6911" width="11.5703125" style="158" bestFit="1" customWidth="1"/>
    <col min="6912" max="6912" width="9.7109375" style="158" customWidth="1"/>
    <col min="6913" max="6913" width="12" style="158" customWidth="1"/>
    <col min="6914" max="6914" width="30.140625" style="158" customWidth="1"/>
    <col min="6915" max="6915" width="12" style="158" customWidth="1"/>
    <col min="6916" max="6916" width="12.140625" style="158" customWidth="1"/>
    <col min="6917" max="7164" width="9.140625" style="158"/>
    <col min="7165" max="7165" width="27.7109375" style="158" customWidth="1"/>
    <col min="7166" max="7166" width="32.85546875" style="158" bestFit="1" customWidth="1"/>
    <col min="7167" max="7167" width="11.5703125" style="158" bestFit="1" customWidth="1"/>
    <col min="7168" max="7168" width="9.7109375" style="158" customWidth="1"/>
    <col min="7169" max="7169" width="12" style="158" customWidth="1"/>
    <col min="7170" max="7170" width="30.140625" style="158" customWidth="1"/>
    <col min="7171" max="7171" width="12" style="158" customWidth="1"/>
    <col min="7172" max="7172" width="12.140625" style="158" customWidth="1"/>
    <col min="7173" max="7420" width="9.140625" style="158"/>
    <col min="7421" max="7421" width="27.7109375" style="158" customWidth="1"/>
    <col min="7422" max="7422" width="32.85546875" style="158" bestFit="1" customWidth="1"/>
    <col min="7423" max="7423" width="11.5703125" style="158" bestFit="1" customWidth="1"/>
    <col min="7424" max="7424" width="9.7109375" style="158" customWidth="1"/>
    <col min="7425" max="7425" width="12" style="158" customWidth="1"/>
    <col min="7426" max="7426" width="30.140625" style="158" customWidth="1"/>
    <col min="7427" max="7427" width="12" style="158" customWidth="1"/>
    <col min="7428" max="7428" width="12.140625" style="158" customWidth="1"/>
    <col min="7429" max="7676" width="9.140625" style="158"/>
    <col min="7677" max="7677" width="27.7109375" style="158" customWidth="1"/>
    <col min="7678" max="7678" width="32.85546875" style="158" bestFit="1" customWidth="1"/>
    <col min="7679" max="7679" width="11.5703125" style="158" bestFit="1" customWidth="1"/>
    <col min="7680" max="7680" width="9.7109375" style="158" customWidth="1"/>
    <col min="7681" max="7681" width="12" style="158" customWidth="1"/>
    <col min="7682" max="7682" width="30.140625" style="158" customWidth="1"/>
    <col min="7683" max="7683" width="12" style="158" customWidth="1"/>
    <col min="7684" max="7684" width="12.140625" style="158" customWidth="1"/>
    <col min="7685" max="7932" width="9.140625" style="158"/>
    <col min="7933" max="7933" width="27.7109375" style="158" customWidth="1"/>
    <col min="7934" max="7934" width="32.85546875" style="158" bestFit="1" customWidth="1"/>
    <col min="7935" max="7935" width="11.5703125" style="158" bestFit="1" customWidth="1"/>
    <col min="7936" max="7936" width="9.7109375" style="158" customWidth="1"/>
    <col min="7937" max="7937" width="12" style="158" customWidth="1"/>
    <col min="7938" max="7938" width="30.140625" style="158" customWidth="1"/>
    <col min="7939" max="7939" width="12" style="158" customWidth="1"/>
    <col min="7940" max="7940" width="12.140625" style="158" customWidth="1"/>
    <col min="7941" max="8188" width="9.140625" style="158"/>
    <col min="8189" max="8189" width="27.7109375" style="158" customWidth="1"/>
    <col min="8190" max="8190" width="32.85546875" style="158" bestFit="1" customWidth="1"/>
    <col min="8191" max="8191" width="11.5703125" style="158" bestFit="1" customWidth="1"/>
    <col min="8192" max="8192" width="9.7109375" style="158" customWidth="1"/>
    <col min="8193" max="8193" width="12" style="158" customWidth="1"/>
    <col min="8194" max="8194" width="30.140625" style="158" customWidth="1"/>
    <col min="8195" max="8195" width="12" style="158" customWidth="1"/>
    <col min="8196" max="8196" width="12.140625" style="158" customWidth="1"/>
    <col min="8197" max="8444" width="9.140625" style="158"/>
    <col min="8445" max="8445" width="27.7109375" style="158" customWidth="1"/>
    <col min="8446" max="8446" width="32.85546875" style="158" bestFit="1" customWidth="1"/>
    <col min="8447" max="8447" width="11.5703125" style="158" bestFit="1" customWidth="1"/>
    <col min="8448" max="8448" width="9.7109375" style="158" customWidth="1"/>
    <col min="8449" max="8449" width="12" style="158" customWidth="1"/>
    <col min="8450" max="8450" width="30.140625" style="158" customWidth="1"/>
    <col min="8451" max="8451" width="12" style="158" customWidth="1"/>
    <col min="8452" max="8452" width="12.140625" style="158" customWidth="1"/>
    <col min="8453" max="8700" width="9.140625" style="158"/>
    <col min="8701" max="8701" width="27.7109375" style="158" customWidth="1"/>
    <col min="8702" max="8702" width="32.85546875" style="158" bestFit="1" customWidth="1"/>
    <col min="8703" max="8703" width="11.5703125" style="158" bestFit="1" customWidth="1"/>
    <col min="8704" max="8704" width="9.7109375" style="158" customWidth="1"/>
    <col min="8705" max="8705" width="12" style="158" customWidth="1"/>
    <col min="8706" max="8706" width="30.140625" style="158" customWidth="1"/>
    <col min="8707" max="8707" width="12" style="158" customWidth="1"/>
    <col min="8708" max="8708" width="12.140625" style="158" customWidth="1"/>
    <col min="8709" max="8956" width="9.140625" style="158"/>
    <col min="8957" max="8957" width="27.7109375" style="158" customWidth="1"/>
    <col min="8958" max="8958" width="32.85546875" style="158" bestFit="1" customWidth="1"/>
    <col min="8959" max="8959" width="11.5703125" style="158" bestFit="1" customWidth="1"/>
    <col min="8960" max="8960" width="9.7109375" style="158" customWidth="1"/>
    <col min="8961" max="8961" width="12" style="158" customWidth="1"/>
    <col min="8962" max="8962" width="30.140625" style="158" customWidth="1"/>
    <col min="8963" max="8963" width="12" style="158" customWidth="1"/>
    <col min="8964" max="8964" width="12.140625" style="158" customWidth="1"/>
    <col min="8965" max="9212" width="9.140625" style="158"/>
    <col min="9213" max="9213" width="27.7109375" style="158" customWidth="1"/>
    <col min="9214" max="9214" width="32.85546875" style="158" bestFit="1" customWidth="1"/>
    <col min="9215" max="9215" width="11.5703125" style="158" bestFit="1" customWidth="1"/>
    <col min="9216" max="9216" width="9.7109375" style="158" customWidth="1"/>
    <col min="9217" max="9217" width="12" style="158" customWidth="1"/>
    <col min="9218" max="9218" width="30.140625" style="158" customWidth="1"/>
    <col min="9219" max="9219" width="12" style="158" customWidth="1"/>
    <col min="9220" max="9220" width="12.140625" style="158" customWidth="1"/>
    <col min="9221" max="9468" width="9.140625" style="158"/>
    <col min="9469" max="9469" width="27.7109375" style="158" customWidth="1"/>
    <col min="9470" max="9470" width="32.85546875" style="158" bestFit="1" customWidth="1"/>
    <col min="9471" max="9471" width="11.5703125" style="158" bestFit="1" customWidth="1"/>
    <col min="9472" max="9472" width="9.7109375" style="158" customWidth="1"/>
    <col min="9473" max="9473" width="12" style="158" customWidth="1"/>
    <col min="9474" max="9474" width="30.140625" style="158" customWidth="1"/>
    <col min="9475" max="9475" width="12" style="158" customWidth="1"/>
    <col min="9476" max="9476" width="12.140625" style="158" customWidth="1"/>
    <col min="9477" max="9724" width="9.140625" style="158"/>
    <col min="9725" max="9725" width="27.7109375" style="158" customWidth="1"/>
    <col min="9726" max="9726" width="32.85546875" style="158" bestFit="1" customWidth="1"/>
    <col min="9727" max="9727" width="11.5703125" style="158" bestFit="1" customWidth="1"/>
    <col min="9728" max="9728" width="9.7109375" style="158" customWidth="1"/>
    <col min="9729" max="9729" width="12" style="158" customWidth="1"/>
    <col min="9730" max="9730" width="30.140625" style="158" customWidth="1"/>
    <col min="9731" max="9731" width="12" style="158" customWidth="1"/>
    <col min="9732" max="9732" width="12.140625" style="158" customWidth="1"/>
    <col min="9733" max="9980" width="9.140625" style="158"/>
    <col min="9981" max="9981" width="27.7109375" style="158" customWidth="1"/>
    <col min="9982" max="9982" width="32.85546875" style="158" bestFit="1" customWidth="1"/>
    <col min="9983" max="9983" width="11.5703125" style="158" bestFit="1" customWidth="1"/>
    <col min="9984" max="9984" width="9.7109375" style="158" customWidth="1"/>
    <col min="9985" max="9985" width="12" style="158" customWidth="1"/>
    <col min="9986" max="9986" width="30.140625" style="158" customWidth="1"/>
    <col min="9987" max="9987" width="12" style="158" customWidth="1"/>
    <col min="9988" max="9988" width="12.140625" style="158" customWidth="1"/>
    <col min="9989" max="10236" width="9.140625" style="158"/>
    <col min="10237" max="10237" width="27.7109375" style="158" customWidth="1"/>
    <col min="10238" max="10238" width="32.85546875" style="158" bestFit="1" customWidth="1"/>
    <col min="10239" max="10239" width="11.5703125" style="158" bestFit="1" customWidth="1"/>
    <col min="10240" max="10240" width="9.7109375" style="158" customWidth="1"/>
    <col min="10241" max="10241" width="12" style="158" customWidth="1"/>
    <col min="10242" max="10242" width="30.140625" style="158" customWidth="1"/>
    <col min="10243" max="10243" width="12" style="158" customWidth="1"/>
    <col min="10244" max="10244" width="12.140625" style="158" customWidth="1"/>
    <col min="10245" max="10492" width="9.140625" style="158"/>
    <col min="10493" max="10493" width="27.7109375" style="158" customWidth="1"/>
    <col min="10494" max="10494" width="32.85546875" style="158" bestFit="1" customWidth="1"/>
    <col min="10495" max="10495" width="11.5703125" style="158" bestFit="1" customWidth="1"/>
    <col min="10496" max="10496" width="9.7109375" style="158" customWidth="1"/>
    <col min="10497" max="10497" width="12" style="158" customWidth="1"/>
    <col min="10498" max="10498" width="30.140625" style="158" customWidth="1"/>
    <col min="10499" max="10499" width="12" style="158" customWidth="1"/>
    <col min="10500" max="10500" width="12.140625" style="158" customWidth="1"/>
    <col min="10501" max="10748" width="9.140625" style="158"/>
    <col min="10749" max="10749" width="27.7109375" style="158" customWidth="1"/>
    <col min="10750" max="10750" width="32.85546875" style="158" bestFit="1" customWidth="1"/>
    <col min="10751" max="10751" width="11.5703125" style="158" bestFit="1" customWidth="1"/>
    <col min="10752" max="10752" width="9.7109375" style="158" customWidth="1"/>
    <col min="10753" max="10753" width="12" style="158" customWidth="1"/>
    <col min="10754" max="10754" width="30.140625" style="158" customWidth="1"/>
    <col min="10755" max="10755" width="12" style="158" customWidth="1"/>
    <col min="10756" max="10756" width="12.140625" style="158" customWidth="1"/>
    <col min="10757" max="11004" width="9.140625" style="158"/>
    <col min="11005" max="11005" width="27.7109375" style="158" customWidth="1"/>
    <col min="11006" max="11006" width="32.85546875" style="158" bestFit="1" customWidth="1"/>
    <col min="11007" max="11007" width="11.5703125" style="158" bestFit="1" customWidth="1"/>
    <col min="11008" max="11008" width="9.7109375" style="158" customWidth="1"/>
    <col min="11009" max="11009" width="12" style="158" customWidth="1"/>
    <col min="11010" max="11010" width="30.140625" style="158" customWidth="1"/>
    <col min="11011" max="11011" width="12" style="158" customWidth="1"/>
    <col min="11012" max="11012" width="12.140625" style="158" customWidth="1"/>
    <col min="11013" max="11260" width="9.140625" style="158"/>
    <col min="11261" max="11261" width="27.7109375" style="158" customWidth="1"/>
    <col min="11262" max="11262" width="32.85546875" style="158" bestFit="1" customWidth="1"/>
    <col min="11263" max="11263" width="11.5703125" style="158" bestFit="1" customWidth="1"/>
    <col min="11264" max="11264" width="9.7109375" style="158" customWidth="1"/>
    <col min="11265" max="11265" width="12" style="158" customWidth="1"/>
    <col min="11266" max="11266" width="30.140625" style="158" customWidth="1"/>
    <col min="11267" max="11267" width="12" style="158" customWidth="1"/>
    <col min="11268" max="11268" width="12.140625" style="158" customWidth="1"/>
    <col min="11269" max="11516" width="9.140625" style="158"/>
    <col min="11517" max="11517" width="27.7109375" style="158" customWidth="1"/>
    <col min="11518" max="11518" width="32.85546875" style="158" bestFit="1" customWidth="1"/>
    <col min="11519" max="11519" width="11.5703125" style="158" bestFit="1" customWidth="1"/>
    <col min="11520" max="11520" width="9.7109375" style="158" customWidth="1"/>
    <col min="11521" max="11521" width="12" style="158" customWidth="1"/>
    <col min="11522" max="11522" width="30.140625" style="158" customWidth="1"/>
    <col min="11523" max="11523" width="12" style="158" customWidth="1"/>
    <col min="11524" max="11524" width="12.140625" style="158" customWidth="1"/>
    <col min="11525" max="11772" width="9.140625" style="158"/>
    <col min="11773" max="11773" width="27.7109375" style="158" customWidth="1"/>
    <col min="11774" max="11774" width="32.85546875" style="158" bestFit="1" customWidth="1"/>
    <col min="11775" max="11775" width="11.5703125" style="158" bestFit="1" customWidth="1"/>
    <col min="11776" max="11776" width="9.7109375" style="158" customWidth="1"/>
    <col min="11777" max="11777" width="12" style="158" customWidth="1"/>
    <col min="11778" max="11778" width="30.140625" style="158" customWidth="1"/>
    <col min="11779" max="11779" width="12" style="158" customWidth="1"/>
    <col min="11780" max="11780" width="12.140625" style="158" customWidth="1"/>
    <col min="11781" max="12028" width="9.140625" style="158"/>
    <col min="12029" max="12029" width="27.7109375" style="158" customWidth="1"/>
    <col min="12030" max="12030" width="32.85546875" style="158" bestFit="1" customWidth="1"/>
    <col min="12031" max="12031" width="11.5703125" style="158" bestFit="1" customWidth="1"/>
    <col min="12032" max="12032" width="9.7109375" style="158" customWidth="1"/>
    <col min="12033" max="12033" width="12" style="158" customWidth="1"/>
    <col min="12034" max="12034" width="30.140625" style="158" customWidth="1"/>
    <col min="12035" max="12035" width="12" style="158" customWidth="1"/>
    <col min="12036" max="12036" width="12.140625" style="158" customWidth="1"/>
    <col min="12037" max="12284" width="9.140625" style="158"/>
    <col min="12285" max="12285" width="27.7109375" style="158" customWidth="1"/>
    <col min="12286" max="12286" width="32.85546875" style="158" bestFit="1" customWidth="1"/>
    <col min="12287" max="12287" width="11.5703125" style="158" bestFit="1" customWidth="1"/>
    <col min="12288" max="12288" width="9.7109375" style="158" customWidth="1"/>
    <col min="12289" max="12289" width="12" style="158" customWidth="1"/>
    <col min="12290" max="12290" width="30.140625" style="158" customWidth="1"/>
    <col min="12291" max="12291" width="12" style="158" customWidth="1"/>
    <col min="12292" max="12292" width="12.140625" style="158" customWidth="1"/>
    <col min="12293" max="12540" width="9.140625" style="158"/>
    <col min="12541" max="12541" width="27.7109375" style="158" customWidth="1"/>
    <col min="12542" max="12542" width="32.85546875" style="158" bestFit="1" customWidth="1"/>
    <col min="12543" max="12543" width="11.5703125" style="158" bestFit="1" customWidth="1"/>
    <col min="12544" max="12544" width="9.7109375" style="158" customWidth="1"/>
    <col min="12545" max="12545" width="12" style="158" customWidth="1"/>
    <col min="12546" max="12546" width="30.140625" style="158" customWidth="1"/>
    <col min="12547" max="12547" width="12" style="158" customWidth="1"/>
    <col min="12548" max="12548" width="12.140625" style="158" customWidth="1"/>
    <col min="12549" max="12796" width="9.140625" style="158"/>
    <col min="12797" max="12797" width="27.7109375" style="158" customWidth="1"/>
    <col min="12798" max="12798" width="32.85546875" style="158" bestFit="1" customWidth="1"/>
    <col min="12799" max="12799" width="11.5703125" style="158" bestFit="1" customWidth="1"/>
    <col min="12800" max="12800" width="9.7109375" style="158" customWidth="1"/>
    <col min="12801" max="12801" width="12" style="158" customWidth="1"/>
    <col min="12802" max="12802" width="30.140625" style="158" customWidth="1"/>
    <col min="12803" max="12803" width="12" style="158" customWidth="1"/>
    <col min="12804" max="12804" width="12.140625" style="158" customWidth="1"/>
    <col min="12805" max="13052" width="9.140625" style="158"/>
    <col min="13053" max="13053" width="27.7109375" style="158" customWidth="1"/>
    <col min="13054" max="13054" width="32.85546875" style="158" bestFit="1" customWidth="1"/>
    <col min="13055" max="13055" width="11.5703125" style="158" bestFit="1" customWidth="1"/>
    <col min="13056" max="13056" width="9.7109375" style="158" customWidth="1"/>
    <col min="13057" max="13057" width="12" style="158" customWidth="1"/>
    <col min="13058" max="13058" width="30.140625" style="158" customWidth="1"/>
    <col min="13059" max="13059" width="12" style="158" customWidth="1"/>
    <col min="13060" max="13060" width="12.140625" style="158" customWidth="1"/>
    <col min="13061" max="13308" width="9.140625" style="158"/>
    <col min="13309" max="13309" width="27.7109375" style="158" customWidth="1"/>
    <col min="13310" max="13310" width="32.85546875" style="158" bestFit="1" customWidth="1"/>
    <col min="13311" max="13311" width="11.5703125" style="158" bestFit="1" customWidth="1"/>
    <col min="13312" max="13312" width="9.7109375" style="158" customWidth="1"/>
    <col min="13313" max="13313" width="12" style="158" customWidth="1"/>
    <col min="13314" max="13314" width="30.140625" style="158" customWidth="1"/>
    <col min="13315" max="13315" width="12" style="158" customWidth="1"/>
    <col min="13316" max="13316" width="12.140625" style="158" customWidth="1"/>
    <col min="13317" max="13564" width="9.140625" style="158"/>
    <col min="13565" max="13565" width="27.7109375" style="158" customWidth="1"/>
    <col min="13566" max="13566" width="32.85546875" style="158" bestFit="1" customWidth="1"/>
    <col min="13567" max="13567" width="11.5703125" style="158" bestFit="1" customWidth="1"/>
    <col min="13568" max="13568" width="9.7109375" style="158" customWidth="1"/>
    <col min="13569" max="13569" width="12" style="158" customWidth="1"/>
    <col min="13570" max="13570" width="30.140625" style="158" customWidth="1"/>
    <col min="13571" max="13571" width="12" style="158" customWidth="1"/>
    <col min="13572" max="13572" width="12.140625" style="158" customWidth="1"/>
    <col min="13573" max="13820" width="9.140625" style="158"/>
    <col min="13821" max="13821" width="27.7109375" style="158" customWidth="1"/>
    <col min="13822" max="13822" width="32.85546875" style="158" bestFit="1" customWidth="1"/>
    <col min="13823" max="13823" width="11.5703125" style="158" bestFit="1" customWidth="1"/>
    <col min="13824" max="13824" width="9.7109375" style="158" customWidth="1"/>
    <col min="13825" max="13825" width="12" style="158" customWidth="1"/>
    <col min="13826" max="13826" width="30.140625" style="158" customWidth="1"/>
    <col min="13827" max="13827" width="12" style="158" customWidth="1"/>
    <col min="13828" max="13828" width="12.140625" style="158" customWidth="1"/>
    <col min="13829" max="14076" width="9.140625" style="158"/>
    <col min="14077" max="14077" width="27.7109375" style="158" customWidth="1"/>
    <col min="14078" max="14078" width="32.85546875" style="158" bestFit="1" customWidth="1"/>
    <col min="14079" max="14079" width="11.5703125" style="158" bestFit="1" customWidth="1"/>
    <col min="14080" max="14080" width="9.7109375" style="158" customWidth="1"/>
    <col min="14081" max="14081" width="12" style="158" customWidth="1"/>
    <col min="14082" max="14082" width="30.140625" style="158" customWidth="1"/>
    <col min="14083" max="14083" width="12" style="158" customWidth="1"/>
    <col min="14084" max="14084" width="12.140625" style="158" customWidth="1"/>
    <col min="14085" max="14332" width="9.140625" style="158"/>
    <col min="14333" max="14333" width="27.7109375" style="158" customWidth="1"/>
    <col min="14334" max="14334" width="32.85546875" style="158" bestFit="1" customWidth="1"/>
    <col min="14335" max="14335" width="11.5703125" style="158" bestFit="1" customWidth="1"/>
    <col min="14336" max="14336" width="9.7109375" style="158" customWidth="1"/>
    <col min="14337" max="14337" width="12" style="158" customWidth="1"/>
    <col min="14338" max="14338" width="30.140625" style="158" customWidth="1"/>
    <col min="14339" max="14339" width="12" style="158" customWidth="1"/>
    <col min="14340" max="14340" width="12.140625" style="158" customWidth="1"/>
    <col min="14341" max="14588" width="9.140625" style="158"/>
    <col min="14589" max="14589" width="27.7109375" style="158" customWidth="1"/>
    <col min="14590" max="14590" width="32.85546875" style="158" bestFit="1" customWidth="1"/>
    <col min="14591" max="14591" width="11.5703125" style="158" bestFit="1" customWidth="1"/>
    <col min="14592" max="14592" width="9.7109375" style="158" customWidth="1"/>
    <col min="14593" max="14593" width="12" style="158" customWidth="1"/>
    <col min="14594" max="14594" width="30.140625" style="158" customWidth="1"/>
    <col min="14595" max="14595" width="12" style="158" customWidth="1"/>
    <col min="14596" max="14596" width="12.140625" style="158" customWidth="1"/>
    <col min="14597" max="14844" width="9.140625" style="158"/>
    <col min="14845" max="14845" width="27.7109375" style="158" customWidth="1"/>
    <col min="14846" max="14846" width="32.85546875" style="158" bestFit="1" customWidth="1"/>
    <col min="14847" max="14847" width="11.5703125" style="158" bestFit="1" customWidth="1"/>
    <col min="14848" max="14848" width="9.7109375" style="158" customWidth="1"/>
    <col min="14849" max="14849" width="12" style="158" customWidth="1"/>
    <col min="14850" max="14850" width="30.140625" style="158" customWidth="1"/>
    <col min="14851" max="14851" width="12" style="158" customWidth="1"/>
    <col min="14852" max="14852" width="12.140625" style="158" customWidth="1"/>
    <col min="14853" max="15100" width="9.140625" style="158"/>
    <col min="15101" max="15101" width="27.7109375" style="158" customWidth="1"/>
    <col min="15102" max="15102" width="32.85546875" style="158" bestFit="1" customWidth="1"/>
    <col min="15103" max="15103" width="11.5703125" style="158" bestFit="1" customWidth="1"/>
    <col min="15104" max="15104" width="9.7109375" style="158" customWidth="1"/>
    <col min="15105" max="15105" width="12" style="158" customWidth="1"/>
    <col min="15106" max="15106" width="30.140625" style="158" customWidth="1"/>
    <col min="15107" max="15107" width="12" style="158" customWidth="1"/>
    <col min="15108" max="15108" width="12.140625" style="158" customWidth="1"/>
    <col min="15109" max="15356" width="9.140625" style="158"/>
    <col min="15357" max="15357" width="27.7109375" style="158" customWidth="1"/>
    <col min="15358" max="15358" width="32.85546875" style="158" bestFit="1" customWidth="1"/>
    <col min="15359" max="15359" width="11.5703125" style="158" bestFit="1" customWidth="1"/>
    <col min="15360" max="15360" width="9.7109375" style="158" customWidth="1"/>
    <col min="15361" max="15361" width="12" style="158" customWidth="1"/>
    <col min="15362" max="15362" width="30.140625" style="158" customWidth="1"/>
    <col min="15363" max="15363" width="12" style="158" customWidth="1"/>
    <col min="15364" max="15364" width="12.140625" style="158" customWidth="1"/>
    <col min="15365" max="15612" width="9.140625" style="158"/>
    <col min="15613" max="15613" width="27.7109375" style="158" customWidth="1"/>
    <col min="15614" max="15614" width="32.85546875" style="158" bestFit="1" customWidth="1"/>
    <col min="15615" max="15615" width="11.5703125" style="158" bestFit="1" customWidth="1"/>
    <col min="15616" max="15616" width="9.7109375" style="158" customWidth="1"/>
    <col min="15617" max="15617" width="12" style="158" customWidth="1"/>
    <col min="15618" max="15618" width="30.140625" style="158" customWidth="1"/>
    <col min="15619" max="15619" width="12" style="158" customWidth="1"/>
    <col min="15620" max="15620" width="12.140625" style="158" customWidth="1"/>
    <col min="15621" max="15868" width="9.140625" style="158"/>
    <col min="15869" max="15869" width="27.7109375" style="158" customWidth="1"/>
    <col min="15870" max="15870" width="32.85546875" style="158" bestFit="1" customWidth="1"/>
    <col min="15871" max="15871" width="11.5703125" style="158" bestFit="1" customWidth="1"/>
    <col min="15872" max="15872" width="9.7109375" style="158" customWidth="1"/>
    <col min="15873" max="15873" width="12" style="158" customWidth="1"/>
    <col min="15874" max="15874" width="30.140625" style="158" customWidth="1"/>
    <col min="15875" max="15875" width="12" style="158" customWidth="1"/>
    <col min="15876" max="15876" width="12.140625" style="158" customWidth="1"/>
    <col min="15877" max="16124" width="9.140625" style="158"/>
    <col min="16125" max="16125" width="27.7109375" style="158" customWidth="1"/>
    <col min="16126" max="16126" width="32.85546875" style="158" bestFit="1" customWidth="1"/>
    <col min="16127" max="16127" width="11.5703125" style="158" bestFit="1" customWidth="1"/>
    <col min="16128" max="16128" width="9.7109375" style="158" customWidth="1"/>
    <col min="16129" max="16129" width="12" style="158" customWidth="1"/>
    <col min="16130" max="16130" width="30.140625" style="158" customWidth="1"/>
    <col min="16131" max="16131" width="12" style="158" customWidth="1"/>
    <col min="16132" max="16132" width="12.140625" style="158" customWidth="1"/>
    <col min="16133" max="16384" width="9.140625" style="158"/>
  </cols>
  <sheetData>
    <row r="1" spans="2:11" x14ac:dyDescent="0.25">
      <c r="H1" s="776"/>
      <c r="I1" s="776"/>
      <c r="J1" s="776"/>
      <c r="K1" s="776"/>
    </row>
    <row r="2" spans="2:11" ht="15.75" thickBot="1" x14ac:dyDescent="0.3"/>
    <row r="3" spans="2:11" ht="15.75" thickBot="1" x14ac:dyDescent="0.3">
      <c r="E3" s="775"/>
      <c r="F3" s="775"/>
      <c r="H3" s="774" t="s">
        <v>585</v>
      </c>
      <c r="I3" s="773"/>
      <c r="J3" s="773"/>
      <c r="K3" s="772"/>
    </row>
    <row r="4" spans="2:11" x14ac:dyDescent="0.25">
      <c r="B4" s="702"/>
      <c r="C4" s="702"/>
      <c r="D4" s="702"/>
      <c r="E4" s="771"/>
      <c r="F4" s="771"/>
      <c r="H4" s="770"/>
      <c r="I4" s="769" t="s">
        <v>43</v>
      </c>
      <c r="J4" s="769"/>
      <c r="K4" s="768">
        <f>C19</f>
        <v>1775</v>
      </c>
    </row>
    <row r="5" spans="2:11" x14ac:dyDescent="0.25">
      <c r="B5" s="702"/>
      <c r="C5" s="702"/>
      <c r="D5" s="702"/>
      <c r="E5" s="727"/>
      <c r="F5" s="727"/>
      <c r="H5" s="167"/>
      <c r="I5" s="433" t="s">
        <v>377</v>
      </c>
      <c r="J5" s="419" t="s">
        <v>380</v>
      </c>
      <c r="K5" s="767" t="s">
        <v>504</v>
      </c>
    </row>
    <row r="6" spans="2:11" x14ac:dyDescent="0.25">
      <c r="B6" s="702"/>
      <c r="C6" s="702"/>
      <c r="D6" s="702"/>
      <c r="E6" s="727"/>
      <c r="F6" s="440">
        <v>1</v>
      </c>
      <c r="H6" s="494" t="str">
        <f>IF(INDEX('Master Lookup'!$B$123:$B$129,F6)=0,"",INDEX('Master Lookup'!$B$123:$B$129,F6))</f>
        <v>Management</v>
      </c>
      <c r="I6" s="496">
        <f>IFERROR(INDEX('Master Lookup'!$D$123:$D$129,MATCH(H6,'Master Lookup'!$B$123:$B$129,0)),"")</f>
        <v>79415.232000000018</v>
      </c>
      <c r="J6" s="547">
        <f>IFERROR(INDEX('Master Lookup'!$E$93:$E$123,MATCH(H6,'Master Lookup'!$B$93:$B$129,0)),"")</f>
        <v>0.06</v>
      </c>
      <c r="K6" s="668">
        <f>IFERROR(I6*J6,0)</f>
        <v>4764.9139200000009</v>
      </c>
    </row>
    <row r="7" spans="2:11" x14ac:dyDescent="0.25">
      <c r="E7" s="724"/>
      <c r="F7" s="440">
        <v>2</v>
      </c>
      <c r="H7" s="494" t="str">
        <f>IF(INDEX('Master Lookup'!$B$123:$B$129,F7)=0,"",INDEX('Master Lookup'!$B$123:$B$129,F7))</f>
        <v>Direct Care Staff</v>
      </c>
      <c r="I7" s="496">
        <f>IFERROR(INDEX('Master Lookup'!$D$123:$D$129,MATCH(H7,'Master Lookup'!$B$123:$B$129,0)),"")</f>
        <v>58616.063999999998</v>
      </c>
      <c r="J7" s="547">
        <f>IFERROR(INDEX('Master Lookup'!$E$123:$E$129,MATCH(H7,'Master Lookup'!$B$123:$B$129,0)),"")</f>
        <v>1</v>
      </c>
      <c r="K7" s="668">
        <f>IFERROR(I7*J7,0)</f>
        <v>58616.063999999998</v>
      </c>
    </row>
    <row r="8" spans="2:11" x14ac:dyDescent="0.25">
      <c r="E8" s="724"/>
      <c r="F8" s="440">
        <v>3</v>
      </c>
      <c r="H8" s="665" t="s">
        <v>503</v>
      </c>
      <c r="I8" s="766"/>
      <c r="J8" s="765">
        <f>SUM(J6:J7)</f>
        <v>1.06</v>
      </c>
      <c r="K8" s="742">
        <f>SUM(K6:K7)</f>
        <v>63380.977919999998</v>
      </c>
    </row>
    <row r="9" spans="2:11" x14ac:dyDescent="0.25">
      <c r="E9" s="724"/>
      <c r="F9" s="440">
        <v>4</v>
      </c>
      <c r="H9" s="395" t="s">
        <v>368</v>
      </c>
      <c r="I9" s="624">
        <f>INDEX('Master Lookup'!$C$137:$C$139,MATCH(H9,'Master Lookup'!$B$137:$B$139,0))</f>
        <v>0.27379999999999999</v>
      </c>
      <c r="J9" s="764"/>
      <c r="K9" s="738">
        <f>K8*I9</f>
        <v>17353.711754495998</v>
      </c>
    </row>
    <row r="10" spans="2:11" x14ac:dyDescent="0.25">
      <c r="E10" s="724"/>
      <c r="F10" s="440">
        <v>5</v>
      </c>
      <c r="H10" s="763" t="s">
        <v>502</v>
      </c>
      <c r="I10" s="762"/>
      <c r="J10" s="723"/>
      <c r="K10" s="742">
        <f>SUM(K8:K9)</f>
        <v>80734.689674495996</v>
      </c>
    </row>
    <row r="11" spans="2:11" x14ac:dyDescent="0.25">
      <c r="E11" s="724"/>
      <c r="F11" s="440">
        <v>6</v>
      </c>
      <c r="H11" s="494"/>
      <c r="I11" s="761"/>
      <c r="J11" s="760"/>
      <c r="K11" s="759"/>
    </row>
    <row r="12" spans="2:11" ht="15.75" thickBot="1" x14ac:dyDescent="0.3">
      <c r="E12" s="724"/>
      <c r="F12" s="440"/>
      <c r="H12" s="758" t="s">
        <v>372</v>
      </c>
      <c r="I12" s="757"/>
      <c r="J12" s="756"/>
      <c r="K12" s="738"/>
    </row>
    <row r="13" spans="2:11" ht="15.75" thickBot="1" x14ac:dyDescent="0.3">
      <c r="B13" s="755" t="s">
        <v>577</v>
      </c>
      <c r="C13" s="754" t="s">
        <v>584</v>
      </c>
      <c r="E13" s="724"/>
      <c r="F13" s="440"/>
      <c r="H13" s="494" t="str">
        <f>IF(INDEX('Master Lookup'!$B$132:$B$135,F17)=0,"",INDEX('Master Lookup'!$B$132:$B$135,F17))</f>
        <v>Staff Training 204</v>
      </c>
      <c r="J13" s="496">
        <f>IFERROR(INDEX('Master Lookup'!$C$132:$C$135,MATCH(H13,'Master Lookup'!$B$132:$B$135,0)),"")</f>
        <v>202.39734163733908</v>
      </c>
      <c r="K13" s="753">
        <f>J13*J7</f>
        <v>202.39734163733908</v>
      </c>
    </row>
    <row r="14" spans="2:11" ht="15.75" thickBot="1" x14ac:dyDescent="0.3">
      <c r="B14" s="752" t="s">
        <v>573</v>
      </c>
      <c r="C14" s="736">
        <v>2080</v>
      </c>
      <c r="E14" s="724"/>
      <c r="F14" s="440"/>
      <c r="H14" s="751" t="str">
        <f>IF(INDEX('Master Lookup'!$B$132:$B$135,F18)=0,"",INDEX('Master Lookup'!$B$132:$B$135,F18))</f>
        <v>Staff Mileage / Travel 205</v>
      </c>
      <c r="I14" s="750"/>
      <c r="J14" s="749">
        <f>IFERROR(INDEX('Master Lookup'!$C$132:$C$135,MATCH(H14,'Master Lookup'!$B$132:$B$135,0)),"")</f>
        <v>823.75132959083601</v>
      </c>
      <c r="K14" s="748">
        <f>J14*J7</f>
        <v>823.75132959083601</v>
      </c>
    </row>
    <row r="15" spans="2:11" x14ac:dyDescent="0.25">
      <c r="B15" s="747" t="s">
        <v>571</v>
      </c>
      <c r="C15" s="740">
        <f>120*2</f>
        <v>240</v>
      </c>
      <c r="E15" s="724"/>
      <c r="F15" s="440"/>
      <c r="H15" s="665" t="s">
        <v>538</v>
      </c>
      <c r="I15" s="746"/>
      <c r="J15" s="743"/>
      <c r="K15" s="745">
        <f>SUM(K13:K14)</f>
        <v>1026.1486712281751</v>
      </c>
    </row>
    <row r="16" spans="2:11" x14ac:dyDescent="0.25">
      <c r="B16" s="744" t="s">
        <v>568</v>
      </c>
      <c r="C16" s="740">
        <f>10*2.5</f>
        <v>25</v>
      </c>
      <c r="E16" s="724"/>
      <c r="F16" s="440"/>
      <c r="H16" s="626" t="s">
        <v>499</v>
      </c>
      <c r="I16" s="400"/>
      <c r="J16" s="743"/>
      <c r="K16" s="742">
        <f>SUM(K10,K15)</f>
        <v>81760.838345724173</v>
      </c>
    </row>
    <row r="17" spans="1:15" ht="15.75" thickBot="1" x14ac:dyDescent="0.3">
      <c r="B17" s="741" t="s">
        <v>567</v>
      </c>
      <c r="C17" s="740">
        <f>40*1</f>
        <v>40</v>
      </c>
      <c r="E17" s="727"/>
      <c r="F17" s="440">
        <v>1</v>
      </c>
      <c r="H17" s="395" t="s">
        <v>366</v>
      </c>
      <c r="I17" s="624">
        <f>INDEX('Master Lookup'!$C$137:$C$139,MATCH(H17,'Master Lookup'!$B$137:$B$139,0))</f>
        <v>0.12</v>
      </c>
      <c r="J17" s="739"/>
      <c r="K17" s="738">
        <f>K16*I17</f>
        <v>9811.3006014869006</v>
      </c>
    </row>
    <row r="18" spans="1:15" ht="15.75" thickBot="1" x14ac:dyDescent="0.3">
      <c r="B18" s="737" t="s">
        <v>564</v>
      </c>
      <c r="C18" s="736">
        <f>SUM(C15:C17)</f>
        <v>305</v>
      </c>
      <c r="E18" s="727"/>
      <c r="F18" s="440">
        <v>2</v>
      </c>
      <c r="H18" s="391" t="s">
        <v>367</v>
      </c>
      <c r="I18" s="620">
        <f>INDEX('Master Lookup'!$C$137:$C$139,MATCH(H18,'Master Lookup'!$B$137:$B$139,0))</f>
        <v>2.7100379121522307E-2</v>
      </c>
      <c r="J18" s="735"/>
      <c r="K18" s="734">
        <f>(K16+K17)*I18</f>
        <v>2481.6396824381386</v>
      </c>
    </row>
    <row r="19" spans="1:15" ht="15.75" thickBot="1" x14ac:dyDescent="0.3">
      <c r="B19" s="733" t="s">
        <v>563</v>
      </c>
      <c r="C19" s="732">
        <f>C14-C18</f>
        <v>1775</v>
      </c>
      <c r="E19" s="727"/>
      <c r="F19" s="440">
        <v>3</v>
      </c>
      <c r="H19" s="731" t="s">
        <v>499</v>
      </c>
      <c r="I19" s="730"/>
      <c r="J19" s="729"/>
      <c r="K19" s="728">
        <f>SUM(K16:K18)</f>
        <v>94053.778629649212</v>
      </c>
      <c r="N19" s="158"/>
      <c r="O19" s="158"/>
    </row>
    <row r="20" spans="1:15" x14ac:dyDescent="0.25">
      <c r="E20" s="727"/>
      <c r="F20" s="440">
        <v>4</v>
      </c>
      <c r="H20" s="713" t="s">
        <v>581</v>
      </c>
      <c r="I20" s="400"/>
      <c r="J20" s="726"/>
      <c r="K20" s="725">
        <f>ROUND((K19/K4)/4,2)</f>
        <v>13.25</v>
      </c>
      <c r="N20" s="158"/>
      <c r="O20" s="158"/>
    </row>
    <row r="21" spans="1:15" x14ac:dyDescent="0.25">
      <c r="E21" s="724"/>
      <c r="F21" s="724"/>
      <c r="H21" s="710" t="s">
        <v>580</v>
      </c>
      <c r="I21" s="723"/>
      <c r="J21" s="723"/>
      <c r="K21" s="722">
        <f>ROUND(K20/2,2)</f>
        <v>6.63</v>
      </c>
      <c r="N21" s="158"/>
      <c r="O21" s="158"/>
    </row>
    <row r="22" spans="1:15" ht="15.75" thickBot="1" x14ac:dyDescent="0.3">
      <c r="H22" s="721" t="s">
        <v>579</v>
      </c>
      <c r="I22" s="720"/>
      <c r="J22" s="720"/>
      <c r="K22" s="719">
        <f>ROUND(K20/5,2)</f>
        <v>2.65</v>
      </c>
      <c r="N22" s="158"/>
      <c r="O22" s="158"/>
    </row>
    <row r="23" spans="1:15" x14ac:dyDescent="0.25">
      <c r="E23" s="702"/>
      <c r="F23" s="702"/>
      <c r="L23" s="718"/>
      <c r="N23" s="158"/>
      <c r="O23" s="158"/>
    </row>
    <row r="24" spans="1:15" ht="27" hidden="1" thickBot="1" x14ac:dyDescent="0.3">
      <c r="A24" s="717"/>
      <c r="E24" s="702"/>
      <c r="F24" s="702"/>
      <c r="H24" s="716"/>
      <c r="I24" s="715" t="s">
        <v>310</v>
      </c>
      <c r="J24" s="715" t="s">
        <v>583</v>
      </c>
      <c r="K24" s="714" t="s">
        <v>582</v>
      </c>
      <c r="N24" s="158"/>
      <c r="O24" s="158"/>
    </row>
    <row r="25" spans="1:15" hidden="1" x14ac:dyDescent="0.25">
      <c r="E25" s="702"/>
      <c r="F25" s="702"/>
      <c r="H25" s="713" t="s">
        <v>581</v>
      </c>
      <c r="I25" s="709">
        <v>9.89</v>
      </c>
      <c r="J25" s="708">
        <f>K20</f>
        <v>13.25</v>
      </c>
      <c r="K25" s="707">
        <f>(J25-I25)/I25</f>
        <v>0.3397371081900909</v>
      </c>
      <c r="L25" s="712"/>
      <c r="M25" s="711"/>
    </row>
    <row r="26" spans="1:15" hidden="1" x14ac:dyDescent="0.25">
      <c r="A26" s="702"/>
      <c r="H26" s="710" t="s">
        <v>580</v>
      </c>
      <c r="I26" s="709">
        <v>4.9400000000000004</v>
      </c>
      <c r="J26" s="708">
        <v>5.6791400000000003</v>
      </c>
      <c r="K26" s="707">
        <f>(J26-I26)/I26</f>
        <v>0.14962348178137649</v>
      </c>
    </row>
    <row r="27" spans="1:15" ht="15.75" hidden="1" thickBot="1" x14ac:dyDescent="0.3">
      <c r="A27" s="702"/>
      <c r="H27" s="706" t="s">
        <v>579</v>
      </c>
      <c r="I27" s="705">
        <v>2.0099999999999998</v>
      </c>
      <c r="J27" s="704">
        <v>2.30166</v>
      </c>
      <c r="K27" s="703">
        <f>(J27-I27)/I27</f>
        <v>0.14510447761194045</v>
      </c>
    </row>
    <row r="28" spans="1:15" hidden="1" x14ac:dyDescent="0.25">
      <c r="A28" s="702"/>
      <c r="L28" s="701"/>
    </row>
    <row r="29" spans="1:15" hidden="1" x14ac:dyDescent="0.25">
      <c r="L29" s="701"/>
    </row>
    <row r="30" spans="1:15" x14ac:dyDescent="0.25">
      <c r="L30" s="701"/>
      <c r="O30" s="700"/>
    </row>
    <row r="35" spans="12:15" x14ac:dyDescent="0.25">
      <c r="L35" s="699"/>
      <c r="M35" s="698"/>
      <c r="N35" s="158"/>
      <c r="O35" s="158"/>
    </row>
    <row r="36" spans="12:15" x14ac:dyDescent="0.25">
      <c r="L36" s="699"/>
      <c r="M36" s="698"/>
      <c r="N36" s="158"/>
      <c r="O36" s="158"/>
    </row>
    <row r="37" spans="12:15" x14ac:dyDescent="0.25">
      <c r="L37" s="699"/>
      <c r="M37" s="698"/>
      <c r="N37" s="158"/>
      <c r="O37" s="158"/>
    </row>
    <row r="38" spans="12:15" x14ac:dyDescent="0.25">
      <c r="L38" s="699"/>
      <c r="M38" s="698"/>
      <c r="N38" s="158"/>
      <c r="O38" s="158"/>
    </row>
    <row r="39" spans="12:15" x14ac:dyDescent="0.25">
      <c r="L39" s="699"/>
      <c r="M39" s="698"/>
      <c r="N39" s="158"/>
      <c r="O39" s="158"/>
    </row>
    <row r="40" spans="12:15" x14ac:dyDescent="0.25">
      <c r="L40" s="699"/>
      <c r="M40" s="698"/>
      <c r="N40" s="158"/>
      <c r="O40" s="158"/>
    </row>
    <row r="41" spans="12:15" x14ac:dyDescent="0.25">
      <c r="L41" s="699"/>
      <c r="M41" s="698"/>
      <c r="N41" s="158"/>
      <c r="O41" s="158"/>
    </row>
  </sheetData>
  <mergeCells count="2">
    <mergeCell ref="H1:K1"/>
    <mergeCell ref="H3:K3"/>
  </mergeCells>
  <pageMargins left="0.75" right="0.75" top="1" bottom="1" header="0.5" footer="0.5"/>
  <pageSetup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14</vt:i4>
      </vt:variant>
    </vt:vector>
  </HeadingPairs>
  <TitlesOfParts>
    <vt:vector size="37" baseType="lpstr">
      <vt:lpstr>Rates</vt:lpstr>
      <vt:lpstr>M2022 BLS SALARY CHART (53_PCT)</vt:lpstr>
      <vt:lpstr>CAF Spring 2023</vt:lpstr>
      <vt:lpstr>Below the Line</vt:lpstr>
      <vt:lpstr>Master Lookup</vt:lpstr>
      <vt:lpstr>Aut-FamSupCtrs FY24</vt:lpstr>
      <vt:lpstr>AWC Admin-Family Nav FY24</vt:lpstr>
      <vt:lpstr>BehavioralSupport FY24</vt:lpstr>
      <vt:lpstr>Family Training FY24</vt:lpstr>
      <vt:lpstr>Fin. Assistance Admin FY24</vt:lpstr>
      <vt:lpstr>IFFS FY24</vt:lpstr>
      <vt:lpstr>Med Complex FY24</vt:lpstr>
      <vt:lpstr>Peer Suppt FY24</vt:lpstr>
      <vt:lpstr>Respite Recipient Home FY24</vt:lpstr>
      <vt:lpstr>Respite Caregiver Home FY24</vt:lpstr>
      <vt:lpstr>MCB FAMS FY24</vt:lpstr>
      <vt:lpstr>DCFClinicalComp FY24</vt:lpstr>
      <vt:lpstr>Specialty Fam Skills Grp FY24</vt:lpstr>
      <vt:lpstr>Ed Coordination FY24</vt:lpstr>
      <vt:lpstr>Family Skills Dev Group FY24</vt:lpstr>
      <vt:lpstr>Clinical Non Clinical </vt:lpstr>
      <vt:lpstr>Parent Skill Dev Group FY24</vt:lpstr>
      <vt:lpstr>Adolescent Supprt Network FY24</vt:lpstr>
      <vt:lpstr>'AWC Admin-Family Nav FY24'!Print_Area</vt:lpstr>
      <vt:lpstr>'BehavioralSupport FY24'!Print_Area</vt:lpstr>
      <vt:lpstr>'Clinical Non Clinical '!Print_Area</vt:lpstr>
      <vt:lpstr>'DCFClinicalComp FY24'!Print_Area</vt:lpstr>
      <vt:lpstr>'Family Training FY24'!Print_Area</vt:lpstr>
      <vt:lpstr>'Fin. Assistance Admin FY24'!Print_Area</vt:lpstr>
      <vt:lpstr>'IFFS FY24'!Print_Area</vt:lpstr>
      <vt:lpstr>'M2022 BLS SALARY CHART (53_PCT)'!Print_Area</vt:lpstr>
      <vt:lpstr>'Med Complex FY24'!Print_Area</vt:lpstr>
      <vt:lpstr>'Peer Suppt FY24'!Print_Area</vt:lpstr>
      <vt:lpstr>'Respite Caregiver Home FY24'!Print_Area</vt:lpstr>
      <vt:lpstr>'Respite Recipient Home FY24'!Print_Area</vt:lpstr>
      <vt:lpstr>'Specialty Fam Skills Grp FY24'!Print_Area</vt:lpstr>
      <vt:lpstr>'CAF Spring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Farrell, Conor (EHS)</dc:creator>
  <cp:lastModifiedBy>Farrell, Conor (EHS)</cp:lastModifiedBy>
  <dcterms:created xsi:type="dcterms:W3CDTF">2024-01-22T14:40:43Z</dcterms:created>
  <dcterms:modified xsi:type="dcterms:W3CDTF">2024-01-22T15:00:22Z</dcterms:modified>
</cp:coreProperties>
</file>