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massgov-my.sharepoint.com/personal/deborah_harrison_mass_gov/Documents/Documents/Agencies/EHS/Conor/"/>
    </mc:Choice>
  </mc:AlternateContent>
  <xr:revisionPtr revIDLastSave="0" documentId="8_{09F18AC4-7EB2-4582-8E0E-F13B2067CF91}" xr6:coauthVersionLast="47" xr6:coauthVersionMax="47" xr10:uidLastSave="{00000000-0000-0000-0000-000000000000}"/>
  <bookViews>
    <workbookView xWindow="8550" yWindow="3885" windowWidth="18825" windowHeight="11235" tabRatio="856" firstSheet="1" activeTab="4" xr2:uid="{4D389071-3D54-48EA-847B-2187DE522C68}"/>
  </bookViews>
  <sheets>
    <sheet name="M2022 BLS SALARY CHART (53_PCT)" sheetId="1" state="hidden" r:id="rId1"/>
    <sheet name="M2024 BLS SALARY CHART (53_PCT)" sheetId="51" r:id="rId2"/>
    <sheet name="Master Lookup FY26" sheetId="25" state="hidden" r:id="rId3"/>
    <sheet name="CAF Spring 2025" sheetId="49" r:id="rId4"/>
    <sheet name="FY26 Rates" sheetId="53" r:id="rId5"/>
    <sheet name="Adolescent Supprt Network FY26" sheetId="43" r:id="rId6"/>
    <sheet name="Adult Comp-Respite Recp FY26" sheetId="34" r:id="rId7"/>
    <sheet name="HOURLY &amp; AFTER SCHOOL FY26" sheetId="54" r:id="rId8"/>
    <sheet name="Aut-FamSupCtrs FY26" sheetId="26" r:id="rId9"/>
    <sheet name="AWC Admin-Family Nav FY26" sheetId="27" r:id="rId10"/>
    <sheet name="BehavioralSupport FY26" sheetId="28" r:id="rId11"/>
    <sheet name="Fin. Assistance Admin FY26" sheetId="30" r:id="rId12"/>
    <sheet name="Clinical Non Clinical Hrly FY26" sheetId="41" r:id="rId13"/>
    <sheet name="DCFClinicalComp FY26" sheetId="37" r:id="rId14"/>
    <sheet name="DCF Ed Coordination FY26" sheetId="39" r:id="rId15"/>
    <sheet name="DCFSpecialty Fam Skills Grp" sheetId="18" r:id="rId16"/>
    <sheet name="DCFFamily Skills Dev Group FY26" sheetId="40" r:id="rId17"/>
    <sheet name="Parent Skill Dev Group FY26" sheetId="20" r:id="rId18"/>
    <sheet name="Family Training FY26" sheetId="29" r:id="rId19"/>
    <sheet name="IFFS FY26" sheetId="31" r:id="rId20"/>
    <sheet name="Med Complex FY26" sheetId="32" r:id="rId21"/>
    <sheet name="Peer Suppt FY26" sheetId="33" r:id="rId22"/>
    <sheet name="Site Based Respite FY26" sheetId="52" r:id="rId23"/>
    <sheet name="Respite Caregiver Home FY26" sheetId="35" r:id="rId24"/>
    <sheet name="Unbundled IFC Support" sheetId="55" r:id="rId25"/>
    <sheet name="MCB FAMS FY26" sheetId="36" r:id="rId26"/>
    <sheet name="Salary lookup" sheetId="44" state="hidden" r:id="rId27"/>
    <sheet name="Salary lookup FY24" sheetId="45" state="hidden" r:id="rId28"/>
    <sheet name="CAF Spring 2023" sheetId="2" state="hidden" r:id="rId29"/>
    <sheet name="Non-Salary Expense FY26" sheetId="47" state="hidden" r:id="rId30"/>
    <sheet name="Below the Line" sheetId="4" state="hidden" r:id="rId31"/>
    <sheet name="Non-Salary Expense" sheetId="46" state="hidden" r:id="rId32"/>
    <sheet name="Master Lookup" sheetId="5" state="hidden"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_Key1" localSheetId="5" hidden="1">#REF!</definedName>
    <definedName name="_Key1" localSheetId="12" hidden="1">#REF!</definedName>
    <definedName name="_Key1" localSheetId="14" hidden="1">#REF!</definedName>
    <definedName name="_Key1" hidden="1">#REF!</definedName>
    <definedName name="_Sort" localSheetId="5" hidden="1">#REF!</definedName>
    <definedName name="_Sort" localSheetId="12" hidden="1">#REF!</definedName>
    <definedName name="_Sort" localSheetId="14" hidden="1">#REF!</definedName>
    <definedName name="_Sort" hidden="1">#REF!</definedName>
    <definedName name="alldata" localSheetId="5">#REF!</definedName>
    <definedName name="alldata" localSheetId="12">#REF!</definedName>
    <definedName name="alldata" localSheetId="14">#REF!</definedName>
    <definedName name="alldata" localSheetId="0">#REF!</definedName>
    <definedName name="alldata">#REF!</definedName>
    <definedName name="alled" localSheetId="5">#REF!</definedName>
    <definedName name="alled" localSheetId="12">#REF!</definedName>
    <definedName name="alled" localSheetId="14">#REF!</definedName>
    <definedName name="alled" localSheetId="0">#REF!</definedName>
    <definedName name="alled">#REF!</definedName>
    <definedName name="allstem" localSheetId="5">#REF!</definedName>
    <definedName name="allstem" localSheetId="12">#REF!</definedName>
    <definedName name="allstem" localSheetId="14">#REF!</definedName>
    <definedName name="allstem" localSheetId="0">#REF!</definedName>
    <definedName name="allstem">#REF!</definedName>
    <definedName name="Area">[1]Sheet2!$A$2:$A$28</definedName>
    <definedName name="ARENEW">[2]amendA!$B$1:$U$51</definedName>
    <definedName name="asdfasd" localSheetId="6">'[3]Complete UFR List'!#REF!</definedName>
    <definedName name="asdfasd" localSheetId="8">'[3]Complete UFR List'!#REF!</definedName>
    <definedName name="asdfasd" localSheetId="18">'[3]Complete UFR List'!#REF!</definedName>
    <definedName name="asdfasd">'[3]Complete UFR List'!#REF!</definedName>
    <definedName name="asdfasdf" localSheetId="6">'[3]Complete UFR List'!#REF!</definedName>
    <definedName name="asdfasdf" localSheetId="18">'[3]Complete UFR List'!#REF!</definedName>
    <definedName name="asdfasdf">'[3]Complete UFR List'!#REF!</definedName>
    <definedName name="ATTABOY">[2]amendA!$B$2:$S$2</definedName>
    <definedName name="AutoInsurance">[4]Universal!$C$19</definedName>
    <definedName name="autsupp2" localSheetId="5">#REF!</definedName>
    <definedName name="autsupp2" localSheetId="6">#REF!</definedName>
    <definedName name="autsupp2" localSheetId="8">#REF!</definedName>
    <definedName name="autsupp2" localSheetId="12">#REF!</definedName>
    <definedName name="autsupp2" localSheetId="14">#REF!</definedName>
    <definedName name="autsupp2" localSheetId="18">#REF!</definedName>
    <definedName name="autsupp2">#REF!</definedName>
    <definedName name="Average" localSheetId="5">#REF!</definedName>
    <definedName name="Average" localSheetId="12">#REF!</definedName>
    <definedName name="Average" localSheetId="14">#REF!</definedName>
    <definedName name="Average">#REF!</definedName>
    <definedName name="BB6_4" localSheetId="5">#REF!</definedName>
    <definedName name="BB6_4" localSheetId="12">#REF!</definedName>
    <definedName name="BB6_4" localSheetId="14">#REF!</definedName>
    <definedName name="BB6_4">#REF!</definedName>
    <definedName name="Break">'[5]Tech Stuff'!$E$4</definedName>
    <definedName name="CAF_NEW">[6]RawDataCalcs!$L$70:$DB$70</definedName>
    <definedName name="Cap" localSheetId="0">[7]RawDataCalcs!$L$35:$DB$35</definedName>
    <definedName name="Cap">[8]RawDataCalcs!$L$17:$DB$17</definedName>
    <definedName name="capa">[8]RawDataCalcs!$L$17:$DB$17</definedName>
    <definedName name="COLA">[4]Universal!$C$12</definedName>
    <definedName name="Data" localSheetId="5">#REF!</definedName>
    <definedName name="Data" localSheetId="12">#REF!</definedName>
    <definedName name="Data" localSheetId="14">#REF!</definedName>
    <definedName name="Data">#REF!</definedName>
    <definedName name="Electricity">[4]Universal!$C$21</definedName>
    <definedName name="Fisc" localSheetId="6">'[3]Complete UFR List'!#REF!</definedName>
    <definedName name="Fisc" localSheetId="8">'[3]Complete UFR List'!#REF!</definedName>
    <definedName name="Fisc" localSheetId="18">'[3]Complete UFR List'!#REF!</definedName>
    <definedName name="Fisc">'[3]Complete UFR List'!#REF!</definedName>
    <definedName name="FiveDay">[4]Universal!$C$17</definedName>
    <definedName name="Floor" localSheetId="0">[7]RawDataCalcs!$L$34:$DB$34</definedName>
    <definedName name="Floor">[8]RawDataCalcs!$L$16:$DB$16</definedName>
    <definedName name="Fringe">[4]Universal!$C$8</definedName>
    <definedName name="FROM">[2]amendA!$G$7</definedName>
    <definedName name="Funds">'[9]RawDataCalcs3386&amp;3401'!$L$68:$DB$68</definedName>
    <definedName name="GA">[4]Universal!$C$13</definedName>
    <definedName name="Gas">[4]Universal!$C$22</definedName>
    <definedName name="gk" localSheetId="5">#REF!</definedName>
    <definedName name="gk" localSheetId="6">#REF!</definedName>
    <definedName name="gk" localSheetId="8">#REF!</definedName>
    <definedName name="gk" localSheetId="12">#REF!</definedName>
    <definedName name="gk" localSheetId="14">#REF!</definedName>
    <definedName name="gk" localSheetId="16">#REF!</definedName>
    <definedName name="gk" localSheetId="15">#REF!</definedName>
    <definedName name="gk" localSheetId="18">#REF!</definedName>
    <definedName name="gk" localSheetId="17">#REF!</definedName>
    <definedName name="gk">#REF!</definedName>
    <definedName name="hhh" localSheetId="5">#REF!</definedName>
    <definedName name="hhh" localSheetId="12">#REF!</definedName>
    <definedName name="hhh" localSheetId="14">#REF!</definedName>
    <definedName name="hhh">#REF!</definedName>
    <definedName name="Holidays">[4]Universal!$C$49:$C$59</definedName>
    <definedName name="JailDAverage" localSheetId="5">#REF!</definedName>
    <definedName name="JailDAverage" localSheetId="12">#REF!</definedName>
    <definedName name="JailDAverage" localSheetId="14">#REF!</definedName>
    <definedName name="JailDAverage">#REF!</definedName>
    <definedName name="JailDCap">[10]ALLRawDataCalcs!$L$80:$DB$80</definedName>
    <definedName name="JailDFloor">[10]ALLRawDataCalcs!$L$79:$DB$79</definedName>
    <definedName name="JailDgk" localSheetId="5">#REF!</definedName>
    <definedName name="JailDgk" localSheetId="12">#REF!</definedName>
    <definedName name="JailDgk" localSheetId="14">#REF!</definedName>
    <definedName name="JailDgk">#REF!</definedName>
    <definedName name="JailDMax" localSheetId="5">#REF!</definedName>
    <definedName name="JailDMax" localSheetId="12">#REF!</definedName>
    <definedName name="JailDMax" localSheetId="14">#REF!</definedName>
    <definedName name="JailDMax">#REF!</definedName>
    <definedName name="JailDMedian" localSheetId="5">#REF!</definedName>
    <definedName name="JailDMedian" localSheetId="12">#REF!</definedName>
    <definedName name="JailDMedian" localSheetId="14">#REF!</definedName>
    <definedName name="JailDMedian">#REF!</definedName>
    <definedName name="jm" localSheetId="6">'[3]Complete UFR List'!#REF!</definedName>
    <definedName name="jm" localSheetId="8">'[3]Complete UFR List'!#REF!</definedName>
    <definedName name="jm" localSheetId="18">'[3]Complete UFR List'!#REF!</definedName>
    <definedName name="jm">'[3]Complete UFR List'!#REF!</definedName>
    <definedName name="kls" localSheetId="5">#REF!</definedName>
    <definedName name="kls" localSheetId="12">#REF!</definedName>
    <definedName name="kls" localSheetId="14">#REF!</definedName>
    <definedName name="kls">#REF!</definedName>
    <definedName name="ListProviders">'[11]List of Programs'!$A$24:$A$29</definedName>
    <definedName name="Max" localSheetId="5">#REF!</definedName>
    <definedName name="Max" localSheetId="12">#REF!</definedName>
    <definedName name="Max" localSheetId="14">#REF!</definedName>
    <definedName name="Max">#REF!</definedName>
    <definedName name="Median" localSheetId="5">#REF!</definedName>
    <definedName name="Median" localSheetId="12">#REF!</definedName>
    <definedName name="Median" localSheetId="14">#REF!</definedName>
    <definedName name="Median">#REF!</definedName>
    <definedName name="Min" localSheetId="5">#REF!</definedName>
    <definedName name="Min" localSheetId="12">#REF!</definedName>
    <definedName name="Min" localSheetId="14">#REF!</definedName>
    <definedName name="Min">#REF!</definedName>
    <definedName name="mr" localSheetId="5">#REF!</definedName>
    <definedName name="mr" localSheetId="12">#REF!</definedName>
    <definedName name="mr" localSheetId="14">#REF!</definedName>
    <definedName name="mr">#REF!</definedName>
    <definedName name="MT" localSheetId="5">#REF!</definedName>
    <definedName name="MT" localSheetId="6">#REF!</definedName>
    <definedName name="MT" localSheetId="8">#REF!</definedName>
    <definedName name="MT" localSheetId="12">#REF!</definedName>
    <definedName name="MT" localSheetId="14">#REF!</definedName>
    <definedName name="MT" localSheetId="16">#REF!</definedName>
    <definedName name="MT" localSheetId="15">#REF!</definedName>
    <definedName name="MT" localSheetId="18">#REF!</definedName>
    <definedName name="MT" localSheetId="17">#REF!</definedName>
    <definedName name="MT">#REF!</definedName>
    <definedName name="new" localSheetId="5">#REF!</definedName>
    <definedName name="new" localSheetId="12">#REF!</definedName>
    <definedName name="new" localSheetId="14">#REF!</definedName>
    <definedName name="new">#REF!</definedName>
    <definedName name="Oil">[4]Universal!$C$23</definedName>
    <definedName name="ok" localSheetId="5">#REF!</definedName>
    <definedName name="ok" localSheetId="12">#REF!</definedName>
    <definedName name="ok" localSheetId="14">#REF!</definedName>
    <definedName name="ok">#REF!</definedName>
    <definedName name="Paydays">[4]Universal!$C$33:$N$33</definedName>
    <definedName name="Phone">[4]Universal!$C$25</definedName>
    <definedName name="_xlnm.Print_Area" localSheetId="6">'Adult Comp-Respite Recp FY26'!$C$3:$I$22</definedName>
    <definedName name="_xlnm.Print_Area" localSheetId="8">'Aut-FamSupCtrs FY26'!#REF!</definedName>
    <definedName name="_xlnm.Print_Area" localSheetId="9">'AWC Admin-Family Nav FY26'!$A$2:$L$55</definedName>
    <definedName name="_xlnm.Print_Area" localSheetId="10">'BehavioralSupport FY26'!$B$2:$N$72</definedName>
    <definedName name="_xlnm.Print_Area" localSheetId="12">'Clinical Non Clinical Hrly FY26'!$F$1:$AJ$36</definedName>
    <definedName name="_xlnm.Print_Area" localSheetId="14">'DCF Ed Coordination FY26'!#REF!</definedName>
    <definedName name="_xlnm.Print_Area" localSheetId="13">'DCFClinicalComp FY26'!$H$3:$AU$82</definedName>
    <definedName name="_xlnm.Print_Area" localSheetId="16">'DCFFamily Skills Dev Group FY26'!#REF!</definedName>
    <definedName name="_xlnm.Print_Area" localSheetId="15">'DCFSpecialty Fam Skills Grp'!$E$2:$E$38</definedName>
    <definedName name="_xlnm.Print_Area" localSheetId="18">'Family Training FY26'!$F$2:$N$30</definedName>
    <definedName name="_xlnm.Print_Area" localSheetId="11">'Fin. Assistance Admin FY26'!$B$4:$B$25</definedName>
    <definedName name="_xlnm.Print_Area" localSheetId="7">'HOURLY &amp; AFTER SCHOOL FY26'!$F$1:$AJ$36</definedName>
    <definedName name="_xlnm.Print_Area" localSheetId="19">'IFFS FY26'!$B$1:$H$1</definedName>
    <definedName name="_xlnm.Print_Area" localSheetId="0">'M2022 BLS SALARY CHART (53_PCT)'!$B$1:$E$46</definedName>
    <definedName name="_xlnm.Print_Area" localSheetId="20">'Med Complex FY26'!$B$1:$B$3</definedName>
    <definedName name="_xlnm.Print_Area" localSheetId="17">'Parent Skill Dev Group FY26'!#REF!</definedName>
    <definedName name="_xlnm.Print_Area" localSheetId="21">'Peer Suppt FY26'!$C$2:$H$21</definedName>
    <definedName name="_xlnm.Print_Area" localSheetId="23">'Respite Caregiver Home FY26'!$C$1:$G$11</definedName>
    <definedName name="_xlnm.Print_Area" localSheetId="22">'Site Based Respite FY26'!$I$1:$AM$37</definedName>
    <definedName name="_xlnm.Print_Area" localSheetId="24">'Unbundled IFC Support'!$C$1:$I$23</definedName>
    <definedName name="_xlnm.Print_Titles" localSheetId="28">'CAF Spring 2023'!$A:$A</definedName>
    <definedName name="_xlnm.Print_Titles" localSheetId="3">'CAF Spring 2025'!$A:$A</definedName>
    <definedName name="Program_File" localSheetId="5">#REF!</definedName>
    <definedName name="Program_File" localSheetId="12">#REF!</definedName>
    <definedName name="Program_File" localSheetId="14">#REF!</definedName>
    <definedName name="Program_File">#REF!</definedName>
    <definedName name="Programs">'[11]List of Programs'!$B$3:$B$19</definedName>
    <definedName name="PropInsurance">[4]Universal!$C$20</definedName>
    <definedName name="ProvFTE">'[12]FTE Data'!$A$3:$AW$56</definedName>
    <definedName name="PTO_Hours">[4]Universal!$F$72:$F$78</definedName>
    <definedName name="PTO_Years">[4]Universal!$B$72:$B$78</definedName>
    <definedName name="PurchasedBy">'[12]FTE Data'!$C$263:$AZ$657</definedName>
    <definedName name="REGION">[1]Sheet2!$B$1:$B$5</definedName>
    <definedName name="Relief">[4]Universal!$C$14</definedName>
    <definedName name="resmay2007" localSheetId="5">#REF!</definedName>
    <definedName name="resmay2007" localSheetId="12">#REF!</definedName>
    <definedName name="resmay2007" localSheetId="14">#REF!</definedName>
    <definedName name="resmay2007">#REF!</definedName>
    <definedName name="SevenDay">[4]Universal!$C$18</definedName>
    <definedName name="sheet1" localSheetId="5">#REF!</definedName>
    <definedName name="sheet1" localSheetId="12">#REF!</definedName>
    <definedName name="sheet1" localSheetId="14">#REF!</definedName>
    <definedName name="sheet1" localSheetId="0">#REF!</definedName>
    <definedName name="sheet1">#REF!</definedName>
    <definedName name="Site_list">[12]Lists!$A$2:$A$53</definedName>
    <definedName name="Source" localSheetId="5">#REF!</definedName>
    <definedName name="Source" localSheetId="6">#REF!</definedName>
    <definedName name="Source" localSheetId="8">#REF!</definedName>
    <definedName name="Source" localSheetId="12">#REF!</definedName>
    <definedName name="Source" localSheetId="14">#REF!</definedName>
    <definedName name="Source" localSheetId="16">#REF!</definedName>
    <definedName name="Source" localSheetId="15">#REF!</definedName>
    <definedName name="Source" localSheetId="18">#REF!</definedName>
    <definedName name="Source" localSheetId="17">#REF!</definedName>
    <definedName name="Source">#REF!</definedName>
    <definedName name="Source_2" localSheetId="5">#REF!</definedName>
    <definedName name="Source_2" localSheetId="6">#REF!</definedName>
    <definedName name="Source_2" localSheetId="8">#REF!</definedName>
    <definedName name="Source_2" localSheetId="12">#REF!</definedName>
    <definedName name="Source_2" localSheetId="14">#REF!</definedName>
    <definedName name="Source_2" localSheetId="16">#REF!</definedName>
    <definedName name="Source_2" localSheetId="15">#REF!</definedName>
    <definedName name="Source_2" localSheetId="18">#REF!</definedName>
    <definedName name="Source_2" localSheetId="17">#REF!</definedName>
    <definedName name="Source_2">#REF!</definedName>
    <definedName name="SourcePathAndFileName" localSheetId="5">#REF!</definedName>
    <definedName name="SourcePathAndFileName" localSheetId="12">#REF!</definedName>
    <definedName name="SourcePathAndFileName" localSheetId="14">#REF!</definedName>
    <definedName name="SourcePathAndFileName">#REF!</definedName>
    <definedName name="StaffApp">[4]Universal!$C$11</definedName>
    <definedName name="Tax">[4]Universal!$C$7</definedName>
    <definedName name="TO">[2]amendA!$K$7:$O$7</definedName>
    <definedName name="Total_UFR" localSheetId="5">#REF!</definedName>
    <definedName name="Total_UFR" localSheetId="6">#REF!</definedName>
    <definedName name="Total_UFR" localSheetId="8">#REF!</definedName>
    <definedName name="Total_UFR" localSheetId="12">#REF!</definedName>
    <definedName name="Total_UFR" localSheetId="14">#REF!</definedName>
    <definedName name="Total_UFR" localSheetId="16">#REF!</definedName>
    <definedName name="Total_UFR" localSheetId="15">#REF!</definedName>
    <definedName name="Total_UFR" localSheetId="18">#REF!</definedName>
    <definedName name="Total_UFR" localSheetId="17">#REF!</definedName>
    <definedName name="Total_UFR">#REF!</definedName>
    <definedName name="Total_UFRs" localSheetId="5">#REF!</definedName>
    <definedName name="Total_UFRs" localSheetId="12">#REF!</definedName>
    <definedName name="Total_UFRs" localSheetId="14">#REF!</definedName>
    <definedName name="Total_UFRs">#REF!</definedName>
    <definedName name="Total_UFRs_" localSheetId="5">#REF!</definedName>
    <definedName name="Total_UFRs_" localSheetId="12">#REF!</definedName>
    <definedName name="Total_UFRs_" localSheetId="14">#REF!</definedName>
    <definedName name="Total_UFRs_">#REF!</definedName>
    <definedName name="TotalDays">[4]Universal!$C$30:$N$30</definedName>
    <definedName name="UFR" localSheetId="6">'[3]Complete UFR List'!#REF!</definedName>
    <definedName name="UFR" localSheetId="8">'[3]Complete UFR List'!#REF!</definedName>
    <definedName name="UFR" localSheetId="14">'[3]Complete UFR List'!#REF!</definedName>
    <definedName name="UFR" localSheetId="16">'[3]Complete UFR List'!#REF!</definedName>
    <definedName name="UFR" localSheetId="15">'[3]Complete UFR List'!#REF!</definedName>
    <definedName name="UFR" localSheetId="18">'[3]Complete UFR List'!#REF!</definedName>
    <definedName name="UFR" localSheetId="17">'[3]Complete UFR List'!#REF!</definedName>
    <definedName name="UFR">'[3]Complete UFR List'!#REF!</definedName>
    <definedName name="UFRS" localSheetId="6">'[3]Complete UFR List'!#REF!</definedName>
    <definedName name="UFRS" localSheetId="8">'[3]Complete UFR List'!#REF!</definedName>
    <definedName name="UFRS" localSheetId="14">'[3]Complete UFR List'!#REF!</definedName>
    <definedName name="UFRS" localSheetId="16">'[3]Complete UFR List'!#REF!</definedName>
    <definedName name="UFRS" localSheetId="15">'[3]Complete UFR List'!#REF!</definedName>
    <definedName name="UFRS" localSheetId="18">'[3]Complete UFR List'!#REF!</definedName>
    <definedName name="UFRS" localSheetId="17">'[3]Complete UFR List'!#REF!</definedName>
    <definedName name="UFRS">'[3]Complete UFR List'!#REF!</definedName>
    <definedName name="UPDATE" localSheetId="6">'[3]Complete UFR List'!#REF!</definedName>
    <definedName name="UPDATE" localSheetId="18">'[3]Complete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 localSheetId="5">'[3]Complete UFR List'!#REF!</definedName>
    <definedName name="wefqwerqwe" localSheetId="6">'[3]Complete UFR List'!#REF!</definedName>
    <definedName name="wefqwerqwe" localSheetId="12">'[3]Complete UFR List'!#REF!</definedName>
    <definedName name="wefqwerqwe" localSheetId="14">'[3]Complete UFR List'!#REF!</definedName>
    <definedName name="wefqwerqwe" localSheetId="18">'[3]Complete UFR List'!#REF!</definedName>
    <definedName name="wefqwerqwe">'[3]Complete UFR List'!#REF!</definedName>
    <definedName name="yes" localSheetId="5">'[3]Complete UFR List'!#REF!</definedName>
    <definedName name="yes" localSheetId="12">'[3]Complete UFR List'!#REF!</definedName>
    <definedName name="yes" localSheetId="14">'[3]Complete UFR List'!#REF!</definedName>
    <definedName name="yes">'[3]Complete UFR List'!#REF!</definedName>
    <definedName name="Z_4C1AD9FE_DB97_4D30_8CF1_D476DD376A5A_.wvu.Cols" localSheetId="6" hidden="1">'Adult Comp-Respite Recp FY26'!#REF!</definedName>
    <definedName name="Z_4C1AD9FE_DB97_4D30_8CF1_D476DD376A5A_.wvu.Cols" localSheetId="18" hidden="1">'Family Training FY26'!#REF!</definedName>
    <definedName name="Z_4C1AD9FE_DB97_4D30_8CF1_D476DD376A5A_.wvu.Cols" localSheetId="11" hidden="1">'Fin. Assistance Admin FY26'!$B:$B</definedName>
    <definedName name="Z_4C1AD9FE_DB97_4D30_8CF1_D476DD376A5A_.wvu.Cols" localSheetId="20" hidden="1">'Med Complex FY26'!#REF!</definedName>
    <definedName name="Z_4C1AD9FE_DB97_4D30_8CF1_D476DD376A5A_.wvu.Cols" localSheetId="21" hidden="1">'Peer Suppt FY26'!$A:$B</definedName>
    <definedName name="Z_4C1AD9FE_DB97_4D30_8CF1_D476DD376A5A_.wvu.Cols" localSheetId="23" hidden="1">'Respite Caregiver Home FY26'!#REF!</definedName>
    <definedName name="Z_4C1AD9FE_DB97_4D30_8CF1_D476DD376A5A_.wvu.PrintArea" localSheetId="23" hidden="1">'Respite Caregiver Home FY26'!#REF!</definedName>
    <definedName name="Z_6A16E15D_0E79_4250_8AEC_339F57F63027_.wvu.Cols" localSheetId="6" hidden="1">'Adult Comp-Respite Recp FY26'!#REF!</definedName>
    <definedName name="Z_6A16E15D_0E79_4250_8AEC_339F57F63027_.wvu.Cols" localSheetId="18" hidden="1">'Family Training FY26'!#REF!</definedName>
    <definedName name="Z_6A16E15D_0E79_4250_8AEC_339F57F63027_.wvu.Cols" localSheetId="11" hidden="1">'Fin. Assistance Admin FY26'!$B:$B</definedName>
    <definedName name="Z_6A16E15D_0E79_4250_8AEC_339F57F63027_.wvu.Cols" localSheetId="20" hidden="1">'Med Complex FY26'!#REF!</definedName>
    <definedName name="Z_6A16E15D_0E79_4250_8AEC_339F57F63027_.wvu.Cols" localSheetId="21" hidden="1">'Peer Suppt FY26'!$A:$B</definedName>
    <definedName name="Z_6A16E15D_0E79_4250_8AEC_339F57F63027_.wvu.Cols" localSheetId="23" hidden="1">'Respite Caregiver Home FY26'!#REF!</definedName>
    <definedName name="Z_6A16E15D_0E79_4250_8AEC_339F57F63027_.wvu.PrintArea" localSheetId="23" hidden="1">'Respite Caregiver Home FY26'!#REF!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3" i="53" l="1"/>
  <c r="G103" i="53" s="1"/>
  <c r="F102" i="53"/>
  <c r="F101" i="53"/>
  <c r="G101" i="53" s="1"/>
  <c r="F100" i="53"/>
  <c r="G100" i="53" s="1"/>
  <c r="F99" i="53"/>
  <c r="G99" i="53" s="1"/>
  <c r="F97" i="53"/>
  <c r="G97" i="53" s="1"/>
  <c r="F98" i="53"/>
  <c r="G98" i="53" s="1"/>
  <c r="F96" i="53"/>
  <c r="F95" i="53"/>
  <c r="G95" i="53" s="1"/>
  <c r="F94" i="53"/>
  <c r="G94" i="53" s="1"/>
  <c r="F93" i="53"/>
  <c r="F92" i="53"/>
  <c r="G92" i="53" s="1"/>
  <c r="F91" i="53"/>
  <c r="G91" i="53" s="1"/>
  <c r="F90" i="53"/>
  <c r="G90" i="53" s="1"/>
  <c r="F89" i="53"/>
  <c r="G89" i="53" s="1"/>
  <c r="F87" i="53"/>
  <c r="G87" i="53" s="1"/>
  <c r="F88" i="53"/>
  <c r="F86" i="53"/>
  <c r="G86" i="53" s="1"/>
  <c r="F85" i="53"/>
  <c r="G85" i="53" s="1"/>
  <c r="F84" i="53"/>
  <c r="G84" i="53" s="1"/>
  <c r="F82" i="53"/>
  <c r="G82" i="53" s="1"/>
  <c r="F83" i="53"/>
  <c r="G83" i="53" s="1"/>
  <c r="F81" i="53"/>
  <c r="G81" i="53" s="1"/>
  <c r="F78" i="53"/>
  <c r="F76" i="53"/>
  <c r="G76" i="53" s="1"/>
  <c r="F74" i="53"/>
  <c r="G74" i="53" s="1"/>
  <c r="F70" i="53"/>
  <c r="F77" i="53" s="1"/>
  <c r="G77" i="53" s="1"/>
  <c r="F71" i="53"/>
  <c r="F72" i="53"/>
  <c r="G72" i="53" s="1"/>
  <c r="F73" i="53"/>
  <c r="G73" i="53" s="1"/>
  <c r="F69" i="53"/>
  <c r="G69" i="53" s="1"/>
  <c r="F67" i="53"/>
  <c r="G67" i="53" s="1"/>
  <c r="F66" i="53"/>
  <c r="F64" i="53"/>
  <c r="G64" i="53" s="1"/>
  <c r="F54" i="53"/>
  <c r="G54" i="53" s="1"/>
  <c r="F53" i="53"/>
  <c r="G53" i="53" s="1"/>
  <c r="F46" i="53"/>
  <c r="G46" i="53" s="1"/>
  <c r="F47" i="53"/>
  <c r="G47" i="53" s="1"/>
  <c r="F48" i="53"/>
  <c r="F49" i="53"/>
  <c r="F50" i="53"/>
  <c r="G50" i="53" s="1"/>
  <c r="F51" i="53"/>
  <c r="G51" i="53" s="1"/>
  <c r="F52" i="53"/>
  <c r="G52" i="53" s="1"/>
  <c r="F45" i="53"/>
  <c r="G45" i="53" s="1"/>
  <c r="F43" i="53"/>
  <c r="G43" i="53" s="1"/>
  <c r="F42" i="53"/>
  <c r="G42" i="53" s="1"/>
  <c r="F39" i="53"/>
  <c r="G39" i="53" s="1"/>
  <c r="F37" i="53"/>
  <c r="G37" i="53" s="1"/>
  <c r="F36" i="53"/>
  <c r="G36" i="53" s="1"/>
  <c r="F35" i="53"/>
  <c r="G35" i="53" s="1"/>
  <c r="T7" i="37"/>
  <c r="T8" i="37"/>
  <c r="G40" i="53"/>
  <c r="G48" i="53"/>
  <c r="G49" i="53"/>
  <c r="G66" i="53"/>
  <c r="G71" i="53"/>
  <c r="G78" i="53"/>
  <c r="G88" i="53"/>
  <c r="G93" i="53"/>
  <c r="G96" i="53"/>
  <c r="G102" i="53"/>
  <c r="M29" i="55"/>
  <c r="M40" i="55"/>
  <c r="T29" i="55"/>
  <c r="T28" i="55"/>
  <c r="G70" i="53" l="1"/>
  <c r="F80" i="53"/>
  <c r="G80" i="53" s="1"/>
  <c r="F79" i="53"/>
  <c r="G79" i="53" s="1"/>
  <c r="M33" i="55"/>
  <c r="M32" i="55"/>
  <c r="T35" i="55"/>
  <c r="T32" i="55"/>
  <c r="M38" i="55"/>
  <c r="N26" i="55"/>
  <c r="L25" i="55"/>
  <c r="E20" i="55"/>
  <c r="I19" i="55"/>
  <c r="G9" i="55"/>
  <c r="H9" i="55" s="1"/>
  <c r="I9" i="55" s="1"/>
  <c r="F9" i="55"/>
  <c r="F7" i="55"/>
  <c r="G7" i="55" s="1"/>
  <c r="H7" i="55" s="1"/>
  <c r="I7" i="55" s="1"/>
  <c r="F6" i="55"/>
  <c r="F10" i="55" s="1"/>
  <c r="O33" i="55" l="1"/>
  <c r="O32" i="55"/>
  <c r="G6" i="55"/>
  <c r="G8" i="55" s="1"/>
  <c r="G12" i="55" s="1"/>
  <c r="G10" i="55"/>
  <c r="H10" i="55" s="1"/>
  <c r="I10" i="55" s="1"/>
  <c r="F12" i="55"/>
  <c r="H6" i="55" l="1"/>
  <c r="H8" i="55" s="1"/>
  <c r="H12" i="55" s="1"/>
  <c r="I6" i="55" l="1"/>
  <c r="I8" i="55" s="1"/>
  <c r="I12" i="55" s="1"/>
  <c r="I11" i="55" l="1"/>
  <c r="I16" i="55" s="1"/>
  <c r="I13" i="55" l="1"/>
  <c r="I15" i="55" s="1"/>
  <c r="I18" i="55" s="1"/>
  <c r="I20" i="55" s="1"/>
  <c r="I21" i="55" s="1"/>
  <c r="T16" i="52" l="1"/>
  <c r="I11" i="20" l="1"/>
  <c r="I21" i="20"/>
  <c r="J11" i="18"/>
  <c r="C15" i="54" l="1"/>
  <c r="N19" i="54" s="1"/>
  <c r="H19" i="54"/>
  <c r="C13" i="54"/>
  <c r="M31" i="54" s="1"/>
  <c r="L36" i="54"/>
  <c r="F36" i="54"/>
  <c r="H35" i="54"/>
  <c r="I35" i="54" s="1"/>
  <c r="AF33" i="54"/>
  <c r="AI33" i="54" s="1"/>
  <c r="AI35" i="54" s="1"/>
  <c r="N33" i="54"/>
  <c r="H33" i="54"/>
  <c r="L29" i="54"/>
  <c r="F29" i="54"/>
  <c r="AI27" i="54"/>
  <c r="AI25" i="54"/>
  <c r="O16" i="54"/>
  <c r="P16" i="54" s="1"/>
  <c r="F15" i="54"/>
  <c r="L15" i="54" s="1"/>
  <c r="M40" i="54"/>
  <c r="C14" i="54"/>
  <c r="H18" i="54" s="1"/>
  <c r="AF12" i="54"/>
  <c r="AF14" i="54" s="1"/>
  <c r="C12" i="54"/>
  <c r="H37" i="54" s="1"/>
  <c r="I37" i="54" s="1"/>
  <c r="AG11" i="54"/>
  <c r="AH11" i="54" s="1"/>
  <c r="AI11" i="54" s="1"/>
  <c r="AJ11" i="54" s="1"/>
  <c r="O11" i="54"/>
  <c r="I11" i="54"/>
  <c r="C11" i="54"/>
  <c r="O15" i="54" s="1"/>
  <c r="C10" i="54"/>
  <c r="O14" i="54" s="1"/>
  <c r="AG9" i="54"/>
  <c r="H10" i="54"/>
  <c r="N10" i="54" s="1"/>
  <c r="C8" i="54"/>
  <c r="G30" i="54" s="1"/>
  <c r="I30" i="54" s="1"/>
  <c r="AG7" i="54"/>
  <c r="AH7" i="54" s="1"/>
  <c r="C7" i="54"/>
  <c r="M30" i="54" s="1"/>
  <c r="O30" i="54" s="1"/>
  <c r="C6" i="54"/>
  <c r="G29" i="54" s="1"/>
  <c r="I29" i="54" s="1"/>
  <c r="O5" i="54"/>
  <c r="P5" i="54" s="1"/>
  <c r="I5" i="54"/>
  <c r="J5" i="54" s="1"/>
  <c r="AG10" i="54" l="1"/>
  <c r="P14" i="54"/>
  <c r="N36" i="54"/>
  <c r="O36" i="54" s="1"/>
  <c r="P15" i="54"/>
  <c r="I14" i="54"/>
  <c r="J14" i="54" s="1"/>
  <c r="N37" i="54"/>
  <c r="O37" i="54" s="1"/>
  <c r="M32" i="54"/>
  <c r="AI7" i="54"/>
  <c r="AI10" i="54" s="1"/>
  <c r="AH10" i="54"/>
  <c r="AH14" i="54" s="1"/>
  <c r="H7" i="54"/>
  <c r="J7" i="54" s="1"/>
  <c r="H8" i="54"/>
  <c r="J8" i="54" s="1"/>
  <c r="G31" i="54"/>
  <c r="I31" i="54" s="1"/>
  <c r="N35" i="54"/>
  <c r="O35" i="54" s="1"/>
  <c r="AH9" i="54"/>
  <c r="AI9" i="54" s="1"/>
  <c r="I16" i="54"/>
  <c r="J16" i="54" s="1"/>
  <c r="N18" i="54"/>
  <c r="M39" i="54"/>
  <c r="G39" i="54"/>
  <c r="N7" i="54"/>
  <c r="P7" i="54" s="1"/>
  <c r="N8" i="54"/>
  <c r="P8" i="54" s="1"/>
  <c r="I15" i="54"/>
  <c r="J15" i="54" s="1"/>
  <c r="M29" i="54"/>
  <c r="O29" i="54" s="1"/>
  <c r="O31" i="54" s="1"/>
  <c r="AG12" i="54"/>
  <c r="AH12" i="54" s="1"/>
  <c r="AI12" i="54" s="1"/>
  <c r="AJ12" i="54" s="1"/>
  <c r="G32" i="54"/>
  <c r="H36" i="54"/>
  <c r="I36" i="54" s="1"/>
  <c r="G40" i="54"/>
  <c r="J10" i="54" l="1"/>
  <c r="I40" i="54"/>
  <c r="AG14" i="54"/>
  <c r="O40" i="54"/>
  <c r="I32" i="54"/>
  <c r="I33" i="54" s="1"/>
  <c r="I38" i="54" s="1"/>
  <c r="AI13" i="54"/>
  <c r="AJ10" i="54"/>
  <c r="AI14" i="54"/>
  <c r="AJ14" i="54" s="1"/>
  <c r="J11" i="54"/>
  <c r="J17" i="54" s="1"/>
  <c r="J18" i="54" s="1"/>
  <c r="J19" i="54" s="1"/>
  <c r="P10" i="54"/>
  <c r="O32" i="54"/>
  <c r="O33" i="54" s="1"/>
  <c r="O38" i="54" s="1"/>
  <c r="O39" i="54" l="1"/>
  <c r="O41" i="54" s="1"/>
  <c r="O42" i="54" s="1"/>
  <c r="J20" i="54"/>
  <c r="J21" i="54" s="1"/>
  <c r="P11" i="54"/>
  <c r="P17" i="54" s="1"/>
  <c r="P18" i="54" s="1"/>
  <c r="P19" i="54" s="1"/>
  <c r="I39" i="54"/>
  <c r="I41" i="54" s="1"/>
  <c r="I42" i="54" s="1"/>
  <c r="AI15" i="54"/>
  <c r="J23" i="54" l="1"/>
  <c r="F7" i="53"/>
  <c r="G7" i="53" s="1"/>
  <c r="I45" i="54"/>
  <c r="I43" i="54"/>
  <c r="AL26" i="54"/>
  <c r="AI20" i="54" s="1"/>
  <c r="AI23" i="54" s="1"/>
  <c r="AI26" i="54" s="1"/>
  <c r="O13" i="54"/>
  <c r="O45" i="54"/>
  <c r="O43" i="54"/>
  <c r="AJ25" i="54" l="1"/>
  <c r="AJ15" i="54"/>
  <c r="P20" i="54"/>
  <c r="P21" i="54" s="1"/>
  <c r="AJ20" i="54"/>
  <c r="P23" i="54" l="1"/>
  <c r="F8" i="53"/>
  <c r="G8" i="53" s="1"/>
  <c r="AJ26" i="54"/>
  <c r="J23" i="39" l="1"/>
  <c r="J14" i="39"/>
  <c r="N16" i="18"/>
  <c r="N17" i="18"/>
  <c r="N18" i="18"/>
  <c r="N19" i="18"/>
  <c r="N20" i="18"/>
  <c r="N21" i="18"/>
  <c r="N15" i="18"/>
  <c r="J26" i="18"/>
  <c r="K29" i="40" l="1"/>
  <c r="AH30" i="52" l="1"/>
  <c r="AA30" i="52"/>
  <c r="AA16" i="52"/>
  <c r="AH16" i="52" s="1"/>
  <c r="T30" i="52"/>
  <c r="M30" i="52"/>
  <c r="M16" i="52"/>
  <c r="AK179" i="52"/>
  <c r="AN178" i="52"/>
  <c r="AM172" i="52"/>
  <c r="AN171" i="52"/>
  <c r="AN186" i="52" s="1"/>
  <c r="AM163" i="52"/>
  <c r="AM161" i="52"/>
  <c r="AN176" i="52" s="1"/>
  <c r="AM160" i="52"/>
  <c r="AN175" i="52" s="1"/>
  <c r="AM159" i="52"/>
  <c r="AN174" i="52" s="1"/>
  <c r="AM158" i="52"/>
  <c r="AN173" i="52" s="1"/>
  <c r="AN179" i="52" s="1"/>
  <c r="AH33" i="52"/>
  <c r="AA33" i="52"/>
  <c r="T33" i="52"/>
  <c r="M33" i="52"/>
  <c r="AH29" i="52"/>
  <c r="AA29" i="52"/>
  <c r="T29" i="52"/>
  <c r="M29" i="52"/>
  <c r="AD25" i="52"/>
  <c r="W25" i="52"/>
  <c r="P25" i="52"/>
  <c r="I25" i="52"/>
  <c r="M25" i="52" s="1"/>
  <c r="AD24" i="52"/>
  <c r="W24" i="52"/>
  <c r="P24" i="52"/>
  <c r="I24" i="52"/>
  <c r="M24" i="52" s="1"/>
  <c r="AD23" i="52"/>
  <c r="W23" i="52"/>
  <c r="P23" i="52"/>
  <c r="I23" i="52"/>
  <c r="M23" i="52" s="1"/>
  <c r="AD22" i="52"/>
  <c r="W22" i="52"/>
  <c r="P22" i="52"/>
  <c r="I22" i="52"/>
  <c r="M22" i="52" s="1"/>
  <c r="AD21" i="52"/>
  <c r="W21" i="52"/>
  <c r="P21" i="52"/>
  <c r="I21" i="52"/>
  <c r="AD20" i="52"/>
  <c r="W20" i="52"/>
  <c r="P20" i="52"/>
  <c r="I20" i="52"/>
  <c r="AD14" i="52"/>
  <c r="AF14" i="52" s="1"/>
  <c r="W14" i="52"/>
  <c r="AA14" i="52" s="1"/>
  <c r="P14" i="52"/>
  <c r="T14" i="52" s="1"/>
  <c r="I14" i="52"/>
  <c r="L14" i="52" s="1"/>
  <c r="AD13" i="52"/>
  <c r="AF13" i="52" s="1"/>
  <c r="W13" i="52"/>
  <c r="AA13" i="52" s="1"/>
  <c r="P13" i="52"/>
  <c r="T13" i="52" s="1"/>
  <c r="I13" i="52"/>
  <c r="L13" i="52" s="1"/>
  <c r="F13" i="52"/>
  <c r="D13" i="52"/>
  <c r="AD12" i="52"/>
  <c r="AG12" i="52" s="1"/>
  <c r="W12" i="52"/>
  <c r="Y12" i="52" s="1"/>
  <c r="P12" i="52"/>
  <c r="T12" i="52" s="1"/>
  <c r="I12" i="52"/>
  <c r="M12" i="52" s="1"/>
  <c r="F12" i="52"/>
  <c r="D12" i="52"/>
  <c r="AD11" i="52"/>
  <c r="AH11" i="52" s="1"/>
  <c r="W11" i="52"/>
  <c r="Z11" i="52" s="1"/>
  <c r="P11" i="52"/>
  <c r="Q11" i="52" s="1"/>
  <c r="I11" i="52"/>
  <c r="M11" i="52" s="1"/>
  <c r="F11" i="52"/>
  <c r="F15" i="52" s="1"/>
  <c r="F16" i="52" s="1"/>
  <c r="AK162" i="52" s="1"/>
  <c r="AM162" i="52" s="1"/>
  <c r="AN177" i="52" s="1"/>
  <c r="D11" i="52"/>
  <c r="D15" i="52" s="1"/>
  <c r="D16" i="52" s="1"/>
  <c r="AD10" i="52"/>
  <c r="AH10" i="52" s="1"/>
  <c r="W10" i="52"/>
  <c r="AA10" i="52" s="1"/>
  <c r="P10" i="52"/>
  <c r="R10" i="52" s="1"/>
  <c r="I10" i="52"/>
  <c r="J10" i="52" s="1"/>
  <c r="AD9" i="52"/>
  <c r="AH9" i="52" s="1"/>
  <c r="W9" i="52"/>
  <c r="AA9" i="52" s="1"/>
  <c r="P9" i="52"/>
  <c r="T9" i="52" s="1"/>
  <c r="I9" i="52"/>
  <c r="J9" i="52" s="1"/>
  <c r="AD8" i="52"/>
  <c r="AH8" i="52" s="1"/>
  <c r="W8" i="52"/>
  <c r="AA8" i="52" s="1"/>
  <c r="P8" i="52"/>
  <c r="T8" i="52" s="1"/>
  <c r="I8" i="52"/>
  <c r="K8" i="52" s="1"/>
  <c r="AD7" i="52"/>
  <c r="AH7" i="52" s="1"/>
  <c r="W7" i="52"/>
  <c r="AA7" i="52" s="1"/>
  <c r="P7" i="52"/>
  <c r="R7" i="52" s="1"/>
  <c r="I7" i="52"/>
  <c r="J7" i="52" s="1"/>
  <c r="AI5" i="52"/>
  <c r="AB5" i="52"/>
  <c r="AS22" i="37"/>
  <c r="AS23" i="37"/>
  <c r="AN22" i="37"/>
  <c r="AN23" i="37"/>
  <c r="AI22" i="37"/>
  <c r="AI23" i="37"/>
  <c r="AD22" i="37"/>
  <c r="AD23" i="37"/>
  <c r="Y22" i="37"/>
  <c r="Y23" i="37"/>
  <c r="T22" i="37"/>
  <c r="T23" i="37"/>
  <c r="O21" i="37"/>
  <c r="O22" i="37"/>
  <c r="J22" i="37"/>
  <c r="J21" i="37"/>
  <c r="F8" i="47"/>
  <c r="AS30" i="37"/>
  <c r="AN30" i="37"/>
  <c r="AS15" i="37"/>
  <c r="AN15" i="37"/>
  <c r="AI30" i="37"/>
  <c r="AI15" i="37"/>
  <c r="AD30" i="37"/>
  <c r="AD15" i="37"/>
  <c r="Y30" i="37"/>
  <c r="Y15" i="37"/>
  <c r="T30" i="37"/>
  <c r="O29" i="37"/>
  <c r="T15" i="37"/>
  <c r="O14" i="37"/>
  <c r="J29" i="37"/>
  <c r="J14" i="37"/>
  <c r="G11" i="31"/>
  <c r="M14" i="52" l="1"/>
  <c r="T7" i="52"/>
  <c r="AA11" i="52"/>
  <c r="AB11" i="52" s="1"/>
  <c r="M13" i="52"/>
  <c r="AA12" i="52"/>
  <c r="AA15" i="52" s="1"/>
  <c r="T10" i="52"/>
  <c r="R12" i="52"/>
  <c r="AF7" i="52"/>
  <c r="AF8" i="52"/>
  <c r="AF9" i="52"/>
  <c r="AF10" i="52"/>
  <c r="Y11" i="52"/>
  <c r="K13" i="52"/>
  <c r="K14" i="52"/>
  <c r="M7" i="52"/>
  <c r="M8" i="52"/>
  <c r="M9" i="52"/>
  <c r="M10" i="52"/>
  <c r="AF12" i="52"/>
  <c r="R8" i="52"/>
  <c r="R9" i="52"/>
  <c r="K11" i="52"/>
  <c r="AH12" i="52"/>
  <c r="Y13" i="52"/>
  <c r="Y14" i="52"/>
  <c r="T11" i="52"/>
  <c r="AH13" i="52"/>
  <c r="AH14" i="52"/>
  <c r="N13" i="52"/>
  <c r="N14" i="52"/>
  <c r="AN182" i="52"/>
  <c r="AN183" i="52" s="1"/>
  <c r="K7" i="52"/>
  <c r="K9" i="52"/>
  <c r="K10" i="52"/>
  <c r="R11" i="52"/>
  <c r="AE7" i="52"/>
  <c r="AE8" i="52"/>
  <c r="AE9" i="52"/>
  <c r="AE10" i="52"/>
  <c r="J11" i="52"/>
  <c r="S11" i="52"/>
  <c r="U11" i="52" s="1"/>
  <c r="Q12" i="52"/>
  <c r="Z12" i="52"/>
  <c r="X13" i="52"/>
  <c r="AG13" i="52"/>
  <c r="X14" i="52"/>
  <c r="AG14" i="52"/>
  <c r="AI14" i="52" s="1"/>
  <c r="AM164" i="52"/>
  <c r="X7" i="52"/>
  <c r="X8" i="52"/>
  <c r="X9" i="52"/>
  <c r="X10" i="52"/>
  <c r="L11" i="52"/>
  <c r="N11" i="52" s="1"/>
  <c r="AE11" i="52"/>
  <c r="J12" i="52"/>
  <c r="S12" i="52"/>
  <c r="U12" i="52" s="1"/>
  <c r="Q13" i="52"/>
  <c r="Z13" i="52"/>
  <c r="AB13" i="52" s="1"/>
  <c r="Q14" i="52"/>
  <c r="Z14" i="52"/>
  <c r="AB14" i="52" s="1"/>
  <c r="Y8" i="52"/>
  <c r="Y10" i="52"/>
  <c r="AF11" i="52"/>
  <c r="K12" i="52"/>
  <c r="R13" i="52"/>
  <c r="R14" i="52"/>
  <c r="Y7" i="52"/>
  <c r="Y9" i="52"/>
  <c r="Q7" i="52"/>
  <c r="Q8" i="52"/>
  <c r="Q9" i="52"/>
  <c r="Q10" i="52"/>
  <c r="X11" i="52"/>
  <c r="AG11" i="52"/>
  <c r="AI11" i="52" s="1"/>
  <c r="L12" i="52"/>
  <c r="N12" i="52" s="1"/>
  <c r="AE12" i="52"/>
  <c r="J13" i="52"/>
  <c r="S13" i="52"/>
  <c r="U13" i="52" s="1"/>
  <c r="J14" i="52"/>
  <c r="S14" i="52"/>
  <c r="U14" i="52" s="1"/>
  <c r="J8" i="52"/>
  <c r="X12" i="52"/>
  <c r="AE13" i="52"/>
  <c r="AE14" i="52"/>
  <c r="AN185" i="52"/>
  <c r="AN187" i="52" s="1"/>
  <c r="C13" i="41"/>
  <c r="AB12" i="52" l="1"/>
  <c r="AI13" i="52"/>
  <c r="T15" i="52"/>
  <c r="AH15" i="52"/>
  <c r="M15" i="52"/>
  <c r="AI12" i="52"/>
  <c r="AN188" i="52"/>
  <c r="AM168" i="52"/>
  <c r="AN189" i="52" l="1"/>
  <c r="AN190" i="52" s="1"/>
  <c r="AN193" i="52" s="1"/>
  <c r="AN194" i="52" s="1"/>
  <c r="H21" i="44"/>
  <c r="C56" i="51"/>
  <c r="AD6" i="28"/>
  <c r="AN196" i="52" l="1"/>
  <c r="AN195" i="52"/>
  <c r="F21" i="44"/>
  <c r="O32" i="28" l="1"/>
  <c r="J11" i="28"/>
  <c r="J21" i="28"/>
  <c r="G16" i="44"/>
  <c r="G21" i="44"/>
  <c r="M35" i="28" l="1"/>
  <c r="L39" i="28"/>
  <c r="L37" i="28"/>
  <c r="M32" i="28"/>
  <c r="F16" i="44"/>
  <c r="C6" i="51"/>
  <c r="I10" i="39" s="1"/>
  <c r="I11" i="39" s="1"/>
  <c r="E16" i="44"/>
  <c r="L10" i="52" l="1"/>
  <c r="L9" i="52"/>
  <c r="C8" i="41"/>
  <c r="I10" i="37"/>
  <c r="N10" i="37" s="1"/>
  <c r="H54" i="51"/>
  <c r="H53" i="51"/>
  <c r="H52" i="51"/>
  <c r="K47" i="51"/>
  <c r="H47" i="51"/>
  <c r="H46" i="51"/>
  <c r="C34" i="51"/>
  <c r="C48" i="51" s="1"/>
  <c r="H48" i="51" s="1"/>
  <c r="C33" i="51"/>
  <c r="C32" i="51"/>
  <c r="C31" i="51"/>
  <c r="C30" i="51"/>
  <c r="H30" i="51" s="1"/>
  <c r="C29" i="51"/>
  <c r="H29" i="51" s="1"/>
  <c r="C28" i="51"/>
  <c r="H28" i="51" s="1"/>
  <c r="C27" i="51"/>
  <c r="H27" i="51" s="1"/>
  <c r="C26" i="51"/>
  <c r="H26" i="51" s="1"/>
  <c r="C25" i="51"/>
  <c r="C24" i="51"/>
  <c r="H24" i="51" s="1"/>
  <c r="C23" i="51"/>
  <c r="C22" i="51"/>
  <c r="H6" i="20" s="1"/>
  <c r="C21" i="51"/>
  <c r="C20" i="51"/>
  <c r="H20" i="51" s="1"/>
  <c r="C19" i="51"/>
  <c r="C18" i="51"/>
  <c r="C17" i="51"/>
  <c r="C16" i="51"/>
  <c r="H16" i="51" s="1"/>
  <c r="C15" i="51"/>
  <c r="C14" i="51"/>
  <c r="H7" i="20" s="1"/>
  <c r="C13" i="51"/>
  <c r="C12" i="51"/>
  <c r="C11" i="51"/>
  <c r="C10" i="51"/>
  <c r="H10" i="51" s="1"/>
  <c r="C9" i="51"/>
  <c r="C8" i="51"/>
  <c r="C7" i="51"/>
  <c r="C49" i="51"/>
  <c r="H49" i="51" s="1"/>
  <c r="C5" i="51"/>
  <c r="H8" i="20" l="1"/>
  <c r="T26" i="55"/>
  <c r="M25" i="55" s="1"/>
  <c r="O25" i="55" s="1"/>
  <c r="H12" i="51"/>
  <c r="T25" i="55"/>
  <c r="M24" i="55" s="1"/>
  <c r="O24" i="55" s="1"/>
  <c r="O26" i="55" s="1"/>
  <c r="O29" i="55" s="1"/>
  <c r="O30" i="55" s="1"/>
  <c r="O37" i="55" s="1"/>
  <c r="I7" i="39"/>
  <c r="I6" i="18"/>
  <c r="I10" i="40"/>
  <c r="I8" i="18"/>
  <c r="I9" i="39"/>
  <c r="I7" i="18"/>
  <c r="I8" i="39"/>
  <c r="I7" i="37"/>
  <c r="N7" i="37" s="1"/>
  <c r="S7" i="37" s="1"/>
  <c r="X7" i="37" s="1"/>
  <c r="AC7" i="37" s="1"/>
  <c r="AH7" i="37" s="1"/>
  <c r="AM7" i="37" s="1"/>
  <c r="AR7" i="37" s="1"/>
  <c r="L7" i="52"/>
  <c r="H32" i="51"/>
  <c r="C57" i="51"/>
  <c r="L8" i="52" s="1"/>
  <c r="S9" i="52"/>
  <c r="N9" i="52"/>
  <c r="S10" i="52"/>
  <c r="N10" i="52"/>
  <c r="C51" i="51"/>
  <c r="H51" i="51" s="1"/>
  <c r="I9" i="37"/>
  <c r="N9" i="37" s="1"/>
  <c r="S10" i="37" s="1"/>
  <c r="X10" i="37" s="1"/>
  <c r="AH10" i="37" s="1"/>
  <c r="AM10" i="37" s="1"/>
  <c r="AR10" i="37" s="1"/>
  <c r="C7" i="41"/>
  <c r="S8" i="37"/>
  <c r="X8" i="37" s="1"/>
  <c r="AC8" i="37" s="1"/>
  <c r="AH8" i="37" s="1"/>
  <c r="AM8" i="37" s="1"/>
  <c r="AR8" i="37" s="1"/>
  <c r="H14" i="51"/>
  <c r="I8" i="37"/>
  <c r="N8" i="37" s="1"/>
  <c r="S9" i="37" s="1"/>
  <c r="X9" i="37" s="1"/>
  <c r="AC9" i="37" s="1"/>
  <c r="AH9" i="37" s="1"/>
  <c r="AM9" i="37" s="1"/>
  <c r="AR9" i="37" s="1"/>
  <c r="H22" i="51"/>
  <c r="C6" i="41"/>
  <c r="H17" i="51"/>
  <c r="E11" i="44"/>
  <c r="F11" i="44" s="1"/>
  <c r="H13" i="51"/>
  <c r="E9" i="44"/>
  <c r="F9" i="44" s="1"/>
  <c r="G9" i="44" s="1"/>
  <c r="H33" i="51"/>
  <c r="E19" i="44"/>
  <c r="F19" i="44" s="1"/>
  <c r="G19" i="44" s="1"/>
  <c r="H18" i="51"/>
  <c r="C55" i="51"/>
  <c r="H11" i="51"/>
  <c r="E8" i="44"/>
  <c r="F8" i="44" s="1"/>
  <c r="H9" i="51"/>
  <c r="E7" i="44"/>
  <c r="F7" i="44" s="1"/>
  <c r="G7" i="44" s="1"/>
  <c r="H21" i="51"/>
  <c r="E13" i="44"/>
  <c r="F13" i="44" s="1"/>
  <c r="G13" i="44" s="1"/>
  <c r="H7" i="51"/>
  <c r="E6" i="44"/>
  <c r="F6" i="44" s="1"/>
  <c r="G6" i="44" s="1"/>
  <c r="H15" i="51"/>
  <c r="E10" i="44"/>
  <c r="F10" i="44" s="1"/>
  <c r="G10" i="44" s="1"/>
  <c r="H23" i="51"/>
  <c r="E14" i="44"/>
  <c r="F14" i="44" s="1"/>
  <c r="G14" i="44" s="1"/>
  <c r="H31" i="51"/>
  <c r="E18" i="44"/>
  <c r="F18" i="44" s="1"/>
  <c r="G18" i="44" s="1"/>
  <c r="E17" i="44"/>
  <c r="F17" i="44" s="1"/>
  <c r="G17" i="44" s="1"/>
  <c r="H25" i="51"/>
  <c r="E15" i="44"/>
  <c r="F15" i="44" s="1"/>
  <c r="G15" i="44" s="1"/>
  <c r="H19" i="51"/>
  <c r="E12" i="44"/>
  <c r="F12" i="44" s="1"/>
  <c r="G12" i="44" s="1"/>
  <c r="H5" i="51"/>
  <c r="E5" i="44"/>
  <c r="F5" i="44" s="1"/>
  <c r="G5" i="44" s="1"/>
  <c r="C38" i="51"/>
  <c r="C50" i="51"/>
  <c r="H50" i="51" s="1"/>
  <c r="H8" i="51"/>
  <c r="H6" i="51"/>
  <c r="H34" i="51"/>
  <c r="O38" i="55" l="1"/>
  <c r="O39" i="55" s="1"/>
  <c r="O40" i="55" s="1"/>
  <c r="O41" i="55" s="1"/>
  <c r="O42" i="55" s="1"/>
  <c r="P42" i="55" s="1"/>
  <c r="Z10" i="52"/>
  <c r="U10" i="52"/>
  <c r="S8" i="52"/>
  <c r="N8" i="52"/>
  <c r="S7" i="52"/>
  <c r="N7" i="52"/>
  <c r="N15" i="52" s="1"/>
  <c r="N16" i="52" s="1"/>
  <c r="N17" i="52" s="1"/>
  <c r="Z9" i="52"/>
  <c r="U9" i="52"/>
  <c r="H35" i="51"/>
  <c r="F22" i="44"/>
  <c r="G22" i="44" s="1"/>
  <c r="G11" i="44"/>
  <c r="F20" i="44"/>
  <c r="G20" i="44" s="1"/>
  <c r="G8" i="44"/>
  <c r="D24" i="36"/>
  <c r="D23" i="36"/>
  <c r="E16" i="36"/>
  <c r="E12" i="36"/>
  <c r="I20" i="43"/>
  <c r="I19" i="43"/>
  <c r="E23" i="35"/>
  <c r="E21" i="35"/>
  <c r="E22" i="35"/>
  <c r="I10" i="43"/>
  <c r="E23" i="47"/>
  <c r="E22" i="47"/>
  <c r="E21" i="47"/>
  <c r="Z7" i="52" l="1"/>
  <c r="U7" i="52"/>
  <c r="Z8" i="52"/>
  <c r="U8" i="52"/>
  <c r="AG9" i="52"/>
  <c r="AI9" i="52" s="1"/>
  <c r="AB9" i="52"/>
  <c r="AG10" i="52"/>
  <c r="AI10" i="52" s="1"/>
  <c r="AB10" i="52"/>
  <c r="N27" i="35"/>
  <c r="I27" i="35"/>
  <c r="D27" i="35"/>
  <c r="O23" i="35"/>
  <c r="J23" i="35"/>
  <c r="C289" i="25"/>
  <c r="C288" i="25"/>
  <c r="C287" i="25"/>
  <c r="E23" i="46"/>
  <c r="E22" i="46"/>
  <c r="E21" i="46"/>
  <c r="O15" i="35"/>
  <c r="J15" i="35"/>
  <c r="E15" i="35"/>
  <c r="C288" i="5"/>
  <c r="C289" i="5"/>
  <c r="C287" i="5"/>
  <c r="D31" i="34"/>
  <c r="D20" i="34"/>
  <c r="D170" i="5"/>
  <c r="D18" i="33"/>
  <c r="D9" i="33"/>
  <c r="F30" i="32"/>
  <c r="F21" i="32"/>
  <c r="F11" i="32"/>
  <c r="E6" i="32"/>
  <c r="E7" i="32"/>
  <c r="E8" i="32"/>
  <c r="E9" i="32"/>
  <c r="G23" i="31"/>
  <c r="F17" i="31"/>
  <c r="D23" i="30"/>
  <c r="E12" i="30"/>
  <c r="G17" i="29"/>
  <c r="G9" i="29"/>
  <c r="X11" i="28"/>
  <c r="Q11" i="28"/>
  <c r="X20" i="28"/>
  <c r="Q20" i="28"/>
  <c r="J20" i="28"/>
  <c r="D93" i="25"/>
  <c r="CQ17" i="26"/>
  <c r="CG17" i="26"/>
  <c r="AX17" i="26"/>
  <c r="AS17" i="26"/>
  <c r="AN17" i="26"/>
  <c r="AI17" i="26"/>
  <c r="K4" i="26"/>
  <c r="C14" i="41"/>
  <c r="AG8" i="52" l="1"/>
  <c r="AI8" i="52" s="1"/>
  <c r="AB8" i="52"/>
  <c r="U15" i="52"/>
  <c r="U16" i="52" s="1"/>
  <c r="U17" i="52" s="1"/>
  <c r="AG7" i="52"/>
  <c r="AI7" i="52" s="1"/>
  <c r="AI15" i="52" s="1"/>
  <c r="AI16" i="52" s="1"/>
  <c r="AI17" i="52" s="1"/>
  <c r="AB7" i="52"/>
  <c r="AB15" i="52" s="1"/>
  <c r="AB16" i="52" s="1"/>
  <c r="AB17" i="52" s="1"/>
  <c r="CT24" i="49"/>
  <c r="CT26" i="49" s="1"/>
  <c r="CT20" i="49"/>
  <c r="D51" i="47" l="1"/>
  <c r="C15" i="41"/>
  <c r="D27" i="25" l="1"/>
  <c r="J17" i="26"/>
  <c r="D15" i="26"/>
  <c r="I20" i="27"/>
  <c r="J10" i="27"/>
  <c r="J11" i="27"/>
  <c r="J9" i="27"/>
  <c r="E10" i="27"/>
  <c r="E11" i="27"/>
  <c r="E9" i="27"/>
  <c r="C9" i="27"/>
  <c r="I28" i="27"/>
  <c r="I13" i="27"/>
  <c r="DK15" i="26" l="1"/>
  <c r="CG15" i="26"/>
  <c r="AX15" i="26"/>
  <c r="Y15" i="26"/>
  <c r="T15" i="26"/>
  <c r="O15" i="26"/>
  <c r="E15" i="26"/>
  <c r="AN15" i="26"/>
  <c r="DF15" i="26"/>
  <c r="CB15" i="26"/>
  <c r="DA15" i="26"/>
  <c r="BW15" i="26"/>
  <c r="AS15" i="26"/>
  <c r="CV15" i="26"/>
  <c r="BR15" i="26"/>
  <c r="BM15" i="26"/>
  <c r="AD15" i="26"/>
  <c r="CQ15" i="26"/>
  <c r="BH15" i="26"/>
  <c r="CL15" i="26"/>
  <c r="BC15" i="26"/>
  <c r="AI15" i="26"/>
  <c r="DP15" i="26"/>
  <c r="D28" i="27"/>
  <c r="D20" i="27"/>
  <c r="D13" i="27"/>
  <c r="DP25" i="26" l="1"/>
  <c r="DK25" i="26"/>
  <c r="DF25" i="26"/>
  <c r="DA25" i="26"/>
  <c r="CV25" i="26"/>
  <c r="CQ25" i="26"/>
  <c r="CL25" i="26"/>
  <c r="CG25" i="26"/>
  <c r="CB25" i="26"/>
  <c r="BW25" i="26"/>
  <c r="BR25" i="26"/>
  <c r="BM25" i="26"/>
  <c r="BH25" i="26"/>
  <c r="BC25" i="26"/>
  <c r="AX25" i="26"/>
  <c r="AS25" i="26"/>
  <c r="AN25" i="26"/>
  <c r="AI25" i="26"/>
  <c r="AD25" i="26"/>
  <c r="Y25" i="26"/>
  <c r="T25" i="26"/>
  <c r="O25" i="26"/>
  <c r="J25" i="26"/>
  <c r="E25" i="26"/>
  <c r="BH45" i="26"/>
  <c r="BM45" i="26"/>
  <c r="BR45" i="26"/>
  <c r="BW45" i="26"/>
  <c r="CB45" i="26"/>
  <c r="CG45" i="26"/>
  <c r="CL45" i="26"/>
  <c r="CQ45" i="26"/>
  <c r="CV45" i="26"/>
  <c r="DA45" i="26"/>
  <c r="DF45" i="26"/>
  <c r="DK45" i="26"/>
  <c r="DP45" i="26"/>
  <c r="BC45" i="26"/>
  <c r="AX45" i="26"/>
  <c r="AS45" i="26"/>
  <c r="AN45" i="26"/>
  <c r="AI45" i="26"/>
  <c r="AD45" i="26"/>
  <c r="Y45" i="26"/>
  <c r="T45" i="26"/>
  <c r="O45" i="26"/>
  <c r="J45" i="26"/>
  <c r="E45" i="26"/>
  <c r="C494" i="25"/>
  <c r="I14" i="43" s="1"/>
  <c r="C416" i="25"/>
  <c r="C368" i="25"/>
  <c r="C339" i="25"/>
  <c r="F16" i="31" s="1"/>
  <c r="C338" i="25"/>
  <c r="F15" i="31" s="1"/>
  <c r="C312" i="25"/>
  <c r="AA21" i="52" s="1"/>
  <c r="M21" i="52" s="1"/>
  <c r="C280" i="25"/>
  <c r="C252" i="25"/>
  <c r="F18" i="32" s="1"/>
  <c r="C254" i="25"/>
  <c r="F20" i="32" s="1"/>
  <c r="C106" i="25"/>
  <c r="C74" i="25"/>
  <c r="C41" i="25"/>
  <c r="C340" i="25"/>
  <c r="C255" i="25"/>
  <c r="C75" i="25"/>
  <c r="C47" i="25"/>
  <c r="C500" i="25"/>
  <c r="C499" i="25"/>
  <c r="C498" i="25"/>
  <c r="C481" i="25"/>
  <c r="C480" i="25"/>
  <c r="C479" i="25"/>
  <c r="C461" i="25"/>
  <c r="C460" i="25"/>
  <c r="C459" i="25"/>
  <c r="C422" i="25"/>
  <c r="C421" i="25"/>
  <c r="C420" i="25"/>
  <c r="C398" i="25"/>
  <c r="C397" i="25"/>
  <c r="C396" i="25"/>
  <c r="C374" i="25"/>
  <c r="C373" i="25"/>
  <c r="C372" i="25"/>
  <c r="C347" i="25"/>
  <c r="C346" i="25"/>
  <c r="G24" i="31" s="1"/>
  <c r="C345" i="25"/>
  <c r="T21" i="52" l="1"/>
  <c r="U21" i="52" s="1"/>
  <c r="N21" i="52"/>
  <c r="AH21" i="52"/>
  <c r="AI21" i="52" s="1"/>
  <c r="AB21" i="52"/>
  <c r="J19" i="35"/>
  <c r="O19" i="35"/>
  <c r="E19" i="35"/>
  <c r="I19" i="27"/>
  <c r="D19" i="27"/>
  <c r="C320" i="25"/>
  <c r="C319" i="25"/>
  <c r="C318" i="25"/>
  <c r="C293" i="25"/>
  <c r="C292" i="25"/>
  <c r="C291" i="25"/>
  <c r="C264" i="25"/>
  <c r="C263" i="25"/>
  <c r="F31" i="32" s="1"/>
  <c r="C262" i="25"/>
  <c r="C233" i="25"/>
  <c r="C232" i="25"/>
  <c r="C231" i="25"/>
  <c r="C225" i="25"/>
  <c r="C210" i="25"/>
  <c r="C209" i="25"/>
  <c r="D24" i="30" s="1"/>
  <c r="C208" i="25"/>
  <c r="C185" i="25"/>
  <c r="C184" i="25"/>
  <c r="C183" i="25"/>
  <c r="C162" i="25"/>
  <c r="C161" i="25"/>
  <c r="C160" i="25"/>
  <c r="C139" i="25"/>
  <c r="C138" i="25"/>
  <c r="G18" i="29" s="1"/>
  <c r="C137" i="25"/>
  <c r="C115" i="25"/>
  <c r="C114" i="25"/>
  <c r="C113" i="25"/>
  <c r="C84" i="25"/>
  <c r="C83" i="25"/>
  <c r="C82" i="25"/>
  <c r="C51" i="25"/>
  <c r="C50" i="25"/>
  <c r="K6" i="26" s="1"/>
  <c r="C49" i="25"/>
  <c r="D36" i="47"/>
  <c r="D35" i="47"/>
  <c r="D30" i="47"/>
  <c r="D29" i="47"/>
  <c r="X21" i="28" l="1"/>
  <c r="Q21" i="28"/>
  <c r="N28" i="35"/>
  <c r="I28" i="35"/>
  <c r="D28" i="35"/>
  <c r="D32" i="34"/>
  <c r="D19" i="33"/>
  <c r="I29" i="27"/>
  <c r="D29" i="27"/>
  <c r="BC46" i="26"/>
  <c r="AN46" i="26"/>
  <c r="T46" i="26"/>
  <c r="DF46" i="26"/>
  <c r="Y46" i="26"/>
  <c r="DK46" i="26"/>
  <c r="BH46" i="26"/>
  <c r="CB46" i="26"/>
  <c r="DP46" i="26"/>
  <c r="AD46" i="26"/>
  <c r="J46" i="26"/>
  <c r="BR46" i="26"/>
  <c r="E46" i="26"/>
  <c r="BM46" i="26"/>
  <c r="CV46" i="26"/>
  <c r="AI46" i="26"/>
  <c r="O46" i="26"/>
  <c r="CL46" i="26"/>
  <c r="CQ46" i="26"/>
  <c r="CG46" i="26"/>
  <c r="DA46" i="26"/>
  <c r="AS46" i="26"/>
  <c r="BW46" i="26"/>
  <c r="AX46" i="26"/>
  <c r="C22" i="25"/>
  <c r="C20" i="25"/>
  <c r="Q50" i="26"/>
  <c r="G5" i="45"/>
  <c r="D489" i="25" l="1"/>
  <c r="H7" i="43" s="1"/>
  <c r="D488" i="25"/>
  <c r="H6" i="43" s="1"/>
  <c r="D490" i="25"/>
  <c r="D491" i="25"/>
  <c r="D487" i="25"/>
  <c r="H5" i="43" s="1"/>
  <c r="D469" i="25"/>
  <c r="D468" i="25"/>
  <c r="D450" i="25"/>
  <c r="D449" i="25"/>
  <c r="D448" i="25"/>
  <c r="D431" i="25"/>
  <c r="D430" i="25"/>
  <c r="D429" i="25"/>
  <c r="D406" i="25"/>
  <c r="D405" i="25"/>
  <c r="D404" i="25"/>
  <c r="D386" i="25"/>
  <c r="D385" i="25"/>
  <c r="D384" i="25"/>
  <c r="D383" i="25"/>
  <c r="D387" i="25"/>
  <c r="D388" i="25"/>
  <c r="D382" i="25"/>
  <c r="D358" i="25"/>
  <c r="D357" i="25"/>
  <c r="D355" i="25"/>
  <c r="D356" i="25"/>
  <c r="D354" i="25"/>
  <c r="D332" i="25"/>
  <c r="F7" i="31" s="1"/>
  <c r="D333" i="25"/>
  <c r="D334" i="25"/>
  <c r="D331" i="25"/>
  <c r="F6" i="31" s="1"/>
  <c r="D303" i="25"/>
  <c r="D302" i="25"/>
  <c r="D300" i="25"/>
  <c r="I8" i="40" s="1"/>
  <c r="D273" i="25"/>
  <c r="E241" i="25"/>
  <c r="E5" i="32" s="1"/>
  <c r="E240" i="25"/>
  <c r="E4" i="32" s="1"/>
  <c r="D217" i="25"/>
  <c r="D6" i="36" s="1"/>
  <c r="D216" i="25"/>
  <c r="D5" i="36" s="1"/>
  <c r="D194" i="25"/>
  <c r="D6" i="30" s="1"/>
  <c r="D195" i="25"/>
  <c r="D196" i="25"/>
  <c r="D197" i="25"/>
  <c r="D198" i="25"/>
  <c r="D199" i="25"/>
  <c r="D193" i="25"/>
  <c r="D5" i="30" s="1"/>
  <c r="D170" i="25"/>
  <c r="D169" i="25"/>
  <c r="D124" i="25"/>
  <c r="D123" i="25"/>
  <c r="D147" i="25"/>
  <c r="D7" i="33" s="1"/>
  <c r="D146" i="25"/>
  <c r="D6" i="33" s="1"/>
  <c r="D94" i="25"/>
  <c r="D95" i="25"/>
  <c r="D96" i="25"/>
  <c r="D97" i="25"/>
  <c r="D98" i="25"/>
  <c r="D99" i="25"/>
  <c r="D100" i="25"/>
  <c r="D101" i="25"/>
  <c r="D60" i="25"/>
  <c r="D59" i="25"/>
  <c r="D58" i="25"/>
  <c r="D28" i="25"/>
  <c r="I9" i="40" s="1"/>
  <c r="D29" i="25"/>
  <c r="D30" i="25"/>
  <c r="D31" i="25"/>
  <c r="D32" i="25"/>
  <c r="D33" i="25"/>
  <c r="I9" i="35" l="1"/>
  <c r="N9" i="35"/>
  <c r="D9" i="35"/>
  <c r="I11" i="27"/>
  <c r="D11" i="27"/>
  <c r="I9" i="27"/>
  <c r="D9" i="27"/>
  <c r="I10" i="27"/>
  <c r="D10" i="27"/>
  <c r="AS16" i="26"/>
  <c r="DA16" i="26"/>
  <c r="BR16" i="26"/>
  <c r="AX16" i="26"/>
  <c r="CB16" i="26"/>
  <c r="AD16" i="26"/>
  <c r="AI16" i="26"/>
  <c r="O16" i="26"/>
  <c r="CQ16" i="26"/>
  <c r="BH16" i="26"/>
  <c r="DP16" i="26"/>
  <c r="CV16" i="26"/>
  <c r="BM16" i="26"/>
  <c r="CG16" i="26"/>
  <c r="DF16" i="26"/>
  <c r="BW16" i="26"/>
  <c r="BC16" i="26"/>
  <c r="AN16" i="26"/>
  <c r="Y16" i="26"/>
  <c r="K3" i="26"/>
  <c r="T16" i="26"/>
  <c r="CL16" i="26"/>
  <c r="DK16" i="26"/>
  <c r="J16" i="26"/>
  <c r="D5" i="25"/>
  <c r="E26" i="47"/>
  <c r="E25" i="47"/>
  <c r="E24" i="47"/>
  <c r="C21" i="25"/>
  <c r="E19" i="47"/>
  <c r="E18" i="47"/>
  <c r="E15" i="47"/>
  <c r="E10" i="47"/>
  <c r="E9" i="47"/>
  <c r="E5" i="47"/>
  <c r="E16" i="47"/>
  <c r="E11" i="47" l="1"/>
  <c r="E12" i="47"/>
  <c r="E17" i="47"/>
  <c r="E14" i="47"/>
  <c r="C12" i="41" s="1"/>
  <c r="E6" i="47"/>
  <c r="J19" i="37" s="1"/>
  <c r="O19" i="37" s="1"/>
  <c r="T20" i="37" s="1"/>
  <c r="Y20" i="37" s="1"/>
  <c r="AD20" i="37" s="1"/>
  <c r="AI20" i="37" s="1"/>
  <c r="AN20" i="37" s="1"/>
  <c r="AS20" i="37" s="1"/>
  <c r="E7" i="47"/>
  <c r="J20" i="37" s="1"/>
  <c r="O20" i="37" s="1"/>
  <c r="T21" i="37" s="1"/>
  <c r="Y21" i="37" s="1"/>
  <c r="AD21" i="37" s="1"/>
  <c r="AI21" i="37" s="1"/>
  <c r="AN21" i="37" s="1"/>
  <c r="AS21" i="37" s="1"/>
  <c r="E8" i="47"/>
  <c r="E4" i="47"/>
  <c r="C10" i="41" l="1"/>
  <c r="J18" i="37"/>
  <c r="O18" i="37" s="1"/>
  <c r="T19" i="37" s="1"/>
  <c r="Y19" i="37" s="1"/>
  <c r="AD19" i="37" s="1"/>
  <c r="AI19" i="37" s="1"/>
  <c r="AN19" i="37" s="1"/>
  <c r="AS19" i="37" s="1"/>
  <c r="C11" i="41"/>
  <c r="J24" i="37"/>
  <c r="O24" i="37" s="1"/>
  <c r="T25" i="37" s="1"/>
  <c r="Y25" i="37" s="1"/>
  <c r="AD25" i="37" s="1"/>
  <c r="AI25" i="37" s="1"/>
  <c r="AN25" i="37" s="1"/>
  <c r="AS25" i="37" s="1"/>
  <c r="C476" i="25"/>
  <c r="C475" i="25"/>
  <c r="C456" i="25"/>
  <c r="C455" i="25"/>
  <c r="C392" i="25"/>
  <c r="C495" i="25"/>
  <c r="I15" i="43" s="1"/>
  <c r="C437" i="25"/>
  <c r="C436" i="25"/>
  <c r="C367" i="25"/>
  <c r="C415" i="25"/>
  <c r="C366" i="25"/>
  <c r="C414" i="25"/>
  <c r="C365" i="25"/>
  <c r="C413" i="25"/>
  <c r="C370" i="25"/>
  <c r="C418" i="25"/>
  <c r="C364" i="25"/>
  <c r="C412" i="25"/>
  <c r="C281" i="25"/>
  <c r="C311" i="25"/>
  <c r="AA20" i="52" s="1"/>
  <c r="M20" i="52" s="1"/>
  <c r="C178" i="25"/>
  <c r="C250" i="25"/>
  <c r="F16" i="32" s="1"/>
  <c r="C202" i="25"/>
  <c r="E16" i="30" s="1"/>
  <c r="C253" i="25"/>
  <c r="F19" i="32" s="1"/>
  <c r="C179" i="25"/>
  <c r="C251" i="25"/>
  <c r="F17" i="32" s="1"/>
  <c r="C105" i="25"/>
  <c r="C249" i="25"/>
  <c r="F15" i="32" s="1"/>
  <c r="C133" i="25"/>
  <c r="C156" i="25"/>
  <c r="C132" i="25"/>
  <c r="C155" i="25"/>
  <c r="C40" i="25"/>
  <c r="C73" i="25"/>
  <c r="C39" i="25"/>
  <c r="C72" i="25"/>
  <c r="C38" i="25"/>
  <c r="C37" i="25"/>
  <c r="C14" i="25"/>
  <c r="G19" i="47"/>
  <c r="G18" i="47"/>
  <c r="G15" i="47"/>
  <c r="G10" i="47"/>
  <c r="G9" i="47"/>
  <c r="G5" i="47"/>
  <c r="E13" i="47"/>
  <c r="J23" i="37" s="1"/>
  <c r="O23" i="37" s="1"/>
  <c r="T24" i="37" s="1"/>
  <c r="Y24" i="37" s="1"/>
  <c r="AD24" i="37" s="1"/>
  <c r="AI24" i="37" s="1"/>
  <c r="AN24" i="37" s="1"/>
  <c r="AS24" i="37" s="1"/>
  <c r="T20" i="52" l="1"/>
  <c r="U20" i="52" s="1"/>
  <c r="U26" i="52" s="1"/>
  <c r="U28" i="52" s="1"/>
  <c r="N20" i="52"/>
  <c r="N26" i="52" s="1"/>
  <c r="N28" i="52" s="1"/>
  <c r="AH20" i="52"/>
  <c r="AI20" i="52" s="1"/>
  <c r="AI26" i="52" s="1"/>
  <c r="AI28" i="52" s="1"/>
  <c r="AB20" i="52"/>
  <c r="AB26" i="52" s="1"/>
  <c r="AB28" i="52" s="1"/>
  <c r="AB29" i="52" s="1"/>
  <c r="AB30" i="52" s="1"/>
  <c r="AB31" i="52" s="1"/>
  <c r="AB32" i="52" s="1"/>
  <c r="AB33" i="52" s="1"/>
  <c r="E13" i="33"/>
  <c r="J20" i="35"/>
  <c r="E20" i="35"/>
  <c r="O20" i="35"/>
  <c r="I17" i="27"/>
  <c r="D17" i="27"/>
  <c r="CG18" i="26"/>
  <c r="AN18" i="26"/>
  <c r="AX18" i="26"/>
  <c r="AS18" i="26"/>
  <c r="AI18" i="26"/>
  <c r="CQ18" i="26"/>
  <c r="J18" i="26"/>
  <c r="CQ21" i="26"/>
  <c r="AS20" i="26"/>
  <c r="AX20" i="26"/>
  <c r="AX21" i="26"/>
  <c r="AN19" i="26"/>
  <c r="CG20" i="26"/>
  <c r="CG21" i="26"/>
  <c r="AX19" i="26"/>
  <c r="AS21" i="26"/>
  <c r="AI21" i="26"/>
  <c r="CQ20" i="26"/>
  <c r="AS19" i="26"/>
  <c r="AI20" i="26"/>
  <c r="CQ19" i="26"/>
  <c r="AN21" i="26"/>
  <c r="AI19" i="26"/>
  <c r="CG19" i="26"/>
  <c r="AN20" i="26"/>
  <c r="J20" i="26"/>
  <c r="J21" i="26"/>
  <c r="J19" i="26"/>
  <c r="E14" i="33"/>
  <c r="I18" i="27"/>
  <c r="D18" i="27"/>
  <c r="C369" i="25"/>
  <c r="C417" i="25"/>
  <c r="F23" i="44"/>
  <c r="E22" i="44"/>
  <c r="E21" i="44"/>
  <c r="E20" i="44"/>
  <c r="D147" i="5"/>
  <c r="D146" i="5"/>
  <c r="N29" i="52" l="1"/>
  <c r="N30" i="52" s="1"/>
  <c r="N31" i="52"/>
  <c r="N32" i="52" s="1"/>
  <c r="N33" i="52" s="1"/>
  <c r="N35" i="52" s="1"/>
  <c r="U29" i="52"/>
  <c r="U30" i="52" s="1"/>
  <c r="U31" i="52" s="1"/>
  <c r="U32" i="52" s="1"/>
  <c r="U33" i="52" s="1"/>
  <c r="U35" i="52" s="1"/>
  <c r="AB34" i="52"/>
  <c r="AB35" i="52" s="1"/>
  <c r="AB40" i="52" s="1"/>
  <c r="AB37" i="52"/>
  <c r="AI29" i="52"/>
  <c r="AI30" i="52" s="1"/>
  <c r="D301" i="25"/>
  <c r="G23" i="44"/>
  <c r="D48" i="47"/>
  <c r="D41" i="47"/>
  <c r="D40" i="47"/>
  <c r="D489" i="5"/>
  <c r="D488" i="5"/>
  <c r="D487" i="5"/>
  <c r="D469" i="5"/>
  <c r="D470" i="5"/>
  <c r="D471" i="5"/>
  <c r="D472" i="5"/>
  <c r="D468" i="5"/>
  <c r="D450" i="5"/>
  <c r="D449" i="5"/>
  <c r="D448" i="5"/>
  <c r="D431" i="5"/>
  <c r="D430" i="5"/>
  <c r="D429" i="5"/>
  <c r="D406" i="5"/>
  <c r="D405" i="5"/>
  <c r="D407" i="5"/>
  <c r="D408" i="5"/>
  <c r="D404" i="5"/>
  <c r="D386" i="5"/>
  <c r="D385" i="5"/>
  <c r="D384" i="5"/>
  <c r="D383" i="5"/>
  <c r="D382" i="5"/>
  <c r="D332" i="5"/>
  <c r="D331" i="5"/>
  <c r="D301" i="5"/>
  <c r="D303" i="5"/>
  <c r="D302" i="5"/>
  <c r="D300" i="5"/>
  <c r="E23" i="4"/>
  <c r="E22" i="4"/>
  <c r="E21" i="4"/>
  <c r="D54" i="4"/>
  <c r="D53" i="4"/>
  <c r="D48" i="4"/>
  <c r="D47" i="4"/>
  <c r="AI31" i="52" l="1"/>
  <c r="AI32" i="52" s="1"/>
  <c r="AI33" i="52" s="1"/>
  <c r="D43" i="46"/>
  <c r="D39" i="46"/>
  <c r="D38" i="46"/>
  <c r="D34" i="46"/>
  <c r="D33" i="46"/>
  <c r="E24" i="46"/>
  <c r="G23" i="46"/>
  <c r="G22" i="46"/>
  <c r="G21" i="46"/>
  <c r="D273" i="5"/>
  <c r="E241" i="5"/>
  <c r="E240" i="5"/>
  <c r="D217" i="5"/>
  <c r="D218" i="5"/>
  <c r="D219" i="5"/>
  <c r="D220" i="5"/>
  <c r="D221" i="5"/>
  <c r="D222" i="5"/>
  <c r="D216" i="5"/>
  <c r="D194" i="5"/>
  <c r="D193" i="5"/>
  <c r="D169" i="5"/>
  <c r="D124" i="5"/>
  <c r="D123" i="5"/>
  <c r="D358" i="5"/>
  <c r="D357" i="5"/>
  <c r="D355" i="5"/>
  <c r="D356" i="5"/>
  <c r="D359" i="5"/>
  <c r="D360" i="5"/>
  <c r="D354" i="5"/>
  <c r="D94" i="5"/>
  <c r="D95" i="5"/>
  <c r="D93" i="5"/>
  <c r="D60" i="5"/>
  <c r="D59" i="5"/>
  <c r="D58" i="5"/>
  <c r="D28" i="5"/>
  <c r="D27" i="5"/>
  <c r="D5" i="5"/>
  <c r="F28" i="45"/>
  <c r="F23" i="45"/>
  <c r="F22" i="45"/>
  <c r="E22" i="45"/>
  <c r="F21" i="45"/>
  <c r="E21" i="45"/>
  <c r="F20" i="45"/>
  <c r="E20" i="45" s="1"/>
  <c r="D19" i="45"/>
  <c r="G19" i="45" s="1"/>
  <c r="D18" i="45"/>
  <c r="G18" i="45" s="1"/>
  <c r="D17" i="45"/>
  <c r="G17" i="45" s="1"/>
  <c r="G16" i="45"/>
  <c r="D16" i="45"/>
  <c r="D15" i="45"/>
  <c r="G15" i="45" s="1"/>
  <c r="D14" i="45"/>
  <c r="G14" i="45" s="1"/>
  <c r="D13" i="45"/>
  <c r="G13" i="45" s="1"/>
  <c r="G12" i="45"/>
  <c r="D12" i="45"/>
  <c r="D11" i="45"/>
  <c r="G11" i="45" s="1"/>
  <c r="D10" i="45"/>
  <c r="G10" i="45" s="1"/>
  <c r="D9" i="45"/>
  <c r="G9" i="45" s="1"/>
  <c r="G8" i="45"/>
  <c r="D8" i="45"/>
  <c r="D7" i="45"/>
  <c r="G7" i="45" s="1"/>
  <c r="D6" i="45"/>
  <c r="G6" i="45" s="1"/>
  <c r="D5" i="45"/>
  <c r="D28" i="45" s="1"/>
  <c r="G28" i="45" s="1"/>
  <c r="AI34" i="52" l="1"/>
  <c r="AI35" i="52" s="1"/>
  <c r="AI40" i="52" s="1"/>
  <c r="AI37" i="52"/>
  <c r="F28" i="44"/>
  <c r="D28" i="44"/>
  <c r="G28" i="44" l="1"/>
  <c r="E9" i="43"/>
  <c r="E10" i="43" s="1"/>
  <c r="E11" i="43" s="1"/>
  <c r="E8" i="43"/>
  <c r="E7" i="43"/>
  <c r="G7" i="43"/>
  <c r="G6" i="43"/>
  <c r="G5" i="43"/>
  <c r="N90" i="41"/>
  <c r="F86" i="41"/>
  <c r="L86" i="41" s="1"/>
  <c r="O82" i="41"/>
  <c r="I82" i="41"/>
  <c r="H80" i="41"/>
  <c r="N80" i="41" s="1"/>
  <c r="O76" i="41"/>
  <c r="P76" i="41" s="1"/>
  <c r="I76" i="41"/>
  <c r="J76" i="41" s="1"/>
  <c r="AF33" i="41"/>
  <c r="AI33" i="41" s="1"/>
  <c r="AI35" i="41" s="1"/>
  <c r="AI27" i="41"/>
  <c r="AI25" i="41"/>
  <c r="H90" i="41"/>
  <c r="G17" i="41"/>
  <c r="AF12" i="41"/>
  <c r="AF14" i="41" s="1"/>
  <c r="H15" i="41"/>
  <c r="AG11" i="41"/>
  <c r="AH11" i="41" s="1"/>
  <c r="AI11" i="41" s="1"/>
  <c r="AJ11" i="41" s="1"/>
  <c r="N11" i="41"/>
  <c r="H11" i="41"/>
  <c r="I86" i="41"/>
  <c r="J86" i="41" s="1"/>
  <c r="N13" i="41"/>
  <c r="O13" i="41" s="1"/>
  <c r="AG9" i="41"/>
  <c r="AG10" i="41" s="1"/>
  <c r="M9" i="41"/>
  <c r="G9" i="41"/>
  <c r="N79" i="41"/>
  <c r="P79" i="41" s="1"/>
  <c r="AG7" i="41"/>
  <c r="AH7" i="41" s="1"/>
  <c r="L7" i="41"/>
  <c r="F7" i="41"/>
  <c r="K33" i="40"/>
  <c r="J22" i="40"/>
  <c r="H17" i="40"/>
  <c r="H10" i="40"/>
  <c r="J10" i="40" s="1"/>
  <c r="H9" i="40"/>
  <c r="J9" i="40" s="1"/>
  <c r="H8" i="40"/>
  <c r="J8" i="40" s="1"/>
  <c r="J22" i="39"/>
  <c r="H11" i="39"/>
  <c r="G11" i="39"/>
  <c r="J11" i="39" s="1"/>
  <c r="G10" i="39"/>
  <c r="J10" i="39" s="1"/>
  <c r="H9" i="39"/>
  <c r="G9" i="39"/>
  <c r="J9" i="39" s="1"/>
  <c r="H8" i="39"/>
  <c r="G8" i="39"/>
  <c r="J8" i="39" s="1"/>
  <c r="H7" i="39"/>
  <c r="G7" i="39"/>
  <c r="J7" i="39" s="1"/>
  <c r="AS29" i="37"/>
  <c r="AN29" i="37"/>
  <c r="AI29" i="37"/>
  <c r="AD29" i="37"/>
  <c r="Y29" i="37"/>
  <c r="T29" i="37"/>
  <c r="O28" i="37"/>
  <c r="J28" i="37"/>
  <c r="AD26" i="37"/>
  <c r="Y26" i="37"/>
  <c r="T26" i="37"/>
  <c r="AQ25" i="37"/>
  <c r="AL25" i="37"/>
  <c r="AG25" i="37"/>
  <c r="AB25" i="37"/>
  <c r="W25" i="37"/>
  <c r="R25" i="37"/>
  <c r="R24" i="37"/>
  <c r="M24" i="37"/>
  <c r="H24" i="37"/>
  <c r="R23" i="37"/>
  <c r="M23" i="37"/>
  <c r="H23" i="37"/>
  <c r="R22" i="37"/>
  <c r="M22" i="37"/>
  <c r="H22" i="37"/>
  <c r="R21" i="37"/>
  <c r="M21" i="37"/>
  <c r="H21" i="37"/>
  <c r="R20" i="37"/>
  <c r="M20" i="37"/>
  <c r="H20" i="37"/>
  <c r="R19" i="37"/>
  <c r="M19" i="37"/>
  <c r="H19" i="37"/>
  <c r="M18" i="37"/>
  <c r="H18" i="37"/>
  <c r="AS11" i="37"/>
  <c r="AN11" i="37"/>
  <c r="AI11" i="37"/>
  <c r="AD11" i="37"/>
  <c r="Y11" i="37"/>
  <c r="T11" i="37"/>
  <c r="AS10" i="37"/>
  <c r="AN10" i="37"/>
  <c r="AI10" i="37"/>
  <c r="Y10" i="37"/>
  <c r="T10" i="37"/>
  <c r="O10" i="37"/>
  <c r="J10" i="37"/>
  <c r="AS9" i="37"/>
  <c r="AN9" i="37"/>
  <c r="AI9" i="37"/>
  <c r="AD9" i="37"/>
  <c r="Y9" i="37"/>
  <c r="T9" i="37"/>
  <c r="O9" i="37"/>
  <c r="J9" i="37"/>
  <c r="AS8" i="37"/>
  <c r="AN8" i="37"/>
  <c r="AI8" i="37"/>
  <c r="AD8" i="37"/>
  <c r="Y8" i="37"/>
  <c r="O8" i="37"/>
  <c r="J8" i="37"/>
  <c r="AS7" i="37"/>
  <c r="AN7" i="37"/>
  <c r="AI7" i="37"/>
  <c r="AI14" i="37" s="1"/>
  <c r="AD7" i="37"/>
  <c r="Y7" i="37"/>
  <c r="Y14" i="37" s="1"/>
  <c r="R7" i="37"/>
  <c r="M7" i="37"/>
  <c r="O7" i="37" s="1"/>
  <c r="O13" i="37" s="1"/>
  <c r="H7" i="37"/>
  <c r="J7" i="37" s="1"/>
  <c r="J13" i="37" s="1"/>
  <c r="C19" i="36"/>
  <c r="E19" i="36" s="1"/>
  <c r="E18" i="36"/>
  <c r="C18" i="36"/>
  <c r="E17" i="36"/>
  <c r="F17" i="36" s="1"/>
  <c r="C17" i="36"/>
  <c r="C16" i="36"/>
  <c r="F16" i="36" s="1"/>
  <c r="C10" i="36"/>
  <c r="E10" i="36" s="1"/>
  <c r="F10" i="36" s="1"/>
  <c r="C9" i="36"/>
  <c r="E9" i="36" s="1"/>
  <c r="F9" i="36" s="1"/>
  <c r="F8" i="36"/>
  <c r="E8" i="36"/>
  <c r="C8" i="36"/>
  <c r="C7" i="36"/>
  <c r="E7" i="36" s="1"/>
  <c r="F7" i="36" s="1"/>
  <c r="E6" i="36"/>
  <c r="C6" i="36"/>
  <c r="C5" i="36"/>
  <c r="E5" i="36" s="1"/>
  <c r="O22" i="35"/>
  <c r="P22" i="35" s="1"/>
  <c r="M22" i="35"/>
  <c r="H22" i="35"/>
  <c r="J22" i="35" s="1"/>
  <c r="K22" i="35" s="1"/>
  <c r="C22" i="35"/>
  <c r="F22" i="35" s="1"/>
  <c r="M21" i="35"/>
  <c r="O21" i="35" s="1"/>
  <c r="P21" i="35" s="1"/>
  <c r="J21" i="35"/>
  <c r="K21" i="35" s="1"/>
  <c r="H21" i="35"/>
  <c r="C21" i="35"/>
  <c r="F21" i="35" s="1"/>
  <c r="M20" i="35"/>
  <c r="H20" i="35"/>
  <c r="C20" i="35"/>
  <c r="M19" i="35"/>
  <c r="H19" i="35"/>
  <c r="C19" i="35"/>
  <c r="O13" i="35"/>
  <c r="N13" i="35"/>
  <c r="M13" i="35"/>
  <c r="J13" i="35"/>
  <c r="I13" i="35"/>
  <c r="H13" i="35"/>
  <c r="E13" i="35"/>
  <c r="D13" i="35"/>
  <c r="C13" i="35"/>
  <c r="O12" i="35"/>
  <c r="N12" i="35"/>
  <c r="M12" i="35"/>
  <c r="J12" i="35"/>
  <c r="I12" i="35"/>
  <c r="H12" i="35"/>
  <c r="E12" i="35"/>
  <c r="D12" i="35"/>
  <c r="C12" i="35"/>
  <c r="O11" i="35"/>
  <c r="N11" i="35"/>
  <c r="M11" i="35"/>
  <c r="J11" i="35"/>
  <c r="I11" i="35"/>
  <c r="H11" i="35"/>
  <c r="E11" i="35"/>
  <c r="D11" i="35"/>
  <c r="C11" i="35"/>
  <c r="O10" i="35"/>
  <c r="N10" i="35"/>
  <c r="M10" i="35"/>
  <c r="J10" i="35"/>
  <c r="I10" i="35"/>
  <c r="H10" i="35"/>
  <c r="E10" i="35"/>
  <c r="D10" i="35"/>
  <c r="C10" i="35"/>
  <c r="O9" i="35"/>
  <c r="M9" i="35"/>
  <c r="J9" i="35"/>
  <c r="J14" i="35" s="1"/>
  <c r="H9" i="35"/>
  <c r="E9" i="35"/>
  <c r="E14" i="35" s="1"/>
  <c r="C9" i="35"/>
  <c r="C27" i="34"/>
  <c r="C26" i="34"/>
  <c r="C25" i="34"/>
  <c r="E25" i="34" s="1"/>
  <c r="C24" i="34"/>
  <c r="E24" i="34" s="1"/>
  <c r="I23" i="34"/>
  <c r="I22" i="34"/>
  <c r="I21" i="34"/>
  <c r="C18" i="34"/>
  <c r="E18" i="34" s="1"/>
  <c r="C17" i="34"/>
  <c r="D17" i="34" s="1"/>
  <c r="E16" i="34"/>
  <c r="D16" i="34"/>
  <c r="F16" i="34" s="1"/>
  <c r="C16" i="34"/>
  <c r="C15" i="34"/>
  <c r="D15" i="34" s="1"/>
  <c r="C14" i="34"/>
  <c r="D14" i="34" s="1"/>
  <c r="C13" i="34"/>
  <c r="D13" i="34" s="1"/>
  <c r="I7" i="33"/>
  <c r="C7" i="33"/>
  <c r="E7" i="33" s="1"/>
  <c r="I6" i="33"/>
  <c r="C6" i="33"/>
  <c r="E6" i="33" s="1"/>
  <c r="I5" i="33"/>
  <c r="G33" i="32"/>
  <c r="C26" i="32"/>
  <c r="F26" i="32" s="1"/>
  <c r="C25" i="32"/>
  <c r="F25" i="32" s="1"/>
  <c r="C24" i="32"/>
  <c r="F24" i="32" s="1"/>
  <c r="F23" i="32"/>
  <c r="C23" i="32"/>
  <c r="C22" i="32"/>
  <c r="F22" i="32" s="1"/>
  <c r="C21" i="32"/>
  <c r="G21" i="32" s="1"/>
  <c r="G20" i="32"/>
  <c r="C20" i="32"/>
  <c r="G19" i="32"/>
  <c r="C19" i="32"/>
  <c r="C18" i="32"/>
  <c r="G18" i="32" s="1"/>
  <c r="G17" i="32"/>
  <c r="C17" i="32"/>
  <c r="C16" i="32"/>
  <c r="G16" i="32" s="1"/>
  <c r="C15" i="32"/>
  <c r="G15" i="32" s="1"/>
  <c r="D9" i="32"/>
  <c r="C9" i="32"/>
  <c r="F9" i="32" s="1"/>
  <c r="C8" i="32"/>
  <c r="F8" i="32" s="1"/>
  <c r="F7" i="32"/>
  <c r="D7" i="32"/>
  <c r="C7" i="32"/>
  <c r="G7" i="32" s="1"/>
  <c r="D6" i="32"/>
  <c r="C6" i="32"/>
  <c r="F6" i="32" s="1"/>
  <c r="F5" i="32"/>
  <c r="C5" i="32"/>
  <c r="F4" i="32"/>
  <c r="C4" i="32"/>
  <c r="F19" i="31"/>
  <c r="C19" i="31"/>
  <c r="C18" i="31"/>
  <c r="F18" i="31" s="1"/>
  <c r="C17" i="31"/>
  <c r="C16" i="31"/>
  <c r="C15" i="31"/>
  <c r="G9" i="31"/>
  <c r="C9" i="31"/>
  <c r="F9" i="31" s="1"/>
  <c r="H9" i="31" s="1"/>
  <c r="G8" i="31"/>
  <c r="F8" i="31"/>
  <c r="C8" i="31"/>
  <c r="G7" i="31"/>
  <c r="C7" i="31"/>
  <c r="G6" i="31"/>
  <c r="G10" i="31" s="1"/>
  <c r="C6" i="31"/>
  <c r="D36" i="30"/>
  <c r="D35" i="30"/>
  <c r="E19" i="30"/>
  <c r="C19" i="30"/>
  <c r="C18" i="30"/>
  <c r="E18" i="30" s="1"/>
  <c r="C17" i="30"/>
  <c r="E17" i="30" s="1"/>
  <c r="C16" i="30"/>
  <c r="F16" i="30" s="1"/>
  <c r="F20" i="30" s="1"/>
  <c r="D10" i="30"/>
  <c r="F10" i="30" s="1"/>
  <c r="C10" i="30"/>
  <c r="E10" i="30" s="1"/>
  <c r="E9" i="30"/>
  <c r="C9" i="30"/>
  <c r="D9" i="30" s="1"/>
  <c r="F9" i="30" s="1"/>
  <c r="D8" i="30"/>
  <c r="C8" i="30"/>
  <c r="E8" i="30" s="1"/>
  <c r="E7" i="30"/>
  <c r="C7" i="30"/>
  <c r="D7" i="30" s="1"/>
  <c r="F7" i="30" s="1"/>
  <c r="C6" i="30"/>
  <c r="E6" i="30" s="1"/>
  <c r="E5" i="30"/>
  <c r="C5" i="30"/>
  <c r="I27" i="29"/>
  <c r="J27" i="29" s="1"/>
  <c r="I26" i="29"/>
  <c r="C9" i="29"/>
  <c r="C8" i="29"/>
  <c r="C7" i="29"/>
  <c r="C10" i="29" s="1"/>
  <c r="C11" i="29" s="1"/>
  <c r="I4" i="29" s="1"/>
  <c r="F14" i="29"/>
  <c r="F13" i="29"/>
  <c r="H13" i="29" s="1"/>
  <c r="F7" i="29"/>
  <c r="G7" i="29" s="1"/>
  <c r="F6" i="29"/>
  <c r="W16" i="28"/>
  <c r="Z16" i="28" s="1"/>
  <c r="AB16" i="28" s="1"/>
  <c r="P16" i="28"/>
  <c r="S16" i="28" s="1"/>
  <c r="U16" i="28" s="1"/>
  <c r="I16" i="28"/>
  <c r="L16" i="28" s="1"/>
  <c r="N16" i="28" s="1"/>
  <c r="W15" i="28"/>
  <c r="P15" i="28"/>
  <c r="S15" i="28" s="1"/>
  <c r="U15" i="28" s="1"/>
  <c r="I15" i="28"/>
  <c r="E11" i="28"/>
  <c r="D11" i="28"/>
  <c r="C11" i="28"/>
  <c r="E10" i="28"/>
  <c r="D10" i="28"/>
  <c r="C10" i="28"/>
  <c r="W9" i="28"/>
  <c r="P9" i="28"/>
  <c r="Q9" i="28" s="1"/>
  <c r="I9" i="28"/>
  <c r="E9" i="28"/>
  <c r="D9" i="28"/>
  <c r="C9" i="28"/>
  <c r="W8" i="28"/>
  <c r="P8" i="28"/>
  <c r="I8" i="28"/>
  <c r="E8" i="28"/>
  <c r="D8" i="28"/>
  <c r="C8" i="28"/>
  <c r="W7" i="28"/>
  <c r="P7" i="28"/>
  <c r="Q7" i="28" s="1"/>
  <c r="I7" i="28"/>
  <c r="J7" i="28" s="1"/>
  <c r="E7" i="28"/>
  <c r="D7" i="28"/>
  <c r="C7" i="28"/>
  <c r="E6" i="28"/>
  <c r="D6" i="28"/>
  <c r="C6" i="28"/>
  <c r="I22" i="27"/>
  <c r="H22" i="27"/>
  <c r="D22" i="27"/>
  <c r="H21" i="27"/>
  <c r="I21" i="27" s="1"/>
  <c r="D21" i="27"/>
  <c r="H20" i="27"/>
  <c r="C20" i="27"/>
  <c r="H19" i="27"/>
  <c r="C19" i="27"/>
  <c r="H18" i="27"/>
  <c r="C18" i="27"/>
  <c r="H17" i="27"/>
  <c r="C17" i="27"/>
  <c r="R15" i="27"/>
  <c r="R14" i="27"/>
  <c r="R13" i="27"/>
  <c r="R12" i="27"/>
  <c r="R16" i="27" s="1"/>
  <c r="R11" i="27"/>
  <c r="H11" i="27"/>
  <c r="C11" i="27"/>
  <c r="R10" i="27"/>
  <c r="H10" i="27"/>
  <c r="C10" i="27"/>
  <c r="H9" i="27"/>
  <c r="E15" i="27"/>
  <c r="R8" i="27"/>
  <c r="R17" i="27" s="1"/>
  <c r="R19" i="27" s="1"/>
  <c r="F7" i="27" s="1"/>
  <c r="DO39" i="26"/>
  <c r="DP39" i="26" s="1"/>
  <c r="DJ39" i="26"/>
  <c r="DK39" i="26" s="1"/>
  <c r="DE39" i="26"/>
  <c r="DF39" i="26" s="1"/>
  <c r="CZ39" i="26"/>
  <c r="DA39" i="26" s="1"/>
  <c r="CU39" i="26"/>
  <c r="CV39" i="26" s="1"/>
  <c r="CP39" i="26"/>
  <c r="CQ39" i="26" s="1"/>
  <c r="CK39" i="26"/>
  <c r="CL39" i="26" s="1"/>
  <c r="CF39" i="26"/>
  <c r="CG39" i="26" s="1"/>
  <c r="CA39" i="26"/>
  <c r="CB39" i="26" s="1"/>
  <c r="BV39" i="26"/>
  <c r="BW39" i="26" s="1"/>
  <c r="BQ39" i="26"/>
  <c r="BR39" i="26" s="1"/>
  <c r="BL39" i="26"/>
  <c r="BM39" i="26" s="1"/>
  <c r="BG39" i="26"/>
  <c r="BH39" i="26" s="1"/>
  <c r="BB39" i="26"/>
  <c r="BC39" i="26" s="1"/>
  <c r="AW39" i="26"/>
  <c r="AX39" i="26" s="1"/>
  <c r="AR39" i="26"/>
  <c r="AS39" i="26" s="1"/>
  <c r="AM39" i="26"/>
  <c r="AN39" i="26" s="1"/>
  <c r="AH39" i="26"/>
  <c r="AI39" i="26" s="1"/>
  <c r="AC39" i="26"/>
  <c r="AD39" i="26" s="1"/>
  <c r="X39" i="26"/>
  <c r="Y39" i="26" s="1"/>
  <c r="S39" i="26"/>
  <c r="T39" i="26" s="1"/>
  <c r="N39" i="26"/>
  <c r="O39" i="26" s="1"/>
  <c r="I39" i="26"/>
  <c r="J39" i="26" s="1"/>
  <c r="D39" i="26"/>
  <c r="E39" i="26" s="1"/>
  <c r="DO38" i="26"/>
  <c r="DP38" i="26" s="1"/>
  <c r="DJ38" i="26"/>
  <c r="DK38" i="26" s="1"/>
  <c r="DE38" i="26"/>
  <c r="DF38" i="26" s="1"/>
  <c r="CZ38" i="26"/>
  <c r="DA38" i="26" s="1"/>
  <c r="CU38" i="26"/>
  <c r="CV38" i="26" s="1"/>
  <c r="CP38" i="26"/>
  <c r="CQ38" i="26" s="1"/>
  <c r="CK38" i="26"/>
  <c r="CL38" i="26" s="1"/>
  <c r="CF38" i="26"/>
  <c r="CG38" i="26" s="1"/>
  <c r="CA38" i="26"/>
  <c r="CB38" i="26" s="1"/>
  <c r="BV38" i="26"/>
  <c r="BW38" i="26" s="1"/>
  <c r="BQ38" i="26"/>
  <c r="BR38" i="26" s="1"/>
  <c r="BL38" i="26"/>
  <c r="BM38" i="26" s="1"/>
  <c r="BG38" i="26"/>
  <c r="BH38" i="26" s="1"/>
  <c r="BB38" i="26"/>
  <c r="BC38" i="26" s="1"/>
  <c r="AW38" i="26"/>
  <c r="AX38" i="26" s="1"/>
  <c r="AR38" i="26"/>
  <c r="AS38" i="26" s="1"/>
  <c r="AM38" i="26"/>
  <c r="AN38" i="26" s="1"/>
  <c r="AH38" i="26"/>
  <c r="AI38" i="26" s="1"/>
  <c r="AC38" i="26"/>
  <c r="AD38" i="26" s="1"/>
  <c r="X38" i="26"/>
  <c r="Y38" i="26" s="1"/>
  <c r="S38" i="26"/>
  <c r="T38" i="26" s="1"/>
  <c r="N38" i="26"/>
  <c r="O38" i="26" s="1"/>
  <c r="I38" i="26"/>
  <c r="J38" i="26" s="1"/>
  <c r="D38" i="26"/>
  <c r="E38" i="26" s="1"/>
  <c r="DO37" i="26"/>
  <c r="DP37" i="26" s="1"/>
  <c r="DJ37" i="26"/>
  <c r="DK37" i="26" s="1"/>
  <c r="DE37" i="26"/>
  <c r="DF37" i="26" s="1"/>
  <c r="CZ37" i="26"/>
  <c r="DA37" i="26" s="1"/>
  <c r="CU37" i="26"/>
  <c r="CV37" i="26" s="1"/>
  <c r="CP37" i="26"/>
  <c r="CQ37" i="26" s="1"/>
  <c r="CK37" i="26"/>
  <c r="CL37" i="26" s="1"/>
  <c r="CF37" i="26"/>
  <c r="CG37" i="26" s="1"/>
  <c r="CA37" i="26"/>
  <c r="CB37" i="26" s="1"/>
  <c r="BV37" i="26"/>
  <c r="BW37" i="26" s="1"/>
  <c r="BQ37" i="26"/>
  <c r="BR37" i="26" s="1"/>
  <c r="BL37" i="26"/>
  <c r="BM37" i="26" s="1"/>
  <c r="BG37" i="26"/>
  <c r="BH37" i="26" s="1"/>
  <c r="BB37" i="26"/>
  <c r="BC37" i="26" s="1"/>
  <c r="AW37" i="26"/>
  <c r="AX37" i="26" s="1"/>
  <c r="AR37" i="26"/>
  <c r="AS37" i="26" s="1"/>
  <c r="AM37" i="26"/>
  <c r="AN37" i="26" s="1"/>
  <c r="AH37" i="26"/>
  <c r="AI37" i="26" s="1"/>
  <c r="AC37" i="26"/>
  <c r="AD37" i="26" s="1"/>
  <c r="X37" i="26"/>
  <c r="Y37" i="26" s="1"/>
  <c r="S37" i="26"/>
  <c r="T37" i="26" s="1"/>
  <c r="N37" i="26"/>
  <c r="O37" i="26" s="1"/>
  <c r="I37" i="26"/>
  <c r="J37" i="26" s="1"/>
  <c r="D37" i="26"/>
  <c r="E37" i="26" s="1"/>
  <c r="DO36" i="26"/>
  <c r="DP36" i="26" s="1"/>
  <c r="DJ36" i="26"/>
  <c r="DK36" i="26" s="1"/>
  <c r="DE36" i="26"/>
  <c r="DF36" i="26" s="1"/>
  <c r="CZ36" i="26"/>
  <c r="DA36" i="26" s="1"/>
  <c r="CU36" i="26"/>
  <c r="CV36" i="26" s="1"/>
  <c r="CP36" i="26"/>
  <c r="CQ36" i="26" s="1"/>
  <c r="CK36" i="26"/>
  <c r="CL36" i="26" s="1"/>
  <c r="CF36" i="26"/>
  <c r="CG36" i="26" s="1"/>
  <c r="CA36" i="26"/>
  <c r="CB36" i="26" s="1"/>
  <c r="BV36" i="26"/>
  <c r="BW36" i="26" s="1"/>
  <c r="BQ36" i="26"/>
  <c r="BR36" i="26" s="1"/>
  <c r="BL36" i="26"/>
  <c r="BM36" i="26" s="1"/>
  <c r="BG36" i="26"/>
  <c r="BH36" i="26" s="1"/>
  <c r="BB36" i="26"/>
  <c r="BC36" i="26" s="1"/>
  <c r="AW36" i="26"/>
  <c r="AX36" i="26" s="1"/>
  <c r="AR36" i="26"/>
  <c r="AS36" i="26" s="1"/>
  <c r="AM36" i="26"/>
  <c r="AN36" i="26" s="1"/>
  <c r="AH36" i="26"/>
  <c r="AI36" i="26" s="1"/>
  <c r="AC36" i="26"/>
  <c r="AD36" i="26" s="1"/>
  <c r="X36" i="26"/>
  <c r="Y36" i="26" s="1"/>
  <c r="S36" i="26"/>
  <c r="T36" i="26" s="1"/>
  <c r="N36" i="26"/>
  <c r="O36" i="26" s="1"/>
  <c r="I36" i="26"/>
  <c r="J36" i="26" s="1"/>
  <c r="D36" i="26"/>
  <c r="E36" i="26" s="1"/>
  <c r="DO35" i="26"/>
  <c r="DP35" i="26" s="1"/>
  <c r="DJ35" i="26"/>
  <c r="DK35" i="26" s="1"/>
  <c r="DE35" i="26"/>
  <c r="DF35" i="26" s="1"/>
  <c r="CZ35" i="26"/>
  <c r="DA35" i="26" s="1"/>
  <c r="CU35" i="26"/>
  <c r="CV35" i="26" s="1"/>
  <c r="CP35" i="26"/>
  <c r="CQ35" i="26" s="1"/>
  <c r="CK35" i="26"/>
  <c r="CL35" i="26" s="1"/>
  <c r="CF35" i="26"/>
  <c r="CG35" i="26" s="1"/>
  <c r="CA35" i="26"/>
  <c r="CB35" i="26" s="1"/>
  <c r="BV35" i="26"/>
  <c r="BW35" i="26" s="1"/>
  <c r="BQ35" i="26"/>
  <c r="BR35" i="26" s="1"/>
  <c r="BL35" i="26"/>
  <c r="BM35" i="26" s="1"/>
  <c r="BG35" i="26"/>
  <c r="BH35" i="26" s="1"/>
  <c r="BB35" i="26"/>
  <c r="BC35" i="26" s="1"/>
  <c r="AW35" i="26"/>
  <c r="AX35" i="26" s="1"/>
  <c r="AR35" i="26"/>
  <c r="AS35" i="26" s="1"/>
  <c r="AM35" i="26"/>
  <c r="AN35" i="26" s="1"/>
  <c r="AH35" i="26"/>
  <c r="AI35" i="26" s="1"/>
  <c r="AC35" i="26"/>
  <c r="AD35" i="26" s="1"/>
  <c r="X35" i="26"/>
  <c r="Y35" i="26" s="1"/>
  <c r="S35" i="26"/>
  <c r="T35" i="26" s="1"/>
  <c r="N35" i="26"/>
  <c r="O35" i="26" s="1"/>
  <c r="I35" i="26"/>
  <c r="J35" i="26" s="1"/>
  <c r="D35" i="26"/>
  <c r="E35" i="26" s="1"/>
  <c r="DO34" i="26"/>
  <c r="DP34" i="26" s="1"/>
  <c r="DJ34" i="26"/>
  <c r="DK34" i="26" s="1"/>
  <c r="DE34" i="26"/>
  <c r="DF34" i="26" s="1"/>
  <c r="CZ34" i="26"/>
  <c r="DA34" i="26" s="1"/>
  <c r="CU34" i="26"/>
  <c r="CV34" i="26" s="1"/>
  <c r="CP34" i="26"/>
  <c r="CQ34" i="26" s="1"/>
  <c r="CK34" i="26"/>
  <c r="CL34" i="26" s="1"/>
  <c r="CF34" i="26"/>
  <c r="CG34" i="26" s="1"/>
  <c r="CA34" i="26"/>
  <c r="CB34" i="26" s="1"/>
  <c r="BV34" i="26"/>
  <c r="BW34" i="26" s="1"/>
  <c r="BQ34" i="26"/>
  <c r="BR34" i="26" s="1"/>
  <c r="BL34" i="26"/>
  <c r="BM34" i="26" s="1"/>
  <c r="BG34" i="26"/>
  <c r="BH34" i="26" s="1"/>
  <c r="BB34" i="26"/>
  <c r="BC34" i="26" s="1"/>
  <c r="AW34" i="26"/>
  <c r="AX34" i="26" s="1"/>
  <c r="AR34" i="26"/>
  <c r="AS34" i="26" s="1"/>
  <c r="AM34" i="26"/>
  <c r="AN34" i="26" s="1"/>
  <c r="AH34" i="26"/>
  <c r="AI34" i="26" s="1"/>
  <c r="AC34" i="26"/>
  <c r="AD34" i="26" s="1"/>
  <c r="X34" i="26"/>
  <c r="Y34" i="26" s="1"/>
  <c r="S34" i="26"/>
  <c r="T34" i="26" s="1"/>
  <c r="N34" i="26"/>
  <c r="O34" i="26" s="1"/>
  <c r="I34" i="26"/>
  <c r="J34" i="26" s="1"/>
  <c r="D34" i="26"/>
  <c r="E34" i="26" s="1"/>
  <c r="DO33" i="26"/>
  <c r="DP33" i="26" s="1"/>
  <c r="DJ33" i="26"/>
  <c r="DK33" i="26" s="1"/>
  <c r="DE33" i="26"/>
  <c r="DF33" i="26" s="1"/>
  <c r="CZ33" i="26"/>
  <c r="DA33" i="26" s="1"/>
  <c r="CU33" i="26"/>
  <c r="CV33" i="26" s="1"/>
  <c r="CP33" i="26"/>
  <c r="CQ33" i="26" s="1"/>
  <c r="CK33" i="26"/>
  <c r="CL33" i="26" s="1"/>
  <c r="CF33" i="26"/>
  <c r="CG33" i="26" s="1"/>
  <c r="CA33" i="26"/>
  <c r="CB33" i="26" s="1"/>
  <c r="BV33" i="26"/>
  <c r="BW33" i="26" s="1"/>
  <c r="BQ33" i="26"/>
  <c r="BR33" i="26" s="1"/>
  <c r="BL33" i="26"/>
  <c r="BM33" i="26" s="1"/>
  <c r="BG33" i="26"/>
  <c r="BH33" i="26" s="1"/>
  <c r="BB33" i="26"/>
  <c r="BC33" i="26" s="1"/>
  <c r="AW33" i="26"/>
  <c r="AX33" i="26" s="1"/>
  <c r="AR33" i="26"/>
  <c r="AS33" i="26" s="1"/>
  <c r="AU33" i="26" s="1"/>
  <c r="AM33" i="26"/>
  <c r="AN33" i="26" s="1"/>
  <c r="AH33" i="26"/>
  <c r="AI33" i="26" s="1"/>
  <c r="AC33" i="26"/>
  <c r="AD33" i="26" s="1"/>
  <c r="X33" i="26"/>
  <c r="Y33" i="26" s="1"/>
  <c r="S33" i="26"/>
  <c r="T33" i="26" s="1"/>
  <c r="N33" i="26"/>
  <c r="O33" i="26" s="1"/>
  <c r="I33" i="26"/>
  <c r="J33" i="26" s="1"/>
  <c r="D33" i="26"/>
  <c r="E33" i="26" s="1"/>
  <c r="DO32" i="26"/>
  <c r="DP32" i="26" s="1"/>
  <c r="DJ32" i="26"/>
  <c r="DK32" i="26" s="1"/>
  <c r="DE32" i="26"/>
  <c r="DF32" i="26" s="1"/>
  <c r="CZ32" i="26"/>
  <c r="DA32" i="26" s="1"/>
  <c r="CU32" i="26"/>
  <c r="CV32" i="26" s="1"/>
  <c r="CP32" i="26"/>
  <c r="CQ32" i="26" s="1"/>
  <c r="CK32" i="26"/>
  <c r="CL32" i="26" s="1"/>
  <c r="CF32" i="26"/>
  <c r="CG32" i="26" s="1"/>
  <c r="CA32" i="26"/>
  <c r="CB32" i="26" s="1"/>
  <c r="BV32" i="26"/>
  <c r="BW32" i="26" s="1"/>
  <c r="BQ32" i="26"/>
  <c r="BR32" i="26" s="1"/>
  <c r="BL32" i="26"/>
  <c r="BM32" i="26" s="1"/>
  <c r="BG32" i="26"/>
  <c r="BH32" i="26" s="1"/>
  <c r="BB32" i="26"/>
  <c r="BC32" i="26" s="1"/>
  <c r="AW32" i="26"/>
  <c r="AX32" i="26" s="1"/>
  <c r="AR32" i="26"/>
  <c r="AS32" i="26" s="1"/>
  <c r="AM32" i="26"/>
  <c r="AN32" i="26" s="1"/>
  <c r="AH32" i="26"/>
  <c r="AI32" i="26" s="1"/>
  <c r="AC32" i="26"/>
  <c r="AD32" i="26" s="1"/>
  <c r="X32" i="26"/>
  <c r="Y32" i="26" s="1"/>
  <c r="S32" i="26"/>
  <c r="T32" i="26" s="1"/>
  <c r="N32" i="26"/>
  <c r="O32" i="26" s="1"/>
  <c r="I32" i="26"/>
  <c r="J32" i="26" s="1"/>
  <c r="D32" i="26"/>
  <c r="E32" i="26" s="1"/>
  <c r="DO31" i="26"/>
  <c r="DP31" i="26" s="1"/>
  <c r="DJ31" i="26"/>
  <c r="DK31" i="26" s="1"/>
  <c r="DE31" i="26"/>
  <c r="DF31" i="26" s="1"/>
  <c r="CZ31" i="26"/>
  <c r="DA31" i="26" s="1"/>
  <c r="CU31" i="26"/>
  <c r="CV31" i="26" s="1"/>
  <c r="CP31" i="26"/>
  <c r="CQ31" i="26" s="1"/>
  <c r="CK31" i="26"/>
  <c r="CL31" i="26" s="1"/>
  <c r="CF31" i="26"/>
  <c r="CG31" i="26" s="1"/>
  <c r="CA31" i="26"/>
  <c r="CB31" i="26" s="1"/>
  <c r="BV31" i="26"/>
  <c r="BW31" i="26" s="1"/>
  <c r="BQ31" i="26"/>
  <c r="BR31" i="26" s="1"/>
  <c r="BL31" i="26"/>
  <c r="BM31" i="26" s="1"/>
  <c r="BG31" i="26"/>
  <c r="BH31" i="26" s="1"/>
  <c r="BB31" i="26"/>
  <c r="BC31" i="26" s="1"/>
  <c r="AW31" i="26"/>
  <c r="AX31" i="26" s="1"/>
  <c r="AR31" i="26"/>
  <c r="AS31" i="26" s="1"/>
  <c r="AM31" i="26"/>
  <c r="AN31" i="26" s="1"/>
  <c r="AH31" i="26"/>
  <c r="AI31" i="26" s="1"/>
  <c r="AC31" i="26"/>
  <c r="AD31" i="26" s="1"/>
  <c r="X31" i="26"/>
  <c r="Y31" i="26" s="1"/>
  <c r="S31" i="26"/>
  <c r="T31" i="26" s="1"/>
  <c r="N31" i="26"/>
  <c r="O31" i="26" s="1"/>
  <c r="I31" i="26"/>
  <c r="J31" i="26" s="1"/>
  <c r="D31" i="26"/>
  <c r="E31" i="26" s="1"/>
  <c r="DO30" i="26"/>
  <c r="DP30" i="26" s="1"/>
  <c r="DJ30" i="26"/>
  <c r="DK30" i="26" s="1"/>
  <c r="DE30" i="26"/>
  <c r="DF30" i="26" s="1"/>
  <c r="CZ30" i="26"/>
  <c r="DA30" i="26" s="1"/>
  <c r="CU30" i="26"/>
  <c r="CV30" i="26" s="1"/>
  <c r="CP30" i="26"/>
  <c r="CQ30" i="26" s="1"/>
  <c r="CK30" i="26"/>
  <c r="CL30" i="26" s="1"/>
  <c r="CF30" i="26"/>
  <c r="CG30" i="26" s="1"/>
  <c r="CA30" i="26"/>
  <c r="CB30" i="26" s="1"/>
  <c r="BV30" i="26"/>
  <c r="BW30" i="26" s="1"/>
  <c r="BQ30" i="26"/>
  <c r="BR30" i="26" s="1"/>
  <c r="BL30" i="26"/>
  <c r="BM30" i="26" s="1"/>
  <c r="BG30" i="26"/>
  <c r="BH30" i="26" s="1"/>
  <c r="BB30" i="26"/>
  <c r="BC30" i="26" s="1"/>
  <c r="AW30" i="26"/>
  <c r="AX30" i="26" s="1"/>
  <c r="AR30" i="26"/>
  <c r="AS30" i="26" s="1"/>
  <c r="AM30" i="26"/>
  <c r="AN30" i="26" s="1"/>
  <c r="AH30" i="26"/>
  <c r="AI30" i="26" s="1"/>
  <c r="AC30" i="26"/>
  <c r="AD30" i="26" s="1"/>
  <c r="X30" i="26"/>
  <c r="Y30" i="26" s="1"/>
  <c r="AA30" i="26" s="1"/>
  <c r="S30" i="26"/>
  <c r="T30" i="26" s="1"/>
  <c r="N30" i="26"/>
  <c r="O30" i="26" s="1"/>
  <c r="I30" i="26"/>
  <c r="J30" i="26" s="1"/>
  <c r="D30" i="26"/>
  <c r="E30" i="26" s="1"/>
  <c r="DO29" i="26"/>
  <c r="DP29" i="26" s="1"/>
  <c r="DJ29" i="26"/>
  <c r="DK29" i="26" s="1"/>
  <c r="DE29" i="26"/>
  <c r="DF29" i="26" s="1"/>
  <c r="CZ29" i="26"/>
  <c r="DA29" i="26" s="1"/>
  <c r="CU29" i="26"/>
  <c r="CP29" i="26"/>
  <c r="CQ29" i="26" s="1"/>
  <c r="CK29" i="26"/>
  <c r="CL29" i="26" s="1"/>
  <c r="CF29" i="26"/>
  <c r="CG29" i="26" s="1"/>
  <c r="CA29" i="26"/>
  <c r="CB29" i="26" s="1"/>
  <c r="BV29" i="26"/>
  <c r="BW29" i="26" s="1"/>
  <c r="BQ29" i="26"/>
  <c r="BR29" i="26" s="1"/>
  <c r="BL29" i="26"/>
  <c r="BM29" i="26" s="1"/>
  <c r="BG29" i="26"/>
  <c r="BH29" i="26" s="1"/>
  <c r="BB29" i="26"/>
  <c r="BC29" i="26" s="1"/>
  <c r="AW29" i="26"/>
  <c r="AX29" i="26" s="1"/>
  <c r="AR29" i="26"/>
  <c r="AS29" i="26" s="1"/>
  <c r="AM29" i="26"/>
  <c r="AN29" i="26" s="1"/>
  <c r="AH29" i="26"/>
  <c r="AI29" i="26" s="1"/>
  <c r="AC29" i="26"/>
  <c r="AD29" i="26" s="1"/>
  <c r="X29" i="26"/>
  <c r="S29" i="26"/>
  <c r="T29" i="26" s="1"/>
  <c r="N29" i="26"/>
  <c r="O29" i="26" s="1"/>
  <c r="I29" i="26"/>
  <c r="J29" i="26" s="1"/>
  <c r="D29" i="26"/>
  <c r="E29" i="26" s="1"/>
  <c r="DO22" i="26"/>
  <c r="DQ22" i="26" s="1"/>
  <c r="DL22" i="26"/>
  <c r="DJ22" i="26"/>
  <c r="DE22" i="26"/>
  <c r="DG22" i="26" s="1"/>
  <c r="CZ22" i="26"/>
  <c r="DB22" i="26" s="1"/>
  <c r="CU22" i="26"/>
  <c r="CW22" i="26" s="1"/>
  <c r="CP22" i="26"/>
  <c r="CR22" i="26" s="1"/>
  <c r="CM22" i="26"/>
  <c r="CK22" i="26"/>
  <c r="CF22" i="26"/>
  <c r="CH22" i="26" s="1"/>
  <c r="CA22" i="26"/>
  <c r="CC22" i="26" s="1"/>
  <c r="BV22" i="26"/>
  <c r="BX22" i="26" s="1"/>
  <c r="BQ22" i="26"/>
  <c r="BS22" i="26" s="1"/>
  <c r="BL22" i="26"/>
  <c r="BN22" i="26" s="1"/>
  <c r="BG22" i="26"/>
  <c r="BI22" i="26" s="1"/>
  <c r="BB22" i="26"/>
  <c r="BD22" i="26" s="1"/>
  <c r="AW22" i="26"/>
  <c r="AY22" i="26" s="1"/>
  <c r="AR22" i="26"/>
  <c r="AT22" i="26" s="1"/>
  <c r="AM22" i="26"/>
  <c r="AO22" i="26" s="1"/>
  <c r="AH22" i="26"/>
  <c r="AJ22" i="26" s="1"/>
  <c r="AE22" i="26"/>
  <c r="AC22" i="26"/>
  <c r="X22" i="26"/>
  <c r="Z22" i="26" s="1"/>
  <c r="S22" i="26"/>
  <c r="U22" i="26" s="1"/>
  <c r="N22" i="26"/>
  <c r="P22" i="26" s="1"/>
  <c r="I22" i="26"/>
  <c r="K22" i="26" s="1"/>
  <c r="D22" i="26"/>
  <c r="F22" i="26" s="1"/>
  <c r="DQ21" i="26"/>
  <c r="DO21" i="26"/>
  <c r="DP21" i="26" s="1"/>
  <c r="DJ21" i="26"/>
  <c r="DL21" i="26" s="1"/>
  <c r="DE21" i="26"/>
  <c r="DG21" i="26" s="1"/>
  <c r="DA21" i="26"/>
  <c r="DC21" i="26" s="1"/>
  <c r="CZ21" i="26"/>
  <c r="DB21" i="26" s="1"/>
  <c r="CU21" i="26"/>
  <c r="CW21" i="26" s="1"/>
  <c r="CP21" i="26"/>
  <c r="CR21" i="26" s="1"/>
  <c r="CK21" i="26"/>
  <c r="CF21" i="26"/>
  <c r="CH21" i="26" s="1"/>
  <c r="CA21" i="26"/>
  <c r="CC21" i="26" s="1"/>
  <c r="BW21" i="26"/>
  <c r="BY21" i="26" s="1"/>
  <c r="BV21" i="26"/>
  <c r="BX21" i="26" s="1"/>
  <c r="BQ21" i="26"/>
  <c r="BS21" i="26" s="1"/>
  <c r="BL21" i="26"/>
  <c r="BN21" i="26" s="1"/>
  <c r="BH21" i="26"/>
  <c r="BG21" i="26"/>
  <c r="BI21" i="26" s="1"/>
  <c r="BB21" i="26"/>
  <c r="AW21" i="26"/>
  <c r="AY21" i="26" s="1"/>
  <c r="AR21" i="26"/>
  <c r="AT21" i="26" s="1"/>
  <c r="AM21" i="26"/>
  <c r="AH21" i="26"/>
  <c r="AJ21" i="26" s="1"/>
  <c r="AD21" i="26"/>
  <c r="AC21" i="26"/>
  <c r="AE21" i="26" s="1"/>
  <c r="Y21" i="26"/>
  <c r="AA21" i="26" s="1"/>
  <c r="X21" i="26"/>
  <c r="Z21" i="26" s="1"/>
  <c r="T21" i="26"/>
  <c r="V21" i="26" s="1"/>
  <c r="S21" i="26"/>
  <c r="U21" i="26" s="1"/>
  <c r="O21" i="26"/>
  <c r="Q21" i="26" s="1"/>
  <c r="N21" i="26"/>
  <c r="P21" i="26" s="1"/>
  <c r="I21" i="26"/>
  <c r="D21" i="26"/>
  <c r="F21" i="26" s="1"/>
  <c r="DO20" i="26"/>
  <c r="DQ20" i="26" s="1"/>
  <c r="DJ20" i="26"/>
  <c r="DL20" i="26" s="1"/>
  <c r="DG20" i="26"/>
  <c r="DF20" i="26"/>
  <c r="DH20" i="26" s="1"/>
  <c r="DE20" i="26"/>
  <c r="CZ20" i="26"/>
  <c r="DB20" i="26" s="1"/>
  <c r="CW20" i="26"/>
  <c r="CV20" i="26"/>
  <c r="CU20" i="26"/>
  <c r="CP20" i="26"/>
  <c r="CM20" i="26"/>
  <c r="CL20" i="26"/>
  <c r="CN20" i="26" s="1"/>
  <c r="CK20" i="26"/>
  <c r="CF20" i="26"/>
  <c r="CH20" i="26" s="1"/>
  <c r="CA20" i="26"/>
  <c r="CB20" i="26" s="1"/>
  <c r="BV20" i="26"/>
  <c r="BX20" i="26" s="1"/>
  <c r="BS20" i="26"/>
  <c r="BR20" i="26"/>
  <c r="BQ20" i="26"/>
  <c r="BM20" i="26"/>
  <c r="BO20" i="26" s="1"/>
  <c r="BL20" i="26"/>
  <c r="BN20" i="26" s="1"/>
  <c r="BH20" i="26"/>
  <c r="BJ20" i="26" s="1"/>
  <c r="BG20" i="26"/>
  <c r="BI20" i="26" s="1"/>
  <c r="BC20" i="26"/>
  <c r="BE20" i="26" s="1"/>
  <c r="BB20" i="26"/>
  <c r="BD20" i="26" s="1"/>
  <c r="AW20" i="26"/>
  <c r="AR20" i="26"/>
  <c r="AT20" i="26" s="1"/>
  <c r="AM20" i="26"/>
  <c r="AO20" i="26" s="1"/>
  <c r="AH20" i="26"/>
  <c r="AJ20" i="26" s="1"/>
  <c r="AD20" i="26"/>
  <c r="AC20" i="26"/>
  <c r="AE20" i="26" s="1"/>
  <c r="Y20" i="26"/>
  <c r="AA20" i="26" s="1"/>
  <c r="X20" i="26"/>
  <c r="Z20" i="26" s="1"/>
  <c r="S20" i="26"/>
  <c r="U20" i="26" s="1"/>
  <c r="N20" i="26"/>
  <c r="K20" i="26"/>
  <c r="I20" i="26"/>
  <c r="L20" i="26" s="1"/>
  <c r="D20" i="26"/>
  <c r="F20" i="26" s="1"/>
  <c r="DQ19" i="26"/>
  <c r="DO19" i="26"/>
  <c r="DP19" i="26" s="1"/>
  <c r="DK19" i="26"/>
  <c r="DM19" i="26" s="1"/>
  <c r="DJ19" i="26"/>
  <c r="DL19" i="26" s="1"/>
  <c r="DG19" i="26"/>
  <c r="DE19" i="26"/>
  <c r="DF19" i="26" s="1"/>
  <c r="CZ19" i="26"/>
  <c r="DB19" i="26" s="1"/>
  <c r="CU19" i="26"/>
  <c r="CW19" i="26" s="1"/>
  <c r="CS19" i="26"/>
  <c r="CP19" i="26"/>
  <c r="CR19" i="26" s="1"/>
  <c r="CK19" i="26"/>
  <c r="CF19" i="26"/>
  <c r="CH19" i="26" s="1"/>
  <c r="CA19" i="26"/>
  <c r="CC19" i="26" s="1"/>
  <c r="BV19" i="26"/>
  <c r="BX19" i="26" s="1"/>
  <c r="BS19" i="26"/>
  <c r="BR19" i="26"/>
  <c r="BT19" i="26" s="1"/>
  <c r="BQ19" i="26"/>
  <c r="BM19" i="26"/>
  <c r="BO19" i="26" s="1"/>
  <c r="BL19" i="26"/>
  <c r="BN19" i="26" s="1"/>
  <c r="BG19" i="26"/>
  <c r="BI19" i="26" s="1"/>
  <c r="BB19" i="26"/>
  <c r="AW19" i="26"/>
  <c r="AR19" i="26"/>
  <c r="AT19" i="26" s="1"/>
  <c r="AM19" i="26"/>
  <c r="AH19" i="26"/>
  <c r="AJ19" i="26" s="1"/>
  <c r="AE19" i="26"/>
  <c r="AD19" i="26"/>
  <c r="AF19" i="26" s="1"/>
  <c r="AC19" i="26"/>
  <c r="Y19" i="26"/>
  <c r="AA19" i="26" s="1"/>
  <c r="X19" i="26"/>
  <c r="Z19" i="26" s="1"/>
  <c r="S19" i="26"/>
  <c r="U19" i="26" s="1"/>
  <c r="N19" i="26"/>
  <c r="P19" i="26" s="1"/>
  <c r="I19" i="26"/>
  <c r="D19" i="26"/>
  <c r="DO18" i="26"/>
  <c r="DQ18" i="26" s="1"/>
  <c r="DK18" i="26"/>
  <c r="DM18" i="26" s="1"/>
  <c r="DJ18" i="26"/>
  <c r="DL18" i="26" s="1"/>
  <c r="DE18" i="26"/>
  <c r="DG18" i="26" s="1"/>
  <c r="CZ18" i="26"/>
  <c r="DB18" i="26" s="1"/>
  <c r="CV18" i="26"/>
  <c r="CU18" i="26"/>
  <c r="CW18" i="26" s="1"/>
  <c r="CP18" i="26"/>
  <c r="CL18" i="26"/>
  <c r="CK18" i="26"/>
  <c r="CM18" i="26" s="1"/>
  <c r="CF18" i="26"/>
  <c r="CH18" i="26" s="1"/>
  <c r="CA18" i="26"/>
  <c r="CB18" i="26" s="1"/>
  <c r="BV18" i="26"/>
  <c r="BX18" i="26" s="1"/>
  <c r="BR18" i="26"/>
  <c r="BQ18" i="26"/>
  <c r="BS18" i="26" s="1"/>
  <c r="BM18" i="26"/>
  <c r="BO18" i="26" s="1"/>
  <c r="BL18" i="26"/>
  <c r="BN18" i="26" s="1"/>
  <c r="BH18" i="26"/>
  <c r="BJ18" i="26" s="1"/>
  <c r="BG18" i="26"/>
  <c r="BI18" i="26" s="1"/>
  <c r="BC18" i="26"/>
  <c r="BE18" i="26" s="1"/>
  <c r="BB18" i="26"/>
  <c r="BD18" i="26" s="1"/>
  <c r="AW18" i="26"/>
  <c r="AR18" i="26"/>
  <c r="AO18" i="26"/>
  <c r="AM18" i="26"/>
  <c r="AK18" i="26"/>
  <c r="AH18" i="26"/>
  <c r="AJ18" i="26" s="1"/>
  <c r="AC18" i="26"/>
  <c r="AE18" i="26" s="1"/>
  <c r="X18" i="26"/>
  <c r="Z18" i="26" s="1"/>
  <c r="T18" i="26"/>
  <c r="S18" i="26"/>
  <c r="U18" i="26" s="1"/>
  <c r="O18" i="26"/>
  <c r="Q18" i="26" s="1"/>
  <c r="N18" i="26"/>
  <c r="P18" i="26" s="1"/>
  <c r="K18" i="26"/>
  <c r="I18" i="26"/>
  <c r="D18" i="26"/>
  <c r="F18" i="26" s="1"/>
  <c r="DP17" i="26"/>
  <c r="DO17" i="26"/>
  <c r="DQ17" i="26" s="1"/>
  <c r="DJ17" i="26"/>
  <c r="DL17" i="26" s="1"/>
  <c r="DF17" i="26"/>
  <c r="DE17" i="26"/>
  <c r="DG17" i="26" s="1"/>
  <c r="CZ17" i="26"/>
  <c r="DB17" i="26" s="1"/>
  <c r="CV17" i="26"/>
  <c r="CU17" i="26"/>
  <c r="CW17" i="26" s="1"/>
  <c r="CS17" i="26"/>
  <c r="CP17" i="26"/>
  <c r="CR17" i="26" s="1"/>
  <c r="CK17" i="26"/>
  <c r="CM17" i="26" s="1"/>
  <c r="CF17" i="26"/>
  <c r="CH17" i="26" s="1"/>
  <c r="CC17" i="26"/>
  <c r="CB17" i="26"/>
  <c r="CA17" i="26"/>
  <c r="BW17" i="26"/>
  <c r="BY17" i="26" s="1"/>
  <c r="BV17" i="26"/>
  <c r="BX17" i="26" s="1"/>
  <c r="BQ17" i="26"/>
  <c r="BR17" i="26" s="1"/>
  <c r="BL17" i="26"/>
  <c r="BN17" i="26" s="1"/>
  <c r="BH17" i="26"/>
  <c r="BG17" i="26"/>
  <c r="BI17" i="26" s="1"/>
  <c r="BC17" i="26"/>
  <c r="BE17" i="26" s="1"/>
  <c r="BB17" i="26"/>
  <c r="BD17" i="26" s="1"/>
  <c r="AY17" i="26"/>
  <c r="AW17" i="26"/>
  <c r="AZ17" i="26" s="1"/>
  <c r="AR17" i="26"/>
  <c r="AT17" i="26" s="1"/>
  <c r="AM17" i="26"/>
  <c r="AO17" i="26" s="1"/>
  <c r="AH17" i="26"/>
  <c r="AJ17" i="26" s="1"/>
  <c r="AE17" i="26"/>
  <c r="AC17" i="26"/>
  <c r="AD17" i="26" s="1"/>
  <c r="X17" i="26"/>
  <c r="Z17" i="26" s="1"/>
  <c r="S17" i="26"/>
  <c r="U17" i="26" s="1"/>
  <c r="N17" i="26"/>
  <c r="P17" i="26" s="1"/>
  <c r="I17" i="26"/>
  <c r="D17" i="26"/>
  <c r="F17" i="26" s="1"/>
  <c r="DO16" i="26"/>
  <c r="DQ16" i="26" s="1"/>
  <c r="DJ16" i="26"/>
  <c r="DL16" i="26" s="1"/>
  <c r="DG16" i="26"/>
  <c r="DE16" i="26"/>
  <c r="CZ16" i="26"/>
  <c r="DB16" i="26" s="1"/>
  <c r="CU16" i="26"/>
  <c r="CW16" i="26" s="1"/>
  <c r="CP16" i="26"/>
  <c r="CR16" i="26" s="1"/>
  <c r="CM16" i="26"/>
  <c r="CK16" i="26"/>
  <c r="CF16" i="26"/>
  <c r="CH16" i="26" s="1"/>
  <c r="CA16" i="26"/>
  <c r="CC16" i="26" s="1"/>
  <c r="BV16" i="26"/>
  <c r="BX16" i="26" s="1"/>
  <c r="BS16" i="26"/>
  <c r="BT39" i="26" s="1"/>
  <c r="BQ16" i="26"/>
  <c r="BL16" i="26"/>
  <c r="BN16" i="26" s="1"/>
  <c r="BG16" i="26"/>
  <c r="BI16" i="26" s="1"/>
  <c r="BB16" i="26"/>
  <c r="BD16" i="26" s="1"/>
  <c r="AW16" i="26"/>
  <c r="AY16" i="26" s="1"/>
  <c r="AR16" i="26"/>
  <c r="AT16" i="26" s="1"/>
  <c r="AO16" i="26"/>
  <c r="AM16" i="26"/>
  <c r="AH16" i="26"/>
  <c r="AJ16" i="26" s="1"/>
  <c r="AC16" i="26"/>
  <c r="AE16" i="26" s="1"/>
  <c r="AF39" i="26" s="1"/>
  <c r="X16" i="26"/>
  <c r="Z16" i="26" s="1"/>
  <c r="U16" i="26"/>
  <c r="S16" i="26"/>
  <c r="N16" i="26"/>
  <c r="P16" i="26" s="1"/>
  <c r="I16" i="26"/>
  <c r="D16" i="26"/>
  <c r="DO15" i="26"/>
  <c r="DQ15" i="26" s="1"/>
  <c r="DJ15" i="26"/>
  <c r="DL15" i="26" s="1"/>
  <c r="DL23" i="26" s="1"/>
  <c r="DE15" i="26"/>
  <c r="DG15" i="26" s="1"/>
  <c r="CZ15" i="26"/>
  <c r="DB15" i="26" s="1"/>
  <c r="DB23" i="26" s="1"/>
  <c r="CU15" i="26"/>
  <c r="CW15" i="26" s="1"/>
  <c r="CW23" i="26" s="1"/>
  <c r="CP15" i="26"/>
  <c r="CR15" i="26" s="1"/>
  <c r="CK15" i="26"/>
  <c r="CM15" i="26" s="1"/>
  <c r="CF15" i="26"/>
  <c r="CH15" i="26" s="1"/>
  <c r="CC15" i="26"/>
  <c r="CA15" i="26"/>
  <c r="BV15" i="26"/>
  <c r="BX15" i="26" s="1"/>
  <c r="BQ15" i="26"/>
  <c r="BS15" i="26" s="1"/>
  <c r="BL15" i="26"/>
  <c r="BN15" i="26" s="1"/>
  <c r="BG15" i="26"/>
  <c r="BI15" i="26" s="1"/>
  <c r="BB15" i="26"/>
  <c r="BD15" i="26" s="1"/>
  <c r="AY15" i="26"/>
  <c r="AW15" i="26"/>
  <c r="AR15" i="26"/>
  <c r="AT15" i="26" s="1"/>
  <c r="AM15" i="26"/>
  <c r="AO15" i="26" s="1"/>
  <c r="AH15" i="26"/>
  <c r="AJ15" i="26" s="1"/>
  <c r="AE15" i="26"/>
  <c r="AC15" i="26"/>
  <c r="X15" i="26"/>
  <c r="Z15" i="26" s="1"/>
  <c r="S15" i="26"/>
  <c r="U15" i="26" s="1"/>
  <c r="N15" i="26"/>
  <c r="P15" i="26" s="1"/>
  <c r="I15" i="26"/>
  <c r="J15" i="26" s="1"/>
  <c r="F15" i="26"/>
  <c r="C442" i="25"/>
  <c r="C441" i="25"/>
  <c r="C440" i="25"/>
  <c r="P302" i="25"/>
  <c r="M302" i="25"/>
  <c r="J302" i="25"/>
  <c r="G302" i="25"/>
  <c r="P301" i="25"/>
  <c r="M301" i="25"/>
  <c r="J301" i="25"/>
  <c r="P300" i="25"/>
  <c r="M300" i="25"/>
  <c r="J300" i="25"/>
  <c r="G300" i="25"/>
  <c r="I15" i="41" l="1"/>
  <c r="K18" i="40"/>
  <c r="J16" i="20" s="1"/>
  <c r="E13" i="34"/>
  <c r="E17" i="34"/>
  <c r="F17" i="34" s="1"/>
  <c r="E14" i="34"/>
  <c r="D18" i="34"/>
  <c r="F18" i="34" s="1"/>
  <c r="E15" i="34"/>
  <c r="F15" i="34" s="1"/>
  <c r="I24" i="34"/>
  <c r="I25" i="34" s="1"/>
  <c r="F11" i="34" s="1"/>
  <c r="C12" i="28"/>
  <c r="C14" i="28" s="1"/>
  <c r="C16" i="28" s="1"/>
  <c r="L5" i="28" s="1"/>
  <c r="R7" i="28"/>
  <c r="R12" i="28" s="1"/>
  <c r="R9" i="28"/>
  <c r="K8" i="28"/>
  <c r="J8" i="28"/>
  <c r="L15" i="28"/>
  <c r="K7" i="28"/>
  <c r="K12" i="28" s="1"/>
  <c r="R8" i="28"/>
  <c r="Q8" i="28"/>
  <c r="Y9" i="28"/>
  <c r="X9" i="28"/>
  <c r="Y8" i="28"/>
  <c r="Z15" i="28"/>
  <c r="D12" i="28"/>
  <c r="D14" i="28" s="1"/>
  <c r="D16" i="28" s="1"/>
  <c r="S5" i="28" s="1"/>
  <c r="Y7" i="28"/>
  <c r="X7" i="28"/>
  <c r="K9" i="28"/>
  <c r="J9" i="28"/>
  <c r="E12" i="28"/>
  <c r="E14" i="28" s="1"/>
  <c r="E16" i="28" s="1"/>
  <c r="Z5" i="28" s="1"/>
  <c r="DC30" i="26"/>
  <c r="G8" i="41"/>
  <c r="I8" i="41" s="1"/>
  <c r="AP30" i="26"/>
  <c r="H6" i="29"/>
  <c r="G6" i="29"/>
  <c r="J26" i="29"/>
  <c r="J29" i="29"/>
  <c r="H14" i="29"/>
  <c r="H7" i="29"/>
  <c r="I13" i="29" s="1"/>
  <c r="I6" i="43"/>
  <c r="I7" i="43"/>
  <c r="I5" i="43"/>
  <c r="DM31" i="26"/>
  <c r="I8" i="33"/>
  <c r="I9" i="33" s="1"/>
  <c r="F4" i="33" s="1"/>
  <c r="G27" i="32"/>
  <c r="CN32" i="26"/>
  <c r="BI23" i="26"/>
  <c r="F16" i="26"/>
  <c r="G31" i="26" s="1"/>
  <c r="E16" i="26"/>
  <c r="BS17" i="26"/>
  <c r="AY19" i="26"/>
  <c r="AZ19" i="26" s="1"/>
  <c r="DF21" i="26"/>
  <c r="DH21" i="26" s="1"/>
  <c r="K16" i="26"/>
  <c r="T17" i="26"/>
  <c r="AP17" i="26"/>
  <c r="CL17" i="26"/>
  <c r="Y18" i="26"/>
  <c r="AA18" i="26" s="1"/>
  <c r="DA18" i="26"/>
  <c r="DC18" i="26" s="1"/>
  <c r="DR19" i="26"/>
  <c r="T20" i="26"/>
  <c r="AK20" i="26"/>
  <c r="CC20" i="26"/>
  <c r="BM21" i="26"/>
  <c r="BO21" i="26" s="1"/>
  <c r="BT18" i="26"/>
  <c r="CN18" i="26"/>
  <c r="AF21" i="26"/>
  <c r="AZ21" i="26"/>
  <c r="CV29" i="26"/>
  <c r="CX29" i="26" s="1"/>
  <c r="BJ17" i="26"/>
  <c r="K15" i="26"/>
  <c r="E17" i="26"/>
  <c r="G17" i="26" s="1"/>
  <c r="AD18" i="26"/>
  <c r="AF18" i="26" s="1"/>
  <c r="DF18" i="26"/>
  <c r="DH18" i="26" s="1"/>
  <c r="O19" i="26"/>
  <c r="Q19" i="26" s="1"/>
  <c r="AK19" i="26"/>
  <c r="BH19" i="26"/>
  <c r="BW19" i="26"/>
  <c r="BY19" i="26" s="1"/>
  <c r="DA19" i="26"/>
  <c r="DC19" i="26" s="1"/>
  <c r="BR21" i="26"/>
  <c r="BT21" i="26" s="1"/>
  <c r="CS21" i="26"/>
  <c r="DK21" i="26"/>
  <c r="DM21" i="26" s="1"/>
  <c r="Y29" i="26"/>
  <c r="AA29" i="26" s="1"/>
  <c r="V29" i="26"/>
  <c r="DR21" i="26"/>
  <c r="U23" i="26"/>
  <c r="DG23" i="26"/>
  <c r="K17" i="26"/>
  <c r="L17" i="26" s="1"/>
  <c r="BM17" i="26"/>
  <c r="BO17" i="26" s="1"/>
  <c r="BW18" i="26"/>
  <c r="BY18" i="26" s="1"/>
  <c r="AK21" i="26"/>
  <c r="AF20" i="26"/>
  <c r="DQ23" i="26"/>
  <c r="O17" i="26"/>
  <c r="Q17" i="26" s="1"/>
  <c r="CI17" i="26"/>
  <c r="AP18" i="26"/>
  <c r="CC18" i="26"/>
  <c r="CD18" i="26" s="1"/>
  <c r="BW20" i="26"/>
  <c r="BY20" i="26" s="1"/>
  <c r="DK20" i="26"/>
  <c r="DM20" i="26" s="1"/>
  <c r="AO21" i="26"/>
  <c r="AP21" i="26" s="1"/>
  <c r="F17" i="27"/>
  <c r="J12" i="40"/>
  <c r="K30" i="40"/>
  <c r="AS14" i="37"/>
  <c r="T14" i="37"/>
  <c r="AN14" i="37"/>
  <c r="AD14" i="37"/>
  <c r="N15" i="41"/>
  <c r="O15" i="41" s="1"/>
  <c r="H89" i="41"/>
  <c r="I9" i="43"/>
  <c r="I85" i="41"/>
  <c r="J85" i="41" s="1"/>
  <c r="O86" i="41"/>
  <c r="P86" i="41" s="1"/>
  <c r="AG14" i="41"/>
  <c r="AI7" i="41"/>
  <c r="AG12" i="41"/>
  <c r="AH12" i="41" s="1"/>
  <c r="AI12" i="41" s="1"/>
  <c r="AJ12" i="41" s="1"/>
  <c r="M17" i="41"/>
  <c r="H79" i="41"/>
  <c r="J79" i="41" s="1"/>
  <c r="H81" i="41"/>
  <c r="AH9" i="41"/>
  <c r="AI9" i="41" s="1"/>
  <c r="G18" i="41"/>
  <c r="H14" i="41"/>
  <c r="I14" i="41" s="1"/>
  <c r="O85" i="41"/>
  <c r="P85" i="41" s="1"/>
  <c r="I87" i="41"/>
  <c r="J87" i="41" s="1"/>
  <c r="N89" i="41"/>
  <c r="H13" i="41"/>
  <c r="M18" i="41"/>
  <c r="O87" i="41"/>
  <c r="P87" i="41" s="1"/>
  <c r="N14" i="41"/>
  <c r="O14" i="41" s="1"/>
  <c r="K31" i="40"/>
  <c r="K32" i="40"/>
  <c r="J13" i="39"/>
  <c r="F12" i="35"/>
  <c r="F10" i="35"/>
  <c r="P12" i="35"/>
  <c r="P10" i="35"/>
  <c r="K13" i="35"/>
  <c r="E11" i="36"/>
  <c r="P11" i="35"/>
  <c r="F11" i="35"/>
  <c r="P13" i="35"/>
  <c r="K10" i="35"/>
  <c r="F13" i="35"/>
  <c r="K11" i="35"/>
  <c r="K12" i="35"/>
  <c r="O14" i="35"/>
  <c r="E8" i="33"/>
  <c r="G9" i="32"/>
  <c r="F10" i="32"/>
  <c r="G6" i="32"/>
  <c r="D8" i="32"/>
  <c r="D5" i="32"/>
  <c r="G8" i="32"/>
  <c r="D4" i="32"/>
  <c r="H8" i="31"/>
  <c r="F8" i="30"/>
  <c r="E11" i="30"/>
  <c r="CX18" i="26"/>
  <c r="BJ19" i="26"/>
  <c r="S17" i="28"/>
  <c r="U17" i="28" s="1"/>
  <c r="BJ21" i="26"/>
  <c r="J15" i="27"/>
  <c r="K17" i="27" s="1"/>
  <c r="F18" i="27"/>
  <c r="F19" i="27"/>
  <c r="F20" i="27"/>
  <c r="K20" i="27"/>
  <c r="DH17" i="26"/>
  <c r="L18" i="26"/>
  <c r="CX20" i="26"/>
  <c r="CD20" i="26"/>
  <c r="CD17" i="26"/>
  <c r="CN17" i="26"/>
  <c r="CX17" i="26"/>
  <c r="DR17" i="26"/>
  <c r="V20" i="26"/>
  <c r="BT17" i="26"/>
  <c r="V18" i="26"/>
  <c r="AZ33" i="26"/>
  <c r="AZ39" i="26"/>
  <c r="AZ31" i="26"/>
  <c r="L39" i="26"/>
  <c r="L33" i="26"/>
  <c r="L30" i="26"/>
  <c r="L32" i="26"/>
  <c r="Q29" i="26"/>
  <c r="DH30" i="26"/>
  <c r="BO31" i="26"/>
  <c r="AZ32" i="26"/>
  <c r="BJ33" i="26"/>
  <c r="AJ23" i="26"/>
  <c r="BX23" i="26"/>
  <c r="AK29" i="26"/>
  <c r="AK32" i="26"/>
  <c r="AK31" i="26"/>
  <c r="Y17" i="26"/>
  <c r="AA17" i="26" s="1"/>
  <c r="DA17" i="26"/>
  <c r="DC17" i="26" s="1"/>
  <c r="AY18" i="26"/>
  <c r="CV19" i="26"/>
  <c r="CX19" i="26" s="1"/>
  <c r="CR20" i="26"/>
  <c r="K21" i="26"/>
  <c r="L21" i="26"/>
  <c r="CS29" i="26"/>
  <c r="BE30" i="26"/>
  <c r="CI32" i="26"/>
  <c r="G32" i="26"/>
  <c r="Z23" i="26"/>
  <c r="BN23" i="26"/>
  <c r="BE32" i="26"/>
  <c r="BE33" i="26"/>
  <c r="AF17" i="26"/>
  <c r="AU17" i="26"/>
  <c r="E18" i="26"/>
  <c r="G18" i="26" s="1"/>
  <c r="T19" i="26"/>
  <c r="V19" i="26" s="1"/>
  <c r="P20" i="26"/>
  <c r="O20" i="26"/>
  <c r="AY20" i="26"/>
  <c r="AY23" i="26" s="1"/>
  <c r="CV21" i="26"/>
  <c r="CX21" i="26" s="1"/>
  <c r="AF29" i="26"/>
  <c r="BY29" i="26"/>
  <c r="DM32" i="26"/>
  <c r="BT20" i="26"/>
  <c r="CD29" i="26"/>
  <c r="BO30" i="26"/>
  <c r="CS30" i="26"/>
  <c r="CD31" i="26"/>
  <c r="P23" i="26"/>
  <c r="BY30" i="26"/>
  <c r="BY32" i="26"/>
  <c r="DR30" i="26"/>
  <c r="F19" i="26"/>
  <c r="E19" i="26"/>
  <c r="G19" i="26" s="1"/>
  <c r="BD19" i="26"/>
  <c r="BC19" i="26"/>
  <c r="CM19" i="26"/>
  <c r="CM23" i="26" s="1"/>
  <c r="CL19" i="26"/>
  <c r="G29" i="26"/>
  <c r="BE29" i="26"/>
  <c r="BT30" i="26"/>
  <c r="AF31" i="26"/>
  <c r="CC23" i="26"/>
  <c r="CH23" i="26"/>
  <c r="CN39" i="26"/>
  <c r="CN33" i="26"/>
  <c r="CN30" i="26"/>
  <c r="V17" i="26"/>
  <c r="AK17" i="26"/>
  <c r="DK17" i="26"/>
  <c r="DM17" i="26" s="1"/>
  <c r="AO19" i="26"/>
  <c r="AO23" i="26" s="1"/>
  <c r="DH19" i="26"/>
  <c r="DA20" i="26"/>
  <c r="DC20" i="26" s="1"/>
  <c r="L29" i="26"/>
  <c r="BJ29" i="26"/>
  <c r="V30" i="26"/>
  <c r="BT32" i="26"/>
  <c r="F23" i="26"/>
  <c r="AE23" i="26"/>
  <c r="BS23" i="26"/>
  <c r="Q33" i="26"/>
  <c r="Q32" i="26"/>
  <c r="CS33" i="26"/>
  <c r="CS32" i="26"/>
  <c r="AT18" i="26"/>
  <c r="AT23" i="26" s="1"/>
  <c r="CR18" i="26"/>
  <c r="CR23" i="26" s="1"/>
  <c r="K19" i="26"/>
  <c r="L19" i="26" s="1"/>
  <c r="BD21" i="26"/>
  <c r="BC21" i="26"/>
  <c r="CM21" i="26"/>
  <c r="CL21" i="26"/>
  <c r="AP29" i="26"/>
  <c r="DM29" i="26"/>
  <c r="DH33" i="26"/>
  <c r="BE31" i="26"/>
  <c r="DM33" i="26"/>
  <c r="DM30" i="26"/>
  <c r="BJ31" i="26"/>
  <c r="DC31" i="26"/>
  <c r="AF32" i="26"/>
  <c r="DR32" i="26"/>
  <c r="V33" i="26"/>
  <c r="DR33" i="26"/>
  <c r="CX39" i="26"/>
  <c r="DR29" i="26"/>
  <c r="AU30" i="26"/>
  <c r="L31" i="26"/>
  <c r="CI18" i="26"/>
  <c r="DP18" i="26"/>
  <c r="DR18" i="26" s="1"/>
  <c r="AU19" i="26"/>
  <c r="CB19" i="26"/>
  <c r="CD19" i="26" s="1"/>
  <c r="E20" i="26"/>
  <c r="G20" i="26" s="1"/>
  <c r="AP20" i="26"/>
  <c r="CI20" i="26"/>
  <c r="DP20" i="26"/>
  <c r="DR20" i="26" s="1"/>
  <c r="AU21" i="26"/>
  <c r="CB21" i="26"/>
  <c r="CD21" i="26" s="1"/>
  <c r="G30" i="26"/>
  <c r="AZ30" i="26"/>
  <c r="Q31" i="26"/>
  <c r="AP31" i="26"/>
  <c r="CI31" i="26"/>
  <c r="CD32" i="26"/>
  <c r="BY39" i="26"/>
  <c r="AU29" i="26"/>
  <c r="BO29" i="26"/>
  <c r="CI29" i="26"/>
  <c r="DC29" i="26"/>
  <c r="AF30" i="26"/>
  <c r="CD30" i="26"/>
  <c r="CX30" i="26"/>
  <c r="DH31" i="26"/>
  <c r="CX32" i="26"/>
  <c r="G33" i="26"/>
  <c r="AA33" i="26"/>
  <c r="BT33" i="26"/>
  <c r="CX33" i="26"/>
  <c r="CD39" i="26"/>
  <c r="AK30" i="26"/>
  <c r="V31" i="26"/>
  <c r="AU31" i="26"/>
  <c r="CN31" i="26"/>
  <c r="AP32" i="26"/>
  <c r="BJ32" i="26"/>
  <c r="AF33" i="26"/>
  <c r="BE39" i="26"/>
  <c r="AZ29" i="26"/>
  <c r="BT29" i="26"/>
  <c r="CN29" i="26"/>
  <c r="DH29" i="26"/>
  <c r="CI30" i="26"/>
  <c r="AA31" i="26"/>
  <c r="BT31" i="26"/>
  <c r="DR31" i="26"/>
  <c r="CD33" i="26"/>
  <c r="CI19" i="26"/>
  <c r="AU20" i="26"/>
  <c r="E21" i="26"/>
  <c r="G21" i="26" s="1"/>
  <c r="CI21" i="26"/>
  <c r="Q30" i="26"/>
  <c r="BY31" i="26"/>
  <c r="CS31" i="26"/>
  <c r="V32" i="26"/>
  <c r="AU32" i="26"/>
  <c r="BO32" i="26"/>
  <c r="DH32" i="26"/>
  <c r="AP33" i="26"/>
  <c r="CI33" i="26"/>
  <c r="AA39" i="26"/>
  <c r="BY33" i="26"/>
  <c r="G39" i="26"/>
  <c r="CS39" i="26"/>
  <c r="AK39" i="26"/>
  <c r="BJ39" i="26"/>
  <c r="DC39" i="26"/>
  <c r="BO33" i="26"/>
  <c r="Q39" i="26"/>
  <c r="AP39" i="26"/>
  <c r="CI39" i="26"/>
  <c r="DH39" i="26"/>
  <c r="BJ30" i="26"/>
  <c r="CX31" i="26"/>
  <c r="AA32" i="26"/>
  <c r="DC32" i="26"/>
  <c r="AK33" i="26"/>
  <c r="DC33" i="26"/>
  <c r="V39" i="26"/>
  <c r="BO39" i="26"/>
  <c r="DM39" i="26"/>
  <c r="AU39" i="26"/>
  <c r="DR39" i="26"/>
  <c r="J90" i="41" l="1"/>
  <c r="I13" i="41"/>
  <c r="J17" i="40"/>
  <c r="I15" i="20" s="1"/>
  <c r="E19" i="34"/>
  <c r="P90" i="41"/>
  <c r="Z17" i="28"/>
  <c r="AB17" i="28" s="1"/>
  <c r="AB15" i="28"/>
  <c r="L17" i="28"/>
  <c r="N17" i="28" s="1"/>
  <c r="N15" i="28"/>
  <c r="I14" i="29"/>
  <c r="I15" i="29" s="1"/>
  <c r="H8" i="29"/>
  <c r="F24" i="27"/>
  <c r="K23" i="26"/>
  <c r="BD23" i="26"/>
  <c r="CS20" i="26"/>
  <c r="AZ42" i="26"/>
  <c r="DR42" i="26"/>
  <c r="CX42" i="26"/>
  <c r="CN42" i="26"/>
  <c r="CD42" i="26"/>
  <c r="AP42" i="26"/>
  <c r="AA42" i="26"/>
  <c r="V42" i="26"/>
  <c r="AI10" i="41"/>
  <c r="N81" i="41"/>
  <c r="AH10" i="41"/>
  <c r="AH14" i="41" s="1"/>
  <c r="F13" i="33"/>
  <c r="F14" i="33"/>
  <c r="K19" i="27"/>
  <c r="K18" i="27"/>
  <c r="BJ42" i="26"/>
  <c r="DH42" i="26"/>
  <c r="DC42" i="26"/>
  <c r="CN21" i="26"/>
  <c r="AU18" i="26"/>
  <c r="L42" i="26"/>
  <c r="CN19" i="26"/>
  <c r="AZ20" i="26"/>
  <c r="AZ18" i="26"/>
  <c r="AP19" i="26"/>
  <c r="CI42" i="26"/>
  <c r="CS42" i="26"/>
  <c r="AK42" i="26"/>
  <c r="BT42" i="26"/>
  <c r="BO42" i="26"/>
  <c r="BE21" i="26"/>
  <c r="BE19" i="26"/>
  <c r="Q20" i="26"/>
  <c r="Q42" i="26"/>
  <c r="AU42" i="26"/>
  <c r="BE42" i="26"/>
  <c r="BY42" i="26"/>
  <c r="G42" i="26"/>
  <c r="AF42" i="26"/>
  <c r="DM42" i="26"/>
  <c r="CS18" i="26"/>
  <c r="F25" i="34" l="1"/>
  <c r="F24" i="34"/>
  <c r="F28" i="34" s="1"/>
  <c r="K24" i="27"/>
  <c r="AJ10" i="41"/>
  <c r="AI14" i="41"/>
  <c r="AJ14" i="41" s="1"/>
  <c r="AI13" i="41"/>
  <c r="AI15" i="41" s="1"/>
  <c r="AL26" i="41" l="1"/>
  <c r="AI20" i="41" s="1"/>
  <c r="AI23" i="41" l="1"/>
  <c r="AI26" i="41" s="1"/>
  <c r="AJ25" i="41" l="1"/>
  <c r="AJ15" i="41"/>
  <c r="AJ20" i="41"/>
  <c r="AJ26" i="41" l="1"/>
  <c r="G6" i="20" l="1"/>
  <c r="G7" i="20"/>
  <c r="I7" i="20" s="1"/>
  <c r="G8" i="20"/>
  <c r="G15" i="20"/>
  <c r="H6" i="18"/>
  <c r="H7" i="18"/>
  <c r="J7" i="18"/>
  <c r="H8" i="18"/>
  <c r="H15" i="18"/>
  <c r="H16" i="18"/>
  <c r="H17" i="18"/>
  <c r="H18" i="18"/>
  <c r="H19" i="18"/>
  <c r="H20" i="18"/>
  <c r="H21" i="18"/>
  <c r="G53" i="18"/>
  <c r="C14" i="5"/>
  <c r="C20" i="5"/>
  <c r="C22" i="5"/>
  <c r="C37" i="5"/>
  <c r="C38" i="5"/>
  <c r="C39" i="5"/>
  <c r="C40" i="5"/>
  <c r="C41" i="5"/>
  <c r="C47" i="5"/>
  <c r="C49" i="5"/>
  <c r="C51" i="5"/>
  <c r="C72" i="5"/>
  <c r="C73" i="5"/>
  <c r="C74" i="5"/>
  <c r="C75" i="5"/>
  <c r="C82" i="5"/>
  <c r="C84" i="5"/>
  <c r="C105" i="5"/>
  <c r="C106" i="5"/>
  <c r="C113" i="5"/>
  <c r="C115" i="5"/>
  <c r="C132" i="5"/>
  <c r="C133" i="5"/>
  <c r="C137" i="5"/>
  <c r="C139" i="5"/>
  <c r="F6" i="33"/>
  <c r="F7" i="33"/>
  <c r="C155" i="5"/>
  <c r="C156" i="5"/>
  <c r="C160" i="5"/>
  <c r="C162" i="5"/>
  <c r="F14" i="34"/>
  <c r="C178" i="5"/>
  <c r="C179" i="5"/>
  <c r="C183" i="5"/>
  <c r="C185" i="5"/>
  <c r="C202" i="5"/>
  <c r="C208" i="5"/>
  <c r="C210" i="5"/>
  <c r="F5" i="36"/>
  <c r="F6" i="36"/>
  <c r="F19" i="36" s="1"/>
  <c r="C225" i="5"/>
  <c r="C231" i="5"/>
  <c r="C233" i="5"/>
  <c r="C249" i="5"/>
  <c r="C250" i="5"/>
  <c r="C251" i="5"/>
  <c r="C252" i="5"/>
  <c r="C253" i="5"/>
  <c r="C254" i="5"/>
  <c r="C255" i="5"/>
  <c r="C262" i="5"/>
  <c r="C264" i="5"/>
  <c r="C280" i="5"/>
  <c r="C281" i="5"/>
  <c r="C291" i="5"/>
  <c r="C293" i="5"/>
  <c r="G300" i="5"/>
  <c r="J300" i="5"/>
  <c r="M300" i="5"/>
  <c r="P300" i="5"/>
  <c r="J301" i="5"/>
  <c r="M301" i="5"/>
  <c r="P301" i="5"/>
  <c r="G302" i="5"/>
  <c r="J302" i="5"/>
  <c r="M302" i="5"/>
  <c r="P302" i="5"/>
  <c r="C311" i="5"/>
  <c r="C312" i="5"/>
  <c r="C318" i="5"/>
  <c r="C320" i="5"/>
  <c r="H6" i="31"/>
  <c r="H7" i="31"/>
  <c r="C339" i="5"/>
  <c r="H16" i="31" s="1"/>
  <c r="C340" i="5"/>
  <c r="H17" i="31" s="1"/>
  <c r="C345" i="5"/>
  <c r="C347" i="5"/>
  <c r="C364" i="5"/>
  <c r="C365" i="5"/>
  <c r="C366" i="5"/>
  <c r="C367" i="5"/>
  <c r="C368" i="5"/>
  <c r="C369" i="5"/>
  <c r="C370" i="5"/>
  <c r="C372" i="5"/>
  <c r="C374" i="5"/>
  <c r="C392" i="5"/>
  <c r="C396" i="5"/>
  <c r="C398" i="5"/>
  <c r="C412" i="5"/>
  <c r="C413" i="5"/>
  <c r="C414" i="5"/>
  <c r="C415" i="5"/>
  <c r="C416" i="5"/>
  <c r="C417" i="5"/>
  <c r="C418" i="5"/>
  <c r="C420" i="5"/>
  <c r="C422" i="5"/>
  <c r="J25" i="18" s="1"/>
  <c r="K8" i="40"/>
  <c r="K9" i="40"/>
  <c r="K10" i="40"/>
  <c r="C436" i="5"/>
  <c r="C437" i="5"/>
  <c r="C440" i="5"/>
  <c r="C442" i="5"/>
  <c r="C455" i="5"/>
  <c r="C456" i="5"/>
  <c r="C459" i="5"/>
  <c r="C461" i="5"/>
  <c r="I20" i="20" s="1"/>
  <c r="C475" i="5"/>
  <c r="C476" i="5"/>
  <c r="C479" i="5"/>
  <c r="C481" i="5"/>
  <c r="C494" i="5"/>
  <c r="C495" i="5"/>
  <c r="C498" i="5"/>
  <c r="C500" i="5"/>
  <c r="G21" i="4"/>
  <c r="G22" i="4"/>
  <c r="G23" i="4"/>
  <c r="E24" i="4"/>
  <c r="C338" i="5" s="1"/>
  <c r="H15" i="31" s="1"/>
  <c r="D33" i="4"/>
  <c r="D34" i="4"/>
  <c r="D38" i="4"/>
  <c r="D39" i="4"/>
  <c r="BZ19" i="2"/>
  <c r="BZ20" i="2"/>
  <c r="CI20" i="2" s="1"/>
  <c r="BZ24" i="2"/>
  <c r="CA24" i="2"/>
  <c r="CB24" i="2"/>
  <c r="CC24" i="2"/>
  <c r="CD24" i="2"/>
  <c r="CI24" i="2" s="1"/>
  <c r="CE24" i="2"/>
  <c r="CF24" i="2"/>
  <c r="CG24" i="2"/>
  <c r="C6" i="1"/>
  <c r="C7" i="1"/>
  <c r="C8" i="1" s="1"/>
  <c r="C49" i="1" s="1"/>
  <c r="C9" i="1"/>
  <c r="C10" i="1"/>
  <c r="C11" i="1"/>
  <c r="C12" i="1" s="1"/>
  <c r="C13" i="1"/>
  <c r="C14" i="1" s="1"/>
  <c r="C15" i="1"/>
  <c r="C16" i="1" s="1"/>
  <c r="C17" i="1"/>
  <c r="C18" i="1" s="1"/>
  <c r="C19" i="1"/>
  <c r="C20" i="1" s="1"/>
  <c r="C21" i="1"/>
  <c r="C22" i="1" s="1"/>
  <c r="C23" i="1"/>
  <c r="C24" i="1" s="1"/>
  <c r="C25" i="1"/>
  <c r="C26" i="1" s="1"/>
  <c r="C27" i="1"/>
  <c r="C28" i="1" s="1"/>
  <c r="C29" i="1"/>
  <c r="C30" i="1" s="1"/>
  <c r="C31" i="1"/>
  <c r="C32" i="1" s="1"/>
  <c r="C33" i="1"/>
  <c r="C34" i="1" s="1"/>
  <c r="K33" i="1"/>
  <c r="K37" i="1" s="1"/>
  <c r="K38" i="1" s="1"/>
  <c r="K34" i="1"/>
  <c r="K35" i="1"/>
  <c r="C36" i="1"/>
  <c r="K36" i="1"/>
  <c r="C38" i="1"/>
  <c r="C46" i="1"/>
  <c r="C47" i="1"/>
  <c r="C50" i="1"/>
  <c r="C51" i="1"/>
  <c r="C52" i="1"/>
  <c r="C53" i="1" l="1"/>
  <c r="F8" i="33"/>
  <c r="F9" i="33" s="1"/>
  <c r="F11" i="33" s="1"/>
  <c r="F17" i="33" s="1"/>
  <c r="K12" i="40"/>
  <c r="K13" i="40" s="1"/>
  <c r="J5" i="43"/>
  <c r="J15" i="43"/>
  <c r="J14" i="43"/>
  <c r="J7" i="43"/>
  <c r="J6" i="43"/>
  <c r="M8" i="41"/>
  <c r="O8" i="41" s="1"/>
  <c r="K17" i="40"/>
  <c r="K11" i="39"/>
  <c r="J18" i="39"/>
  <c r="K18" i="39" s="1"/>
  <c r="K19" i="39" s="1"/>
  <c r="K10" i="39"/>
  <c r="K9" i="39"/>
  <c r="K7" i="39"/>
  <c r="K8" i="39"/>
  <c r="H10" i="31"/>
  <c r="H11" i="31" s="1"/>
  <c r="H12" i="31" s="1"/>
  <c r="AT19" i="37"/>
  <c r="AO19" i="37"/>
  <c r="AJ19" i="37"/>
  <c r="AE19" i="37"/>
  <c r="P18" i="37"/>
  <c r="Z19" i="37"/>
  <c r="U19" i="37"/>
  <c r="K18" i="37"/>
  <c r="AR11" i="37"/>
  <c r="AT11" i="37" s="1"/>
  <c r="X11" i="37"/>
  <c r="Z11" i="37" s="1"/>
  <c r="AM11" i="37"/>
  <c r="AO11" i="37" s="1"/>
  <c r="P10" i="37"/>
  <c r="S11" i="37"/>
  <c r="U11" i="37" s="1"/>
  <c r="AH11" i="37"/>
  <c r="AJ11" i="37" s="1"/>
  <c r="K10" i="37"/>
  <c r="AC11" i="37"/>
  <c r="AE11" i="37" s="1"/>
  <c r="U25" i="37"/>
  <c r="AO25" i="37"/>
  <c r="AJ25" i="37"/>
  <c r="K24" i="37"/>
  <c r="AE25" i="37"/>
  <c r="Z25" i="37"/>
  <c r="P24" i="37"/>
  <c r="AT25" i="37"/>
  <c r="AO10" i="37"/>
  <c r="U10" i="37"/>
  <c r="AJ10" i="37"/>
  <c r="P9" i="37"/>
  <c r="K9" i="37"/>
  <c r="AT10" i="37"/>
  <c r="Z10" i="37"/>
  <c r="AJ20" i="37"/>
  <c r="AE20" i="37"/>
  <c r="K19" i="37"/>
  <c r="Z20" i="37"/>
  <c r="AO20" i="37"/>
  <c r="AT20" i="37"/>
  <c r="P19" i="37"/>
  <c r="U20" i="37"/>
  <c r="U24" i="37"/>
  <c r="Z24" i="37"/>
  <c r="AT24" i="37"/>
  <c r="K23" i="37"/>
  <c r="AO24" i="37"/>
  <c r="AJ24" i="37"/>
  <c r="AE24" i="37"/>
  <c r="P23" i="37"/>
  <c r="Z23" i="37"/>
  <c r="AT23" i="37"/>
  <c r="AO23" i="37"/>
  <c r="AE23" i="37"/>
  <c r="AJ23" i="37"/>
  <c r="P22" i="37"/>
  <c r="U23" i="37"/>
  <c r="K22" i="37"/>
  <c r="AE8" i="37"/>
  <c r="AT8" i="37"/>
  <c r="Z8" i="37"/>
  <c r="AO8" i="37"/>
  <c r="U8" i="37"/>
  <c r="AJ8" i="37"/>
  <c r="AO9" i="37"/>
  <c r="AJ9" i="37"/>
  <c r="U9" i="37"/>
  <c r="K8" i="37"/>
  <c r="P8" i="37"/>
  <c r="AE9" i="37"/>
  <c r="AT9" i="37"/>
  <c r="Z9" i="37"/>
  <c r="AE22" i="37"/>
  <c r="Z22" i="37"/>
  <c r="K21" i="37"/>
  <c r="AT22" i="37"/>
  <c r="AO22" i="37"/>
  <c r="AJ22" i="37"/>
  <c r="U22" i="37"/>
  <c r="P21" i="37"/>
  <c r="AJ7" i="37"/>
  <c r="AT7" i="37"/>
  <c r="AE7" i="37"/>
  <c r="AO7" i="37"/>
  <c r="Z7" i="37"/>
  <c r="K7" i="37"/>
  <c r="U7" i="37"/>
  <c r="P7" i="37"/>
  <c r="AE21" i="37"/>
  <c r="Z21" i="37"/>
  <c r="AJ21" i="37"/>
  <c r="P20" i="37"/>
  <c r="AT21" i="37"/>
  <c r="AO21" i="37"/>
  <c r="K20" i="37"/>
  <c r="U21" i="37"/>
  <c r="F11" i="36"/>
  <c r="F12" i="36" s="1"/>
  <c r="F13" i="36" s="1"/>
  <c r="F18" i="36"/>
  <c r="F20" i="36" s="1"/>
  <c r="F20" i="35"/>
  <c r="P20" i="35"/>
  <c r="K20" i="35"/>
  <c r="K19" i="35"/>
  <c r="P19" i="35"/>
  <c r="F19" i="35"/>
  <c r="P9" i="35"/>
  <c r="P14" i="35" s="1"/>
  <c r="K9" i="35"/>
  <c r="K14" i="35" s="1"/>
  <c r="F9" i="35"/>
  <c r="F14" i="35" s="1"/>
  <c r="F13" i="34"/>
  <c r="F19" i="34" s="1"/>
  <c r="G5" i="32"/>
  <c r="G4" i="32"/>
  <c r="H20" i="31"/>
  <c r="F5" i="30"/>
  <c r="F6" i="30"/>
  <c r="I7" i="29"/>
  <c r="I6" i="29"/>
  <c r="S7" i="28"/>
  <c r="L7" i="28"/>
  <c r="N7" i="28" s="1"/>
  <c r="Z7" i="28"/>
  <c r="S8" i="28"/>
  <c r="L8" i="28"/>
  <c r="Z8" i="28"/>
  <c r="AB8" i="28" s="1"/>
  <c r="S9" i="28"/>
  <c r="U9" i="28" s="1"/>
  <c r="L9" i="28"/>
  <c r="Z9" i="28"/>
  <c r="F11" i="27"/>
  <c r="K11" i="27"/>
  <c r="K10" i="27"/>
  <c r="F10" i="27"/>
  <c r="K9" i="27"/>
  <c r="F9" i="27"/>
  <c r="DC16" i="26"/>
  <c r="CN16" i="26"/>
  <c r="BT16" i="26"/>
  <c r="AU16" i="26"/>
  <c r="AF16" i="26"/>
  <c r="Q16" i="26"/>
  <c r="DR16" i="26"/>
  <c r="L16" i="26"/>
  <c r="AA16" i="26"/>
  <c r="DM16" i="26"/>
  <c r="CX16" i="26"/>
  <c r="AP16" i="26"/>
  <c r="CD16" i="26"/>
  <c r="M3" i="26"/>
  <c r="M4" i="26" s="1"/>
  <c r="M5" i="26" s="1"/>
  <c r="DH16" i="26"/>
  <c r="CS16" i="26"/>
  <c r="BE16" i="26"/>
  <c r="AK16" i="26"/>
  <c r="V16" i="26"/>
  <c r="G16" i="26"/>
  <c r="BY16" i="26"/>
  <c r="BJ16" i="26"/>
  <c r="AZ16" i="26"/>
  <c r="CI16" i="26"/>
  <c r="BO16" i="26"/>
  <c r="AA15" i="26"/>
  <c r="G15" i="26"/>
  <c r="CD15" i="26"/>
  <c r="BJ15" i="26"/>
  <c r="AP15" i="26"/>
  <c r="V15" i="26"/>
  <c r="CS15" i="26"/>
  <c r="BY15" i="26"/>
  <c r="DR15" i="26"/>
  <c r="AK15" i="26"/>
  <c r="L15" i="26"/>
  <c r="AU15" i="26"/>
  <c r="AZ15" i="26"/>
  <c r="CI15" i="26"/>
  <c r="BO15" i="26"/>
  <c r="AF15" i="26"/>
  <c r="DC15" i="26"/>
  <c r="DM15" i="26"/>
  <c r="CN15" i="26"/>
  <c r="BT15" i="26"/>
  <c r="DH15" i="26"/>
  <c r="BE15" i="26"/>
  <c r="CX15" i="26"/>
  <c r="Q15" i="26"/>
  <c r="C60" i="1"/>
  <c r="CI26" i="2"/>
  <c r="D43" i="4" s="1"/>
  <c r="C48" i="1"/>
  <c r="K7" i="18"/>
  <c r="K6" i="18"/>
  <c r="J7" i="20"/>
  <c r="J8" i="18"/>
  <c r="J6" i="18"/>
  <c r="I8" i="20"/>
  <c r="I6" i="20"/>
  <c r="I10" i="20" s="1"/>
  <c r="BJ23" i="26" l="1"/>
  <c r="BJ25" i="26" s="1"/>
  <c r="BJ26" i="26" s="1"/>
  <c r="BJ44" i="26" s="1"/>
  <c r="BJ45" i="26" s="1"/>
  <c r="BJ46" i="26" s="1"/>
  <c r="BJ47" i="26" s="1"/>
  <c r="BJ48" i="26" s="1"/>
  <c r="F24" i="35"/>
  <c r="G23" i="26"/>
  <c r="G25" i="26" s="1"/>
  <c r="G26" i="26" s="1"/>
  <c r="G44" i="26" s="1"/>
  <c r="G45" i="26" s="1"/>
  <c r="G46" i="26" s="1"/>
  <c r="G47" i="26" s="1"/>
  <c r="G48" i="26" s="1"/>
  <c r="F9" i="53" s="1"/>
  <c r="G9" i="53" s="1"/>
  <c r="P13" i="37"/>
  <c r="P14" i="37" s="1"/>
  <c r="P15" i="37" s="1"/>
  <c r="J9" i="43"/>
  <c r="J10" i="43" s="1"/>
  <c r="J11" i="43" s="1"/>
  <c r="K14" i="40"/>
  <c r="K13" i="39"/>
  <c r="AJ14" i="37"/>
  <c r="Z14" i="37"/>
  <c r="Z15" i="37" s="1"/>
  <c r="Z16" i="37" s="1"/>
  <c r="AE14" i="37"/>
  <c r="AE15" i="37" s="1"/>
  <c r="AE16" i="37" s="1"/>
  <c r="AO14" i="37"/>
  <c r="AO15" i="37" s="1"/>
  <c r="AO16" i="37" s="1"/>
  <c r="U14" i="37"/>
  <c r="U15" i="37" s="1"/>
  <c r="AT14" i="37"/>
  <c r="AT15" i="37" s="1"/>
  <c r="K13" i="37"/>
  <c r="K14" i="37" s="1"/>
  <c r="J16" i="43"/>
  <c r="N78" i="41"/>
  <c r="P78" i="41" s="1"/>
  <c r="M7" i="41"/>
  <c r="O7" i="41" s="1"/>
  <c r="H78" i="41"/>
  <c r="J78" i="41" s="1"/>
  <c r="G7" i="41"/>
  <c r="I7" i="41" s="1"/>
  <c r="K19" i="40"/>
  <c r="CI23" i="26"/>
  <c r="CI25" i="26" s="1"/>
  <c r="CI26" i="26" s="1"/>
  <c r="CI44" i="26" s="1"/>
  <c r="CI45" i="26" s="1"/>
  <c r="CI46" i="26" s="1"/>
  <c r="CI47" i="26" s="1"/>
  <c r="CI48" i="26" s="1"/>
  <c r="F25" i="53" s="1"/>
  <c r="G25" i="53" s="1"/>
  <c r="H22" i="31"/>
  <c r="H23" i="31" s="1"/>
  <c r="H24" i="31" s="1"/>
  <c r="K25" i="37"/>
  <c r="Z26" i="37"/>
  <c r="U26" i="37"/>
  <c r="P25" i="37"/>
  <c r="AE26" i="37"/>
  <c r="AJ26" i="37"/>
  <c r="AO26" i="37"/>
  <c r="AT26" i="37"/>
  <c r="K22" i="18"/>
  <c r="F22" i="36"/>
  <c r="P15" i="35"/>
  <c r="P16" i="35" s="1"/>
  <c r="K15" i="35"/>
  <c r="K16" i="35" s="1"/>
  <c r="K23" i="35"/>
  <c r="K24" i="35" s="1"/>
  <c r="F23" i="35"/>
  <c r="P23" i="35"/>
  <c r="P24" i="35" s="1"/>
  <c r="G10" i="32"/>
  <c r="G11" i="32" s="1"/>
  <c r="G12" i="32" s="1"/>
  <c r="G29" i="32" s="1"/>
  <c r="G30" i="32" s="1"/>
  <c r="F15" i="35"/>
  <c r="F16" i="35" s="1"/>
  <c r="F20" i="34"/>
  <c r="F21" i="34" s="1"/>
  <c r="F30" i="34" s="1"/>
  <c r="F18" i="33"/>
  <c r="F19" i="33" s="1"/>
  <c r="Z10" i="28"/>
  <c r="BE23" i="26"/>
  <c r="BE25" i="26" s="1"/>
  <c r="BE26" i="26" s="1"/>
  <c r="BE44" i="26" s="1"/>
  <c r="CN23" i="26"/>
  <c r="CN25" i="26" s="1"/>
  <c r="CN26" i="26" s="1"/>
  <c r="CN44" i="26" s="1"/>
  <c r="CN45" i="26" s="1"/>
  <c r="CN46" i="26" s="1"/>
  <c r="CN47" i="26" s="1"/>
  <c r="CN48" i="26" s="1"/>
  <c r="F26" i="53" s="1"/>
  <c r="G26" i="53" s="1"/>
  <c r="DM23" i="26"/>
  <c r="DM25" i="26" s="1"/>
  <c r="DM26" i="26" s="1"/>
  <c r="DM44" i="26" s="1"/>
  <c r="AK23" i="26"/>
  <c r="AK25" i="26" s="1"/>
  <c r="AK26" i="26" s="1"/>
  <c r="AK44" i="26" s="1"/>
  <c r="DC23" i="26"/>
  <c r="DC25" i="26" s="1"/>
  <c r="DC26" i="26" s="1"/>
  <c r="DC44" i="26" s="1"/>
  <c r="DC45" i="26" s="1"/>
  <c r="DC46" i="26" s="1"/>
  <c r="DC47" i="26" s="1"/>
  <c r="DC48" i="26" s="1"/>
  <c r="F29" i="53" s="1"/>
  <c r="G29" i="53" s="1"/>
  <c r="AA23" i="26"/>
  <c r="AA25" i="26" s="1"/>
  <c r="AA26" i="26" s="1"/>
  <c r="AA44" i="26" s="1"/>
  <c r="AA45" i="26" s="1"/>
  <c r="AA46" i="26" s="1"/>
  <c r="AA47" i="26" s="1"/>
  <c r="AA48" i="26" s="1"/>
  <c r="F13" i="53" s="1"/>
  <c r="G13" i="53" s="1"/>
  <c r="I8" i="29"/>
  <c r="I9" i="29" s="1"/>
  <c r="I10" i="29" s="1"/>
  <c r="I16" i="29" s="1"/>
  <c r="I17" i="29" s="1"/>
  <c r="I18" i="29" s="1"/>
  <c r="I19" i="29" s="1"/>
  <c r="I20" i="29" s="1"/>
  <c r="F11" i="30"/>
  <c r="DH23" i="26"/>
  <c r="DH25" i="26" s="1"/>
  <c r="DH26" i="26" s="1"/>
  <c r="DH44" i="26" s="1"/>
  <c r="DH45" i="26" s="1"/>
  <c r="DH46" i="26" s="1"/>
  <c r="DH47" i="26" s="1"/>
  <c r="DH48" i="26" s="1"/>
  <c r="F30" i="53" s="1"/>
  <c r="G30" i="53" s="1"/>
  <c r="CS23" i="26"/>
  <c r="CS25" i="26" s="1"/>
  <c r="CS26" i="26" s="1"/>
  <c r="CS44" i="26" s="1"/>
  <c r="CS45" i="26" s="1"/>
  <c r="CS46" i="26" s="1"/>
  <c r="CS47" i="26" s="1"/>
  <c r="CS48" i="26" s="1"/>
  <c r="F27" i="53" s="1"/>
  <c r="G27" i="53" s="1"/>
  <c r="S10" i="28"/>
  <c r="AP23" i="26"/>
  <c r="AP25" i="26" s="1"/>
  <c r="AP26" i="26" s="1"/>
  <c r="AP44" i="26" s="1"/>
  <c r="AP45" i="26" s="1"/>
  <c r="AP46" i="26" s="1"/>
  <c r="F12" i="27"/>
  <c r="F13" i="27" s="1"/>
  <c r="F15" i="27" s="1"/>
  <c r="F27" i="27" s="1"/>
  <c r="AU23" i="26"/>
  <c r="AU25" i="26" s="1"/>
  <c r="AU26" i="26" s="1"/>
  <c r="AU44" i="26" s="1"/>
  <c r="AU45" i="26" s="1"/>
  <c r="AU46" i="26" s="1"/>
  <c r="K12" i="27"/>
  <c r="K13" i="27" s="1"/>
  <c r="K15" i="27" s="1"/>
  <c r="K27" i="27" s="1"/>
  <c r="L10" i="28"/>
  <c r="BY23" i="26"/>
  <c r="BY25" i="26" s="1"/>
  <c r="BY26" i="26" s="1"/>
  <c r="BY44" i="26" s="1"/>
  <c r="BY45" i="26" s="1"/>
  <c r="BY46" i="26" s="1"/>
  <c r="BY47" i="26" s="1"/>
  <c r="BY48" i="26" s="1"/>
  <c r="F23" i="53" s="1"/>
  <c r="G23" i="53" s="1"/>
  <c r="CD23" i="26"/>
  <c r="CD25" i="26" s="1"/>
  <c r="CD26" i="26" s="1"/>
  <c r="CD44" i="26" s="1"/>
  <c r="CD45" i="26" s="1"/>
  <c r="CD46" i="26" s="1"/>
  <c r="CD47" i="26" s="1"/>
  <c r="CD48" i="26" s="1"/>
  <c r="F24" i="53" s="1"/>
  <c r="G24" i="53" s="1"/>
  <c r="M6" i="26"/>
  <c r="M7" i="26" s="1"/>
  <c r="M8" i="26" s="1"/>
  <c r="M10" i="26" s="1"/>
  <c r="AF23" i="26"/>
  <c r="AF25" i="26" s="1"/>
  <c r="AF26" i="26" s="1"/>
  <c r="AF44" i="26" s="1"/>
  <c r="AZ23" i="26"/>
  <c r="AZ25" i="26" s="1"/>
  <c r="AZ26" i="26" s="1"/>
  <c r="AZ44" i="26" s="1"/>
  <c r="AZ45" i="26" s="1"/>
  <c r="AZ46" i="26" s="1"/>
  <c r="AZ47" i="26" s="1"/>
  <c r="AZ48" i="26" s="1"/>
  <c r="F18" i="53" s="1"/>
  <c r="G18" i="53" s="1"/>
  <c r="Q23" i="26"/>
  <c r="DR23" i="26"/>
  <c r="CX23" i="26"/>
  <c r="CX25" i="26" s="1"/>
  <c r="CX26" i="26" s="1"/>
  <c r="CX44" i="26" s="1"/>
  <c r="BO23" i="26"/>
  <c r="BO25" i="26" s="1"/>
  <c r="BO26" i="26" s="1"/>
  <c r="BO44" i="26" s="1"/>
  <c r="BO45" i="26" s="1"/>
  <c r="BO46" i="26" s="1"/>
  <c r="BO47" i="26" s="1"/>
  <c r="BO48" i="26" s="1"/>
  <c r="F21" i="53" s="1"/>
  <c r="G21" i="53" s="1"/>
  <c r="BT23" i="26"/>
  <c r="BT25" i="26" s="1"/>
  <c r="BT26" i="26" s="1"/>
  <c r="BT44" i="26" s="1"/>
  <c r="J15" i="20"/>
  <c r="J17" i="20" s="1"/>
  <c r="V23" i="26"/>
  <c r="V25" i="26" s="1"/>
  <c r="V26" i="26" s="1"/>
  <c r="V44" i="26" s="1"/>
  <c r="L23" i="26"/>
  <c r="L25" i="26" s="1"/>
  <c r="L26" i="26" s="1"/>
  <c r="L44" i="26" s="1"/>
  <c r="L45" i="26" s="1"/>
  <c r="L46" i="26" s="1"/>
  <c r="L47" i="26" s="1"/>
  <c r="L48" i="26" s="1"/>
  <c r="F10" i="53" s="1"/>
  <c r="G10" i="53" s="1"/>
  <c r="K8" i="18"/>
  <c r="K10" i="18" s="1"/>
  <c r="J10" i="18"/>
  <c r="J6" i="20"/>
  <c r="J8" i="20"/>
  <c r="C184" i="5"/>
  <c r="C263" i="5"/>
  <c r="C138" i="5"/>
  <c r="C421" i="5"/>
  <c r="C441" i="5"/>
  <c r="C460" i="5"/>
  <c r="C83" i="5"/>
  <c r="C114" i="5"/>
  <c r="C21" i="5"/>
  <c r="C209" i="5"/>
  <c r="C232" i="5"/>
  <c r="C480" i="5"/>
  <c r="C499" i="5"/>
  <c r="C161" i="5"/>
  <c r="C319" i="5"/>
  <c r="C346" i="5"/>
  <c r="C50" i="5"/>
  <c r="C397" i="5"/>
  <c r="C292" i="5"/>
  <c r="C373" i="5"/>
  <c r="BJ51" i="26" l="1"/>
  <c r="F20" i="53"/>
  <c r="G20" i="53" s="1"/>
  <c r="K21" i="40"/>
  <c r="K22" i="40" s="1"/>
  <c r="K23" i="40" s="1"/>
  <c r="Z11" i="28"/>
  <c r="AB10" i="28"/>
  <c r="S11" i="28"/>
  <c r="U10" i="28"/>
  <c r="L11" i="28"/>
  <c r="J37" i="28" s="1"/>
  <c r="M37" i="28" s="1"/>
  <c r="N10" i="28"/>
  <c r="J23" i="29"/>
  <c r="DC51" i="26"/>
  <c r="CS51" i="26"/>
  <c r="BO51" i="26"/>
  <c r="BY51" i="26"/>
  <c r="CN51" i="26"/>
  <c r="CI51" i="26"/>
  <c r="L51" i="26"/>
  <c r="DH51" i="26"/>
  <c r="G51" i="26"/>
  <c r="CD51" i="26"/>
  <c r="AZ51" i="26"/>
  <c r="AA51" i="26"/>
  <c r="K14" i="39"/>
  <c r="K15" i="39" s="1"/>
  <c r="K21" i="39" s="1"/>
  <c r="K22" i="39" s="1"/>
  <c r="K23" i="39" s="1"/>
  <c r="F20" i="33"/>
  <c r="F21" i="33" s="1"/>
  <c r="J18" i="43"/>
  <c r="J19" i="43" s="1"/>
  <c r="J20" i="43" s="1"/>
  <c r="AJ15" i="37"/>
  <c r="AJ16" i="37" s="1"/>
  <c r="AJ28" i="37" s="1"/>
  <c r="AT16" i="37"/>
  <c r="AT28" i="37" s="1"/>
  <c r="U16" i="37"/>
  <c r="U28" i="37" s="1"/>
  <c r="K15" i="37"/>
  <c r="K27" i="37" s="1"/>
  <c r="I9" i="41"/>
  <c r="I11" i="41" s="1"/>
  <c r="I16" i="41" s="1"/>
  <c r="J80" i="41"/>
  <c r="J81" i="41" s="1"/>
  <c r="J82" i="41" s="1"/>
  <c r="J88" i="41" s="1"/>
  <c r="O9" i="41"/>
  <c r="P80" i="41"/>
  <c r="P81" i="41" s="1"/>
  <c r="P82" i="41" s="1"/>
  <c r="AE28" i="37"/>
  <c r="Z28" i="37"/>
  <c r="Z29" i="37" s="1"/>
  <c r="Z30" i="37" s="1"/>
  <c r="AO28" i="37"/>
  <c r="G31" i="32"/>
  <c r="G32" i="32" s="1"/>
  <c r="G34" i="32" s="1"/>
  <c r="P27" i="37"/>
  <c r="P26" i="35"/>
  <c r="P27" i="35" s="1"/>
  <c r="P28" i="35" s="1"/>
  <c r="F23" i="36"/>
  <c r="F24" i="36" s="1"/>
  <c r="F25" i="36" s="1"/>
  <c r="F26" i="36" s="1"/>
  <c r="F26" i="35"/>
  <c r="F27" i="35" s="1"/>
  <c r="F28" i="35" s="1"/>
  <c r="K26" i="35"/>
  <c r="F31" i="34"/>
  <c r="F32" i="34" s="1"/>
  <c r="F33" i="34" s="1"/>
  <c r="F34" i="34" s="1"/>
  <c r="F4" i="53" s="1"/>
  <c r="G4" i="53" s="1"/>
  <c r="H25" i="31"/>
  <c r="H26" i="31" s="1"/>
  <c r="F12" i="30"/>
  <c r="F13" i="30" s="1"/>
  <c r="F22" i="30" s="1"/>
  <c r="AP47" i="26"/>
  <c r="AP48" i="26" s="1"/>
  <c r="F16" i="53" s="1"/>
  <c r="G16" i="53" s="1"/>
  <c r="I22" i="29"/>
  <c r="H25" i="29"/>
  <c r="I25" i="29" s="1"/>
  <c r="J28" i="29" s="1"/>
  <c r="I21" i="29"/>
  <c r="K28" i="27"/>
  <c r="K29" i="27" s="1"/>
  <c r="K30" i="27" s="1"/>
  <c r="K31" i="27" s="1"/>
  <c r="K32" i="27" s="1"/>
  <c r="F34" i="53" s="1"/>
  <c r="G34" i="53" s="1"/>
  <c r="F28" i="27"/>
  <c r="F29" i="27" s="1"/>
  <c r="F30" i="27" s="1"/>
  <c r="F31" i="27" s="1"/>
  <c r="F32" i="27" s="1"/>
  <c r="AK45" i="26"/>
  <c r="AK46" i="26" s="1"/>
  <c r="Q25" i="26"/>
  <c r="Q26" i="26" s="1"/>
  <c r="Q44" i="26" s="1"/>
  <c r="AF45" i="26"/>
  <c r="AF46" i="26" s="1"/>
  <c r="AF47" i="26" s="1"/>
  <c r="AF48" i="26" s="1"/>
  <c r="F14" i="53" s="1"/>
  <c r="G14" i="53" s="1"/>
  <c r="V45" i="26"/>
  <c r="V46" i="26" s="1"/>
  <c r="V47" i="26" s="1"/>
  <c r="V48" i="26" s="1"/>
  <c r="F12" i="53" s="1"/>
  <c r="G12" i="53" s="1"/>
  <c r="BT45" i="26"/>
  <c r="BT46" i="26" s="1"/>
  <c r="CX45" i="26"/>
  <c r="CX46" i="26" s="1"/>
  <c r="CX47" i="26" s="1"/>
  <c r="CX48" i="26" s="1"/>
  <c r="F28" i="53" s="1"/>
  <c r="G28" i="53" s="1"/>
  <c r="DM45" i="26"/>
  <c r="DM46" i="26" s="1"/>
  <c r="DM47" i="26" s="1"/>
  <c r="DM48" i="26" s="1"/>
  <c r="F31" i="53" s="1"/>
  <c r="G31" i="53" s="1"/>
  <c r="DR25" i="26"/>
  <c r="DR26" i="26" s="1"/>
  <c r="DR44" i="26" s="1"/>
  <c r="BE45" i="26"/>
  <c r="BE46" i="26" s="1"/>
  <c r="BE47" i="26" s="1"/>
  <c r="BE48" i="26" s="1"/>
  <c r="F19" i="53" s="1"/>
  <c r="G19" i="53" s="1"/>
  <c r="AU47" i="26"/>
  <c r="AU48" i="26" s="1"/>
  <c r="F17" i="53" s="1"/>
  <c r="G17" i="53" s="1"/>
  <c r="J10" i="20"/>
  <c r="J11" i="20" s="1"/>
  <c r="J12" i="20" s="1"/>
  <c r="J19" i="20" s="1"/>
  <c r="J32" i="18"/>
  <c r="J28" i="20"/>
  <c r="J29" i="20"/>
  <c r="J30" i="20"/>
  <c r="J31" i="20"/>
  <c r="J27" i="20"/>
  <c r="K11" i="18"/>
  <c r="K12" i="18" s="1"/>
  <c r="K24" i="18" s="1"/>
  <c r="S12" i="28" l="1"/>
  <c r="U11" i="28"/>
  <c r="Z12" i="28"/>
  <c r="AB11" i="28"/>
  <c r="L12" i="28"/>
  <c r="N11" i="28"/>
  <c r="F28" i="36"/>
  <c r="J24" i="29"/>
  <c r="J30" i="29"/>
  <c r="F22" i="33"/>
  <c r="G25" i="33"/>
  <c r="J31" i="29"/>
  <c r="J25" i="29"/>
  <c r="G36" i="32"/>
  <c r="H28" i="31"/>
  <c r="F23" i="33"/>
  <c r="K35" i="27"/>
  <c r="BE51" i="26"/>
  <c r="V51" i="26"/>
  <c r="AF51" i="26"/>
  <c r="CX51" i="26"/>
  <c r="AU51" i="26"/>
  <c r="DM51" i="26"/>
  <c r="AP51" i="26"/>
  <c r="F35" i="27"/>
  <c r="J21" i="43"/>
  <c r="J22" i="43" s="1"/>
  <c r="J23" i="43" s="1"/>
  <c r="F3" i="53" s="1"/>
  <c r="G3" i="53" s="1"/>
  <c r="K24" i="40"/>
  <c r="K25" i="40" s="1"/>
  <c r="K24" i="39"/>
  <c r="K26" i="39" s="1"/>
  <c r="D6" i="39" s="1"/>
  <c r="E6" i="39" s="1"/>
  <c r="O11" i="41"/>
  <c r="O16" i="41" s="1"/>
  <c r="O84" i="41"/>
  <c r="P88" i="41"/>
  <c r="J89" i="41"/>
  <c r="J91" i="41" s="1"/>
  <c r="J92" i="41" s="1"/>
  <c r="J94" i="41" s="1"/>
  <c r="I17" i="41"/>
  <c r="AE29" i="37"/>
  <c r="AE30" i="37" s="1"/>
  <c r="AO29" i="37"/>
  <c r="AO30" i="37" s="1"/>
  <c r="K28" i="37"/>
  <c r="K29" i="37" s="1"/>
  <c r="Z31" i="37"/>
  <c r="Z33" i="37" s="1"/>
  <c r="D20" i="37" s="1"/>
  <c r="AT29" i="37"/>
  <c r="AT30" i="37" s="1"/>
  <c r="AJ29" i="37"/>
  <c r="AJ30" i="37" s="1"/>
  <c r="U29" i="37"/>
  <c r="U30" i="37" s="1"/>
  <c r="P28" i="37"/>
  <c r="P29" i="37" s="1"/>
  <c r="P29" i="35"/>
  <c r="P30" i="35" s="1"/>
  <c r="K27" i="35"/>
  <c r="K28" i="35" s="1"/>
  <c r="F29" i="35"/>
  <c r="F30" i="35" s="1"/>
  <c r="E39" i="34"/>
  <c r="F39" i="34" s="1"/>
  <c r="F36" i="34"/>
  <c r="F6" i="53" s="1"/>
  <c r="G6" i="53" s="1"/>
  <c r="F35" i="34"/>
  <c r="F5" i="53" s="1"/>
  <c r="G5" i="53" s="1"/>
  <c r="F37" i="34"/>
  <c r="BT47" i="26"/>
  <c r="BT48" i="26" s="1"/>
  <c r="F22" i="53" s="1"/>
  <c r="G22" i="53" s="1"/>
  <c r="F23" i="30"/>
  <c r="F24" i="30" s="1"/>
  <c r="AK47" i="26"/>
  <c r="AK48" i="26" s="1"/>
  <c r="F15" i="53" s="1"/>
  <c r="G15" i="53" s="1"/>
  <c r="DR45" i="26"/>
  <c r="DR46" i="26" s="1"/>
  <c r="DR47" i="26" s="1"/>
  <c r="DR48" i="26" s="1"/>
  <c r="F32" i="53" s="1"/>
  <c r="G32" i="53" s="1"/>
  <c r="Q45" i="26"/>
  <c r="Q46" i="26" s="1"/>
  <c r="Q47" i="26" s="1"/>
  <c r="Q48" i="26" s="1"/>
  <c r="F11" i="53" s="1"/>
  <c r="G11" i="53" s="1"/>
  <c r="J20" i="20"/>
  <c r="J21" i="20" s="1"/>
  <c r="K25" i="18"/>
  <c r="K26" i="18" s="1"/>
  <c r="K27" i="18" s="1"/>
  <c r="K28" i="18" s="1"/>
  <c r="D6" i="40" l="1"/>
  <c r="E6" i="40" s="1"/>
  <c r="E20" i="37"/>
  <c r="I18" i="41"/>
  <c r="I19" i="41" s="1"/>
  <c r="I20" i="41" s="1"/>
  <c r="Z19" i="28"/>
  <c r="AB12" i="28"/>
  <c r="S19" i="28"/>
  <c r="U12" i="28"/>
  <c r="L19" i="28"/>
  <c r="N12" i="28"/>
  <c r="J25" i="43"/>
  <c r="G26" i="33"/>
  <c r="G27" i="33"/>
  <c r="E41" i="34"/>
  <c r="F41" i="34" s="1"/>
  <c r="E40" i="34"/>
  <c r="F40" i="34" s="1"/>
  <c r="P32" i="35"/>
  <c r="F32" i="35"/>
  <c r="E42" i="34"/>
  <c r="F42" i="34" s="1"/>
  <c r="BT51" i="26"/>
  <c r="DR51" i="26"/>
  <c r="Q51" i="26"/>
  <c r="AK51" i="26"/>
  <c r="U31" i="37"/>
  <c r="U33" i="37" s="1"/>
  <c r="D19" i="37" s="1"/>
  <c r="AT31" i="37"/>
  <c r="AT33" i="37" s="1"/>
  <c r="D24" i="37" s="1"/>
  <c r="P30" i="37"/>
  <c r="P32" i="37" s="1"/>
  <c r="D18" i="37" s="1"/>
  <c r="K30" i="37"/>
  <c r="K32" i="37" s="1"/>
  <c r="D17" i="37" s="1"/>
  <c r="AE31" i="37"/>
  <c r="AE33" i="37" s="1"/>
  <c r="D21" i="37" s="1"/>
  <c r="AJ31" i="37"/>
  <c r="AJ33" i="37" s="1"/>
  <c r="D22" i="37" s="1"/>
  <c r="AO31" i="37"/>
  <c r="AO33" i="37" s="1"/>
  <c r="D23" i="37" s="1"/>
  <c r="O17" i="41"/>
  <c r="P89" i="41"/>
  <c r="P91" i="41" s="1"/>
  <c r="P92" i="41" s="1"/>
  <c r="P94" i="41" s="1"/>
  <c r="K29" i="35"/>
  <c r="K30" i="35" s="1"/>
  <c r="F25" i="30"/>
  <c r="F26" i="30" s="1"/>
  <c r="F27" i="30" s="1"/>
  <c r="D4" i="18"/>
  <c r="J22" i="20"/>
  <c r="J23" i="20" s="1"/>
  <c r="E4" i="18" l="1"/>
  <c r="E22" i="37"/>
  <c r="E21" i="37"/>
  <c r="E18" i="37"/>
  <c r="E23" i="37"/>
  <c r="E17" i="37"/>
  <c r="E24" i="37"/>
  <c r="E19" i="37"/>
  <c r="I23" i="41"/>
  <c r="I21" i="41"/>
  <c r="O18" i="41"/>
  <c r="O19" i="41" s="1"/>
  <c r="O20" i="41" s="1"/>
  <c r="U19" i="28"/>
  <c r="S20" i="28"/>
  <c r="Z20" i="28"/>
  <c r="AB19" i="28"/>
  <c r="N19" i="28"/>
  <c r="L20" i="28"/>
  <c r="F29" i="30"/>
  <c r="K32" i="35"/>
  <c r="F33" i="30"/>
  <c r="F34" i="30" s="1"/>
  <c r="F36" i="30" s="1"/>
  <c r="D4" i="20"/>
  <c r="E4" i="20" s="1"/>
  <c r="O23" i="41" l="1"/>
  <c r="O21" i="41"/>
  <c r="Z21" i="28"/>
  <c r="AB20" i="28"/>
  <c r="S21" i="28"/>
  <c r="U20" i="28"/>
  <c r="L21" i="28"/>
  <c r="J39" i="28" s="1"/>
  <c r="M39" i="28" s="1"/>
  <c r="N20" i="28"/>
  <c r="F37" i="30"/>
  <c r="S22" i="28" l="1"/>
  <c r="U21" i="28"/>
  <c r="Z22" i="28"/>
  <c r="AB21" i="28"/>
  <c r="L22" i="28"/>
  <c r="N21" i="28"/>
  <c r="Z23" i="28" l="1"/>
  <c r="AB22" i="28"/>
  <c r="S23" i="28"/>
  <c r="U22" i="28"/>
  <c r="L23" i="28"/>
  <c r="N22" i="28"/>
  <c r="S24" i="28" l="1"/>
  <c r="U23" i="28"/>
  <c r="Z24" i="28"/>
  <c r="AB23" i="28"/>
  <c r="L24" i="28"/>
  <c r="N23" i="28"/>
  <c r="AB24" i="28" l="1"/>
  <c r="Z27" i="28"/>
  <c r="U24" i="28"/>
  <c r="S27" i="28"/>
  <c r="N24" i="28"/>
  <c r="L27"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78B3EDC1-B6D0-4B5B-8DC5-523C4283FD00}">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tc={B49250C1-9257-40E2-A7D6-4EB228112103}</author>
    <author>tc={F64B0D3C-B301-43B5-B471-978524DC41AE}</author>
    <author>Solimini, Kara (EHS)</author>
  </authors>
  <commentList>
    <comment ref="C27" authorId="0" shapeId="0" xr:uid="{B49250C1-9257-40E2-A7D6-4EB228112103}">
      <text>
        <t>[Threaded comment]
Your version of Excel allows you to read this threaded comment; however, any edits to it will get removed if the file is opened in a newer version of Excel. Learn more: https://go.microsoft.com/fwlink/?linkid=870924
Comment:
    $46.22 May 2024 @ 53rd</t>
      </text>
    </comment>
    <comment ref="C29" authorId="1" shapeId="0" xr:uid="{F64B0D3C-B301-43B5-B471-978524DC41AE}">
      <text>
        <t>[Threaded comment]
Your version of Excel allows you to read this threaded comment; however, any edits to it will get removed if the file is opened in a newer version of Excel. Learn more: https://go.microsoft.com/fwlink/?linkid=870924
Comment:
    $40.83 May 2024 @ 53rd</t>
      </text>
    </comment>
    <comment ref="B46" authorId="2" shapeId="0" xr:uid="{BFEFF163-A137-4A86-BC4F-69FEA5D8CDE5}">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kara</author>
  </authors>
  <commentList>
    <comment ref="F3" authorId="0" shapeId="0" xr:uid="{223B7351-13EE-4197-B4DD-883C0ED8A142}">
      <text>
        <r>
          <rPr>
            <b/>
            <sz val="9"/>
            <color indexed="81"/>
            <rFont val="Tahoma"/>
            <family val="2"/>
          </rPr>
          <t>kara:</t>
        </r>
        <r>
          <rPr>
            <sz val="9"/>
            <color indexed="81"/>
            <rFont val="Tahoma"/>
            <family val="2"/>
          </rPr>
          <t xml:space="preserve">
# of checks for FY19 based on MCB (3 contracts) is 507
</t>
        </r>
      </text>
    </comment>
  </commentList>
</comments>
</file>

<file path=xl/sharedStrings.xml><?xml version="1.0" encoding="utf-8"?>
<sst xmlns="http://schemas.openxmlformats.org/spreadsheetml/2006/main" count="3850" uniqueCount="877">
  <si>
    <t>NURSING BLEND</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</si>
  <si>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</si>
  <si>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t>
  </si>
  <si>
    <t>Figures with a single asterisk utilize the May 2021 BLS / OEWS information at 53rd percentile because the exact same information for May 2022 indicates a decrease at the 53rd percentile</t>
  </si>
  <si>
    <t>*</t>
  </si>
  <si>
    <t>Important Notes</t>
  </si>
  <si>
    <t>M2022 BLS 50/50 Blend Cl. Mgr &amp; LICSW</t>
  </si>
  <si>
    <t>Doctorate Level</t>
  </si>
  <si>
    <t>M2022 BLS  Occ Code 49-0000 and 49-9071 (average)</t>
  </si>
  <si>
    <t>Maintenence III</t>
  </si>
  <si>
    <t>M2022 BLS  Occ Code 49-9099</t>
  </si>
  <si>
    <t>Maintenence II</t>
  </si>
  <si>
    <t>M2022 BLS  Occ Code 37-0000</t>
  </si>
  <si>
    <t>Maintenence I</t>
  </si>
  <si>
    <t>Benchmarked to Direct Care III</t>
  </si>
  <si>
    <t>Food Service III</t>
  </si>
  <si>
    <t>Average of benchmarks Direct Care and Direct Care III</t>
  </si>
  <si>
    <t>Food Service II</t>
  </si>
  <si>
    <t>Benchmarked to Direct Care</t>
  </si>
  <si>
    <t>Food Service I</t>
  </si>
  <si>
    <t>M2022 BLS  Occ Code 29-1071</t>
  </si>
  <si>
    <t>Physician Assistants</t>
  </si>
  <si>
    <t>M2022 BLS  (29-1222 Physicians) National Annual Mean</t>
  </si>
  <si>
    <t>Medical Director</t>
  </si>
  <si>
    <t>M2021 BLS  NAICS 623200 (Nat'l)   Intellectual and Developmental Disability,   Residential, Mental Health, and Substance Abuse Facilities</t>
  </si>
  <si>
    <t>Psychiatrist *</t>
  </si>
  <si>
    <t>Misc. BLS benchmarks</t>
  </si>
  <si>
    <t>C.257 Benchmark</t>
  </si>
  <si>
    <t>Admin Allocation</t>
  </si>
  <si>
    <t xml:space="preserve">Terminal leave, and  retirement.  Does include Paid Family Medical Leave tax.
Includes and additional 2% to be used at providers descretion for retirement and/or other benefits
</t>
  </si>
  <si>
    <t>% of FTE:</t>
  </si>
  <si>
    <t xml:space="preserve">Benchmarked to FY23 (approved) Commonwealth (office of the Comptroller) T&amp;F rate, less </t>
  </si>
  <si>
    <t xml:space="preserve">Tax and Fringe =  </t>
  </si>
  <si>
    <t>Total Hours per FTE:</t>
  </si>
  <si>
    <t>training</t>
  </si>
  <si>
    <r>
      <t xml:space="preserve">Clerical, Support &amp; Direct Care Relief Staff are benched to Direct Care </t>
    </r>
    <r>
      <rPr>
        <b/>
        <i/>
        <sz val="20"/>
        <color theme="1"/>
        <rFont val="Calibri"/>
        <family val="2"/>
        <scheme val="minor"/>
      </rPr>
      <t>**</t>
    </r>
  </si>
  <si>
    <t>holidays</t>
  </si>
  <si>
    <t>sick/ personal</t>
  </si>
  <si>
    <t>Registered Nurse (MA / APRN) (annual)</t>
  </si>
  <si>
    <t>vacation</t>
  </si>
  <si>
    <t>29-1171</t>
  </si>
  <si>
    <t>Minimum of a Masters of Science in one of the APRN roles. Must be licensed</t>
  </si>
  <si>
    <t>Registerd Nurse (MA / APRN) (hourly)</t>
  </si>
  <si>
    <t>Hours</t>
  </si>
  <si>
    <t>Days</t>
  </si>
  <si>
    <t>Registered Nurse (BA) (annual)</t>
  </si>
  <si>
    <t>Model</t>
  </si>
  <si>
    <t>Relief Assumptions:</t>
  </si>
  <si>
    <t>29-1141</t>
  </si>
  <si>
    <t>Minimum of an associates degree in nursing, a diploma from an approved nursing program, or a Bachelors of Science in Nursing</t>
  </si>
  <si>
    <t>Registerd Nurse (BA) (hourly)</t>
  </si>
  <si>
    <t>Speech Language Pathologists (annual) *</t>
  </si>
  <si>
    <r>
      <rPr>
        <b/>
        <sz val="20"/>
        <color rgb="FFFF0000"/>
        <rFont val="Calibri"/>
        <family val="2"/>
        <scheme val="minor"/>
      </rPr>
      <t>*PLEASE SEE NOTE BELOW</t>
    </r>
    <r>
      <rPr>
        <sz val="20"/>
        <color theme="1"/>
        <rFont val="Calibri"/>
        <family val="2"/>
        <scheme val="minor"/>
      </rPr>
      <t xml:space="preserve">
29-1129, 29-1127</t>
    </r>
  </si>
  <si>
    <t>Masters Level</t>
  </si>
  <si>
    <t>Speech Language Pathologists (hourly) *</t>
  </si>
  <si>
    <t>Clinical Manager /  Psychologists  (annual)</t>
  </si>
  <si>
    <t>19-3033, 19-3034</t>
  </si>
  <si>
    <t>Masters with Licensure in Related Discipline and supervising/managerial related experience</t>
  </si>
  <si>
    <t>Clinical Manager, Clinical Director</t>
  </si>
  <si>
    <t>Clinical Manager / Psychologists (hourly)</t>
  </si>
  <si>
    <t>Physical Therapist (annual)</t>
  </si>
  <si>
    <t>29-1129, 31-2021, 29-1123  (20%/20%/60%)</t>
  </si>
  <si>
    <t>Physical Therapists</t>
  </si>
  <si>
    <t>Physical Therapist (hourly)</t>
  </si>
  <si>
    <t>Occupational Therapist (annual) *</t>
  </si>
  <si>
    <r>
      <rPr>
        <b/>
        <sz val="20"/>
        <color rgb="FFFF0000"/>
        <rFont val="Calibri"/>
        <family val="2"/>
        <scheme val="minor"/>
      </rPr>
      <t>*PLEASE SEE NOTE BELOW</t>
    </r>
    <r>
      <rPr>
        <sz val="20"/>
        <color theme="1"/>
        <rFont val="Calibri"/>
        <family val="2"/>
        <scheme val="minor"/>
      </rPr>
      <t xml:space="preserve">
29-1129, 31-2011, 29-1122 (25%/25%/50%)</t>
    </r>
  </si>
  <si>
    <t>Occupational Therapists</t>
  </si>
  <si>
    <t>Occupational Therapist (hourly) *</t>
  </si>
  <si>
    <t>Program director</t>
  </si>
  <si>
    <t>Program Management (annual)</t>
  </si>
  <si>
    <t>11-9151</t>
  </si>
  <si>
    <t>BA Level w/ 3+ years related work experience</t>
  </si>
  <si>
    <t xml:space="preserve">Program manager, Program management, </t>
  </si>
  <si>
    <t>Program Management (hourly)</t>
  </si>
  <si>
    <t>Dietician / Nutritionist (annual)</t>
  </si>
  <si>
    <t>29-1031</t>
  </si>
  <si>
    <t xml:space="preserve">Bachelors Level </t>
  </si>
  <si>
    <t>Dietician / Nutritionist (hourly)</t>
  </si>
  <si>
    <t>Clinical w/ Independent licensure (annual)</t>
  </si>
  <si>
    <t>19-3033, 21-1021, 21-1022, 19-3034</t>
  </si>
  <si>
    <t xml:space="preserve">Masters with Licensure in Related Discipline </t>
  </si>
  <si>
    <t>LPHA, LICSW, LMHC, LBHA, BCBA</t>
  </si>
  <si>
    <t>Clinical w/ Independent licensure (hourly)</t>
  </si>
  <si>
    <t>Assistant Manager</t>
  </si>
  <si>
    <t>LPN (annual)</t>
  </si>
  <si>
    <t>29-2061</t>
  </si>
  <si>
    <t>Complete a state approved nurse education program for licensed practical or licensed vocation nurse</t>
  </si>
  <si>
    <t>LPN (hourly)</t>
  </si>
  <si>
    <t>Clinical without Independent Licensure</t>
  </si>
  <si>
    <t>Case Manager / Social Worker / Clinical w/o independent License</t>
  </si>
  <si>
    <t>21-1021, 21-1019, 21-1022, 21-1029</t>
  </si>
  <si>
    <t>LDAC2,  LMSW, LCSW</t>
  </si>
  <si>
    <t>Case Manager / Social Worker / Clinical w/o independent License (hourly)</t>
  </si>
  <si>
    <t>LDAC1</t>
  </si>
  <si>
    <t>Case / Social Worker (annual)</t>
  </si>
  <si>
    <t>21-1021, 21-1099</t>
  </si>
  <si>
    <t>Bachelors Level or 8+ years related experience</t>
  </si>
  <si>
    <t>BA level social worker, LSW, BSW</t>
  </si>
  <si>
    <t xml:space="preserve">Case / Social Worker (hourly) </t>
  </si>
  <si>
    <t>Certified Nursing Assistant  (annual)</t>
  </si>
  <si>
    <t>31-1131</t>
  </si>
  <si>
    <t>Completed a state-approved education program and must pass their state’s competency exam. </t>
  </si>
  <si>
    <t>Certified Nursing Assistant  (hourly)</t>
  </si>
  <si>
    <t>Developmental Specialist,  Triage Specialist, Medical Assistant</t>
  </si>
  <si>
    <t>Direct Care III (annual)</t>
  </si>
  <si>
    <t>21-1094, 21-1015, 21-1018, 21-1023, 39-1022</t>
  </si>
  <si>
    <t>Bachelors Level or 5+ years related experience</t>
  </si>
  <si>
    <t>Direct Care Supervisor, Direct Care Bachelors</t>
  </si>
  <si>
    <t>Direct Care III (hourly)</t>
  </si>
  <si>
    <t>Direct Care  (annual)</t>
  </si>
  <si>
    <r>
      <rPr>
        <b/>
        <sz val="20"/>
        <color rgb="FFFF0000"/>
        <rFont val="Calibri"/>
        <family val="2"/>
        <scheme val="minor"/>
      </rPr>
      <t>**PLEASE SEE NOTE BELOW</t>
    </r>
    <r>
      <rPr>
        <sz val="20"/>
        <color theme="1"/>
        <rFont val="Calibri"/>
        <family val="2"/>
        <scheme val="minor"/>
      </rPr>
      <t xml:space="preserve">
21-1093, 31-1120, 31-2022, 31-9099</t>
    </r>
  </si>
  <si>
    <t>High School diploma / GED / State Training</t>
  </si>
  <si>
    <t>Direct Care, Direct Care Blend, Non Specialized DC, Peer mentor, Family Specialist/ Partner</t>
  </si>
  <si>
    <t>Direct Care (hourly)</t>
  </si>
  <si>
    <t>BLS Occupational Code(s)</t>
  </si>
  <si>
    <t>Minimum Education and/or certification/Training/Experience</t>
  </si>
  <si>
    <t>Common model titles (not all inclusive)</t>
  </si>
  <si>
    <t>53 Percentile</t>
  </si>
  <si>
    <t>Position</t>
  </si>
  <si>
    <t>BLS / OES</t>
  </si>
  <si>
    <t>Source:</t>
  </si>
  <si>
    <t>CAF:</t>
  </si>
  <si>
    <t>2025Q4</t>
  </si>
  <si>
    <t>2025Q3</t>
  </si>
  <si>
    <t>2025Q2</t>
  </si>
  <si>
    <t>2025Q1</t>
  </si>
  <si>
    <t>2024Q4</t>
  </si>
  <si>
    <t>2024Q3</t>
  </si>
  <si>
    <t>2024Q2</t>
  </si>
  <si>
    <t>2024Q1</t>
  </si>
  <si>
    <t>January 1, 2024 - December 31, 2025</t>
  </si>
  <si>
    <t xml:space="preserve">Prospective rate period: </t>
  </si>
  <si>
    <t>Average</t>
  </si>
  <si>
    <t>FY24</t>
  </si>
  <si>
    <t xml:space="preserve">Base period: </t>
  </si>
  <si>
    <t>Assumption for new rates that are to be promulgated January 2024</t>
  </si>
  <si>
    <t>New Rates</t>
  </si>
  <si>
    <t>CPIPESSMA</t>
  </si>
  <si>
    <t>CPI--PESSIMISTIC SCENARIO (1982-84=1)</t>
  </si>
  <si>
    <t>CPIOPTMA</t>
  </si>
  <si>
    <t>CPI--OPTIMISTIC SCENARIO (1982-84=1)</t>
  </si>
  <si>
    <t>CPIBASEMA</t>
  </si>
  <si>
    <t>CPI--BASELINE SCENARIO (1982-84=1)</t>
  </si>
  <si>
    <t>2028Q4</t>
  </si>
  <si>
    <t>2028Q3</t>
  </si>
  <si>
    <t>2028Q2</t>
  </si>
  <si>
    <t>2028Q1</t>
  </si>
  <si>
    <t>2027Q4</t>
  </si>
  <si>
    <t>2027Q3</t>
  </si>
  <si>
    <t>2027Q2</t>
  </si>
  <si>
    <t>2027Q1</t>
  </si>
  <si>
    <t>2026Q4</t>
  </si>
  <si>
    <t>2026Q3</t>
  </si>
  <si>
    <t>2026Q2</t>
  </si>
  <si>
    <t>2026Q1</t>
  </si>
  <si>
    <t>2023Q4</t>
  </si>
  <si>
    <t>2023Q3</t>
  </si>
  <si>
    <t>2023Q2</t>
  </si>
  <si>
    <t>2023Q1</t>
  </si>
  <si>
    <t>2022Q4</t>
  </si>
  <si>
    <t>2022Q3</t>
  </si>
  <si>
    <t>2022Q2</t>
  </si>
  <si>
    <t>2022Q1</t>
  </si>
  <si>
    <t>2021Q4</t>
  </si>
  <si>
    <t>2021Q3</t>
  </si>
  <si>
    <t>2021Q2</t>
  </si>
  <si>
    <t>2021Q1</t>
  </si>
  <si>
    <t>2020Q4</t>
  </si>
  <si>
    <t>2020Q3</t>
  </si>
  <si>
    <t>2020Q2</t>
  </si>
  <si>
    <t>2020Q1</t>
  </si>
  <si>
    <t>2019Q4</t>
  </si>
  <si>
    <t>2019Q3</t>
  </si>
  <si>
    <t>2019Q2</t>
  </si>
  <si>
    <t>2019Q1</t>
  </si>
  <si>
    <t>2018Q4</t>
  </si>
  <si>
    <t>2018Q3</t>
  </si>
  <si>
    <t>2018Q2</t>
  </si>
  <si>
    <t>2018Q1</t>
  </si>
  <si>
    <t>2017Q4</t>
  </si>
  <si>
    <t>2017Q3</t>
  </si>
  <si>
    <t>2017Q2</t>
  </si>
  <si>
    <t>2017Q1</t>
  </si>
  <si>
    <t>2016Q4</t>
  </si>
  <si>
    <t>2016Q3</t>
  </si>
  <si>
    <t>2016Q2</t>
  </si>
  <si>
    <t>2016Q1</t>
  </si>
  <si>
    <t>2015Q4</t>
  </si>
  <si>
    <t>2015Q3</t>
  </si>
  <si>
    <t>2015Q2</t>
  </si>
  <si>
    <t>2015Q1</t>
  </si>
  <si>
    <t>2014Q4</t>
  </si>
  <si>
    <t>2014Q3</t>
  </si>
  <si>
    <t>2014Q2</t>
  </si>
  <si>
    <t>2014Q1</t>
  </si>
  <si>
    <t>2013Q4</t>
  </si>
  <si>
    <t>2013Q3</t>
  </si>
  <si>
    <t>2013Q2</t>
  </si>
  <si>
    <t>2013Q1</t>
  </si>
  <si>
    <t>2012Q4</t>
  </si>
  <si>
    <t>2012Q3</t>
  </si>
  <si>
    <t>2012Q2</t>
  </si>
  <si>
    <t>2012Q1</t>
  </si>
  <si>
    <t>2011Q4</t>
  </si>
  <si>
    <t>2011Q3</t>
  </si>
  <si>
    <t>2011Q2</t>
  </si>
  <si>
    <t>2011Q1</t>
  </si>
  <si>
    <t>2010Q4</t>
  </si>
  <si>
    <t>2010Q3</t>
  </si>
  <si>
    <t>2010Q2</t>
  </si>
  <si>
    <t>2010Q1</t>
  </si>
  <si>
    <t>2009Q4</t>
  </si>
  <si>
    <t>2009Q3</t>
  </si>
  <si>
    <t>2009Q2</t>
  </si>
  <si>
    <t>2009Q1</t>
  </si>
  <si>
    <t>2008Q4</t>
  </si>
  <si>
    <t>2008Q3</t>
  </si>
  <si>
    <t>2008Q2</t>
  </si>
  <si>
    <t>2008Q1</t>
  </si>
  <si>
    <t>2007Q4</t>
  </si>
  <si>
    <t>2007Q3</t>
  </si>
  <si>
    <t>2007Q2</t>
  </si>
  <si>
    <t>2007Q1</t>
  </si>
  <si>
    <t>2006Q4</t>
  </si>
  <si>
    <t>2006Q3</t>
  </si>
  <si>
    <t>2006Q2</t>
  </si>
  <si>
    <t>2006Q1</t>
  </si>
  <si>
    <t>2005Q4</t>
  </si>
  <si>
    <t>2005Q3</t>
  </si>
  <si>
    <t>2005Q2</t>
  </si>
  <si>
    <t>2005Q1</t>
  </si>
  <si>
    <t>2004Q4</t>
  </si>
  <si>
    <t>2004Q3</t>
  </si>
  <si>
    <t>2004Q2</t>
  </si>
  <si>
    <t>2004Q1</t>
  </si>
  <si>
    <t>NAME</t>
  </si>
  <si>
    <t>FY26</t>
  </si>
  <si>
    <t>FY25</t>
  </si>
  <si>
    <t>FY23</t>
  </si>
  <si>
    <t>FY21</t>
  </si>
  <si>
    <t>Prepared by Michael Lynch, 781-301-9129</t>
  </si>
  <si>
    <t>S&amp;P Global Market Intelligence, Spring 2023 Forecast</t>
  </si>
  <si>
    <t>Massachusetts Economic Indicators</t>
  </si>
  <si>
    <t xml:space="preserve">Enrolled day </t>
  </si>
  <si>
    <t>Session</t>
  </si>
  <si>
    <t>15 minutes</t>
  </si>
  <si>
    <t>Family Navigation</t>
  </si>
  <si>
    <t>Enrolled day</t>
  </si>
  <si>
    <t>Transaction</t>
  </si>
  <si>
    <t>Month</t>
  </si>
  <si>
    <t>Medically Complex Programs</t>
  </si>
  <si>
    <t>Intensive Flexible Family Support Services</t>
  </si>
  <si>
    <t>Autism Support Center/Family Support Center</t>
  </si>
  <si>
    <t>Peer Support Group of 5</t>
  </si>
  <si>
    <t>Peer Support Group of 2</t>
  </si>
  <si>
    <t>Peer Support</t>
  </si>
  <si>
    <t>Day</t>
  </si>
  <si>
    <t>Behavioral Support Services PhD</t>
  </si>
  <si>
    <t>Behavioral Support Services Master’s</t>
  </si>
  <si>
    <t>Behavioral Support Services Bachelor's</t>
  </si>
  <si>
    <t>Family Training Group of 5</t>
  </si>
  <si>
    <t>Family Training Group of 2</t>
  </si>
  <si>
    <t>Family Training</t>
  </si>
  <si>
    <t>Adult Companion</t>
  </si>
  <si>
    <t>Respite in Recipient’s Home</t>
  </si>
  <si>
    <t>Current Rate</t>
  </si>
  <si>
    <t>Unit of Service</t>
  </si>
  <si>
    <t>Center Size</t>
  </si>
  <si>
    <t>Prospective rate period: 1/1/24-12/31/25</t>
  </si>
  <si>
    <t>Spring 2023 CAF</t>
  </si>
  <si>
    <t>MA EOHHS C. 257 Benchmark</t>
  </si>
  <si>
    <t>weighted average</t>
  </si>
  <si>
    <t>average</t>
  </si>
  <si>
    <t>Admin Alloc. FY20 Data</t>
  </si>
  <si>
    <t>T &amp; F FY22 Data</t>
  </si>
  <si>
    <t>Flex Spending</t>
  </si>
  <si>
    <t>Specialty Consulations</t>
  </si>
  <si>
    <t>Non Staff Direct Exp.</t>
  </si>
  <si>
    <t>Stipend - Level 3</t>
  </si>
  <si>
    <t>*Are these new stipend levels ok?</t>
  </si>
  <si>
    <t>Stipend - Level 2</t>
  </si>
  <si>
    <t>stipend to dc salary % increase applied</t>
  </si>
  <si>
    <t xml:space="preserve">Stipend - Level 1 </t>
  </si>
  <si>
    <t xml:space="preserve">Flex Spending </t>
  </si>
  <si>
    <t>Total Other Program Expense per FTE</t>
  </si>
  <si>
    <t>36E</t>
  </si>
  <si>
    <t>Other Expense</t>
  </si>
  <si>
    <t>35E</t>
  </si>
  <si>
    <t>Program Supplies &amp; Materials 215</t>
  </si>
  <si>
    <t>33E</t>
  </si>
  <si>
    <t>Other Commercial Prod. &amp; Svs. 214</t>
  </si>
  <si>
    <t>32E</t>
  </si>
  <si>
    <t>Direct Client Wages 214</t>
  </si>
  <si>
    <t>31E</t>
  </si>
  <si>
    <t>Provision Material Goods/Svs./Benefits 212</t>
  </si>
  <si>
    <t>30E</t>
  </si>
  <si>
    <t>Client Personal Allowances 211</t>
  </si>
  <si>
    <t>29E</t>
  </si>
  <si>
    <t>Incidental Medical /Medicine/Pharmacy 209</t>
  </si>
  <si>
    <t>28E</t>
  </si>
  <si>
    <t>Vehicle Depreciation 208</t>
  </si>
  <si>
    <t>27E</t>
  </si>
  <si>
    <t>Vehicle Expenses 208</t>
  </si>
  <si>
    <t>26E</t>
  </si>
  <si>
    <t>Client Transportation 208</t>
  </si>
  <si>
    <t>25E</t>
  </si>
  <si>
    <t>Meals 207</t>
  </si>
  <si>
    <t>24E</t>
  </si>
  <si>
    <t>Staff Mileage / Travel 205</t>
  </si>
  <si>
    <t>23E</t>
  </si>
  <si>
    <t>Staff Training 204</t>
  </si>
  <si>
    <t>22E</t>
  </si>
  <si>
    <t>Stipends</t>
  </si>
  <si>
    <t>20E</t>
  </si>
  <si>
    <t>Total Occupancy</t>
  </si>
  <si>
    <t>17E</t>
  </si>
  <si>
    <t>FY22 Wt Avg</t>
  </si>
  <si>
    <t>Current (FY20 Wt Avg)</t>
  </si>
  <si>
    <t>Non-Salary Expense</t>
  </si>
  <si>
    <t>Below the Line</t>
  </si>
  <si>
    <t>Admin. Allocation</t>
  </si>
  <si>
    <t>CAF Rate</t>
  </si>
  <si>
    <t>Taxes &amp; Fringe</t>
  </si>
  <si>
    <t>FY22 UFR Wtg Avg Data</t>
  </si>
  <si>
    <t>Source</t>
  </si>
  <si>
    <t>Amount</t>
  </si>
  <si>
    <t>Non-Salary Expenses</t>
  </si>
  <si>
    <t>Direct Care</t>
  </si>
  <si>
    <t>Clerical Support</t>
  </si>
  <si>
    <t>Program Management</t>
  </si>
  <si>
    <t>Management</t>
  </si>
  <si>
    <t>Salary</t>
  </si>
  <si>
    <t>Benchmark Title</t>
  </si>
  <si>
    <t>Functional Title</t>
  </si>
  <si>
    <t>FTE</t>
  </si>
  <si>
    <t>SALARY</t>
  </si>
  <si>
    <t>TITLE</t>
  </si>
  <si>
    <t>Adolescent Support Network Model</t>
  </si>
  <si>
    <t>FY22 UFR Wtg Avg (23E,25E,26E,27E)</t>
  </si>
  <si>
    <t>Transportation</t>
  </si>
  <si>
    <t>Direct Care III</t>
  </si>
  <si>
    <t>IFC Staff</t>
  </si>
  <si>
    <t>Case Worker</t>
  </si>
  <si>
    <t>Unbundled IFC Special Supports</t>
  </si>
  <si>
    <t>Direct Care Staffing</t>
  </si>
  <si>
    <t>Case Manager</t>
  </si>
  <si>
    <t>Parent Skill Development Group</t>
  </si>
  <si>
    <t>Family Skills Development Group</t>
  </si>
  <si>
    <t>Capacity</t>
  </si>
  <si>
    <t>Specialty Family Skills Development Group</t>
  </si>
  <si>
    <t>Program Support</t>
  </si>
  <si>
    <t>Case manager</t>
  </si>
  <si>
    <t>Education Coordinator</t>
  </si>
  <si>
    <t>Ratio</t>
  </si>
  <si>
    <t>Educational Coordinator ("Treehouse")</t>
  </si>
  <si>
    <t>Program Support-Clerical</t>
  </si>
  <si>
    <t>Clinical w/ Independent licensure</t>
  </si>
  <si>
    <t>Clinical</t>
  </si>
  <si>
    <t>Model G Direct Care and Clinical Higher Intensive</t>
  </si>
  <si>
    <t>Model F Direct Care and Clinical Highest Intensive</t>
  </si>
  <si>
    <t>Model E Direct Care and Clinical High Intensive</t>
  </si>
  <si>
    <t>Model D Clinical</t>
  </si>
  <si>
    <t>Model C Direct Care and Clinical More Intensive</t>
  </si>
  <si>
    <t>Model B Direct Care and Clinical Less Intensive</t>
  </si>
  <si>
    <t>Model A-2 Direct Care Non Clinical More Intensive</t>
  </si>
  <si>
    <t>Model A-1 Direct Care Non Clinical Less Intensive</t>
  </si>
  <si>
    <t>LEVEL and FTE</t>
  </si>
  <si>
    <t>DCF Clinical Comp</t>
  </si>
  <si>
    <t>Purchaser Reccomentation</t>
  </si>
  <si>
    <t>Prior Benchmark plus CAF</t>
  </si>
  <si>
    <t>Intensive Family Flexible Supports</t>
  </si>
  <si>
    <t>Utilization Rate</t>
  </si>
  <si>
    <t>Number of beds</t>
  </si>
  <si>
    <t>DC- Support</t>
  </si>
  <si>
    <t>Nurse-blended rate</t>
  </si>
  <si>
    <t>Med-Nurse</t>
  </si>
  <si>
    <t>PLANNED SITE BASED RESPITE FOR CHILDREN WITH HIGH INTESITY SUPPORT NEEDS</t>
  </si>
  <si>
    <t>PLANNED SITE BASED RESPITE FOR CHILDREN WITH HIGH INTESITY SUPPORT NEEDS - Days staffed per week</t>
  </si>
  <si>
    <t>PLANNED SITE BASED RESPITE FOR CHILDREN WITH HIGH INTESITY SUPPORT NEEDS - Beds per FTE</t>
  </si>
  <si>
    <t>PLANNED SITE BASED RESPITE FOR CHILDREN</t>
  </si>
  <si>
    <t>PLANNED SITE BASED RESPITE FOR CHILDREN - Days staffed per week</t>
  </si>
  <si>
    <t>PLANNED SITE BASED RESPITE FOR CHILDREN - Beds per FTE</t>
  </si>
  <si>
    <t>SITE BASED RESPITE WITH NURSING</t>
  </si>
  <si>
    <t>SITE BASED RESPITE WITH NURSING - Days staffed per week</t>
  </si>
  <si>
    <t>SITE BASED RESPITE WITH NURSING - Beds per FTE</t>
  </si>
  <si>
    <t>SITE BASED RESPITE</t>
  </si>
  <si>
    <t>SITE BASED RESPITE - Days Staffed per Week</t>
  </si>
  <si>
    <t xml:space="preserve">SITE BASED RESPITE - Beds per FTE </t>
  </si>
  <si>
    <t>Site Based Respite</t>
  </si>
  <si>
    <t>Prior rate w/ CAF</t>
  </si>
  <si>
    <t>Level 3</t>
  </si>
  <si>
    <t>Level 2</t>
  </si>
  <si>
    <t>Level 1</t>
  </si>
  <si>
    <t>Respite Caregiver Home</t>
  </si>
  <si>
    <t>No. of Clients per Program</t>
  </si>
  <si>
    <t>Purchaser Reccomendation</t>
  </si>
  <si>
    <t>Ratio (Client to Staff)</t>
  </si>
  <si>
    <t>Ratio 
(Client to Staff)</t>
  </si>
  <si>
    <t>Med Complex</t>
  </si>
  <si>
    <t>Prior Rate with CAF</t>
  </si>
  <si>
    <t>Direct Care Staff</t>
  </si>
  <si>
    <t>MCB Family Navigation Administrative Service</t>
  </si>
  <si>
    <t>MCB FAMS</t>
  </si>
  <si>
    <t>Client Financial Assistance Admin Fee</t>
  </si>
  <si>
    <t>Fin. Assistance Admin</t>
  </si>
  <si>
    <t>Respite - receipient home</t>
  </si>
  <si>
    <t>Respite - Recipient Home</t>
  </si>
  <si>
    <t>FY22 UFR Wtg Avg Data per FTE</t>
  </si>
  <si>
    <t>Behav. Supp. - Master's</t>
  </si>
  <si>
    <t>Behav. Supp. - Doctorate</t>
  </si>
  <si>
    <t>Behav.Supp. - Bachelor's</t>
  </si>
  <si>
    <t>Family Stabilization - Behavioral Support -  Doctorate Level</t>
  </si>
  <si>
    <t>Family Stabilization - Behavioral Support - Master's Level</t>
  </si>
  <si>
    <t>Family Stabilization - Behavioral Support - Bachelor Level</t>
  </si>
  <si>
    <t>Behavioral Support</t>
  </si>
  <si>
    <t>Family Navigator</t>
  </si>
  <si>
    <t xml:space="preserve">AWC Administration  - 6753 </t>
  </si>
  <si>
    <t>Family Navigation 3700</t>
  </si>
  <si>
    <t>AWC Admin-Family Nav FY24</t>
  </si>
  <si>
    <t>Purchaser Recommendation</t>
  </si>
  <si>
    <t>FY21 UFR Wtg Avg Data per FTE</t>
  </si>
  <si>
    <t>N/A</t>
  </si>
  <si>
    <t>BTL Scale</t>
  </si>
  <si>
    <t>Prog. Dir.</t>
  </si>
  <si>
    <t>9 Direct Care</t>
  </si>
  <si>
    <t xml:space="preserve">12 Case Manager </t>
  </si>
  <si>
    <t xml:space="preserve">11.5 Case Manager </t>
  </si>
  <si>
    <t xml:space="preserve">11 Case Manager </t>
  </si>
  <si>
    <t xml:space="preserve">10.5 Case Manager </t>
  </si>
  <si>
    <t xml:space="preserve">10 Case Manager </t>
  </si>
  <si>
    <t xml:space="preserve">9.5 Case Manager  </t>
  </si>
  <si>
    <t xml:space="preserve">9 Case Manager </t>
  </si>
  <si>
    <t>8.5 Case Manager</t>
  </si>
  <si>
    <t xml:space="preserve">8 Case Manager  </t>
  </si>
  <si>
    <t xml:space="preserve">7.5 Case Manager  </t>
  </si>
  <si>
    <t xml:space="preserve">7 Case Manager  </t>
  </si>
  <si>
    <t xml:space="preserve">6.5 Case Manager </t>
  </si>
  <si>
    <t xml:space="preserve">6 Case Manager </t>
  </si>
  <si>
    <t xml:space="preserve">5.5 Case Manager  </t>
  </si>
  <si>
    <t xml:space="preserve">5 Case Manager </t>
  </si>
  <si>
    <t xml:space="preserve">4.5 Case Manager </t>
  </si>
  <si>
    <t xml:space="preserve">4 Case Manager </t>
  </si>
  <si>
    <t>3.5 Case Manager</t>
  </si>
  <si>
    <t>3 Case Manager</t>
  </si>
  <si>
    <t>2.5 Case Manager</t>
  </si>
  <si>
    <t xml:space="preserve"> 2 Case Manager (Base Program)</t>
  </si>
  <si>
    <t xml:space="preserve">1.5 Case Manager  </t>
  </si>
  <si>
    <t xml:space="preserve">1 Case Manager  </t>
  </si>
  <si>
    <t>.5 Case Manager (Culturally Linguistic)</t>
  </si>
  <si>
    <t>Model and FTE Level</t>
  </si>
  <si>
    <t>Autism Family Support Centers</t>
  </si>
  <si>
    <t>Direct Care I</t>
  </si>
  <si>
    <t>Rate:</t>
  </si>
  <si>
    <t>TOTAL</t>
  </si>
  <si>
    <t>Total Expenses</t>
  </si>
  <si>
    <t>Total Non-Salary</t>
  </si>
  <si>
    <t>Total Salary</t>
  </si>
  <si>
    <t>Total Staffing</t>
  </si>
  <si>
    <t>Expense</t>
  </si>
  <si>
    <t>Exp</t>
  </si>
  <si>
    <t>12 Case Manager FTE Model</t>
  </si>
  <si>
    <t>11.5 Case Manager FTE Model</t>
  </si>
  <si>
    <t>11 Case Manager FTE Model</t>
  </si>
  <si>
    <t>10.5 Case Manager FTE Model</t>
  </si>
  <si>
    <t>10 Case Manager FTE Model</t>
  </si>
  <si>
    <t>9.5 Case Manager  FTE Model</t>
  </si>
  <si>
    <t>9 Case Manager  FTE Model</t>
  </si>
  <si>
    <t>8.5 Case Manager FTE Model</t>
  </si>
  <si>
    <t>8 Case Manager  FTE Model</t>
  </si>
  <si>
    <t>7.5 Case Manager  FTE Model</t>
  </si>
  <si>
    <t>7 Case Manager  FTE Model</t>
  </si>
  <si>
    <t>6.5 Case Manager  FTE Model</t>
  </si>
  <si>
    <t>6 Case Manager  FTE Model</t>
  </si>
  <si>
    <t>5.5 Case Manager  FTE Model</t>
  </si>
  <si>
    <t>5 Case Manager  FTE Model</t>
  </si>
  <si>
    <t>4.5 Case Manager  FTE Model</t>
  </si>
  <si>
    <t>4 Case Manager  FTE Model</t>
  </si>
  <si>
    <t>3.5 Case Manager  FTE Model</t>
  </si>
  <si>
    <t>3 Case Manager  FTE Model</t>
  </si>
  <si>
    <t>2.5 Case Manager  FTE Model</t>
  </si>
  <si>
    <t xml:space="preserve"> 2 Case Manager  FTE Model (Base Program)</t>
  </si>
  <si>
    <t>1.5 Case Manager  FTE Model</t>
  </si>
  <si>
    <t>1 Case Manager  FTE Model</t>
  </si>
  <si>
    <t>.5 Case Manager FTE Model (Culturally Linguistic)</t>
  </si>
  <si>
    <t>Monthly Rate</t>
  </si>
  <si>
    <t xml:space="preserve">TOTAL  </t>
  </si>
  <si>
    <t>Direct Care Add-On</t>
  </si>
  <si>
    <t>RATE - PER CLIENT PER MONTH</t>
  </si>
  <si>
    <t>Rate for 15 minutes</t>
  </si>
  <si>
    <t xml:space="preserve">Hourly Rate </t>
  </si>
  <si>
    <t>Total</t>
  </si>
  <si>
    <t>Total Reimbursable Exp. Excl. Admin.</t>
  </si>
  <si>
    <t>Total Non-Salary Expenses</t>
  </si>
  <si>
    <t>Total Productive Hours</t>
  </si>
  <si>
    <t>Total Family Navigator FTEs</t>
  </si>
  <si>
    <t>Productive hours per FTE</t>
  </si>
  <si>
    <t>Subtotal non-billable hours</t>
  </si>
  <si>
    <t>Admin / Paperwork</t>
  </si>
  <si>
    <t>Travel</t>
  </si>
  <si>
    <t>training (3 days)</t>
  </si>
  <si>
    <t xml:space="preserve">sick and personal </t>
  </si>
  <si>
    <t>Non-Billable Hours</t>
  </si>
  <si>
    <t>Max # of Billable  Hours</t>
  </si>
  <si>
    <t>Weeks</t>
  </si>
  <si>
    <t>Family Navigation Productivity Standard</t>
  </si>
  <si>
    <t>Total Hours</t>
  </si>
  <si>
    <t>Unit - Per Client Per Month</t>
  </si>
  <si>
    <t>Unit - Per Client Hour</t>
  </si>
  <si>
    <t>Family Stabilization - AWC Administration  - 6753 - Monthly</t>
  </si>
  <si>
    <t>Family Stabilization - Family Navigation 3700 - Hourly</t>
  </si>
  <si>
    <t>Agency With Choice</t>
  </si>
  <si>
    <t>Proposed Rate per 15 Minutes</t>
  </si>
  <si>
    <t>Rate per 15 Minutes</t>
  </si>
  <si>
    <t>Unit Rate Per Available Client Hour</t>
  </si>
  <si>
    <t>Hourly Rate</t>
  </si>
  <si>
    <t>Total Productive Hours per FTE</t>
  </si>
  <si>
    <t xml:space="preserve">Average FTEs </t>
  </si>
  <si>
    <t xml:space="preserve">Total Yearly Available Hours </t>
  </si>
  <si>
    <t>Subtotal Unproductive Hours</t>
  </si>
  <si>
    <t>Admin/Supervision</t>
  </si>
  <si>
    <t>Holidays</t>
  </si>
  <si>
    <t>Training</t>
  </si>
  <si>
    <t>Sick &amp; Personal</t>
  </si>
  <si>
    <t xml:space="preserve"> FTEs</t>
  </si>
  <si>
    <t>Postion</t>
  </si>
  <si>
    <t>Vacation</t>
  </si>
  <si>
    <t>Available Client Hours Per Site</t>
  </si>
  <si>
    <t>Total Availble Hours</t>
  </si>
  <si>
    <t>Doctorate</t>
  </si>
  <si>
    <t>Masters</t>
  </si>
  <si>
    <t>Bachelor</t>
  </si>
  <si>
    <t>Productivity Standard - Per FTE</t>
  </si>
  <si>
    <t>BEHAVIORAL SUPPORT</t>
  </si>
  <si>
    <t>FT / PS Group of 5</t>
  </si>
  <si>
    <t>FT / PS Group of 2</t>
  </si>
  <si>
    <t>FT / PS Rate per Hour</t>
  </si>
  <si>
    <t>% Increase</t>
  </si>
  <si>
    <t>Proposed Rate</t>
  </si>
  <si>
    <t>Total Yearly Hours</t>
  </si>
  <si>
    <t xml:space="preserve">Family Training </t>
  </si>
  <si>
    <t>Total / Hr (15.25 per 7 Hills)</t>
  </si>
  <si>
    <t>Total/ Check (40 per 7 Hills)</t>
  </si>
  <si>
    <t>Cost/ Check</t>
  </si>
  <si>
    <t>Cost / Hour</t>
  </si>
  <si>
    <t>Monthly</t>
  </si>
  <si>
    <t>Cost / Month</t>
  </si>
  <si>
    <t>Annual</t>
  </si>
  <si>
    <t xml:space="preserve">Total Hours/ Month </t>
  </si>
  <si>
    <t>Rate per Transaction</t>
  </si>
  <si>
    <t>Monthly Cost</t>
  </si>
  <si>
    <t>Total Salaries</t>
  </si>
  <si>
    <t>Rate Per Enrolled Day</t>
  </si>
  <si>
    <t xml:space="preserve">Capacity </t>
  </si>
  <si>
    <t>Ratio (Clients per staff member)</t>
  </si>
  <si>
    <t>Intensive Family Flexible Supports (DDS)</t>
  </si>
  <si>
    <t>Rate Per Enrolled Month</t>
  </si>
  <si>
    <t xml:space="preserve"> Peer Support </t>
  </si>
  <si>
    <t>Respite Day (recipients home)</t>
  </si>
  <si>
    <t>Respite 1:3 (recipients home)</t>
  </si>
  <si>
    <t>Respite 1:2 (recipients home)</t>
  </si>
  <si>
    <t>Respite 1:1 (recipients home)</t>
  </si>
  <si>
    <t>Daily Rate</t>
  </si>
  <si>
    <t>Respite In Caregiver's Home - Level 3</t>
  </si>
  <si>
    <t>Respite In Caregiver's Home - Level 2</t>
  </si>
  <si>
    <t>Respite In Caregiver's Home - Level 1</t>
  </si>
  <si>
    <t>RESPITE CAREGIVER'S HOME</t>
  </si>
  <si>
    <t>Unit Rate</t>
  </si>
  <si>
    <t>Annual Checks</t>
  </si>
  <si>
    <t>Total (independent of sessions)</t>
  </si>
  <si>
    <t>CAF (Prg Exp)</t>
  </si>
  <si>
    <t>Admin M&amp;G</t>
  </si>
  <si>
    <t>MODEL G</t>
  </si>
  <si>
    <t>MODEL F</t>
  </si>
  <si>
    <t>MODEL E</t>
  </si>
  <si>
    <t>MODEL D</t>
  </si>
  <si>
    <t>MODEL C</t>
  </si>
  <si>
    <t>MODEL B</t>
  </si>
  <si>
    <t>MODEL A-2</t>
  </si>
  <si>
    <t>MODEL A-1</t>
  </si>
  <si>
    <t>Expenses</t>
  </si>
  <si>
    <t>Occupancy (purchase of space)</t>
  </si>
  <si>
    <t>Proposed</t>
  </si>
  <si>
    <t>Current</t>
  </si>
  <si>
    <t>Add-ons</t>
  </si>
  <si>
    <t>Rate per Session</t>
  </si>
  <si>
    <t>Per 11 session group</t>
  </si>
  <si>
    <t>Sp. Fam</t>
  </si>
  <si>
    <t>Transportation (beyond incidentals)</t>
  </si>
  <si>
    <t>Child Care</t>
  </si>
  <si>
    <t>Meals</t>
  </si>
  <si>
    <t>Facilitator/Coordinators</t>
  </si>
  <si>
    <t xml:space="preserve">Total Rate </t>
  </si>
  <si>
    <t>Curriculum</t>
  </si>
  <si>
    <t>Occupancy (fixed -Standard/session)</t>
  </si>
  <si>
    <t>Per 10 session group</t>
  </si>
  <si>
    <t>Fam Skills</t>
  </si>
  <si>
    <t>Total (Independent of Sessions)</t>
  </si>
  <si>
    <t>Parent Skills</t>
  </si>
  <si>
    <t>RATE: (per enrolled day)</t>
  </si>
  <si>
    <t>FTEs</t>
  </si>
  <si>
    <t>Staff Salary</t>
  </si>
  <si>
    <t>Edu Coor.</t>
  </si>
  <si>
    <t>% diff</t>
  </si>
  <si>
    <t>Rate (15 min)</t>
  </si>
  <si>
    <t>Rate (Hourly)</t>
  </si>
  <si>
    <t>Direct Admin</t>
  </si>
  <si>
    <t>Proposed Rate:</t>
  </si>
  <si>
    <t>Occupancy</t>
  </si>
  <si>
    <t>Flex Pool:</t>
  </si>
  <si>
    <t>Total Compensation</t>
  </si>
  <si>
    <t>Rolling the existing rate forward:</t>
  </si>
  <si>
    <t>CAF (Compensation)</t>
  </si>
  <si>
    <t>Non Clinical</t>
  </si>
  <si>
    <t>TOTAL SUPPORT RATE</t>
  </si>
  <si>
    <t>Flex pool ( provider to maintain pool, amt is not child-specific)</t>
  </si>
  <si>
    <t>COMBINED HOURLY SERVICES</t>
  </si>
  <si>
    <t>Sub Total excl Flex</t>
  </si>
  <si>
    <t xml:space="preserve">current </t>
  </si>
  <si>
    <t>RATE:</t>
  </si>
  <si>
    <t>Other @ 20% total cost</t>
  </si>
  <si>
    <t xml:space="preserve">Total </t>
  </si>
  <si>
    <t>Total Empl Comp &amp; Exp</t>
  </si>
  <si>
    <t>CAF</t>
  </si>
  <si>
    <t>Tax/Fringe @ 25% personnel</t>
  </si>
  <si>
    <t>Sub Total Salary &amp; Wage</t>
  </si>
  <si>
    <t>Tax &amp; Fringe</t>
  </si>
  <si>
    <t>Program director @ 10% salaries</t>
  </si>
  <si>
    <t>Unit Cost</t>
  </si>
  <si>
    <t>FY22 UFR Wtg Avg</t>
  </si>
  <si>
    <t>Additional Support @  5 hrs/wk</t>
  </si>
  <si>
    <t>Other Exp (Program Supplies &amp; Materials)</t>
  </si>
  <si>
    <t>Sub Total Dir Care</t>
  </si>
  <si>
    <t>Supervisor: Ratio 1:6 workers</t>
  </si>
  <si>
    <t>Benchmark Expenses</t>
  </si>
  <si>
    <t>Family Resource Worker ratio 1:30</t>
  </si>
  <si>
    <t>BLS Benchmark M2022 53rd percentile</t>
  </si>
  <si>
    <t>Child Care Worker: Ratio 1:8</t>
  </si>
  <si>
    <t xml:space="preserve">Management </t>
  </si>
  <si>
    <t>% Total Reimb Exp.</t>
  </si>
  <si>
    <t>Cost per child day</t>
  </si>
  <si>
    <t xml:space="preserve"> Cost per child week</t>
  </si>
  <si>
    <t xml:space="preserve"> Cost per child</t>
  </si>
  <si>
    <t>Annual cost</t>
  </si>
  <si>
    <t># children</t>
  </si>
  <si>
    <t>Input - Where Providers proposed to hire staff as "Additional Support"</t>
  </si>
  <si>
    <t>Sal</t>
  </si>
  <si>
    <t>NON-CLINICAL (full day)</t>
  </si>
  <si>
    <t>NON-CLINICAL (half day)</t>
  </si>
  <si>
    <t>Revision as Basis of Extracting Family Resource Worker</t>
  </si>
  <si>
    <t>Days:</t>
  </si>
  <si>
    <t>Clients:</t>
  </si>
  <si>
    <t xml:space="preserve">Benchmark Salaries </t>
  </si>
  <si>
    <t>MODEL BUDGET (full day)</t>
  </si>
  <si>
    <t>MODEL BUDGET- (half day)</t>
  </si>
  <si>
    <t>MASTER DATA LOOK-UP TABLE</t>
  </si>
  <si>
    <t>Revised Unbundled IFC Support Services</t>
  </si>
  <si>
    <t>After School / Day Respite</t>
  </si>
  <si>
    <t>Adult Companion / Respite - Recipient Home</t>
  </si>
  <si>
    <t xml:space="preserve">           AUTISM SUPPORT CENTER/FAMILY SUPPORT CENTER</t>
  </si>
  <si>
    <t>Main Table Used in Lookups 
**See tab: M2024 BLS SALARY CHART (53_PCT)**</t>
  </si>
  <si>
    <t>Certified Nursing Assistant</t>
  </si>
  <si>
    <t>LPN</t>
  </si>
  <si>
    <t xml:space="preserve">Dietician / Nutritionist </t>
  </si>
  <si>
    <t>Occupational Therapist</t>
  </si>
  <si>
    <t>Physical Therapist</t>
  </si>
  <si>
    <t>Clinical Manager</t>
  </si>
  <si>
    <t>Speech Language Pathologists</t>
  </si>
  <si>
    <t>Registerd Nurse (BA)</t>
  </si>
  <si>
    <t>Registerd Nurse (MA / APRN)</t>
  </si>
  <si>
    <t>History</t>
  </si>
  <si>
    <t>Prior</t>
  </si>
  <si>
    <t>Updated 12/2/2022 (Source May-21)</t>
  </si>
  <si>
    <t>Main Table Used in Lookups 
**See tab: M2022 BLS SALARY CHART (53_PCT)**</t>
  </si>
  <si>
    <t>Current - FY23</t>
  </si>
  <si>
    <t>New - FY25</t>
  </si>
  <si>
    <t>UPDATES</t>
  </si>
  <si>
    <t>1. Adult companion rates RETIRED will point to Respite Recipient Home</t>
  </si>
  <si>
    <t xml:space="preserve">2. Benchmark Behav supp salaries; </t>
  </si>
  <si>
    <t xml:space="preserve"> - bachelors from 49825.40 to $53,206.57 (DC III)</t>
  </si>
  <si>
    <t xml:space="preserve"> - masters from 63,322.73 to $64,330.86 (case mgr)</t>
  </si>
  <si>
    <t xml:space="preserve"> - doctorate position upodated to a 50/50 blend (see BLS CHART worksheet)</t>
  </si>
  <si>
    <t>3. Follow-up models with Ellen:</t>
  </si>
  <si>
    <t xml:space="preserve"> - Aut-famsupctrs</t>
  </si>
  <si>
    <t xml:space="preserve"> - Med complex</t>
  </si>
  <si>
    <t xml:space="preserve"> - Respite caregivers home</t>
  </si>
  <si>
    <t xml:space="preserve"> - IFFs</t>
  </si>
  <si>
    <t>4. Linda weaver to follow up on MCB fams Naivigation if it is still needed\</t>
  </si>
  <si>
    <t xml:space="preserve"> - Confirmed they are still in use</t>
  </si>
  <si>
    <t>5. Remove per dylan site based respite model</t>
  </si>
  <si>
    <t xml:space="preserve"> - Email sent to MRC &amp; MCB to confirm (9/28)</t>
  </si>
  <si>
    <t xml:space="preserve">CHANGES MADE BY DDS (to EHS' workbook) AS OF 9/28/2023 &amp; 10/2/2023: </t>
  </si>
  <si>
    <t>1. Current salary levels May-20 BLS data:</t>
  </si>
  <si>
    <t xml:space="preserve">  --salary is calculation of hourly * 2080 rather than hardcoded in</t>
  </si>
  <si>
    <t xml:space="preserve"> --stipend level in Respite Caregiver Home FY24 - applies the DC% increase - See Non-Salary Expense Tab</t>
  </si>
  <si>
    <t xml:space="preserve">2. Behav support salaries: 
  </t>
  </si>
  <si>
    <t>--Raise Bachelor’s level salary to Case Worker ($58,646)</t>
  </si>
  <si>
    <t xml:space="preserve">  --Raise Master’s level salary to Clinical w/independent licensure ($80,606) (we require management experience, a higher level than just having a masters)</t>
  </si>
  <si>
    <t xml:space="preserve">  --Raise Doctorate level salary to Clinical Manager ($101,383.78)</t>
  </si>
  <si>
    <t>3. AdultCompanion FY24</t>
  </si>
  <si>
    <t xml:space="preserve"> --tab is hidden since the rate will now point to Respite Recipient Home</t>
  </si>
  <si>
    <t xml:space="preserve">4. IFFS FY24 </t>
  </si>
  <si>
    <t xml:space="preserve">  --Tab was hidden so I chose to unhide the tab</t>
  </si>
  <si>
    <t>5. Aut Fam Support centers</t>
  </si>
  <si>
    <t xml:space="preserve"> --9 direct care model (not the same as 9 case worker model) not on the list of rates, DDS believes this is a mistake, so took it out.  </t>
  </si>
  <si>
    <t>6. Rates</t>
  </si>
  <si>
    <t xml:space="preserve"> -- filter was not applied to all columns</t>
  </si>
  <si>
    <t xml:space="preserve"> --the second rate diff column appeared to calculate the average for each activity code, I applied it to all cells</t>
  </si>
  <si>
    <t>7. Follow-up models with Ellen:</t>
  </si>
  <si>
    <t xml:space="preserve"> -- all looks good to Ellen</t>
  </si>
  <si>
    <t xml:space="preserve"> -- no changes necessary</t>
  </si>
  <si>
    <t>Current - FY24</t>
  </si>
  <si>
    <t>NEW - FY26</t>
  </si>
  <si>
    <t>Current (FY22 Wt Avg)</t>
  </si>
  <si>
    <t>FY24 Wt Avg</t>
  </si>
  <si>
    <t>T &amp; F FY24 Data</t>
  </si>
  <si>
    <t>Spring 2025 CAF</t>
  </si>
  <si>
    <t>Prospective rate period: 1/1/26-12/31/27</t>
  </si>
  <si>
    <t>lower</t>
  </si>
  <si>
    <t>current</t>
  </si>
  <si>
    <t>Admin Alloc. FY22 Data</t>
  </si>
  <si>
    <t>FY24 UFR Wtg Avg Data</t>
  </si>
  <si>
    <t>FY24 UFR Wtg Avg Data per FTE</t>
  </si>
  <si>
    <t>Prior rate plus CAF</t>
  </si>
  <si>
    <t>FY24 UFR Wtg Avg (23E,25E,26E,27E)</t>
  </si>
  <si>
    <t>FY224UFR Wtg Avg Data</t>
  </si>
  <si>
    <t>DCF Models moved to CMR 451</t>
  </si>
  <si>
    <t>AWC Admin-Family Nav</t>
  </si>
  <si>
    <t xml:space="preserve"> </t>
  </si>
  <si>
    <t>diff</t>
  </si>
  <si>
    <t>S&amp;P Global Market Intelligence, Spring 2025</t>
  </si>
  <si>
    <t>FY27</t>
  </si>
  <si>
    <t>FY28</t>
  </si>
  <si>
    <t>2029Q1</t>
  </si>
  <si>
    <t>2029Q2</t>
  </si>
  <si>
    <t>2029Q3</t>
  </si>
  <si>
    <t>2029Q4</t>
  </si>
  <si>
    <t>2030Q1</t>
  </si>
  <si>
    <t>2030Q2</t>
  </si>
  <si>
    <t>2030Q3</t>
  </si>
  <si>
    <t>2030Q4</t>
  </si>
  <si>
    <t>Assumption for new rates that are to be promulgated January 1, 2026</t>
  </si>
  <si>
    <t>BASELINE SCENARIO</t>
  </si>
  <si>
    <t>Jan 1, 2026- Dec 31, 2027</t>
  </si>
  <si>
    <t>% Diff</t>
  </si>
  <si>
    <t>retired model - used in recipients home</t>
  </si>
  <si>
    <t>Diff %</t>
  </si>
  <si>
    <t>CURRENT</t>
  </si>
  <si>
    <t>% DIFF</t>
  </si>
  <si>
    <t>M2022 BLS</t>
  </si>
  <si>
    <t>DCF MOVED FROM CMR 414 TO 451 PER DITTE 2023</t>
  </si>
  <si>
    <t>position</t>
  </si>
  <si>
    <t>BLS Occupational Code</t>
  </si>
  <si>
    <t xml:space="preserve">
21-1093, 31-1120, 31-2022, 31-9099</t>
  </si>
  <si>
    <t xml:space="preserve"> 31-1131</t>
  </si>
  <si>
    <t xml:space="preserve">Occupational Therapist (hourly) </t>
  </si>
  <si>
    <t xml:space="preserve">
29-1129, 31-2011, 29-1122 (25%/25%/50%)</t>
  </si>
  <si>
    <t>Occupational Therapist (annual)</t>
  </si>
  <si>
    <t xml:space="preserve">Speech Language Pathologists (hourly) </t>
  </si>
  <si>
    <t xml:space="preserve">
29-1129, 29-1127</t>
  </si>
  <si>
    <t xml:space="preserve">Speech Language Pathologists (annual) </t>
  </si>
  <si>
    <t>* - M2024 numbers came in lower so the prior M2023 amount was used</t>
  </si>
  <si>
    <r>
      <t xml:space="preserve">Clerical, Support &amp; Direct Care Relief Staff are benched to Direct Care </t>
    </r>
    <r>
      <rPr>
        <b/>
        <i/>
        <sz val="11"/>
        <color theme="1"/>
        <rFont val="Calibri"/>
        <family val="2"/>
        <scheme val="minor"/>
      </rPr>
      <t>**</t>
    </r>
  </si>
  <si>
    <t xml:space="preserve">Benchmarked to FY25  Commonwealth (office of the Comptroller) T&amp;F rate, less </t>
  </si>
  <si>
    <t xml:space="preserve">M2024 BLS  Occ- Code 29-1223 (Nat'l Mean)   </t>
  </si>
  <si>
    <t>M2024 BLS  Occ- Code 29-1222 (MA Mean)</t>
  </si>
  <si>
    <t>M2024 BLS  Occ Code 29-1071 (MA 53rd %)</t>
  </si>
  <si>
    <t>M2024 BLS  Occ - Code 37-0000 (MA 53%)</t>
  </si>
  <si>
    <t>M2024 BLS  Occ - Code 49-9099 (MA 53%)</t>
  </si>
  <si>
    <t>M2024 BLS AVG of Occ Code 49-0000 and 49-9071 (MA 53%)</t>
  </si>
  <si>
    <t>M2024 BLS</t>
  </si>
  <si>
    <t>1. Non-salary expense (below the line)  -If FY24 UFR numbers came in lower, prior FY22 UFR numbers were used were applicable plus prior CAF</t>
  </si>
  <si>
    <t>1. Updated T&amp;F to FY25 Comptroller to 24.97%</t>
  </si>
  <si>
    <t>2. Updated Spring 2025 CAF to 2.53%</t>
  </si>
  <si>
    <t>3. Non-salary expense (FY26) -If FY24 UFR numbers came in lower, prior FY22 UFR numbers were used plus prior CAF</t>
  </si>
  <si>
    <t>4. DCF models moved from CMR 414 to CMR 451 per Ditte 7/27/2023 meeting</t>
  </si>
  <si>
    <t>Taxes &amp; Fringe amount</t>
  </si>
  <si>
    <t>CAF Rate amount</t>
  </si>
  <si>
    <t>non salary expense</t>
  </si>
  <si>
    <t>19-3033,3034,3039</t>
  </si>
  <si>
    <t>FY24 UFR Wtg Avg</t>
  </si>
  <si>
    <t>BLS Benchmark M2024 53rd percentile</t>
  </si>
  <si>
    <t>**converted these over to ALTR rates; in theory we can remove from regulation as long as other departments are not using them</t>
  </si>
  <si>
    <t>Beds</t>
  </si>
  <si>
    <t>Beds per FTE</t>
  </si>
  <si>
    <t>Days Staffed per Week</t>
  </si>
  <si>
    <t>ADULT MODELS</t>
  </si>
  <si>
    <t>CHILDREN MODELS</t>
  </si>
  <si>
    <t>% of FTE</t>
  </si>
  <si>
    <t>Rate</t>
  </si>
  <si>
    <t>Utilization RATE:</t>
  </si>
  <si>
    <t>Rate per hour</t>
  </si>
  <si>
    <t>Rate per 30 minutes</t>
  </si>
  <si>
    <t>current - util. rate</t>
  </si>
  <si>
    <t>current - 30min</t>
  </si>
  <si>
    <t>%</t>
  </si>
  <si>
    <t>Nurse Blend</t>
  </si>
  <si>
    <t>** Please note that these are the correct proposed rates for 1/1/26; The regualtion will be changed after the hearing **</t>
  </si>
  <si>
    <t>** Please note that this is the correct proposed rate for 1/1/26; The regualtion will be changed after the hearing **</t>
  </si>
  <si>
    <t>** Please note that this is the correct proposed rate for 1/1/26; The regualtion will be changed after the hearing (T&amp;F adjustment) **</t>
  </si>
  <si>
    <t>Unbundled IFC Support Services</t>
  </si>
  <si>
    <t>Additional Support @ 19.50/hr x 5 hrs/wk</t>
  </si>
  <si>
    <t>PFLMA Trust Contribution</t>
  </si>
  <si>
    <t>Cost Adjustment Factor</t>
  </si>
  <si>
    <t xml:space="preserve">Case Worker </t>
  </si>
  <si>
    <t>Total Direct Care Staff</t>
  </si>
  <si>
    <t>Tax and fringe</t>
  </si>
  <si>
    <t>c. 257 Benchmark</t>
  </si>
  <si>
    <t>Total reimb exp excl m&amp;g</t>
  </si>
  <si>
    <t>Admin allocation</t>
  </si>
  <si>
    <t>BLS 2024 53rd Percentile - Case Worker</t>
  </si>
  <si>
    <t>BLS 2024 53rd Percentile - Direct Care</t>
  </si>
  <si>
    <t>Rate Review CAF</t>
  </si>
  <si>
    <t>Prior Amount w Previous CAF</t>
  </si>
  <si>
    <t>FY25 Commonwealth (office of the Comptroller)</t>
  </si>
  <si>
    <t>Service</t>
  </si>
  <si>
    <t>Adolescent Support Network</t>
  </si>
  <si>
    <t>Adult Companion Group Services Group of 2</t>
  </si>
  <si>
    <t>Adult Companion Group Services Group of 3</t>
  </si>
  <si>
    <t>After-school Respite</t>
  </si>
  <si>
    <t xml:space="preserve">Half day  </t>
  </si>
  <si>
    <t xml:space="preserve">Full day  </t>
  </si>
  <si>
    <t>Agency with Choice</t>
  </si>
  <si>
    <t>--</t>
  </si>
  <si>
    <t>I.C.</t>
  </si>
  <si>
    <t>Agency with Choice Admin Fee</t>
  </si>
  <si>
    <t> --</t>
  </si>
  <si>
    <t>Client Financial Assistance/Flex Funding</t>
  </si>
  <si>
    <t>Client Financial Assistance/Flex Funding Administration</t>
  </si>
  <si>
    <t>Community-based After-school Social and Recreation Programs</t>
  </si>
  <si>
    <t>Group Hour</t>
  </si>
  <si>
    <r>
      <t>Combined Hourly Services: </t>
    </r>
    <r>
      <rPr>
        <sz val="11"/>
        <color rgb="FF000000"/>
        <rFont val="Times New Roman"/>
        <family val="1"/>
      </rPr>
      <t> </t>
    </r>
  </si>
  <si>
    <t>Nonclinical</t>
  </si>
  <si>
    <t xml:space="preserve">Hour </t>
  </si>
  <si>
    <r>
      <t>Comprehensive Services:</t>
    </r>
    <r>
      <rPr>
        <sz val="11"/>
        <color rgb="FF000000"/>
        <rFont val="Times New Roman"/>
        <family val="1"/>
      </rPr>
      <t>  </t>
    </r>
  </si>
  <si>
    <t>Model A-1 Direct Care–Nonclinical, Less Intensive</t>
  </si>
  <si>
    <t>Model A-2 Direct Care–Nonclinical, More Intensive</t>
  </si>
  <si>
    <t>Model B Direct Care and Clinical, Less Intensive</t>
  </si>
  <si>
    <t>Model C Direct Care and Clinical, More Intensive</t>
  </si>
  <si>
    <t>Model E Direct Care and Clinical, High Intensive</t>
  </si>
  <si>
    <t>Model F Direct Care and Clinical, Highest Intensive</t>
  </si>
  <si>
    <t>Model G Direct Care and Clinical, Higher Intensive</t>
  </si>
  <si>
    <t>Educational Coordination</t>
  </si>
  <si>
    <t>Family Resource Center</t>
  </si>
  <si>
    <t xml:space="preserve">Micro Family Resource Center </t>
  </si>
  <si>
    <t>Micro Family Resource Center Add-on</t>
  </si>
  <si>
    <r>
      <t xml:space="preserve">Family Resource Center </t>
    </r>
    <r>
      <rPr>
        <i/>
        <sz val="11"/>
        <color rgb="FF000000"/>
        <rFont val="Times New Roman"/>
        <family val="1"/>
      </rPr>
      <t>Per Diem</t>
    </r>
    <r>
      <rPr>
        <sz val="11"/>
        <color rgb="FFFF0000"/>
        <rFont val="Times New Roman"/>
        <family val="1"/>
      </rPr>
      <t xml:space="preserve"> </t>
    </r>
    <r>
      <rPr>
        <sz val="11"/>
        <color rgb="FF000000"/>
        <rFont val="Times New Roman"/>
        <family val="1"/>
      </rPr>
      <t>Add-on: Family Support Worker</t>
    </r>
  </si>
  <si>
    <t>Per Diem</t>
  </si>
  <si>
    <r>
      <t xml:space="preserve">Family Resource Center </t>
    </r>
    <r>
      <rPr>
        <i/>
        <sz val="11"/>
        <color rgb="FF000000"/>
        <rFont val="Times New Roman"/>
        <family val="1"/>
      </rPr>
      <t>Per Diem</t>
    </r>
    <r>
      <rPr>
        <sz val="11"/>
        <color rgb="FF000000"/>
        <rFont val="Times New Roman"/>
        <family val="1"/>
      </rPr>
      <t xml:space="preserve"> Add-on: Clinician (LCSW)</t>
    </r>
  </si>
  <si>
    <r>
      <t xml:space="preserve">Family Resource Center </t>
    </r>
    <r>
      <rPr>
        <i/>
        <sz val="11"/>
        <color rgb="FF000000"/>
        <rFont val="Times New Roman"/>
        <family val="1"/>
      </rPr>
      <t>Per Diem</t>
    </r>
    <r>
      <rPr>
        <sz val="11"/>
        <color rgb="FF000000"/>
        <rFont val="Times New Roman"/>
        <family val="1"/>
      </rPr>
      <t xml:space="preserve"> Add-on: Clinician (LICSW)</t>
    </r>
  </si>
  <si>
    <r>
      <t xml:space="preserve">Family Resource Center </t>
    </r>
    <r>
      <rPr>
        <i/>
        <sz val="11"/>
        <color rgb="FF000000"/>
        <rFont val="Times New Roman"/>
        <family val="1"/>
      </rPr>
      <t>Per Diem</t>
    </r>
    <r>
      <rPr>
        <sz val="11"/>
        <color rgb="FF000000"/>
        <rFont val="Times New Roman"/>
        <family val="1"/>
      </rPr>
      <t xml:space="preserve"> Add-on: Family Partner</t>
    </r>
  </si>
  <si>
    <r>
      <t xml:space="preserve">Family Resource Center </t>
    </r>
    <r>
      <rPr>
        <i/>
        <sz val="11"/>
        <color rgb="FF000000"/>
        <rFont val="Times New Roman"/>
        <family val="1"/>
      </rPr>
      <t>Per Diem</t>
    </r>
    <r>
      <rPr>
        <sz val="11"/>
        <color rgb="FF000000"/>
        <rFont val="Times New Roman"/>
        <family val="1"/>
      </rPr>
      <t xml:space="preserve"> Add-on: School Liaison</t>
    </r>
  </si>
  <si>
    <r>
      <t>Family Training Groups: </t>
    </r>
    <r>
      <rPr>
        <sz val="11"/>
        <color rgb="FF000000"/>
        <rFont val="Times New Roman"/>
        <family val="1"/>
      </rPr>
      <t>  </t>
    </r>
  </si>
  <si>
    <t>Specialty Family Skills Development Program Model</t>
  </si>
  <si>
    <t>Add-ons for a Specialty Family Skills Development Program Model:</t>
  </si>
  <si>
    <t>Occupancy Purchase of Space</t>
  </si>
  <si>
    <t>Family Skills Development Program Model</t>
  </si>
  <si>
    <t>Add-ons for a Family Skills Development Program Model:</t>
  </si>
  <si>
    <t>Facilitator/Coordinator</t>
  </si>
  <si>
    <t>-- </t>
  </si>
  <si>
    <t xml:space="preserve">Parent Skill Development Program Model </t>
  </si>
  <si>
    <t>Add-ons for a Parent Skill Development Program Model:</t>
  </si>
  <si>
    <t xml:space="preserve">Facilitator/Coordinator </t>
  </si>
  <si>
    <t>Planned Site-based Respite for Children</t>
  </si>
  <si>
    <t>Planned Site-based Respite for Children, High-intensity Support Needs</t>
  </si>
  <si>
    <t>30 minutes</t>
  </si>
  <si>
    <t>Respite in Caregiver’s Home, Level 1</t>
  </si>
  <si>
    <t>Respite in Caregiver’s Home, Level 2</t>
  </si>
  <si>
    <t>Respite in Caregiver’s Home, Level 3</t>
  </si>
  <si>
    <t>Respite in Recipient’s Home, 1:1</t>
  </si>
  <si>
    <t>Respite in Recipient’s Home, 1:2</t>
  </si>
  <si>
    <t>Respite in Recipient’s Home, 1:3</t>
  </si>
  <si>
    <t>Site-based Respite</t>
  </si>
  <si>
    <t>Site-based Respite with Nursing</t>
  </si>
  <si>
    <t>Unbundled Intensive Foster Care Special Support</t>
  </si>
  <si>
    <t>Child day</t>
  </si>
  <si>
    <t>Family Navigation Administrative Service</t>
  </si>
  <si>
    <r>
      <t xml:space="preserve">** Please note that rates labeled in </t>
    </r>
    <r>
      <rPr>
        <b/>
        <i/>
        <sz val="18"/>
        <color rgb="FFFF0000"/>
        <rFont val="Calibri"/>
        <family val="2"/>
        <scheme val="minor"/>
      </rPr>
      <t>RED</t>
    </r>
    <r>
      <rPr>
        <sz val="18"/>
        <color theme="1"/>
        <rFont val="Calibri"/>
        <family val="2"/>
        <scheme val="minor"/>
      </rPr>
      <t xml:space="preserve"> are the correct proposed rates and will be corrected POST publich hearing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</si>
</sst>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quot;$&quot;#,##0"/>
    <numFmt numFmtId="166" formatCode="0.0%"/>
    <numFmt numFmtId="167" formatCode="0.0"/>
    <numFmt numFmtId="168" formatCode="\$#,##0"/>
    <numFmt numFmtId="169" formatCode="[$-409]mmmm\ d\,\ yyyy;@"/>
    <numFmt numFmtId="170" formatCode="0.000"/>
    <numFmt numFmtId="171" formatCode="_(&quot;$&quot;* #,##0_);_(&quot;$&quot;* \(#,##0\);_(&quot;$&quot;* &quot;-&quot;??_);_(@_)"/>
    <numFmt numFmtId="172" formatCode="\$#,##0.00"/>
    <numFmt numFmtId="173" formatCode="_(* #,##0_);_(* \(#,##0\);_(* &quot;-&quot;??_);_(@_)"/>
    <numFmt numFmtId="174" formatCode="&quot;$&quot;#,##0.000000000"/>
    <numFmt numFmtId="175" formatCode="0.0000"/>
    <numFmt numFmtId="176" formatCode="_(* #,##0.0_);_(* \(#,##0.0\);_(* &quot;-&quot;??_);_(@_)"/>
    <numFmt numFmtId="177" formatCode="#,##0.0_);\(#,##0.0\)"/>
    <numFmt numFmtId="178" formatCode="_(&quot;$&quot;* #,##0.0_);_(&quot;$&quot;* \(#,##0.0\);_(&quot;$&quot;* &quot;-&quot;??_);_(@_)"/>
    <numFmt numFmtId="179" formatCode="0.0000000"/>
  </numFmts>
  <fonts count="7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20"/>
      <color theme="1"/>
      <name val="Calibri"/>
      <family val="2"/>
      <scheme val="minor"/>
    </font>
    <font>
      <sz val="14"/>
      <color theme="1"/>
      <name val="Calibri"/>
      <family val="2"/>
      <scheme val="minor"/>
    </font>
    <font>
      <b/>
      <sz val="20"/>
      <color theme="1"/>
      <name val="Calibri"/>
      <family val="2"/>
      <scheme val="minor"/>
    </font>
    <font>
      <b/>
      <sz val="20"/>
      <color rgb="FFFF0000"/>
      <name val="Calibri"/>
      <family val="2"/>
      <scheme val="minor"/>
    </font>
    <font>
      <b/>
      <i/>
      <sz val="20"/>
      <color theme="1"/>
      <name val="Calibri"/>
      <family val="2"/>
      <scheme val="minor"/>
    </font>
    <font>
      <sz val="11"/>
      <color indexed="8"/>
      <name val="Calibri"/>
      <family val="2"/>
    </font>
    <font>
      <sz val="14"/>
      <name val="Arial"/>
      <family val="2"/>
    </font>
    <font>
      <b/>
      <sz val="14"/>
      <name val="Arial"/>
      <family val="2"/>
    </font>
    <font>
      <i/>
      <sz val="20"/>
      <color theme="1"/>
      <name val="Calibri"/>
      <family val="2"/>
      <scheme val="minor"/>
    </font>
    <font>
      <sz val="20"/>
      <color rgb="FFFF0000"/>
      <name val="Calibri"/>
      <family val="2"/>
      <scheme val="minor"/>
    </font>
    <font>
      <b/>
      <u/>
      <sz val="14"/>
      <name val="Arial"/>
      <family val="2"/>
    </font>
    <font>
      <b/>
      <sz val="20"/>
      <name val="Calibri"/>
      <family val="2"/>
      <scheme val="minor"/>
    </font>
    <font>
      <b/>
      <sz val="12"/>
      <color indexed="81"/>
      <name val="Tahoma"/>
      <family val="2"/>
    </font>
    <font>
      <sz val="10"/>
      <color indexed="81"/>
      <name val="Tahoma"/>
      <family val="2"/>
    </font>
    <font>
      <sz val="10"/>
      <name val="Arial"/>
      <family val="2"/>
    </font>
    <font>
      <b/>
      <sz val="10"/>
      <name val="Arial"/>
      <family val="2"/>
    </font>
    <font>
      <sz val="10"/>
      <color theme="1"/>
      <name val="Arial"/>
      <family val="2"/>
    </font>
    <font>
      <b/>
      <u/>
      <sz val="10"/>
      <name val="Arial"/>
      <family val="2"/>
    </font>
    <font>
      <sz val="10"/>
      <color rgb="FFFF0000"/>
      <name val="Arial"/>
      <family val="2"/>
    </font>
    <font>
      <b/>
      <sz val="10"/>
      <color rgb="FFFF0000"/>
      <name val="Arial"/>
      <family val="2"/>
    </font>
    <font>
      <sz val="10"/>
      <color theme="0"/>
      <name val="Arial"/>
      <family val="2"/>
    </font>
    <font>
      <b/>
      <sz val="11"/>
      <name val="Arial"/>
      <family val="2"/>
    </font>
    <font>
      <b/>
      <sz val="12"/>
      <name val="Arial"/>
      <family val="2"/>
    </font>
    <font>
      <sz val="11"/>
      <name val="Calibri"/>
      <family val="2"/>
      <scheme val="minor"/>
    </font>
    <font>
      <b/>
      <sz val="11"/>
      <color rgb="FFFF0000"/>
      <name val="Calibri"/>
      <family val="2"/>
      <scheme val="minor"/>
    </font>
    <font>
      <b/>
      <sz val="10"/>
      <color rgb="FFFF0000"/>
      <name val="Calibri"/>
      <family val="2"/>
      <scheme val="minor"/>
    </font>
    <font>
      <b/>
      <sz val="10"/>
      <color theme="1"/>
      <name val="Calibri"/>
      <family val="2"/>
      <scheme val="minor"/>
    </font>
    <font>
      <sz val="10"/>
      <name val="Calibri"/>
      <family val="2"/>
      <scheme val="minor"/>
    </font>
    <font>
      <i/>
      <sz val="11"/>
      <color theme="1"/>
      <name val="Calibri"/>
      <family val="2"/>
      <scheme val="minor"/>
    </font>
    <font>
      <b/>
      <sz val="11"/>
      <name val="Calibri"/>
      <family val="2"/>
      <scheme val="minor"/>
    </font>
    <font>
      <b/>
      <sz val="16"/>
      <color theme="1"/>
      <name val="Calibri"/>
      <family val="2"/>
      <scheme val="minor"/>
    </font>
    <font>
      <sz val="11"/>
      <name val="Arial"/>
      <family val="2"/>
    </font>
    <font>
      <b/>
      <sz val="10"/>
      <name val="Calibri"/>
      <family val="2"/>
      <scheme val="minor"/>
    </font>
    <font>
      <b/>
      <sz val="14"/>
      <color theme="1"/>
      <name val="Calibri"/>
      <family val="2"/>
      <scheme val="minor"/>
    </font>
    <font>
      <b/>
      <i/>
      <sz val="11"/>
      <name val="Calibri"/>
      <family val="2"/>
      <scheme val="minor"/>
    </font>
    <font>
      <b/>
      <i/>
      <sz val="11"/>
      <color theme="1"/>
      <name val="Calibri"/>
      <family val="2"/>
      <scheme val="minor"/>
    </font>
    <font>
      <i/>
      <sz val="11"/>
      <name val="Calibri"/>
      <family val="2"/>
      <scheme val="minor"/>
    </font>
    <font>
      <sz val="11"/>
      <color theme="1"/>
      <name val="Calibri"/>
      <family val="2"/>
    </font>
    <font>
      <i/>
      <sz val="9"/>
      <name val="Calibri"/>
      <family val="2"/>
      <scheme val="minor"/>
    </font>
    <font>
      <sz val="10"/>
      <color theme="1"/>
      <name val="Calibri"/>
      <family val="2"/>
      <scheme val="minor"/>
    </font>
    <font>
      <b/>
      <sz val="14"/>
      <name val="Calibri"/>
      <family val="2"/>
      <scheme val="minor"/>
    </font>
    <font>
      <b/>
      <i/>
      <sz val="10"/>
      <name val="Calibri"/>
      <family val="2"/>
      <scheme val="minor"/>
    </font>
    <font>
      <sz val="10"/>
      <color rgb="FFFF0000"/>
      <name val="Calibri"/>
      <family val="2"/>
      <scheme val="minor"/>
    </font>
    <font>
      <b/>
      <sz val="12"/>
      <name val="Calibri"/>
      <family val="2"/>
      <scheme val="minor"/>
    </font>
    <font>
      <sz val="12"/>
      <name val="Calibri"/>
      <family val="2"/>
      <scheme val="minor"/>
    </font>
    <font>
      <b/>
      <sz val="18"/>
      <name val="Calibri"/>
      <family val="2"/>
      <scheme val="minor"/>
    </font>
    <font>
      <b/>
      <sz val="9"/>
      <color indexed="81"/>
      <name val="Tahoma"/>
      <family val="2"/>
    </font>
    <font>
      <sz val="9"/>
      <color indexed="81"/>
      <name val="Tahoma"/>
      <family val="2"/>
    </font>
    <font>
      <b/>
      <sz val="10"/>
      <color indexed="8"/>
      <name val="Calibri"/>
      <family val="2"/>
      <scheme val="minor"/>
    </font>
    <font>
      <sz val="10"/>
      <color theme="0"/>
      <name val="Calibri"/>
      <family val="2"/>
      <scheme val="minor"/>
    </font>
    <font>
      <b/>
      <i/>
      <sz val="14"/>
      <color theme="1"/>
      <name val="Calibri"/>
      <family val="2"/>
      <scheme val="minor"/>
    </font>
    <font>
      <b/>
      <sz val="18"/>
      <color rgb="FFFF0000"/>
      <name val="Calibri"/>
      <family val="2"/>
      <scheme val="minor"/>
    </font>
    <font>
      <b/>
      <sz val="14"/>
      <color rgb="FFFF0000"/>
      <name val="Calibri"/>
      <family val="2"/>
      <scheme val="minor"/>
    </font>
    <font>
      <sz val="11"/>
      <color theme="0"/>
      <name val="Calibri"/>
      <family val="2"/>
      <scheme val="minor"/>
    </font>
    <font>
      <sz val="11"/>
      <name val="Calibri"/>
      <family val="2"/>
    </font>
    <font>
      <i/>
      <sz val="11"/>
      <color rgb="FFFF0000"/>
      <name val="Calibri"/>
      <family val="2"/>
      <scheme val="minor"/>
    </font>
    <font>
      <sz val="14"/>
      <color theme="1"/>
      <name val="Arial"/>
      <family val="2"/>
    </font>
    <font>
      <b/>
      <sz val="14"/>
      <color theme="1"/>
      <name val="Arial"/>
      <family val="2"/>
    </font>
    <font>
      <i/>
      <sz val="9"/>
      <color theme="1"/>
      <name val="Calibri"/>
      <family val="2"/>
      <scheme val="minor"/>
    </font>
    <font>
      <sz val="12"/>
      <name val="Arial"/>
      <family val="2"/>
    </font>
    <font>
      <b/>
      <sz val="9"/>
      <name val="Arial"/>
      <family val="2"/>
    </font>
    <font>
      <sz val="9"/>
      <color theme="1"/>
      <name val="Calibri"/>
      <family val="2"/>
      <scheme val="minor"/>
    </font>
    <font>
      <sz val="10"/>
      <color rgb="FF0070C0"/>
      <name val="Calibri"/>
      <family val="2"/>
      <scheme val="minor"/>
    </font>
    <font>
      <b/>
      <sz val="11"/>
      <color rgb="FF000000"/>
      <name val="Times New Roman"/>
      <family val="1"/>
    </font>
    <font>
      <sz val="11"/>
      <color rgb="FF000000"/>
      <name val="Times New Roman"/>
      <family val="1"/>
    </font>
    <font>
      <sz val="11"/>
      <color theme="1"/>
      <name val="Times New Roman"/>
      <family val="1"/>
    </font>
    <font>
      <i/>
      <sz val="11"/>
      <color rgb="FF000000"/>
      <name val="Times New Roman"/>
      <family val="1"/>
    </font>
    <font>
      <sz val="11"/>
      <color rgb="FFFF0000"/>
      <name val="Times New Roman"/>
      <family val="1"/>
    </font>
    <font>
      <sz val="18"/>
      <color theme="1"/>
      <name val="Calibri"/>
      <family val="2"/>
      <scheme val="minor"/>
    </font>
    <font>
      <b/>
      <i/>
      <sz val="18"/>
      <color rgb="FFFF0000"/>
      <name val="Calibri"/>
      <family val="2"/>
      <scheme val="minor"/>
    </font>
  </fonts>
  <fills count="3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6"/>
        <bgColor indexed="64"/>
      </patternFill>
    </fill>
    <fill>
      <patternFill patternType="solid">
        <fgColor theme="2" tint="-0.499984740745262"/>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9" tint="0.79998168889431442"/>
        <bgColor rgb="FF000000"/>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FFCC"/>
        <bgColor indexed="64"/>
      </patternFill>
    </fill>
    <fill>
      <patternFill patternType="solid">
        <fgColor indexed="9"/>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8"/>
        <bgColor indexed="64"/>
      </patternFill>
    </fill>
    <fill>
      <patternFill patternType="solid">
        <fgColor indexed="47"/>
        <bgColor indexed="64"/>
      </patternFill>
    </fill>
  </fills>
  <borders count="9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bottom style="double">
        <color indexed="64"/>
      </bottom>
      <diagonal/>
    </border>
    <border>
      <left/>
      <right/>
      <top/>
      <bottom style="double">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double">
        <color indexed="58"/>
      </top>
      <bottom style="medium">
        <color indexed="64"/>
      </bottom>
      <diagonal/>
    </border>
    <border>
      <left/>
      <right/>
      <top style="double">
        <color indexed="58"/>
      </top>
      <bottom style="medium">
        <color indexed="64"/>
      </bottom>
      <diagonal/>
    </border>
    <border>
      <left style="medium">
        <color indexed="64"/>
      </left>
      <right/>
      <top style="double">
        <color indexed="58"/>
      </top>
      <bottom style="medium">
        <color indexed="64"/>
      </bottom>
      <diagonal/>
    </border>
    <border>
      <left/>
      <right style="medium">
        <color indexed="64"/>
      </right>
      <top style="thin">
        <color indexed="58"/>
      </top>
      <bottom style="thin">
        <color indexed="58"/>
      </bottom>
      <diagonal/>
    </border>
    <border>
      <left/>
      <right/>
      <top style="thin">
        <color indexed="58"/>
      </top>
      <bottom style="thin">
        <color indexed="58"/>
      </bottom>
      <diagonal/>
    </border>
    <border>
      <left/>
      <right/>
      <top/>
      <bottom style="thin">
        <color indexed="58"/>
      </bottom>
      <diagonal/>
    </border>
    <border>
      <left style="thin">
        <color indexed="64"/>
      </left>
      <right style="thin">
        <color indexed="64"/>
      </right>
      <top/>
      <bottom style="medium">
        <color indexed="64"/>
      </bottom>
      <diagonal/>
    </border>
    <border>
      <left/>
      <right/>
      <top style="thin">
        <color indexed="58"/>
      </top>
      <bottom style="double">
        <color indexed="58"/>
      </bottom>
      <diagonal/>
    </border>
    <border>
      <left/>
      <right style="medium">
        <color indexed="64"/>
      </right>
      <top style="thin">
        <color indexed="58"/>
      </top>
      <bottom style="double">
        <color indexed="58"/>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style="double">
        <color indexed="64"/>
      </bottom>
      <diagonal/>
    </border>
  </borders>
  <cellStyleXfs count="3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9" fontId="9" fillId="0" borderId="0" applyFont="0" applyFill="0" applyBorder="0" applyAlignment="0" applyProtection="0"/>
    <xf numFmtId="0" fontId="18" fillId="0" borderId="0"/>
    <xf numFmtId="0" fontId="20" fillId="0" borderId="0">
      <alignment horizontal="left" vertical="center" wrapText="1"/>
    </xf>
    <xf numFmtId="9" fontId="20" fillId="0" borderId="0" applyFont="0" applyFill="0" applyBorder="0" applyAlignment="0" applyProtection="0"/>
    <xf numFmtId="3" fontId="18" fillId="0" borderId="0">
      <alignment horizontal="left" vertical="top" wrapText="1"/>
    </xf>
    <xf numFmtId="0" fontId="18" fillId="0" borderId="0"/>
    <xf numFmtId="0" fontId="18" fillId="0" borderId="0"/>
    <xf numFmtId="0" fontId="18" fillId="0" borderId="0"/>
    <xf numFmtId="0" fontId="35" fillId="0" borderId="0"/>
    <xf numFmtId="0" fontId="1" fillId="0" borderId="0"/>
    <xf numFmtId="0" fontId="41" fillId="0" borderId="0"/>
    <xf numFmtId="43" fontId="9" fillId="0" borderId="0" applyFont="0" applyFill="0" applyBorder="0" applyAlignment="0" applyProtection="0"/>
    <xf numFmtId="44" fontId="9" fillId="0" borderId="0" applyFont="0" applyFill="0" applyBorder="0" applyAlignment="0" applyProtection="0"/>
    <xf numFmtId="0" fontId="1" fillId="0" borderId="0"/>
    <xf numFmtId="0" fontId="41" fillId="0" borderId="0"/>
    <xf numFmtId="44" fontId="9" fillId="0" borderId="0" applyFont="0" applyFill="0" applyBorder="0" applyAlignment="0" applyProtection="0"/>
    <xf numFmtId="0" fontId="41" fillId="0" borderId="0"/>
    <xf numFmtId="0" fontId="41" fillId="0" borderId="0"/>
    <xf numFmtId="43" fontId="18" fillId="0" borderId="0" applyFont="0" applyFill="0" applyBorder="0" applyAlignment="0" applyProtection="0"/>
    <xf numFmtId="0" fontId="18" fillId="0" borderId="0"/>
    <xf numFmtId="0" fontId="58" fillId="0" borderId="0"/>
    <xf numFmtId="0" fontId="18" fillId="0" borderId="0"/>
    <xf numFmtId="0" fontId="18" fillId="0" borderId="0"/>
    <xf numFmtId="0" fontId="1" fillId="0" borderId="0"/>
    <xf numFmtId="0" fontId="20" fillId="0" borderId="0"/>
    <xf numFmtId="0" fontId="1" fillId="0" borderId="0"/>
    <xf numFmtId="9" fontId="18" fillId="0" borderId="0" applyFont="0" applyFill="0" applyBorder="0" applyAlignment="0" applyProtection="0"/>
  </cellStyleXfs>
  <cellXfs count="1886">
    <xf numFmtId="0" fontId="0" fillId="0" borderId="0" xfId="0"/>
    <xf numFmtId="0" fontId="4" fillId="0" borderId="0" xfId="4" applyFont="1"/>
    <xf numFmtId="0" fontId="4" fillId="0" borderId="0" xfId="4" applyFont="1" applyAlignment="1">
      <alignment wrapText="1"/>
    </xf>
    <xf numFmtId="164" fontId="5" fillId="0" borderId="0" xfId="4" applyNumberFormat="1" applyFont="1"/>
    <xf numFmtId="0" fontId="5" fillId="0" borderId="0" xfId="4" applyFont="1"/>
    <xf numFmtId="0" fontId="6" fillId="0" borderId="0" xfId="4" applyFont="1" applyAlignment="1">
      <alignment horizontal="right" vertical="top"/>
    </xf>
    <xf numFmtId="0" fontId="6" fillId="0" borderId="0" xfId="4" applyFont="1" applyAlignment="1">
      <alignment horizontal="right"/>
    </xf>
    <xf numFmtId="6" fontId="4" fillId="0" borderId="0" xfId="4" applyNumberFormat="1" applyFont="1" applyAlignment="1">
      <alignment horizontal="center"/>
    </xf>
    <xf numFmtId="0" fontId="4" fillId="0" borderId="0" xfId="4" applyFont="1" applyAlignment="1">
      <alignment horizontal="right"/>
    </xf>
    <xf numFmtId="0" fontId="4" fillId="2" borderId="0" xfId="4" applyFont="1" applyFill="1"/>
    <xf numFmtId="6" fontId="4" fillId="2" borderId="0" xfId="4" applyNumberFormat="1" applyFont="1" applyFill="1" applyAlignment="1">
      <alignment horizontal="center"/>
    </xf>
    <xf numFmtId="0" fontId="4" fillId="2" borderId="0" xfId="4" applyFont="1" applyFill="1" applyAlignment="1">
      <alignment horizontal="right"/>
    </xf>
    <xf numFmtId="165" fontId="4" fillId="0" borderId="0" xfId="4" applyNumberFormat="1" applyFont="1" applyAlignment="1">
      <alignment horizontal="center"/>
    </xf>
    <xf numFmtId="0" fontId="8" fillId="0" borderId="0" xfId="4" applyFont="1" applyAlignment="1">
      <alignment horizontal="right"/>
    </xf>
    <xf numFmtId="0" fontId="4" fillId="0" borderId="0" xfId="4" applyFont="1" applyAlignment="1">
      <alignment horizontal="center"/>
    </xf>
    <xf numFmtId="9" fontId="4" fillId="0" borderId="0" xfId="3" applyFont="1"/>
    <xf numFmtId="9" fontId="4" fillId="0" borderId="0" xfId="3" applyFont="1" applyAlignment="1">
      <alignment horizontal="center"/>
    </xf>
    <xf numFmtId="166" fontId="10" fillId="0" borderId="1" xfId="5" quotePrefix="1" applyNumberFormat="1" applyFont="1" applyBorder="1" applyAlignment="1">
      <alignment horizontal="center"/>
    </xf>
    <xf numFmtId="166" fontId="10" fillId="0" borderId="2" xfId="5" applyNumberFormat="1" applyFont="1" applyBorder="1" applyAlignment="1">
      <alignment horizontal="center"/>
    </xf>
    <xf numFmtId="0" fontId="10" fillId="0" borderId="2" xfId="0" applyFont="1" applyBorder="1" applyAlignment="1">
      <alignment horizontal="right"/>
    </xf>
    <xf numFmtId="0" fontId="10" fillId="0" borderId="3" xfId="0" applyFont="1" applyBorder="1"/>
    <xf numFmtId="10" fontId="4" fillId="0" borderId="0" xfId="3" applyNumberFormat="1" applyFont="1" applyAlignment="1">
      <alignment horizontal="center"/>
    </xf>
    <xf numFmtId="167" fontId="11" fillId="0" borderId="4" xfId="0" applyNumberFormat="1" applyFont="1" applyBorder="1" applyAlignment="1">
      <alignment horizontal="right"/>
    </xf>
    <xf numFmtId="0" fontId="10" fillId="0" borderId="0" xfId="0" applyFont="1" applyAlignment="1">
      <alignment horizontal="center"/>
    </xf>
    <xf numFmtId="0" fontId="10" fillId="0" borderId="0" xfId="0" applyFont="1" applyAlignment="1">
      <alignment horizontal="right"/>
    </xf>
    <xf numFmtId="0" fontId="10" fillId="0" borderId="5" xfId="0" applyFont="1" applyBorder="1"/>
    <xf numFmtId="1" fontId="11" fillId="0" borderId="6" xfId="0" applyNumberFormat="1" applyFont="1" applyBorder="1" applyAlignment="1">
      <alignment horizontal="right"/>
    </xf>
    <xf numFmtId="0" fontId="10" fillId="0" borderId="7" xfId="0" applyFont="1" applyBorder="1" applyAlignment="1">
      <alignment horizontal="center"/>
    </xf>
    <xf numFmtId="0" fontId="10" fillId="0" borderId="8" xfId="0" applyFont="1" applyBorder="1"/>
    <xf numFmtId="0" fontId="12" fillId="0" borderId="0" xfId="4" applyFont="1" applyAlignment="1">
      <alignment horizontal="right" wrapText="1"/>
    </xf>
    <xf numFmtId="1" fontId="11" fillId="0" borderId="4" xfId="0" applyNumberFormat="1" applyFont="1" applyBorder="1" applyAlignment="1">
      <alignment horizontal="right"/>
    </xf>
    <xf numFmtId="0" fontId="4" fillId="0" borderId="2" xfId="4" applyFont="1" applyBorder="1"/>
    <xf numFmtId="165" fontId="4" fillId="0" borderId="2" xfId="4" applyNumberFormat="1" applyFont="1" applyBorder="1" applyAlignment="1">
      <alignment horizontal="center"/>
    </xf>
    <xf numFmtId="0" fontId="4" fillId="0" borderId="3" xfId="4" applyFont="1" applyBorder="1"/>
    <xf numFmtId="0" fontId="4" fillId="0" borderId="10" xfId="4" applyFont="1" applyBorder="1"/>
    <xf numFmtId="164" fontId="4" fillId="0" borderId="11" xfId="4" applyNumberFormat="1" applyFont="1" applyBorder="1" applyAlignment="1">
      <alignment horizontal="center"/>
    </xf>
    <xf numFmtId="0" fontId="4" fillId="0" borderId="12" xfId="4" applyFont="1" applyBorder="1"/>
    <xf numFmtId="168" fontId="11" fillId="0" borderId="0" xfId="0" applyNumberFormat="1" applyFont="1" applyAlignment="1">
      <alignment horizontal="center"/>
    </xf>
    <xf numFmtId="0" fontId="11" fillId="0" borderId="0" xfId="0" applyFont="1" applyAlignment="1">
      <alignment horizontal="center"/>
    </xf>
    <xf numFmtId="0" fontId="11" fillId="0" borderId="5" xfId="0" applyFont="1" applyBorder="1"/>
    <xf numFmtId="165" fontId="13" fillId="0" borderId="2" xfId="4" applyNumberFormat="1" applyFont="1" applyBorder="1" applyAlignment="1">
      <alignment horizontal="center"/>
    </xf>
    <xf numFmtId="0" fontId="14" fillId="0" borderId="9" xfId="0" applyFont="1" applyBorder="1"/>
    <xf numFmtId="0" fontId="11" fillId="0" borderId="12" xfId="0" applyFont="1" applyBorder="1"/>
    <xf numFmtId="0" fontId="8" fillId="0" borderId="3" xfId="4" applyFont="1" applyBorder="1"/>
    <xf numFmtId="0" fontId="8" fillId="0" borderId="12" xfId="4" applyFont="1" applyBorder="1"/>
    <xf numFmtId="164" fontId="4" fillId="0" borderId="0" xfId="4" applyNumberFormat="1" applyFont="1" applyAlignment="1">
      <alignment horizontal="center"/>
    </xf>
    <xf numFmtId="0" fontId="4" fillId="0" borderId="5" xfId="4" applyFont="1" applyBorder="1"/>
    <xf numFmtId="0" fontId="8" fillId="0" borderId="5" xfId="4" applyFont="1" applyBorder="1"/>
    <xf numFmtId="164" fontId="4" fillId="0" borderId="10" xfId="4" applyNumberFormat="1" applyFont="1" applyBorder="1" applyAlignment="1">
      <alignment horizontal="center"/>
    </xf>
    <xf numFmtId="0" fontId="4" fillId="0" borderId="3" xfId="4" applyFont="1" applyBorder="1" applyAlignment="1">
      <alignment wrapText="1"/>
    </xf>
    <xf numFmtId="0" fontId="4" fillId="0" borderId="12" xfId="4" applyFont="1" applyBorder="1" applyAlignment="1">
      <alignment wrapText="1"/>
    </xf>
    <xf numFmtId="0" fontId="6" fillId="0" borderId="0" xfId="4" applyFont="1" applyAlignment="1">
      <alignment horizontal="left" wrapText="1"/>
    </xf>
    <xf numFmtId="0" fontId="6" fillId="0" borderId="0" xfId="4" applyFont="1"/>
    <xf numFmtId="9" fontId="6" fillId="0" borderId="0" xfId="4" applyNumberFormat="1" applyFont="1" applyAlignment="1">
      <alignment horizontal="center" wrapText="1"/>
    </xf>
    <xf numFmtId="0" fontId="6" fillId="0" borderId="0" xfId="4" applyFont="1" applyAlignment="1">
      <alignment horizontal="center"/>
    </xf>
    <xf numFmtId="169" fontId="6" fillId="0" borderId="0" xfId="4" applyNumberFormat="1" applyFont="1" applyAlignment="1">
      <alignment horizontal="left" vertical="top"/>
    </xf>
    <xf numFmtId="17" fontId="7" fillId="0" borderId="0" xfId="4" applyNumberFormat="1" applyFont="1" applyAlignment="1">
      <alignment horizontal="center"/>
    </xf>
    <xf numFmtId="0" fontId="15" fillId="0" borderId="0" xfId="4" applyFont="1" applyAlignment="1">
      <alignment horizontal="center"/>
    </xf>
    <xf numFmtId="0" fontId="18" fillId="0" borderId="0" xfId="6"/>
    <xf numFmtId="0" fontId="19" fillId="0" borderId="0" xfId="6" applyFont="1"/>
    <xf numFmtId="0" fontId="20" fillId="0" borderId="13" xfId="7" applyBorder="1" applyAlignment="1"/>
    <xf numFmtId="0" fontId="20" fillId="0" borderId="7" xfId="7" applyBorder="1" applyAlignment="1"/>
    <xf numFmtId="0" fontId="20" fillId="0" borderId="14" xfId="7" applyBorder="1" applyAlignment="1"/>
    <xf numFmtId="10" fontId="19" fillId="3" borderId="15" xfId="8" applyNumberFormat="1" applyFont="1" applyFill="1" applyBorder="1" applyAlignment="1">
      <alignment horizontal="center"/>
    </xf>
    <xf numFmtId="0" fontId="19" fillId="3" borderId="0" xfId="7" applyFont="1" applyFill="1" applyAlignment="1">
      <alignment horizontal="right"/>
    </xf>
    <xf numFmtId="0" fontId="20" fillId="0" borderId="0" xfId="7" applyAlignment="1"/>
    <xf numFmtId="0" fontId="20" fillId="0" borderId="16" xfId="7" applyBorder="1" applyAlignment="1"/>
    <xf numFmtId="0" fontId="20" fillId="0" borderId="15" xfId="7" applyBorder="1" applyAlignment="1">
      <alignment horizontal="center"/>
    </xf>
    <xf numFmtId="170" fontId="20" fillId="0" borderId="15" xfId="7" applyNumberFormat="1" applyBorder="1" applyAlignment="1">
      <alignment horizontal="center"/>
    </xf>
    <xf numFmtId="170" fontId="18" fillId="0" borderId="17" xfId="9" applyNumberFormat="1" applyBorder="1" applyAlignment="1"/>
    <xf numFmtId="0" fontId="20" fillId="0" borderId="0" xfId="7" applyAlignment="1">
      <alignment horizontal="right"/>
    </xf>
    <xf numFmtId="0" fontId="20" fillId="0" borderId="16" xfId="7" applyBorder="1" applyAlignment="1">
      <alignment horizontal="right"/>
    </xf>
    <xf numFmtId="170" fontId="18" fillId="0" borderId="0" xfId="9" applyNumberFormat="1" applyAlignment="1"/>
    <xf numFmtId="170" fontId="18" fillId="0" borderId="18" xfId="9" applyNumberFormat="1" applyBorder="1" applyAlignment="1"/>
    <xf numFmtId="0" fontId="21" fillId="0" borderId="15" xfId="7" applyFont="1" applyBorder="1" applyAlignment="1">
      <alignment horizontal="center"/>
    </xf>
    <xf numFmtId="3" fontId="19" fillId="0" borderId="0" xfId="9" applyFont="1" applyAlignment="1"/>
    <xf numFmtId="0" fontId="20" fillId="0" borderId="15" xfId="7" applyBorder="1" applyAlignment="1"/>
    <xf numFmtId="0" fontId="19" fillId="0" borderId="0" xfId="7" applyFont="1" applyAlignment="1">
      <alignment horizontal="center"/>
    </xf>
    <xf numFmtId="0" fontId="20" fillId="0" borderId="19" xfId="7" applyBorder="1" applyAlignment="1"/>
    <xf numFmtId="0" fontId="20" fillId="0" borderId="20" xfId="7" applyBorder="1" applyAlignment="1"/>
    <xf numFmtId="0" fontId="20" fillId="0" borderId="21" xfId="7" applyBorder="1" applyAlignment="1"/>
    <xf numFmtId="167" fontId="18" fillId="0" borderId="0" xfId="6" applyNumberFormat="1"/>
    <xf numFmtId="0" fontId="22" fillId="0" borderId="0" xfId="7" applyFont="1" applyAlignment="1"/>
    <xf numFmtId="0" fontId="23" fillId="0" borderId="0" xfId="7" applyFont="1" applyAlignment="1"/>
    <xf numFmtId="0" fontId="19" fillId="0" borderId="0" xfId="7" applyFont="1" applyAlignment="1"/>
    <xf numFmtId="170" fontId="18" fillId="0" borderId="0" xfId="6" applyNumberFormat="1"/>
    <xf numFmtId="2" fontId="18" fillId="0" borderId="0" xfId="6" applyNumberFormat="1"/>
    <xf numFmtId="14" fontId="19" fillId="0" borderId="0" xfId="6" applyNumberFormat="1" applyFont="1"/>
    <xf numFmtId="3" fontId="24" fillId="4" borderId="0" xfId="9" applyFont="1" applyFill="1" applyAlignment="1">
      <alignment horizontal="center"/>
    </xf>
    <xf numFmtId="3" fontId="24" fillId="5" borderId="0" xfId="9" applyFont="1" applyFill="1" applyAlignment="1">
      <alignment horizontal="center"/>
    </xf>
    <xf numFmtId="3" fontId="24" fillId="6" borderId="0" xfId="9" applyFont="1" applyFill="1" applyAlignment="1">
      <alignment horizontal="center"/>
    </xf>
    <xf numFmtId="0" fontId="24" fillId="7" borderId="0" xfId="10" applyFont="1" applyFill="1"/>
    <xf numFmtId="0" fontId="24" fillId="0" borderId="0" xfId="10" applyFont="1"/>
    <xf numFmtId="0" fontId="19" fillId="8" borderId="1" xfId="6" applyFont="1" applyFill="1" applyBorder="1"/>
    <xf numFmtId="0" fontId="25" fillId="8" borderId="2" xfId="6" applyFont="1" applyFill="1" applyBorder="1"/>
    <xf numFmtId="0" fontId="19" fillId="8" borderId="4" xfId="6" applyFont="1" applyFill="1" applyBorder="1"/>
    <xf numFmtId="0" fontId="26" fillId="8" borderId="0" xfId="6" applyFont="1" applyFill="1"/>
    <xf numFmtId="44" fontId="0" fillId="0" borderId="0" xfId="2" applyFont="1"/>
    <xf numFmtId="44" fontId="0" fillId="0" borderId="17" xfId="2" applyFont="1" applyBorder="1"/>
    <xf numFmtId="0" fontId="0" fillId="0" borderId="17" xfId="0" applyBorder="1"/>
    <xf numFmtId="0" fontId="0" fillId="9" borderId="17" xfId="0" applyFill="1" applyBorder="1"/>
    <xf numFmtId="10" fontId="0" fillId="0" borderId="1" xfId="0" applyNumberFormat="1" applyBorder="1"/>
    <xf numFmtId="0" fontId="0" fillId="0" borderId="3" xfId="0" applyBorder="1"/>
    <xf numFmtId="10" fontId="28" fillId="0" borderId="22" xfId="3" applyNumberFormat="1" applyFont="1" applyBorder="1"/>
    <xf numFmtId="0" fontId="29" fillId="10" borderId="3" xfId="0" applyFont="1" applyFill="1" applyBorder="1"/>
    <xf numFmtId="10" fontId="30" fillId="0" borderId="23" xfId="3" applyNumberFormat="1" applyFont="1" applyBorder="1"/>
    <xf numFmtId="0" fontId="30" fillId="0" borderId="5" xfId="0" applyFont="1" applyBorder="1" applyAlignment="1">
      <alignment horizontal="left"/>
    </xf>
    <xf numFmtId="10" fontId="30" fillId="0" borderId="24" xfId="3" applyNumberFormat="1" applyFont="1" applyBorder="1"/>
    <xf numFmtId="0" fontId="30" fillId="0" borderId="12" xfId="0" applyFont="1" applyBorder="1" applyAlignment="1">
      <alignment horizontal="left"/>
    </xf>
    <xf numFmtId="10" fontId="28" fillId="3" borderId="22" xfId="3" applyNumberFormat="1" applyFont="1" applyFill="1" applyBorder="1"/>
    <xf numFmtId="171" fontId="31" fillId="0" borderId="1" xfId="2" applyNumberFormat="1" applyFont="1" applyBorder="1"/>
    <xf numFmtId="0" fontId="0" fillId="0" borderId="22" xfId="0" applyBorder="1"/>
    <xf numFmtId="0" fontId="31" fillId="0" borderId="2" xfId="11" applyFont="1" applyBorder="1"/>
    <xf numFmtId="171" fontId="31" fillId="0" borderId="4" xfId="2" applyNumberFormat="1" applyFont="1" applyBorder="1"/>
    <xf numFmtId="0" fontId="0" fillId="0" borderId="23" xfId="0" applyBorder="1"/>
    <xf numFmtId="0" fontId="31" fillId="0" borderId="0" xfId="11" applyFont="1"/>
    <xf numFmtId="0" fontId="0" fillId="0" borderId="5" xfId="0" applyBorder="1"/>
    <xf numFmtId="44" fontId="1" fillId="0" borderId="4" xfId="2" applyFont="1" applyFill="1" applyBorder="1"/>
    <xf numFmtId="0" fontId="27" fillId="0" borderId="0" xfId="11" applyFont="1"/>
    <xf numFmtId="44" fontId="0" fillId="0" borderId="9" xfId="2" applyFont="1" applyBorder="1"/>
    <xf numFmtId="44" fontId="32" fillId="0" borderId="24" xfId="2" applyFont="1" applyBorder="1"/>
    <xf numFmtId="0" fontId="27" fillId="0" borderId="10" xfId="11" applyFont="1" applyBorder="1"/>
    <xf numFmtId="0" fontId="32" fillId="0" borderId="12" xfId="0" applyFont="1" applyBorder="1"/>
    <xf numFmtId="44" fontId="32" fillId="0" borderId="4" xfId="2" applyFont="1" applyBorder="1"/>
    <xf numFmtId="0" fontId="32" fillId="0" borderId="0" xfId="0" applyFont="1"/>
    <xf numFmtId="0" fontId="32" fillId="0" borderId="5" xfId="0" applyFont="1" applyBorder="1"/>
    <xf numFmtId="44" fontId="1" fillId="0" borderId="4" xfId="2" applyFont="1" applyBorder="1"/>
    <xf numFmtId="0" fontId="27" fillId="0" borderId="5" xfId="0" applyFont="1" applyBorder="1"/>
    <xf numFmtId="0" fontId="0" fillId="11" borderId="25" xfId="0" applyFill="1" applyBorder="1"/>
    <xf numFmtId="0" fontId="0" fillId="11" borderId="26" xfId="0" applyFill="1" applyBorder="1"/>
    <xf numFmtId="0" fontId="0" fillId="11" borderId="27" xfId="0" applyFill="1" applyBorder="1"/>
    <xf numFmtId="10" fontId="0" fillId="0" borderId="17" xfId="0" applyNumberFormat="1" applyBorder="1"/>
    <xf numFmtId="0" fontId="0" fillId="12" borderId="17" xfId="0" applyFill="1" applyBorder="1"/>
    <xf numFmtId="0" fontId="0" fillId="13" borderId="28" xfId="0" applyFill="1" applyBorder="1" applyAlignment="1">
      <alignment horizontal="center"/>
    </xf>
    <xf numFmtId="0" fontId="0" fillId="13" borderId="18" xfId="0" applyFill="1" applyBorder="1" applyAlignment="1">
      <alignment horizontal="center"/>
    </xf>
    <xf numFmtId="0" fontId="0" fillId="13" borderId="17" xfId="0" applyFill="1" applyBorder="1"/>
    <xf numFmtId="44" fontId="0" fillId="0" borderId="17" xfId="0" applyNumberFormat="1" applyBorder="1"/>
    <xf numFmtId="0" fontId="3" fillId="0" borderId="29" xfId="0" applyFont="1" applyBorder="1" applyAlignment="1">
      <alignment horizontal="center" vertical="center"/>
    </xf>
    <xf numFmtId="0" fontId="3" fillId="0" borderId="17" xfId="0" applyFont="1" applyBorder="1" applyAlignment="1">
      <alignment horizontal="center" vertical="center"/>
    </xf>
    <xf numFmtId="2" fontId="0" fillId="0" borderId="17" xfId="0" applyNumberFormat="1" applyBorder="1" applyAlignment="1">
      <alignment horizontal="center"/>
    </xf>
    <xf numFmtId="44" fontId="0" fillId="0" borderId="17" xfId="2" applyFont="1" applyBorder="1" applyAlignment="1">
      <alignment horizontal="center" vertical="center"/>
    </xf>
    <xf numFmtId="0" fontId="27" fillId="0" borderId="16" xfId="0" applyFont="1" applyBorder="1"/>
    <xf numFmtId="2" fontId="27" fillId="0" borderId="17" xfId="0" applyNumberFormat="1" applyFont="1" applyBorder="1" applyAlignment="1">
      <alignment horizontal="center"/>
    </xf>
    <xf numFmtId="167" fontId="27" fillId="0" borderId="17" xfId="0" applyNumberFormat="1" applyFont="1" applyBorder="1"/>
    <xf numFmtId="0" fontId="0" fillId="0" borderId="17" xfId="0" applyBorder="1" applyAlignment="1">
      <alignment horizontal="left" vertical="center"/>
    </xf>
    <xf numFmtId="0" fontId="27" fillId="0" borderId="17" xfId="0" applyFont="1" applyBorder="1"/>
    <xf numFmtId="0" fontId="3" fillId="0" borderId="17" xfId="0" applyFont="1" applyBorder="1" applyAlignment="1">
      <alignment horizontal="center" vertical="center" wrapText="1"/>
    </xf>
    <xf numFmtId="168" fontId="33" fillId="0" borderId="17" xfId="12" applyNumberFormat="1" applyFont="1" applyBorder="1" applyAlignment="1">
      <alignment horizontal="center" vertical="center"/>
    </xf>
    <xf numFmtId="0" fontId="34" fillId="0" borderId="30" xfId="0" applyFont="1" applyBorder="1" applyAlignment="1">
      <alignment horizontal="center"/>
    </xf>
    <xf numFmtId="0" fontId="34" fillId="0" borderId="5" xfId="0" applyFont="1" applyBorder="1" applyAlignment="1">
      <alignment horizontal="center"/>
    </xf>
    <xf numFmtId="2" fontId="0" fillId="13" borderId="17" xfId="0" applyNumberFormat="1" applyFill="1" applyBorder="1" applyAlignment="1">
      <alignment horizontal="center"/>
    </xf>
    <xf numFmtId="44" fontId="0" fillId="13" borderId="17" xfId="2" applyFont="1" applyFill="1" applyBorder="1" applyAlignment="1">
      <alignment horizontal="center" vertical="center"/>
    </xf>
    <xf numFmtId="167" fontId="27" fillId="13" borderId="17" xfId="0" applyNumberFormat="1" applyFont="1" applyFill="1" applyBorder="1"/>
    <xf numFmtId="168" fontId="27" fillId="0" borderId="17" xfId="0" applyNumberFormat="1" applyFont="1"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17" xfId="0" applyBorder="1" applyAlignment="1">
      <alignment horizontal="center"/>
    </xf>
    <xf numFmtId="0" fontId="0" fillId="0" borderId="36" xfId="0" applyBorder="1"/>
    <xf numFmtId="0" fontId="0" fillId="12" borderId="37" xfId="0" applyFill="1" applyBorder="1"/>
    <xf numFmtId="0" fontId="0" fillId="12" borderId="18" xfId="0" applyFill="1" applyBorder="1"/>
    <xf numFmtId="0" fontId="0" fillId="12" borderId="36" xfId="0" applyFill="1" applyBorder="1"/>
    <xf numFmtId="0" fontId="27" fillId="0" borderId="36" xfId="0" applyFont="1" applyBorder="1"/>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27" fillId="0" borderId="30" xfId="0" applyFont="1" applyBorder="1"/>
    <xf numFmtId="0" fontId="0" fillId="0" borderId="17" xfId="0" applyBorder="1" applyAlignment="1">
      <alignment horizontal="center" vertical="center"/>
    </xf>
    <xf numFmtId="168" fontId="33" fillId="0" borderId="29" xfId="12" applyNumberFormat="1" applyFont="1" applyBorder="1" applyAlignment="1">
      <alignment horizontal="center" vertical="center"/>
    </xf>
    <xf numFmtId="0" fontId="34" fillId="0" borderId="0" xfId="0" applyFont="1" applyAlignment="1">
      <alignment horizontal="center"/>
    </xf>
    <xf numFmtId="0" fontId="0" fillId="13" borderId="18" xfId="0" applyFill="1" applyBorder="1"/>
    <xf numFmtId="0" fontId="0" fillId="13" borderId="30" xfId="0" applyFill="1" applyBorder="1"/>
    <xf numFmtId="0" fontId="0" fillId="0" borderId="0" xfId="0" applyAlignment="1">
      <alignment horizontal="center"/>
    </xf>
    <xf numFmtId="1" fontId="27" fillId="0" borderId="0" xfId="6" applyNumberFormat="1" applyFont="1" applyAlignment="1">
      <alignment horizontal="center"/>
    </xf>
    <xf numFmtId="2" fontId="27" fillId="0" borderId="0" xfId="6" applyNumberFormat="1" applyFont="1" applyAlignment="1">
      <alignment horizontal="center"/>
    </xf>
    <xf numFmtId="2" fontId="0" fillId="0" borderId="41" xfId="0" applyNumberFormat="1" applyBorder="1" applyAlignment="1">
      <alignment horizontal="center"/>
    </xf>
    <xf numFmtId="0" fontId="27" fillId="0" borderId="0" xfId="6" applyFont="1" applyAlignment="1">
      <alignment horizontal="center"/>
    </xf>
    <xf numFmtId="0" fontId="0" fillId="0" borderId="41" xfId="0" applyBorder="1" applyAlignment="1">
      <alignment horizontal="center"/>
    </xf>
    <xf numFmtId="1" fontId="27" fillId="0" borderId="17" xfId="6" applyNumberFormat="1" applyFont="1" applyBorder="1" applyAlignment="1">
      <alignment horizontal="center"/>
    </xf>
    <xf numFmtId="167" fontId="27" fillId="0" borderId="17" xfId="6" applyNumberFormat="1" applyFont="1" applyBorder="1" applyAlignment="1">
      <alignment horizontal="center"/>
    </xf>
    <xf numFmtId="2" fontId="27" fillId="0" borderId="17" xfId="6" applyNumberFormat="1" applyFont="1" applyBorder="1" applyAlignment="1">
      <alignment horizontal="center"/>
    </xf>
    <xf numFmtId="0" fontId="3" fillId="0" borderId="0" xfId="0" applyFont="1" applyAlignment="1">
      <alignment horizontal="center" vertical="center" wrapText="1"/>
    </xf>
    <xf numFmtId="0" fontId="3" fillId="14" borderId="18" xfId="0" applyFont="1" applyFill="1" applyBorder="1" applyAlignment="1">
      <alignment horizontal="center" vertical="center" wrapText="1"/>
    </xf>
    <xf numFmtId="0" fontId="3" fillId="15" borderId="29" xfId="0" applyFont="1" applyFill="1" applyBorder="1" applyAlignment="1">
      <alignment horizontal="center" vertical="center" wrapText="1"/>
    </xf>
    <xf numFmtId="0" fontId="3" fillId="16" borderId="29" xfId="0" applyFont="1" applyFill="1" applyBorder="1" applyAlignment="1">
      <alignment horizontal="center" vertical="center" wrapText="1"/>
    </xf>
    <xf numFmtId="0" fontId="3" fillId="17" borderId="29" xfId="0" applyFont="1" applyFill="1" applyBorder="1" applyAlignment="1">
      <alignment horizontal="center" vertical="center" wrapText="1"/>
    </xf>
    <xf numFmtId="0" fontId="3" fillId="18" borderId="17" xfId="0" applyFont="1" applyFill="1" applyBorder="1" applyAlignment="1">
      <alignment horizontal="center" vertical="center" wrapText="1"/>
    </xf>
    <xf numFmtId="0" fontId="36" fillId="19" borderId="17" xfId="13" applyFont="1" applyFill="1" applyBorder="1" applyAlignment="1">
      <alignment horizontal="center" vertical="center" wrapText="1"/>
    </xf>
    <xf numFmtId="0" fontId="3" fillId="20" borderId="17" xfId="0" applyFont="1" applyFill="1" applyBorder="1" applyAlignment="1">
      <alignment horizontal="center" vertical="center" wrapText="1"/>
    </xf>
    <xf numFmtId="0" fontId="34" fillId="0" borderId="30" xfId="0" applyFont="1" applyBorder="1" applyAlignment="1">
      <alignment horizontal="center" vertical="center"/>
    </xf>
    <xf numFmtId="0" fontId="6" fillId="0" borderId="0" xfId="0" applyFont="1" applyAlignment="1">
      <alignment horizontal="center" vertical="center"/>
    </xf>
    <xf numFmtId="2" fontId="27" fillId="0" borderId="17" xfId="11" applyNumberFormat="1" applyFont="1" applyBorder="1" applyAlignment="1">
      <alignment horizontal="center" vertical="center"/>
    </xf>
    <xf numFmtId="0" fontId="34" fillId="0" borderId="17" xfId="0" applyFont="1" applyBorder="1" applyAlignment="1">
      <alignment horizontal="center" vertical="center"/>
    </xf>
    <xf numFmtId="0" fontId="34" fillId="0" borderId="30" xfId="0" applyFont="1" applyBorder="1" applyAlignment="1">
      <alignment horizontal="center" vertical="center" wrapText="1"/>
    </xf>
    <xf numFmtId="0" fontId="6" fillId="0" borderId="0" xfId="0" applyFont="1"/>
    <xf numFmtId="1" fontId="36" fillId="0" borderId="0" xfId="6" applyNumberFormat="1" applyFont="1" applyAlignment="1">
      <alignment horizontal="center"/>
    </xf>
    <xf numFmtId="0" fontId="31" fillId="0" borderId="0" xfId="6" applyFont="1" applyAlignment="1">
      <alignment horizontal="left"/>
    </xf>
    <xf numFmtId="167" fontId="36" fillId="0" borderId="0" xfId="6" applyNumberFormat="1" applyFont="1" applyAlignment="1">
      <alignment horizontal="center"/>
    </xf>
    <xf numFmtId="0" fontId="0" fillId="0" borderId="29" xfId="0" applyBorder="1"/>
    <xf numFmtId="0" fontId="36" fillId="0" borderId="0" xfId="6" applyFont="1" applyAlignment="1">
      <alignment horizontal="center"/>
    </xf>
    <xf numFmtId="2" fontId="36" fillId="0" borderId="0" xfId="6" applyNumberFormat="1" applyFont="1" applyAlignment="1">
      <alignment horizontal="center"/>
    </xf>
    <xf numFmtId="0" fontId="0" fillId="3" borderId="17" xfId="0" applyFill="1" applyBorder="1" applyAlignment="1">
      <alignment horizontal="center"/>
    </xf>
    <xf numFmtId="1" fontId="27" fillId="3" borderId="17" xfId="6" applyNumberFormat="1" applyFont="1" applyFill="1" applyBorder="1" applyAlignment="1">
      <alignment horizontal="center"/>
    </xf>
    <xf numFmtId="2" fontId="27" fillId="3" borderId="17" xfId="6" applyNumberFormat="1" applyFont="1" applyFill="1" applyBorder="1" applyAlignment="1">
      <alignment horizontal="center"/>
    </xf>
    <xf numFmtId="1" fontId="27" fillId="3" borderId="17" xfId="0" applyNumberFormat="1" applyFont="1" applyFill="1" applyBorder="1" applyAlignment="1">
      <alignment horizontal="center"/>
    </xf>
    <xf numFmtId="2" fontId="27" fillId="3" borderId="17" xfId="0" applyNumberFormat="1" applyFont="1" applyFill="1" applyBorder="1" applyAlignment="1">
      <alignment horizontal="center"/>
    </xf>
    <xf numFmtId="167" fontId="27" fillId="3" borderId="17" xfId="6" applyNumberFormat="1" applyFont="1" applyFill="1" applyBorder="1" applyAlignment="1">
      <alignment horizontal="center"/>
    </xf>
    <xf numFmtId="167" fontId="0" fillId="3" borderId="17" xfId="0" applyNumberFormat="1" applyFill="1" applyBorder="1" applyAlignment="1">
      <alignment horizontal="center"/>
    </xf>
    <xf numFmtId="0" fontId="0" fillId="3" borderId="17" xfId="0" applyFill="1" applyBorder="1"/>
    <xf numFmtId="0" fontId="27" fillId="0" borderId="17" xfId="6" applyFont="1" applyBorder="1" applyAlignment="1">
      <alignment horizontal="center"/>
    </xf>
    <xf numFmtId="0" fontId="27" fillId="0" borderId="17" xfId="0" applyFont="1" applyBorder="1" applyAlignment="1">
      <alignment horizontal="center"/>
    </xf>
    <xf numFmtId="1" fontId="27" fillId="0" borderId="17" xfId="0" applyNumberFormat="1" applyFont="1" applyBorder="1" applyAlignment="1">
      <alignment horizontal="center"/>
    </xf>
    <xf numFmtId="0" fontId="3" fillId="21" borderId="17" xfId="0" applyFont="1" applyFill="1" applyBorder="1" applyAlignment="1">
      <alignment horizontal="center" vertical="center" wrapText="1"/>
    </xf>
    <xf numFmtId="0" fontId="3" fillId="16" borderId="17" xfId="0" applyFont="1" applyFill="1" applyBorder="1" applyAlignment="1">
      <alignment horizontal="center" vertical="center" wrapText="1"/>
    </xf>
    <xf numFmtId="0" fontId="3" fillId="17" borderId="17" xfId="0" applyFont="1" applyFill="1" applyBorder="1" applyAlignment="1">
      <alignment horizontal="center" vertical="center" wrapText="1"/>
    </xf>
    <xf numFmtId="0" fontId="3" fillId="19" borderId="17" xfId="0" applyFont="1" applyFill="1" applyBorder="1" applyAlignment="1">
      <alignment horizontal="center" vertical="center" wrapText="1"/>
    </xf>
    <xf numFmtId="0" fontId="27" fillId="0" borderId="17" xfId="11" applyFont="1" applyBorder="1"/>
    <xf numFmtId="0" fontId="31" fillId="0" borderId="17" xfId="11" applyFont="1" applyBorder="1" applyAlignment="1">
      <alignment horizontal="left"/>
    </xf>
    <xf numFmtId="44" fontId="0" fillId="13" borderId="17" xfId="2" applyFont="1" applyFill="1" applyBorder="1"/>
    <xf numFmtId="0" fontId="27" fillId="0" borderId="17" xfId="11" applyFont="1" applyBorder="1" applyAlignment="1">
      <alignment horizontal="center" vertical="center"/>
    </xf>
    <xf numFmtId="0" fontId="0" fillId="19" borderId="17" xfId="0" applyFill="1" applyBorder="1"/>
    <xf numFmtId="0" fontId="31" fillId="0" borderId="17" xfId="11" applyFont="1" applyBorder="1"/>
    <xf numFmtId="0" fontId="0" fillId="13" borderId="28" xfId="0" applyFill="1" applyBorder="1"/>
    <xf numFmtId="0" fontId="36" fillId="0" borderId="0" xfId="11" applyFont="1" applyAlignment="1">
      <alignment horizontal="center"/>
    </xf>
    <xf numFmtId="0" fontId="36" fillId="0" borderId="0" xfId="11" applyFont="1" applyAlignment="1">
      <alignment horizontal="center" vertical="center" wrapText="1"/>
    </xf>
    <xf numFmtId="0" fontId="36" fillId="0" borderId="41" xfId="11" applyFont="1" applyBorder="1" applyAlignment="1">
      <alignment horizontal="center" vertical="center" wrapText="1"/>
    </xf>
    <xf numFmtId="0" fontId="34" fillId="0" borderId="17" xfId="0" applyFont="1" applyBorder="1" applyAlignment="1">
      <alignment vertical="center"/>
    </xf>
    <xf numFmtId="0" fontId="34" fillId="0" borderId="17" xfId="0" applyFont="1" applyBorder="1" applyAlignment="1">
      <alignment horizontal="center"/>
    </xf>
    <xf numFmtId="0" fontId="27" fillId="0" borderId="17" xfId="14" applyFont="1" applyBorder="1"/>
    <xf numFmtId="0" fontId="3" fillId="0" borderId="29" xfId="0" applyFont="1" applyBorder="1" applyAlignment="1">
      <alignment horizontal="center" vertical="center" wrapText="1"/>
    </xf>
    <xf numFmtId="0" fontId="36" fillId="0" borderId="0" xfId="0" applyFont="1" applyAlignment="1">
      <alignment vertical="center"/>
    </xf>
    <xf numFmtId="0" fontId="36" fillId="0" borderId="17" xfId="0" applyFont="1" applyBorder="1" applyAlignment="1">
      <alignment vertical="center"/>
    </xf>
    <xf numFmtId="44" fontId="0" fillId="0" borderId="0" xfId="2" applyFont="1" applyBorder="1"/>
    <xf numFmtId="10" fontId="0" fillId="0" borderId="0" xfId="0" applyNumberFormat="1"/>
    <xf numFmtId="0" fontId="0" fillId="22" borderId="28" xfId="0" applyFill="1" applyBorder="1" applyAlignment="1">
      <alignment horizontal="center" vertical="center"/>
    </xf>
    <xf numFmtId="0" fontId="0" fillId="22" borderId="18" xfId="0" applyFill="1" applyBorder="1" applyAlignment="1">
      <alignment horizontal="center" vertical="center"/>
    </xf>
    <xf numFmtId="0" fontId="0" fillId="22" borderId="17" xfId="0" applyFill="1" applyBorder="1"/>
    <xf numFmtId="0" fontId="0" fillId="13" borderId="17" xfId="0" applyFill="1" applyBorder="1" applyAlignment="1">
      <alignment horizontal="center" vertical="center"/>
    </xf>
    <xf numFmtId="44" fontId="0" fillId="13" borderId="17" xfId="0" applyNumberFormat="1" applyFill="1" applyBorder="1"/>
    <xf numFmtId="0" fontId="27" fillId="13" borderId="29" xfId="0" applyFont="1" applyFill="1" applyBorder="1" applyAlignment="1">
      <alignment horizontal="center" vertical="center"/>
    </xf>
    <xf numFmtId="0" fontId="27" fillId="13" borderId="17" xfId="0" applyFont="1" applyFill="1" applyBorder="1" applyAlignment="1">
      <alignment horizontal="center" vertical="center"/>
    </xf>
    <xf numFmtId="0" fontId="27" fillId="0" borderId="29" xfId="0" applyFont="1" applyBorder="1" applyAlignment="1">
      <alignment horizontal="center" vertical="center"/>
    </xf>
    <xf numFmtId="0" fontId="27" fillId="0" borderId="17" xfId="0" applyFont="1" applyBorder="1" applyAlignment="1">
      <alignment horizontal="center" vertical="center"/>
    </xf>
    <xf numFmtId="2" fontId="27" fillId="0" borderId="17" xfId="0" applyNumberFormat="1" applyFont="1" applyBorder="1" applyAlignment="1">
      <alignment horizontal="center" vertical="center"/>
    </xf>
    <xf numFmtId="0" fontId="27" fillId="0" borderId="17"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28" xfId="0" applyFont="1" applyBorder="1" applyAlignment="1">
      <alignment horizontal="center" vertical="center" wrapText="1"/>
    </xf>
    <xf numFmtId="0" fontId="3" fillId="0" borderId="30" xfId="0" applyFont="1" applyBorder="1" applyAlignment="1">
      <alignment horizontal="center" vertical="center"/>
    </xf>
    <xf numFmtId="0" fontId="0" fillId="13" borderId="17" xfId="0" applyFill="1" applyBorder="1" applyAlignment="1">
      <alignment horizontal="center"/>
    </xf>
    <xf numFmtId="4" fontId="27" fillId="13" borderId="17" xfId="12" applyNumberFormat="1" applyFont="1" applyFill="1" applyBorder="1" applyAlignment="1">
      <alignment horizontal="center"/>
    </xf>
    <xf numFmtId="4" fontId="27" fillId="0" borderId="17" xfId="12" applyNumberFormat="1" applyFont="1" applyBorder="1" applyAlignment="1">
      <alignment horizontal="center"/>
    </xf>
    <xf numFmtId="0" fontId="3" fillId="0" borderId="17" xfId="0" applyFont="1" applyBorder="1"/>
    <xf numFmtId="0" fontId="34" fillId="0" borderId="24" xfId="0" applyFont="1" applyBorder="1" applyAlignment="1">
      <alignment horizontal="center"/>
    </xf>
    <xf numFmtId="0" fontId="34" fillId="0" borderId="12" xfId="0" applyFont="1" applyBorder="1" applyAlignment="1">
      <alignment horizontal="center"/>
    </xf>
    <xf numFmtId="0" fontId="27" fillId="0" borderId="0" xfId="0" applyFont="1"/>
    <xf numFmtId="165" fontId="27" fillId="0" borderId="0" xfId="0" applyNumberFormat="1" applyFont="1"/>
    <xf numFmtId="165" fontId="33" fillId="0" borderId="0" xfId="0" applyNumberFormat="1" applyFont="1"/>
    <xf numFmtId="165" fontId="33" fillId="0" borderId="0" xfId="0" applyNumberFormat="1" applyFont="1" applyAlignment="1">
      <alignment horizontal="center"/>
    </xf>
    <xf numFmtId="165" fontId="33" fillId="0" borderId="0" xfId="0" applyNumberFormat="1" applyFont="1" applyAlignment="1">
      <alignment horizontal="center" wrapText="1"/>
    </xf>
    <xf numFmtId="0" fontId="33" fillId="0" borderId="0" xfId="0" applyFont="1" applyAlignment="1">
      <alignment horizontal="center" wrapText="1"/>
    </xf>
    <xf numFmtId="10" fontId="27" fillId="0" borderId="0" xfId="3" applyNumberFormat="1" applyFont="1" applyFill="1"/>
    <xf numFmtId="171" fontId="33" fillId="0" borderId="0" xfId="0" applyNumberFormat="1" applyFont="1"/>
    <xf numFmtId="164" fontId="33" fillId="0" borderId="0" xfId="0" applyNumberFormat="1" applyFont="1"/>
    <xf numFmtId="44" fontId="27" fillId="0" borderId="0" xfId="2" applyFont="1"/>
    <xf numFmtId="172" fontId="27" fillId="0" borderId="0" xfId="0" applyNumberFormat="1" applyFont="1"/>
    <xf numFmtId="171" fontId="27" fillId="0" borderId="0" xfId="0" applyNumberFormat="1" applyFont="1"/>
    <xf numFmtId="167" fontId="27" fillId="0" borderId="0" xfId="0" applyNumberFormat="1" applyFont="1" applyAlignment="1">
      <alignment horizontal="center"/>
    </xf>
    <xf numFmtId="1" fontId="27" fillId="0" borderId="0" xfId="0" applyNumberFormat="1" applyFont="1" applyAlignment="1">
      <alignment horizontal="center"/>
    </xf>
    <xf numFmtId="44" fontId="27" fillId="0" borderId="0" xfId="0" applyNumberFormat="1" applyFont="1"/>
    <xf numFmtId="44" fontId="27" fillId="0" borderId="44" xfId="0" applyNumberFormat="1" applyFont="1" applyBorder="1"/>
    <xf numFmtId="44" fontId="27" fillId="0" borderId="45" xfId="0" applyNumberFormat="1" applyFont="1" applyBorder="1"/>
    <xf numFmtId="44" fontId="27" fillId="0" borderId="46" xfId="0" applyNumberFormat="1" applyFont="1" applyBorder="1"/>
    <xf numFmtId="0" fontId="27" fillId="0" borderId="2" xfId="0" applyFont="1" applyBorder="1"/>
    <xf numFmtId="0" fontId="27" fillId="0" borderId="3" xfId="0" applyFont="1" applyBorder="1"/>
    <xf numFmtId="165" fontId="38" fillId="0" borderId="6" xfId="0" applyNumberFormat="1" applyFont="1" applyBorder="1"/>
    <xf numFmtId="0" fontId="38" fillId="0" borderId="7" xfId="0" applyFont="1" applyBorder="1"/>
    <xf numFmtId="0" fontId="38" fillId="0" borderId="8" xfId="0" applyFont="1" applyBorder="1"/>
    <xf numFmtId="165" fontId="27" fillId="0" borderId="6" xfId="0" applyNumberFormat="1" applyFont="1" applyBorder="1"/>
    <xf numFmtId="0" fontId="27" fillId="0" borderId="7" xfId="0" applyFont="1" applyBorder="1"/>
    <xf numFmtId="10" fontId="27" fillId="0" borderId="7" xfId="3" applyNumberFormat="1" applyFont="1" applyBorder="1"/>
    <xf numFmtId="0" fontId="0" fillId="0" borderId="8" xfId="0" applyBorder="1"/>
    <xf numFmtId="165" fontId="27" fillId="0" borderId="47" xfId="0" applyNumberFormat="1" applyFont="1" applyBorder="1"/>
    <xf numFmtId="0" fontId="27" fillId="0" borderId="20" xfId="0" applyFont="1" applyBorder="1"/>
    <xf numFmtId="10" fontId="27" fillId="0" borderId="20" xfId="3" applyNumberFormat="1" applyFont="1" applyBorder="1"/>
    <xf numFmtId="0" fontId="0" fillId="0" borderId="48" xfId="0" applyBorder="1"/>
    <xf numFmtId="165" fontId="38" fillId="0" borderId="47" xfId="0" applyNumberFormat="1" applyFont="1" applyBorder="1"/>
    <xf numFmtId="0" fontId="39" fillId="0" borderId="48" xfId="0" applyFont="1" applyBorder="1"/>
    <xf numFmtId="165" fontId="27" fillId="0" borderId="4" xfId="0" applyNumberFormat="1" applyFont="1" applyBorder="1"/>
    <xf numFmtId="165" fontId="33" fillId="0" borderId="37" xfId="0" applyNumberFormat="1" applyFont="1" applyBorder="1"/>
    <xf numFmtId="0" fontId="27" fillId="0" borderId="41" xfId="0" applyFont="1" applyBorder="1"/>
    <xf numFmtId="0" fontId="3" fillId="0" borderId="49" xfId="0" applyFont="1" applyBorder="1"/>
    <xf numFmtId="44" fontId="27" fillId="0" borderId="7" xfId="2" applyFont="1" applyBorder="1"/>
    <xf numFmtId="0" fontId="27" fillId="0" borderId="8" xfId="0" applyFont="1" applyBorder="1"/>
    <xf numFmtId="44" fontId="27" fillId="0" borderId="0" xfId="2" applyFont="1" applyBorder="1"/>
    <xf numFmtId="165" fontId="27" fillId="13" borderId="4" xfId="0" applyNumberFormat="1" applyFont="1" applyFill="1" applyBorder="1"/>
    <xf numFmtId="0" fontId="27" fillId="13" borderId="0" xfId="0" applyFont="1" applyFill="1"/>
    <xf numFmtId="44" fontId="27" fillId="13" borderId="0" xfId="2" applyFont="1" applyFill="1" applyBorder="1"/>
    <xf numFmtId="0" fontId="27" fillId="13" borderId="5" xfId="0" applyFont="1" applyFill="1" applyBorder="1"/>
    <xf numFmtId="0" fontId="33" fillId="0" borderId="5" xfId="0" applyFont="1" applyBorder="1"/>
    <xf numFmtId="165" fontId="33" fillId="0" borderId="4" xfId="0" applyNumberFormat="1" applyFont="1" applyBorder="1"/>
    <xf numFmtId="0" fontId="3" fillId="0" borderId="5" xfId="0" applyFont="1" applyBorder="1"/>
    <xf numFmtId="0" fontId="33" fillId="0" borderId="0" xfId="0" applyFont="1"/>
    <xf numFmtId="43" fontId="27" fillId="0" borderId="0" xfId="1" applyFont="1"/>
    <xf numFmtId="43" fontId="27" fillId="0" borderId="4" xfId="1" applyFont="1" applyBorder="1"/>
    <xf numFmtId="43" fontId="27" fillId="0" borderId="0" xfId="1" applyFont="1" applyBorder="1"/>
    <xf numFmtId="43" fontId="27" fillId="0" borderId="5" xfId="1" applyFont="1" applyBorder="1"/>
    <xf numFmtId="43" fontId="27" fillId="0" borderId="0" xfId="1" applyFont="1" applyFill="1"/>
    <xf numFmtId="165" fontId="33" fillId="0" borderId="4" xfId="0" applyNumberFormat="1" applyFont="1" applyBorder="1" applyAlignment="1">
      <alignment horizontal="center"/>
    </xf>
    <xf numFmtId="1" fontId="33" fillId="0" borderId="0" xfId="0" applyNumberFormat="1" applyFont="1" applyAlignment="1">
      <alignment horizontal="center"/>
    </xf>
    <xf numFmtId="168" fontId="33" fillId="0" borderId="0" xfId="0" applyNumberFormat="1" applyFont="1" applyAlignment="1">
      <alignment horizontal="center"/>
    </xf>
    <xf numFmtId="171" fontId="33" fillId="3" borderId="1" xfId="0" applyNumberFormat="1" applyFont="1" applyFill="1" applyBorder="1"/>
    <xf numFmtId="0" fontId="27" fillId="0" borderId="2" xfId="0" applyFont="1" applyBorder="1" applyAlignment="1">
      <alignment horizontal="right"/>
    </xf>
    <xf numFmtId="0" fontId="33" fillId="0" borderId="3" xfId="0" applyFont="1" applyBorder="1"/>
    <xf numFmtId="171" fontId="38" fillId="0" borderId="6" xfId="0" applyNumberFormat="1" applyFont="1" applyBorder="1"/>
    <xf numFmtId="171" fontId="27" fillId="0" borderId="4" xfId="0" applyNumberFormat="1" applyFont="1" applyBorder="1"/>
    <xf numFmtId="10" fontId="27" fillId="0" borderId="0" xfId="3" applyNumberFormat="1" applyFont="1" applyFill="1" applyBorder="1" applyAlignment="1">
      <alignment horizontal="center"/>
    </xf>
    <xf numFmtId="10" fontId="27" fillId="0" borderId="7" xfId="3" applyNumberFormat="1" applyFont="1" applyFill="1" applyBorder="1" applyAlignment="1">
      <alignment horizontal="right"/>
    </xf>
    <xf numFmtId="0" fontId="40" fillId="0" borderId="0" xfId="0" applyFont="1"/>
    <xf numFmtId="171" fontId="33" fillId="0" borderId="4" xfId="0" applyNumberFormat="1" applyFont="1" applyBorder="1"/>
    <xf numFmtId="0" fontId="33" fillId="0" borderId="0" xfId="0" applyFont="1" applyAlignment="1">
      <alignment horizontal="center"/>
    </xf>
    <xf numFmtId="0" fontId="33" fillId="0" borderId="0" xfId="0" applyFont="1" applyAlignment="1">
      <alignment horizontal="right"/>
    </xf>
    <xf numFmtId="171" fontId="27" fillId="0" borderId="6" xfId="0" applyNumberFormat="1" applyFont="1" applyBorder="1"/>
    <xf numFmtId="10" fontId="27" fillId="0" borderId="7" xfId="3" applyNumberFormat="1" applyFont="1" applyFill="1" applyBorder="1" applyAlignment="1">
      <alignment horizontal="center"/>
    </xf>
    <xf numFmtId="0" fontId="40" fillId="0" borderId="7" xfId="0" applyFont="1" applyBorder="1"/>
    <xf numFmtId="40" fontId="27" fillId="16" borderId="0" xfId="3" applyNumberFormat="1" applyFont="1" applyFill="1" applyBorder="1" applyAlignment="1">
      <alignment horizontal="center"/>
    </xf>
    <xf numFmtId="171" fontId="27" fillId="0" borderId="0" xfId="3" applyNumberFormat="1" applyFont="1" applyFill="1" applyBorder="1" applyAlignment="1">
      <alignment horizontal="center"/>
    </xf>
    <xf numFmtId="0" fontId="27" fillId="0" borderId="0" xfId="15" applyFont="1"/>
    <xf numFmtId="0" fontId="27" fillId="0" borderId="5" xfId="15" applyFont="1" applyBorder="1"/>
    <xf numFmtId="0" fontId="33" fillId="19" borderId="25" xfId="0" applyFont="1" applyFill="1" applyBorder="1" applyAlignment="1">
      <alignment horizontal="center"/>
    </xf>
    <xf numFmtId="0" fontId="33" fillId="19" borderId="26" xfId="0" applyFont="1" applyFill="1" applyBorder="1" applyAlignment="1">
      <alignment horizontal="center"/>
    </xf>
    <xf numFmtId="3" fontId="27" fillId="0" borderId="0" xfId="15" applyNumberFormat="1" applyFont="1"/>
    <xf numFmtId="0" fontId="31" fillId="0" borderId="0" xfId="15" applyFont="1"/>
    <xf numFmtId="3" fontId="27" fillId="0" borderId="0" xfId="15" applyNumberFormat="1" applyFont="1" applyAlignment="1">
      <alignment horizontal="center"/>
    </xf>
    <xf numFmtId="4" fontId="27" fillId="0" borderId="0" xfId="15" applyNumberFormat="1" applyFont="1" applyAlignment="1">
      <alignment horizontal="center"/>
    </xf>
    <xf numFmtId="3" fontId="27" fillId="0" borderId="0" xfId="16" applyNumberFormat="1" applyFont="1" applyFill="1" applyBorder="1" applyAlignment="1">
      <alignment horizontal="center"/>
    </xf>
    <xf numFmtId="3" fontId="31" fillId="0" borderId="0" xfId="15" applyNumberFormat="1" applyFont="1"/>
    <xf numFmtId="10" fontId="31" fillId="0" borderId="0" xfId="3" applyNumberFormat="1" applyFont="1" applyFill="1" applyBorder="1"/>
    <xf numFmtId="44" fontId="31" fillId="0" borderId="0" xfId="15" applyNumberFormat="1" applyFont="1"/>
    <xf numFmtId="0" fontId="42" fillId="0" borderId="0" xfId="15" applyFont="1"/>
    <xf numFmtId="43" fontId="31" fillId="0" borderId="0" xfId="15" applyNumberFormat="1" applyFont="1"/>
    <xf numFmtId="0" fontId="31" fillId="0" borderId="0" xfId="0" applyFont="1"/>
    <xf numFmtId="173" fontId="31" fillId="0" borderId="0" xfId="1" applyNumberFormat="1" applyFont="1"/>
    <xf numFmtId="44" fontId="36" fillId="0" borderId="0" xfId="17" applyFont="1" applyFill="1" applyBorder="1"/>
    <xf numFmtId="0" fontId="31" fillId="0" borderId="0" xfId="18" applyFont="1"/>
    <xf numFmtId="10" fontId="31" fillId="0" borderId="0" xfId="3" applyNumberFormat="1" applyFont="1"/>
    <xf numFmtId="37" fontId="31" fillId="0" borderId="0" xfId="17" applyNumberFormat="1" applyFont="1" applyFill="1" applyBorder="1" applyAlignment="1">
      <alignment horizontal="center"/>
    </xf>
    <xf numFmtId="44" fontId="31" fillId="0" borderId="0" xfId="2" applyFont="1" applyFill="1" applyBorder="1"/>
    <xf numFmtId="44" fontId="36" fillId="3" borderId="50" xfId="17" applyFont="1" applyFill="1" applyBorder="1"/>
    <xf numFmtId="37" fontId="31" fillId="0" borderId="26" xfId="17" applyNumberFormat="1" applyFont="1" applyFill="1" applyBorder="1" applyAlignment="1">
      <alignment horizontal="center"/>
    </xf>
    <xf numFmtId="0" fontId="31" fillId="0" borderId="26" xfId="18" applyFont="1" applyBorder="1"/>
    <xf numFmtId="0" fontId="36" fillId="0" borderId="27" xfId="18" applyFont="1" applyBorder="1"/>
    <xf numFmtId="44" fontId="31" fillId="0" borderId="1" xfId="17" applyFont="1" applyFill="1" applyBorder="1"/>
    <xf numFmtId="44" fontId="31" fillId="0" borderId="2" xfId="17" applyFont="1" applyFill="1" applyBorder="1"/>
    <xf numFmtId="0" fontId="31" fillId="0" borderId="2" xfId="18" applyFont="1" applyBorder="1"/>
    <xf numFmtId="0" fontId="36" fillId="0" borderId="3" xfId="18" applyFont="1" applyBorder="1"/>
    <xf numFmtId="42" fontId="36" fillId="0" borderId="51" xfId="18" applyNumberFormat="1" applyFont="1" applyBorder="1"/>
    <xf numFmtId="6" fontId="33" fillId="10" borderId="52" xfId="19" applyNumberFormat="1" applyFont="1" applyFill="1" applyBorder="1" applyAlignment="1">
      <alignment horizontal="right" wrapText="1"/>
    </xf>
    <xf numFmtId="0" fontId="2" fillId="10" borderId="52" xfId="19" applyFont="1" applyFill="1" applyBorder="1" applyAlignment="1">
      <alignment horizontal="right" wrapText="1"/>
    </xf>
    <xf numFmtId="0" fontId="33" fillId="10" borderId="53" xfId="19" applyFont="1" applyFill="1" applyBorder="1" applyAlignment="1">
      <alignment wrapText="1"/>
    </xf>
    <xf numFmtId="6" fontId="33" fillId="0" borderId="52" xfId="19" applyNumberFormat="1" applyFont="1" applyBorder="1" applyAlignment="1">
      <alignment horizontal="right" wrapText="1"/>
    </xf>
    <xf numFmtId="0" fontId="2" fillId="0" borderId="52" xfId="19" applyFont="1" applyBorder="1" applyAlignment="1">
      <alignment horizontal="right" wrapText="1"/>
    </xf>
    <xf numFmtId="0" fontId="33" fillId="0" borderId="53" xfId="19" applyFont="1" applyBorder="1" applyAlignment="1">
      <alignment wrapText="1"/>
    </xf>
    <xf numFmtId="42" fontId="31" fillId="0" borderId="54" xfId="18" applyNumberFormat="1" applyFont="1" applyBorder="1"/>
    <xf numFmtId="6" fontId="27" fillId="0" borderId="55" xfId="20" applyNumberFormat="1" applyFont="1" applyFill="1" applyBorder="1" applyAlignment="1">
      <alignment horizontal="right" wrapText="1"/>
    </xf>
    <xf numFmtId="10" fontId="27" fillId="0" borderId="55" xfId="19" applyNumberFormat="1" applyFont="1" applyBorder="1" applyAlignment="1">
      <alignment horizontal="right" wrapText="1"/>
    </xf>
    <xf numFmtId="0" fontId="31" fillId="0" borderId="5" xfId="0" applyFont="1" applyBorder="1"/>
    <xf numFmtId="42" fontId="31" fillId="0" borderId="4" xfId="18" applyNumberFormat="1" applyFont="1" applyBorder="1"/>
    <xf numFmtId="6" fontId="27" fillId="0" borderId="0" xfId="20" applyNumberFormat="1" applyFont="1" applyFill="1" applyBorder="1" applyAlignment="1">
      <alignment horizontal="right" wrapText="1"/>
    </xf>
    <xf numFmtId="10" fontId="27" fillId="0" borderId="0" xfId="19" applyNumberFormat="1" applyFont="1" applyAlignment="1">
      <alignment horizontal="right" wrapText="1"/>
    </xf>
    <xf numFmtId="42" fontId="36" fillId="0" borderId="37" xfId="18" applyNumberFormat="1" applyFont="1" applyBorder="1"/>
    <xf numFmtId="6" fontId="33" fillId="0" borderId="41" xfId="20" applyNumberFormat="1" applyFont="1" applyFill="1" applyBorder="1" applyAlignment="1">
      <alignment horizontal="right" wrapText="1"/>
    </xf>
    <xf numFmtId="10" fontId="2" fillId="0" borderId="41" xfId="19" applyNumberFormat="1" applyFont="1" applyBorder="1" applyAlignment="1">
      <alignment horizontal="right" wrapText="1"/>
    </xf>
    <xf numFmtId="0" fontId="33" fillId="0" borderId="49" xfId="19" applyFont="1" applyBorder="1" applyAlignment="1">
      <alignment wrapText="1"/>
    </xf>
    <xf numFmtId="42" fontId="31" fillId="0" borderId="6" xfId="18" applyNumberFormat="1" applyFont="1" applyBorder="1"/>
    <xf numFmtId="44" fontId="31" fillId="0" borderId="7" xfId="18" applyNumberFormat="1" applyFont="1" applyBorder="1"/>
    <xf numFmtId="171" fontId="31" fillId="0" borderId="7" xfId="18" applyNumberFormat="1" applyFont="1" applyBorder="1"/>
    <xf numFmtId="0" fontId="31" fillId="0" borderId="8" xfId="18" applyFont="1" applyBorder="1"/>
    <xf numFmtId="168" fontId="43" fillId="0" borderId="5" xfId="0" applyNumberFormat="1" applyFont="1" applyBorder="1" applyAlignment="1">
      <alignment horizontal="left"/>
    </xf>
    <xf numFmtId="44" fontId="31" fillId="0" borderId="0" xfId="18" applyNumberFormat="1" applyFont="1"/>
    <xf numFmtId="6" fontId="43" fillId="0" borderId="0" xfId="0" applyNumberFormat="1" applyFont="1"/>
    <xf numFmtId="42" fontId="36" fillId="0" borderId="4" xfId="18" applyNumberFormat="1" applyFont="1" applyBorder="1"/>
    <xf numFmtId="44" fontId="36" fillId="0" borderId="0" xfId="18" applyNumberFormat="1" applyFont="1"/>
    <xf numFmtId="6" fontId="30" fillId="0" borderId="0" xfId="0" applyNumberFormat="1" applyFont="1"/>
    <xf numFmtId="168" fontId="30" fillId="0" borderId="5" xfId="0" applyNumberFormat="1" applyFont="1" applyBorder="1" applyAlignment="1">
      <alignment horizontal="left"/>
    </xf>
    <xf numFmtId="42" fontId="31" fillId="13" borderId="4" xfId="18" applyNumberFormat="1" applyFont="1" applyFill="1" applyBorder="1"/>
    <xf numFmtId="44" fontId="31" fillId="13" borderId="0" xfId="18" applyNumberFormat="1" applyFont="1" applyFill="1"/>
    <xf numFmtId="6" fontId="43" fillId="13" borderId="0" xfId="0" applyNumberFormat="1" applyFont="1" applyFill="1"/>
    <xf numFmtId="168" fontId="43" fillId="13" borderId="5" xfId="0" applyNumberFormat="1" applyFont="1" applyFill="1" applyBorder="1" applyAlignment="1">
      <alignment horizontal="left"/>
    </xf>
    <xf numFmtId="3" fontId="36" fillId="0" borderId="56" xfId="15" applyNumberFormat="1" applyFont="1" applyBorder="1" applyAlignment="1">
      <alignment horizontal="center"/>
    </xf>
    <xf numFmtId="0" fontId="31" fillId="0" borderId="57" xfId="15" applyFont="1" applyBorder="1" applyAlignment="1">
      <alignment horizontal="center"/>
    </xf>
    <xf numFmtId="0" fontId="31" fillId="0" borderId="26" xfId="15" applyFont="1" applyBorder="1" applyAlignment="1">
      <alignment horizontal="center"/>
    </xf>
    <xf numFmtId="0" fontId="31" fillId="0" borderId="26" xfId="15" applyFont="1" applyBorder="1"/>
    <xf numFmtId="0" fontId="36" fillId="0" borderId="26" xfId="15" applyFont="1" applyBorder="1"/>
    <xf numFmtId="0" fontId="36" fillId="0" borderId="27" xfId="15" applyFont="1" applyBorder="1"/>
    <xf numFmtId="4" fontId="31" fillId="0" borderId="32" xfId="15" applyNumberFormat="1" applyFont="1" applyBorder="1" applyAlignment="1">
      <alignment horizontal="center"/>
    </xf>
    <xf numFmtId="0" fontId="31" fillId="0" borderId="58" xfId="15" applyFont="1" applyBorder="1" applyAlignment="1">
      <alignment horizontal="center"/>
    </xf>
    <xf numFmtId="0" fontId="31" fillId="0" borderId="58" xfId="15" applyFont="1" applyBorder="1"/>
    <xf numFmtId="0" fontId="31" fillId="0" borderId="59" xfId="15" applyFont="1" applyBorder="1"/>
    <xf numFmtId="3" fontId="36" fillId="0" borderId="60" xfId="16" applyNumberFormat="1" applyFont="1" applyFill="1" applyBorder="1" applyAlignment="1">
      <alignment horizontal="center"/>
    </xf>
    <xf numFmtId="1" fontId="31" fillId="0" borderId="0" xfId="15" applyNumberFormat="1" applyFont="1" applyAlignment="1">
      <alignment horizontal="center"/>
    </xf>
    <xf numFmtId="0" fontId="31" fillId="0" borderId="0" xfId="15" applyFont="1" applyAlignment="1">
      <alignment horizontal="center"/>
    </xf>
    <xf numFmtId="0" fontId="31" fillId="0" borderId="0" xfId="15" applyFont="1" applyAlignment="1">
      <alignment horizontal="left"/>
    </xf>
    <xf numFmtId="0" fontId="36" fillId="0" borderId="0" xfId="15" applyFont="1"/>
    <xf numFmtId="0" fontId="36" fillId="0" borderId="48" xfId="15" applyFont="1" applyBorder="1"/>
    <xf numFmtId="1" fontId="31" fillId="0" borderId="7" xfId="15" applyNumberFormat="1" applyFont="1" applyBorder="1" applyAlignment="1">
      <alignment horizontal="center"/>
    </xf>
    <xf numFmtId="0" fontId="31" fillId="0" borderId="7" xfId="15" applyFont="1" applyBorder="1" applyAlignment="1">
      <alignment horizontal="center"/>
    </xf>
    <xf numFmtId="0" fontId="36" fillId="0" borderId="7" xfId="15" applyFont="1" applyBorder="1" applyAlignment="1">
      <alignment horizontal="center"/>
    </xf>
    <xf numFmtId="0" fontId="36" fillId="0" borderId="8" xfId="15" applyFont="1" applyBorder="1" applyAlignment="1">
      <alignment horizontal="center"/>
    </xf>
    <xf numFmtId="0" fontId="36" fillId="0" borderId="0" xfId="18" applyFont="1"/>
    <xf numFmtId="0" fontId="36" fillId="0" borderId="5" xfId="18" applyFont="1" applyBorder="1"/>
    <xf numFmtId="3" fontId="31" fillId="0" borderId="60" xfId="16" applyNumberFormat="1" applyFont="1" applyFill="1" applyBorder="1" applyAlignment="1">
      <alignment horizontal="center"/>
    </xf>
    <xf numFmtId="0" fontId="31" fillId="0" borderId="30" xfId="15" applyFont="1" applyBorder="1" applyAlignment="1">
      <alignment horizontal="center"/>
    </xf>
    <xf numFmtId="0" fontId="31" fillId="0" borderId="7" xfId="15" applyFont="1" applyBorder="1" applyAlignment="1">
      <alignment horizontal="left"/>
    </xf>
    <xf numFmtId="0" fontId="31" fillId="0" borderId="8" xfId="15" applyFont="1" applyBorder="1" applyAlignment="1">
      <alignment horizontal="left"/>
    </xf>
    <xf numFmtId="42" fontId="36" fillId="0" borderId="54" xfId="18" applyNumberFormat="1" applyFont="1" applyBorder="1"/>
    <xf numFmtId="39" fontId="36" fillId="0" borderId="55" xfId="18" applyNumberFormat="1" applyFont="1" applyBorder="1"/>
    <xf numFmtId="0" fontId="36" fillId="0" borderId="55" xfId="18" applyFont="1" applyBorder="1"/>
    <xf numFmtId="0" fontId="36" fillId="0" borderId="61" xfId="18" applyFont="1" applyBorder="1"/>
    <xf numFmtId="3" fontId="31" fillId="0" borderId="45" xfId="16" applyNumberFormat="1" applyFont="1" applyFill="1" applyBorder="1" applyAlignment="1">
      <alignment horizontal="center"/>
    </xf>
    <xf numFmtId="0" fontId="31" fillId="0" borderId="31" xfId="15" applyFont="1" applyBorder="1" applyAlignment="1">
      <alignment horizontal="center"/>
    </xf>
    <xf numFmtId="0" fontId="31" fillId="0" borderId="5" xfId="15" applyFont="1" applyBorder="1" applyAlignment="1">
      <alignment horizontal="left"/>
    </xf>
    <xf numFmtId="0" fontId="31" fillId="0" borderId="55" xfId="18" applyFont="1" applyBorder="1"/>
    <xf numFmtId="10" fontId="31" fillId="0" borderId="55" xfId="21" applyNumberFormat="1" applyFont="1" applyBorder="1" applyAlignment="1">
      <alignment horizontal="right" wrapText="1"/>
    </xf>
    <xf numFmtId="0" fontId="31" fillId="0" borderId="61" xfId="19" applyFont="1" applyBorder="1" applyAlignment="1">
      <alignment wrapText="1"/>
    </xf>
    <xf numFmtId="1" fontId="31" fillId="0" borderId="15" xfId="15" applyNumberFormat="1" applyFont="1" applyBorder="1" applyAlignment="1">
      <alignment horizontal="center"/>
    </xf>
    <xf numFmtId="4" fontId="36" fillId="0" borderId="0" xfId="18" applyNumberFormat="1" applyFont="1" applyAlignment="1">
      <alignment horizontal="center"/>
    </xf>
    <xf numFmtId="10" fontId="43" fillId="0" borderId="0" xfId="0" applyNumberFormat="1" applyFont="1"/>
    <xf numFmtId="0" fontId="43" fillId="0" borderId="5" xfId="0" applyFont="1" applyBorder="1"/>
    <xf numFmtId="6" fontId="36" fillId="0" borderId="0" xfId="18" applyNumberFormat="1" applyFont="1"/>
    <xf numFmtId="0" fontId="36" fillId="0" borderId="5" xfId="14" applyFont="1" applyBorder="1"/>
    <xf numFmtId="4" fontId="31" fillId="0" borderId="0" xfId="18" applyNumberFormat="1" applyFont="1" applyAlignment="1">
      <alignment horizontal="center"/>
    </xf>
    <xf numFmtId="3" fontId="31" fillId="0" borderId="62" xfId="16" applyNumberFormat="1" applyFont="1" applyFill="1" applyBorder="1" applyAlignment="1">
      <alignment horizontal="center"/>
    </xf>
    <xf numFmtId="1" fontId="31" fillId="0" borderId="19" xfId="15" applyNumberFormat="1" applyFont="1" applyBorder="1" applyAlignment="1">
      <alignment horizontal="center"/>
    </xf>
    <xf numFmtId="0" fontId="31" fillId="0" borderId="29" xfId="15" applyFont="1" applyBorder="1" applyAlignment="1">
      <alignment horizontal="center"/>
    </xf>
    <xf numFmtId="0" fontId="36" fillId="0" borderId="31" xfId="15" applyFont="1" applyBorder="1" applyAlignment="1">
      <alignment horizontal="center"/>
    </xf>
    <xf numFmtId="0" fontId="36" fillId="0" borderId="0" xfId="15" applyFont="1" applyAlignment="1">
      <alignment horizontal="center"/>
    </xf>
    <xf numFmtId="0" fontId="36" fillId="0" borderId="5" xfId="15" applyFont="1" applyBorder="1" applyAlignment="1">
      <alignment horizontal="center"/>
    </xf>
    <xf numFmtId="3" fontId="31" fillId="0" borderId="35" xfId="16" applyNumberFormat="1" applyFont="1" applyFill="1" applyBorder="1" applyAlignment="1">
      <alignment horizontal="center"/>
    </xf>
    <xf numFmtId="1" fontId="31" fillId="0" borderId="41" xfId="15" applyNumberFormat="1" applyFont="1" applyBorder="1" applyAlignment="1">
      <alignment horizontal="center"/>
    </xf>
    <xf numFmtId="0" fontId="31" fillId="0" borderId="28" xfId="15" applyFont="1" applyBorder="1" applyAlignment="1">
      <alignment horizontal="center"/>
    </xf>
    <xf numFmtId="0" fontId="36" fillId="0" borderId="17" xfId="15" applyFont="1" applyBorder="1" applyAlignment="1">
      <alignment horizontal="center"/>
    </xf>
    <xf numFmtId="0" fontId="36" fillId="0" borderId="41" xfId="15" applyFont="1" applyBorder="1" applyAlignment="1">
      <alignment horizontal="center"/>
    </xf>
    <xf numFmtId="0" fontId="36" fillId="0" borderId="49" xfId="15" applyFont="1" applyBorder="1" applyAlignment="1">
      <alignment horizontal="center"/>
    </xf>
    <xf numFmtId="0" fontId="36" fillId="0" borderId="6" xfId="18" applyFont="1" applyBorder="1" applyAlignment="1">
      <alignment horizontal="right"/>
    </xf>
    <xf numFmtId="0" fontId="36" fillId="0" borderId="7" xfId="18" applyFont="1" applyBorder="1" applyAlignment="1">
      <alignment horizontal="center"/>
    </xf>
    <xf numFmtId="0" fontId="36" fillId="0" borderId="8" xfId="18" applyFont="1" applyBorder="1"/>
    <xf numFmtId="3" fontId="36" fillId="11" borderId="63" xfId="15" applyNumberFormat="1" applyFont="1" applyFill="1" applyBorder="1" applyAlignment="1">
      <alignment horizontal="center"/>
    </xf>
    <xf numFmtId="0" fontId="36" fillId="11" borderId="64" xfId="15" applyFont="1" applyFill="1" applyBorder="1" applyAlignment="1">
      <alignment horizontal="center"/>
    </xf>
    <xf numFmtId="0" fontId="36" fillId="11" borderId="10" xfId="15" applyFont="1" applyFill="1" applyBorder="1" applyAlignment="1">
      <alignment horizontal="center"/>
    </xf>
    <xf numFmtId="0" fontId="36" fillId="11" borderId="10" xfId="15" applyFont="1" applyFill="1" applyBorder="1"/>
    <xf numFmtId="0" fontId="36" fillId="11" borderId="12" xfId="15" applyFont="1" applyFill="1" applyBorder="1"/>
    <xf numFmtId="3" fontId="36" fillId="0" borderId="65" xfId="18" applyNumberFormat="1" applyFont="1" applyBorder="1" applyAlignment="1">
      <alignment horizontal="center"/>
    </xf>
    <xf numFmtId="0" fontId="36" fillId="0" borderId="66" xfId="18" applyFont="1" applyBorder="1"/>
    <xf numFmtId="0" fontId="44" fillId="0" borderId="0" xfId="15" applyFont="1" applyAlignment="1">
      <alignment horizontal="center" vertical="center" wrapText="1"/>
    </xf>
    <xf numFmtId="0" fontId="27" fillId="0" borderId="0" xfId="15" applyFont="1" applyAlignment="1">
      <alignment horizontal="center" vertical="center"/>
    </xf>
    <xf numFmtId="0" fontId="31" fillId="0" borderId="0" xfId="0" applyFont="1" applyAlignment="1">
      <alignment horizontal="center"/>
    </xf>
    <xf numFmtId="4" fontId="31" fillId="0" borderId="0" xfId="0" applyNumberFormat="1" applyFont="1"/>
    <xf numFmtId="2" fontId="31" fillId="0" borderId="0" xfId="0" applyNumberFormat="1" applyFont="1"/>
    <xf numFmtId="10" fontId="31" fillId="0" borderId="0" xfId="3" applyNumberFormat="1" applyFont="1" applyFill="1"/>
    <xf numFmtId="0" fontId="31" fillId="0" borderId="0" xfId="0" applyFont="1" applyAlignment="1">
      <alignment horizontal="left"/>
    </xf>
    <xf numFmtId="3" fontId="36" fillId="0" borderId="0" xfId="0" applyNumberFormat="1" applyFont="1" applyAlignment="1">
      <alignment horizontal="center"/>
    </xf>
    <xf numFmtId="10" fontId="36" fillId="0" borderId="0" xfId="3" applyNumberFormat="1" applyFont="1" applyBorder="1" applyAlignment="1">
      <alignment horizontal="right" wrapText="1"/>
    </xf>
    <xf numFmtId="0" fontId="31" fillId="0" borderId="0" xfId="0" applyFont="1" applyAlignment="1">
      <alignment horizontal="left" wrapText="1"/>
    </xf>
    <xf numFmtId="4" fontId="31" fillId="0" borderId="0" xfId="0" applyNumberFormat="1" applyFont="1" applyAlignment="1">
      <alignment horizontal="center"/>
    </xf>
    <xf numFmtId="0" fontId="43" fillId="0" borderId="0" xfId="0" applyFont="1"/>
    <xf numFmtId="3" fontId="31" fillId="0" borderId="0" xfId="0" applyNumberFormat="1" applyFont="1" applyAlignment="1">
      <alignment horizontal="center"/>
    </xf>
    <xf numFmtId="10" fontId="31" fillId="0" borderId="0" xfId="3" applyNumberFormat="1" applyFont="1" applyBorder="1"/>
    <xf numFmtId="49" fontId="31" fillId="0" borderId="0" xfId="0" applyNumberFormat="1" applyFont="1"/>
    <xf numFmtId="0" fontId="36" fillId="0" borderId="0" xfId="0" applyFont="1" applyAlignment="1">
      <alignment horizontal="center" vertical="center"/>
    </xf>
    <xf numFmtId="0" fontId="36" fillId="0" borderId="0" xfId="0" applyFont="1" applyAlignment="1">
      <alignment horizontal="center"/>
    </xf>
    <xf numFmtId="0" fontId="36" fillId="0" borderId="0" xfId="0" applyFont="1" applyAlignment="1">
      <alignment horizontal="center" wrapText="1"/>
    </xf>
    <xf numFmtId="0" fontId="45" fillId="0" borderId="0" xfId="0" applyFont="1" applyAlignment="1">
      <alignment horizontal="center" vertical="top"/>
    </xf>
    <xf numFmtId="3" fontId="45" fillId="0" borderId="0" xfId="0" applyNumberFormat="1" applyFont="1"/>
    <xf numFmtId="0" fontId="45" fillId="0" borderId="0" xfId="0" applyFont="1" applyAlignment="1">
      <alignment horizontal="right"/>
    </xf>
    <xf numFmtId="173" fontId="31" fillId="0" borderId="0" xfId="1" applyNumberFormat="1" applyFont="1" applyBorder="1" applyAlignment="1">
      <alignment horizontal="right" wrapText="1"/>
    </xf>
    <xf numFmtId="7" fontId="36" fillId="0" borderId="0" xfId="0" applyNumberFormat="1" applyFont="1"/>
    <xf numFmtId="39" fontId="36" fillId="0" borderId="0" xfId="0" applyNumberFormat="1" applyFont="1"/>
    <xf numFmtId="0" fontId="36" fillId="0" borderId="0" xfId="0" applyFont="1"/>
    <xf numFmtId="7" fontId="31" fillId="0" borderId="0" xfId="0" applyNumberFormat="1" applyFont="1"/>
    <xf numFmtId="7" fontId="36" fillId="3" borderId="67" xfId="0" applyNumberFormat="1" applyFont="1" applyFill="1" applyBorder="1"/>
    <xf numFmtId="39" fontId="36" fillId="0" borderId="58" xfId="0" applyNumberFormat="1" applyFont="1" applyBorder="1"/>
    <xf numFmtId="0" fontId="36" fillId="0" borderId="58" xfId="0" applyFont="1" applyBorder="1"/>
    <xf numFmtId="0" fontId="36" fillId="0" borderId="59" xfId="0" applyFont="1" applyBorder="1"/>
    <xf numFmtId="7" fontId="36" fillId="17" borderId="4" xfId="0" applyNumberFormat="1" applyFont="1" applyFill="1" applyBorder="1"/>
    <xf numFmtId="0" fontId="36" fillId="0" borderId="5" xfId="0" applyFont="1" applyBorder="1"/>
    <xf numFmtId="6" fontId="36" fillId="0" borderId="47" xfId="0" applyNumberFormat="1" applyFont="1" applyBorder="1"/>
    <xf numFmtId="6" fontId="33" fillId="0" borderId="20" xfId="19" applyNumberFormat="1" applyFont="1" applyBorder="1" applyAlignment="1">
      <alignment horizontal="right" wrapText="1"/>
    </xf>
    <xf numFmtId="0" fontId="2" fillId="0" borderId="20" xfId="19" applyFont="1" applyBorder="1" applyAlignment="1">
      <alignment horizontal="right" wrapText="1"/>
    </xf>
    <xf numFmtId="0" fontId="33" fillId="0" borderId="48" xfId="19" applyFont="1" applyBorder="1" applyAlignment="1">
      <alignment wrapText="1"/>
    </xf>
    <xf numFmtId="6" fontId="31" fillId="0" borderId="6" xfId="0" applyNumberFormat="1" applyFont="1" applyBorder="1"/>
    <xf numFmtId="6" fontId="27" fillId="0" borderId="7" xfId="20" applyNumberFormat="1" applyFont="1" applyFill="1" applyBorder="1" applyAlignment="1">
      <alignment horizontal="right" wrapText="1"/>
    </xf>
    <xf numFmtId="10" fontId="43" fillId="0" borderId="7" xfId="0" applyNumberFormat="1" applyFont="1" applyBorder="1"/>
    <xf numFmtId="171" fontId="31" fillId="0" borderId="0" xfId="2" applyNumberFormat="1" applyFont="1" applyFill="1"/>
    <xf numFmtId="6" fontId="31" fillId="0" borderId="47" xfId="0" applyNumberFormat="1" applyFont="1" applyBorder="1"/>
    <xf numFmtId="6" fontId="27" fillId="0" borderId="20" xfId="20" applyNumberFormat="1" applyFont="1" applyFill="1" applyBorder="1" applyAlignment="1">
      <alignment horizontal="right" wrapText="1"/>
    </xf>
    <xf numFmtId="10" fontId="43" fillId="0" borderId="20" xfId="0" applyNumberFormat="1" applyFont="1" applyBorder="1"/>
    <xf numFmtId="6" fontId="36" fillId="0" borderId="37" xfId="0" applyNumberFormat="1" applyFont="1" applyBorder="1"/>
    <xf numFmtId="0" fontId="38" fillId="0" borderId="49" xfId="19" applyFont="1" applyBorder="1" applyAlignment="1">
      <alignment wrapText="1"/>
    </xf>
    <xf numFmtId="6" fontId="43" fillId="0" borderId="4" xfId="0" applyNumberFormat="1" applyFont="1" applyBorder="1"/>
    <xf numFmtId="37" fontId="31" fillId="0" borderId="0" xfId="0" applyNumberFormat="1" applyFont="1"/>
    <xf numFmtId="0" fontId="36" fillId="0" borderId="0" xfId="0" applyFont="1" applyAlignment="1">
      <alignment wrapText="1"/>
    </xf>
    <xf numFmtId="6" fontId="30" fillId="0" borderId="6" xfId="0" applyNumberFormat="1" applyFont="1" applyBorder="1"/>
    <xf numFmtId="37" fontId="31" fillId="0" borderId="7" xfId="0" applyNumberFormat="1" applyFont="1" applyBorder="1"/>
    <xf numFmtId="10" fontId="31" fillId="0" borderId="7" xfId="3" applyNumberFormat="1" applyFont="1" applyBorder="1"/>
    <xf numFmtId="168" fontId="30" fillId="0" borderId="8" xfId="0" applyNumberFormat="1" applyFont="1" applyBorder="1" applyAlignment="1">
      <alignment horizontal="left"/>
    </xf>
    <xf numFmtId="10" fontId="31" fillId="0" borderId="7" xfId="3" applyNumberFormat="1" applyFont="1" applyFill="1" applyBorder="1"/>
    <xf numFmtId="3" fontId="36" fillId="0" borderId="56" xfId="0" applyNumberFormat="1" applyFont="1" applyBorder="1" applyAlignment="1">
      <alignment horizontal="center"/>
    </xf>
    <xf numFmtId="3" fontId="36" fillId="0" borderId="50" xfId="0" applyNumberFormat="1" applyFont="1" applyBorder="1" applyAlignment="1">
      <alignment horizontal="center"/>
    </xf>
    <xf numFmtId="0" fontId="36" fillId="0" borderId="27" xfId="0" applyFont="1" applyBorder="1" applyAlignment="1">
      <alignment wrapText="1"/>
    </xf>
    <xf numFmtId="6" fontId="43" fillId="0" borderId="47" xfId="0" applyNumberFormat="1" applyFont="1" applyBorder="1"/>
    <xf numFmtId="37" fontId="31" fillId="0" borderId="20" xfId="0" applyNumberFormat="1" applyFont="1" applyBorder="1"/>
    <xf numFmtId="168" fontId="43" fillId="0" borderId="48" xfId="0" applyNumberFormat="1" applyFont="1" applyBorder="1" applyAlignment="1">
      <alignment horizontal="left"/>
    </xf>
    <xf numFmtId="4" fontId="31" fillId="0" borderId="4" xfId="0" applyNumberFormat="1" applyFont="1" applyBorder="1" applyAlignment="1">
      <alignment horizontal="center"/>
    </xf>
    <xf numFmtId="4" fontId="31" fillId="0" borderId="5" xfId="0" applyNumberFormat="1" applyFont="1" applyBorder="1" applyAlignment="1">
      <alignment horizontal="center"/>
    </xf>
    <xf numFmtId="0" fontId="31" fillId="0" borderId="5" xfId="0" applyFont="1" applyBorder="1" applyAlignment="1">
      <alignment wrapText="1"/>
    </xf>
    <xf numFmtId="6" fontId="36" fillId="0" borderId="4" xfId="0" applyNumberFormat="1" applyFont="1" applyBorder="1"/>
    <xf numFmtId="37" fontId="36" fillId="0" borderId="0" xfId="0" applyNumberFormat="1" applyFont="1"/>
    <xf numFmtId="3" fontId="36" fillId="0" borderId="60" xfId="0" applyNumberFormat="1" applyFont="1" applyBorder="1" applyAlignment="1">
      <alignment horizontal="center"/>
    </xf>
    <xf numFmtId="3" fontId="36" fillId="0" borderId="68" xfId="0" applyNumberFormat="1" applyFont="1" applyBorder="1" applyAlignment="1">
      <alignment horizontal="center"/>
    </xf>
    <xf numFmtId="0" fontId="36" fillId="0" borderId="8" xfId="0" applyFont="1" applyBorder="1" applyAlignment="1">
      <alignment wrapText="1"/>
    </xf>
    <xf numFmtId="3" fontId="36" fillId="0" borderId="45" xfId="0" applyNumberFormat="1" applyFont="1" applyBorder="1" applyAlignment="1">
      <alignment horizontal="center"/>
    </xf>
    <xf numFmtId="3" fontId="36" fillId="0" borderId="23" xfId="0" applyNumberFormat="1" applyFont="1" applyBorder="1" applyAlignment="1">
      <alignment horizontal="center"/>
    </xf>
    <xf numFmtId="0" fontId="36" fillId="0" borderId="5" xfId="0" applyFont="1" applyBorder="1" applyAlignment="1">
      <alignment wrapText="1"/>
    </xf>
    <xf numFmtId="39" fontId="36" fillId="0" borderId="41" xfId="0" applyNumberFormat="1" applyFont="1" applyBorder="1"/>
    <xf numFmtId="37" fontId="36" fillId="0" borderId="41" xfId="0" applyNumberFormat="1" applyFont="1" applyBorder="1"/>
    <xf numFmtId="0" fontId="36" fillId="0" borderId="49" xfId="0" applyFont="1" applyBorder="1"/>
    <xf numFmtId="3" fontId="36" fillId="0" borderId="44" xfId="0" applyNumberFormat="1" applyFont="1" applyBorder="1" applyAlignment="1">
      <alignment horizontal="center"/>
    </xf>
    <xf numFmtId="3" fontId="36" fillId="0" borderId="22" xfId="0" applyNumberFormat="1" applyFont="1" applyBorder="1" applyAlignment="1">
      <alignment horizontal="center"/>
    </xf>
    <xf numFmtId="6" fontId="31" fillId="0" borderId="37" xfId="0" applyNumberFormat="1" applyFont="1" applyBorder="1"/>
    <xf numFmtId="37" fontId="31" fillId="0" borderId="41" xfId="0" applyNumberFormat="1" applyFont="1" applyBorder="1"/>
    <xf numFmtId="10" fontId="43" fillId="0" borderId="41" xfId="0" applyNumberFormat="1" applyFont="1" applyBorder="1"/>
    <xf numFmtId="0" fontId="0" fillId="0" borderId="49" xfId="0" applyBorder="1"/>
    <xf numFmtId="3" fontId="31" fillId="0" borderId="30" xfId="0" applyNumberFormat="1" applyFont="1" applyBorder="1" applyAlignment="1">
      <alignment horizontal="center"/>
    </xf>
    <xf numFmtId="0" fontId="31" fillId="0" borderId="18" xfId="22" applyFont="1" applyBorder="1"/>
    <xf numFmtId="4" fontId="36" fillId="0" borderId="41" xfId="18" applyNumberFormat="1" applyFont="1" applyBorder="1" applyAlignment="1">
      <alignment horizontal="center"/>
    </xf>
    <xf numFmtId="6" fontId="30" fillId="0" borderId="41" xfId="0" applyNumberFormat="1" applyFont="1" applyBorder="1"/>
    <xf numFmtId="168" fontId="30" fillId="0" borderId="49" xfId="0" applyNumberFormat="1" applyFont="1" applyBorder="1" applyAlignment="1">
      <alignment horizontal="left"/>
    </xf>
    <xf numFmtId="10" fontId="36" fillId="0" borderId="0" xfId="3" applyNumberFormat="1" applyFont="1" applyFill="1" applyBorder="1"/>
    <xf numFmtId="3" fontId="31" fillId="0" borderId="31" xfId="0" applyNumberFormat="1" applyFont="1" applyBorder="1" applyAlignment="1">
      <alignment horizontal="center"/>
    </xf>
    <xf numFmtId="6" fontId="31" fillId="0" borderId="4" xfId="0" applyNumberFormat="1" applyFont="1" applyBorder="1"/>
    <xf numFmtId="0" fontId="31" fillId="0" borderId="18" xfId="0" applyFont="1" applyBorder="1" applyAlignment="1">
      <alignment wrapText="1"/>
    </xf>
    <xf numFmtId="4" fontId="31" fillId="0" borderId="20" xfId="18" applyNumberFormat="1" applyFont="1" applyBorder="1" applyAlignment="1">
      <alignment horizontal="center"/>
    </xf>
    <xf numFmtId="6" fontId="43" fillId="0" borderId="20" xfId="0" applyNumberFormat="1" applyFont="1" applyBorder="1"/>
    <xf numFmtId="0" fontId="31" fillId="0" borderId="18" xfId="0" applyFont="1" applyBorder="1" applyAlignment="1">
      <alignment vertical="center" wrapText="1"/>
    </xf>
    <xf numFmtId="0" fontId="36" fillId="0" borderId="47" xfId="0" applyFont="1" applyBorder="1" applyAlignment="1">
      <alignment horizontal="center" vertical="center"/>
    </xf>
    <xf numFmtId="0" fontId="36" fillId="0" borderId="20" xfId="0" applyFont="1" applyBorder="1" applyAlignment="1">
      <alignment horizontal="center" vertical="center"/>
    </xf>
    <xf numFmtId="0" fontId="36" fillId="0" borderId="20" xfId="0" applyFont="1" applyBorder="1" applyAlignment="1">
      <alignment horizontal="right" vertical="center"/>
    </xf>
    <xf numFmtId="0" fontId="36" fillId="0" borderId="48" xfId="0" applyFont="1" applyBorder="1" applyAlignment="1">
      <alignment horizontal="center" vertical="center"/>
    </xf>
    <xf numFmtId="37" fontId="36" fillId="0" borderId="9" xfId="0" applyNumberFormat="1" applyFont="1" applyBorder="1"/>
    <xf numFmtId="0" fontId="31" fillId="0" borderId="10" xfId="0" applyFont="1" applyBorder="1"/>
    <xf numFmtId="0" fontId="36" fillId="0" borderId="12" xfId="0" applyFont="1" applyBorder="1" applyAlignment="1">
      <alignment horizontal="right"/>
    </xf>
    <xf numFmtId="3" fontId="36" fillId="0" borderId="17" xfId="0" applyNumberFormat="1" applyFont="1" applyBorder="1" applyAlignment="1">
      <alignment horizontal="center"/>
    </xf>
    <xf numFmtId="3" fontId="36" fillId="0" borderId="12" xfId="0" applyNumberFormat="1" applyFont="1" applyBorder="1" applyAlignment="1">
      <alignment wrapText="1"/>
    </xf>
    <xf numFmtId="2" fontId="36" fillId="0" borderId="24" xfId="0" applyNumberFormat="1" applyFont="1" applyBorder="1" applyAlignment="1">
      <alignment horizontal="center" vertical="center"/>
    </xf>
    <xf numFmtId="2" fontId="36" fillId="0" borderId="12" xfId="0" applyNumberFormat="1" applyFont="1" applyBorder="1" applyAlignment="1">
      <alignment horizontal="center" vertical="center"/>
    </xf>
    <xf numFmtId="0" fontId="36" fillId="11" borderId="69" xfId="0" applyFont="1" applyFill="1" applyBorder="1" applyAlignment="1">
      <alignment horizontal="center" vertical="center"/>
    </xf>
    <xf numFmtId="2" fontId="44" fillId="0" borderId="0" xfId="0" applyNumberFormat="1" applyFont="1"/>
    <xf numFmtId="0" fontId="27" fillId="0" borderId="0" xfId="11" applyFont="1" applyAlignment="1">
      <alignment wrapText="1"/>
    </xf>
    <xf numFmtId="0" fontId="27" fillId="0" borderId="0" xfId="11" applyFont="1" applyAlignment="1">
      <alignment horizontal="center"/>
    </xf>
    <xf numFmtId="0" fontId="27" fillId="0" borderId="0" xfId="11" applyFont="1" applyAlignment="1">
      <alignment vertical="center" wrapText="1"/>
    </xf>
    <xf numFmtId="4" fontId="27" fillId="0" borderId="0" xfId="11" applyNumberFormat="1" applyFont="1"/>
    <xf numFmtId="10" fontId="46" fillId="0" borderId="1" xfId="3" applyNumberFormat="1" applyFont="1" applyFill="1" applyBorder="1"/>
    <xf numFmtId="7" fontId="31" fillId="0" borderId="2" xfId="6" applyNumberFormat="1" applyFont="1" applyBorder="1" applyAlignment="1">
      <alignment horizontal="center"/>
    </xf>
    <xf numFmtId="44" fontId="31" fillId="0" borderId="2" xfId="2" applyFont="1" applyFill="1" applyBorder="1" applyAlignment="1">
      <alignment horizontal="center"/>
    </xf>
    <xf numFmtId="0" fontId="27" fillId="0" borderId="3" xfId="11" applyFont="1" applyBorder="1" applyAlignment="1">
      <alignment horizontal="left"/>
    </xf>
    <xf numFmtId="10" fontId="46" fillId="0" borderId="4" xfId="3" applyNumberFormat="1" applyFont="1" applyFill="1" applyBorder="1"/>
    <xf numFmtId="7" fontId="31" fillId="0" borderId="0" xfId="6" applyNumberFormat="1" applyFont="1" applyAlignment="1">
      <alignment horizontal="center"/>
    </xf>
    <xf numFmtId="44" fontId="31" fillId="0" borderId="0" xfId="2" applyFont="1" applyFill="1" applyBorder="1" applyAlignment="1">
      <alignment horizontal="center"/>
    </xf>
    <xf numFmtId="0" fontId="27" fillId="0" borderId="49" xfId="11" applyFont="1" applyBorder="1" applyAlignment="1">
      <alignment horizontal="left"/>
    </xf>
    <xf numFmtId="10" fontId="27" fillId="0" borderId="0" xfId="3" applyNumberFormat="1" applyFont="1" applyAlignment="1">
      <alignment horizontal="left"/>
    </xf>
    <xf numFmtId="0" fontId="27" fillId="0" borderId="49" xfId="0" applyFont="1" applyBorder="1" applyAlignment="1">
      <alignment horizontal="left"/>
    </xf>
    <xf numFmtId="0" fontId="31" fillId="0" borderId="25" xfId="6" applyFont="1" applyBorder="1" applyAlignment="1">
      <alignment horizontal="center" wrapText="1"/>
    </xf>
    <xf numFmtId="0" fontId="31" fillId="0" borderId="26" xfId="6" applyFont="1" applyBorder="1" applyAlignment="1">
      <alignment horizontal="center" wrapText="1"/>
    </xf>
    <xf numFmtId="0" fontId="31" fillId="0" borderId="27" xfId="6" applyFont="1" applyBorder="1"/>
    <xf numFmtId="10" fontId="27" fillId="0" borderId="0" xfId="11" applyNumberFormat="1" applyFont="1"/>
    <xf numFmtId="164" fontId="33" fillId="3" borderId="67" xfId="11" applyNumberFormat="1" applyFont="1" applyFill="1" applyBorder="1"/>
    <xf numFmtId="0" fontId="27" fillId="0" borderId="58" xfId="11" applyFont="1" applyBorder="1"/>
    <xf numFmtId="0" fontId="27" fillId="0" borderId="59" xfId="11" applyFont="1" applyBorder="1" applyAlignment="1">
      <alignment horizontal="left"/>
    </xf>
    <xf numFmtId="164" fontId="33" fillId="3" borderId="37" xfId="11" applyNumberFormat="1" applyFont="1" applyFill="1" applyBorder="1"/>
    <xf numFmtId="0" fontId="27" fillId="0" borderId="41" xfId="11" applyFont="1" applyBorder="1"/>
    <xf numFmtId="0" fontId="27" fillId="0" borderId="0" xfId="0" applyFont="1" applyAlignment="1">
      <alignment horizontal="left" wrapText="1"/>
    </xf>
    <xf numFmtId="164" fontId="33" fillId="3" borderId="37" xfId="0" applyNumberFormat="1" applyFont="1" applyFill="1" applyBorder="1"/>
    <xf numFmtId="10" fontId="27" fillId="0" borderId="41" xfId="0" applyNumberFormat="1" applyFont="1" applyBorder="1" applyAlignment="1">
      <alignment horizontal="center"/>
    </xf>
    <xf numFmtId="0" fontId="1" fillId="0" borderId="0" xfId="0" applyFont="1"/>
    <xf numFmtId="168" fontId="33" fillId="0" borderId="6" xfId="0" applyNumberFormat="1" applyFont="1" applyBorder="1"/>
    <xf numFmtId="166" fontId="33" fillId="0" borderId="7" xfId="0" applyNumberFormat="1" applyFont="1" applyBorder="1" applyAlignment="1">
      <alignment horizontal="center"/>
    </xf>
    <xf numFmtId="0" fontId="33" fillId="0" borderId="7" xfId="0" applyFont="1" applyBorder="1"/>
    <xf numFmtId="0" fontId="33" fillId="0" borderId="8" xfId="0" applyFont="1" applyBorder="1"/>
    <xf numFmtId="3" fontId="33" fillId="0" borderId="44" xfId="0" applyNumberFormat="1" applyFont="1" applyBorder="1" applyAlignment="1">
      <alignment horizontal="center"/>
    </xf>
    <xf numFmtId="0" fontId="33" fillId="0" borderId="70" xfId="0" applyFont="1" applyBorder="1" applyAlignment="1">
      <alignment wrapText="1"/>
    </xf>
    <xf numFmtId="168" fontId="27" fillId="0" borderId="6" xfId="0" applyNumberFormat="1" applyFont="1" applyBorder="1"/>
    <xf numFmtId="37" fontId="27" fillId="0" borderId="7" xfId="0" applyNumberFormat="1" applyFont="1" applyBorder="1"/>
    <xf numFmtId="3" fontId="33" fillId="0" borderId="56" xfId="0" applyNumberFormat="1" applyFont="1" applyBorder="1" applyAlignment="1">
      <alignment horizontal="center"/>
    </xf>
    <xf numFmtId="0" fontId="33" fillId="0" borderId="69" xfId="0" applyFont="1" applyBorder="1" applyAlignment="1">
      <alignment wrapText="1"/>
    </xf>
    <xf numFmtId="168" fontId="27" fillId="0" borderId="47" xfId="0" applyNumberFormat="1" applyFont="1" applyBorder="1"/>
    <xf numFmtId="166" fontId="27" fillId="0" borderId="20" xfId="0" applyNumberFormat="1" applyFont="1" applyBorder="1" applyAlignment="1">
      <alignment horizontal="center"/>
    </xf>
    <xf numFmtId="3" fontId="27" fillId="10" borderId="60" xfId="0" applyNumberFormat="1" applyFont="1" applyFill="1" applyBorder="1" applyAlignment="1">
      <alignment horizontal="center"/>
    </xf>
    <xf numFmtId="0" fontId="27" fillId="0" borderId="36" xfId="0" applyFont="1" applyBorder="1" applyAlignment="1">
      <alignment wrapText="1"/>
    </xf>
    <xf numFmtId="168" fontId="33" fillId="0" borderId="37" xfId="0" applyNumberFormat="1" applyFont="1" applyBorder="1"/>
    <xf numFmtId="166" fontId="27" fillId="0" borderId="41" xfId="0" applyNumberFormat="1" applyFont="1" applyBorder="1" applyAlignment="1">
      <alignment horizontal="center"/>
    </xf>
    <xf numFmtId="0" fontId="27" fillId="0" borderId="36" xfId="0" applyFont="1" applyBorder="1" applyAlignment="1">
      <alignment vertical="center" wrapText="1"/>
    </xf>
    <xf numFmtId="6" fontId="33" fillId="0" borderId="37" xfId="11" applyNumberFormat="1" applyFont="1" applyBorder="1"/>
    <xf numFmtId="10" fontId="27" fillId="0" borderId="41" xfId="3" applyNumberFormat="1" applyFont="1" applyBorder="1"/>
    <xf numFmtId="0" fontId="27" fillId="0" borderId="71" xfId="0" applyFont="1" applyBorder="1" applyAlignment="1">
      <alignment wrapText="1"/>
    </xf>
    <xf numFmtId="8" fontId="27" fillId="0" borderId="6" xfId="11" applyNumberFormat="1" applyFont="1" applyBorder="1"/>
    <xf numFmtId="0" fontId="27" fillId="0" borderId="7" xfId="11" applyFont="1" applyBorder="1"/>
    <xf numFmtId="168" fontId="43" fillId="0" borderId="8" xfId="0" applyNumberFormat="1" applyFont="1" applyBorder="1" applyAlignment="1">
      <alignment horizontal="left"/>
    </xf>
    <xf numFmtId="3" fontId="33" fillId="0" borderId="69" xfId="0" applyNumberFormat="1" applyFont="1" applyBorder="1" applyAlignment="1">
      <alignment wrapText="1"/>
    </xf>
    <xf numFmtId="8" fontId="27" fillId="0" borderId="4" xfId="11" applyNumberFormat="1" applyFont="1" applyBorder="1"/>
    <xf numFmtId="0" fontId="33" fillId="11" borderId="56" xfId="0" applyFont="1" applyFill="1" applyBorder="1" applyAlignment="1">
      <alignment horizontal="center"/>
    </xf>
    <xf numFmtId="0" fontId="33" fillId="11" borderId="27" xfId="0" applyFont="1" applyFill="1" applyBorder="1"/>
    <xf numFmtId="2" fontId="27" fillId="0" borderId="20" xfId="0" applyNumberFormat="1" applyFont="1" applyBorder="1" applyAlignment="1">
      <alignment horizontal="center"/>
    </xf>
    <xf numFmtId="168" fontId="27" fillId="0" borderId="20" xfId="0" applyNumberFormat="1" applyFont="1" applyBorder="1"/>
    <xf numFmtId="0" fontId="36" fillId="0" borderId="48" xfId="0" applyFont="1" applyBorder="1"/>
    <xf numFmtId="168" fontId="27" fillId="0" borderId="4" xfId="0" applyNumberFormat="1" applyFont="1" applyBorder="1"/>
    <xf numFmtId="2" fontId="27" fillId="0" borderId="0" xfId="0" applyNumberFormat="1" applyFont="1" applyAlignment="1">
      <alignment horizontal="center"/>
    </xf>
    <xf numFmtId="168" fontId="27" fillId="0" borderId="0" xfId="0" applyNumberFormat="1" applyFont="1"/>
    <xf numFmtId="10" fontId="33" fillId="0" borderId="41" xfId="3" applyNumberFormat="1" applyFont="1" applyBorder="1"/>
    <xf numFmtId="0" fontId="33" fillId="0" borderId="49" xfId="0" applyFont="1" applyBorder="1" applyAlignment="1">
      <alignment horizontal="left"/>
    </xf>
    <xf numFmtId="6" fontId="27" fillId="0" borderId="20" xfId="0" applyNumberFormat="1" applyFont="1" applyBorder="1"/>
    <xf numFmtId="43" fontId="33" fillId="0" borderId="41" xfId="1" applyFont="1" applyBorder="1" applyAlignment="1">
      <alignment vertical="top"/>
    </xf>
    <xf numFmtId="168" fontId="33" fillId="0" borderId="41" xfId="0" applyNumberFormat="1" applyFont="1" applyBorder="1"/>
    <xf numFmtId="168" fontId="33" fillId="0" borderId="4" xfId="0" applyNumberFormat="1" applyFont="1" applyBorder="1" applyAlignment="1">
      <alignment horizontal="right"/>
    </xf>
    <xf numFmtId="3" fontId="27" fillId="0" borderId="9" xfId="0" applyNumberFormat="1" applyFont="1" applyBorder="1" applyAlignment="1">
      <alignment horizontal="center"/>
    </xf>
    <xf numFmtId="0" fontId="27" fillId="0" borderId="10" xfId="0" applyFont="1" applyBorder="1" applyAlignment="1">
      <alignment horizontal="center"/>
    </xf>
    <xf numFmtId="0" fontId="27" fillId="0" borderId="12" xfId="0" applyFont="1" applyBorder="1" applyAlignment="1">
      <alignment horizontal="center"/>
    </xf>
    <xf numFmtId="0" fontId="33" fillId="0" borderId="0" xfId="0" applyFont="1" applyAlignment="1">
      <alignment horizontal="center" vertical="center" wrapText="1"/>
    </xf>
    <xf numFmtId="0" fontId="33" fillId="0" borderId="0" xfId="0" applyFont="1" applyAlignment="1">
      <alignment horizontal="center" vertical="center"/>
    </xf>
    <xf numFmtId="0" fontId="36" fillId="0" borderId="0" xfId="11" applyFont="1"/>
    <xf numFmtId="0" fontId="43" fillId="26" borderId="13" xfId="0" applyFont="1" applyFill="1" applyBorder="1"/>
    <xf numFmtId="10" fontId="36" fillId="26" borderId="7" xfId="0" applyNumberFormat="1" applyFont="1" applyFill="1" applyBorder="1" applyAlignment="1">
      <alignment horizontal="left"/>
    </xf>
    <xf numFmtId="44" fontId="43" fillId="26" borderId="7" xfId="2" applyFont="1" applyFill="1" applyBorder="1"/>
    <xf numFmtId="0" fontId="31" fillId="26" borderId="7" xfId="11" applyFont="1" applyFill="1" applyBorder="1"/>
    <xf numFmtId="0" fontId="43" fillId="26" borderId="7" xfId="0" applyFont="1" applyFill="1" applyBorder="1"/>
    <xf numFmtId="0" fontId="43" fillId="26" borderId="14" xfId="0" applyFont="1" applyFill="1" applyBorder="1"/>
    <xf numFmtId="0" fontId="43" fillId="26" borderId="15" xfId="0" applyFont="1" applyFill="1" applyBorder="1"/>
    <xf numFmtId="10" fontId="36" fillId="26" borderId="0" xfId="0" applyNumberFormat="1" applyFont="1" applyFill="1" applyAlignment="1">
      <alignment horizontal="left"/>
    </xf>
    <xf numFmtId="44" fontId="31" fillId="26" borderId="0" xfId="2" applyFont="1" applyFill="1" applyBorder="1"/>
    <xf numFmtId="0" fontId="31" fillId="26" borderId="0" xfId="11" applyFont="1" applyFill="1"/>
    <xf numFmtId="0" fontId="31" fillId="26" borderId="16" xfId="11" applyFont="1" applyFill="1" applyBorder="1"/>
    <xf numFmtId="168" fontId="36" fillId="26" borderId="0" xfId="0" applyNumberFormat="1" applyFont="1" applyFill="1"/>
    <xf numFmtId="0" fontId="31" fillId="26" borderId="19" xfId="11" applyFont="1" applyFill="1" applyBorder="1"/>
    <xf numFmtId="0" fontId="31" fillId="26" borderId="20" xfId="11" applyFont="1" applyFill="1" applyBorder="1"/>
    <xf numFmtId="168" fontId="36" fillId="26" borderId="20" xfId="0" applyNumberFormat="1" applyFont="1" applyFill="1" applyBorder="1"/>
    <xf numFmtId="0" fontId="36" fillId="26" borderId="20" xfId="0" applyFont="1" applyFill="1" applyBorder="1"/>
    <xf numFmtId="43" fontId="31" fillId="26" borderId="20" xfId="1" applyFont="1" applyFill="1" applyBorder="1"/>
    <xf numFmtId="0" fontId="31" fillId="26" borderId="21" xfId="11" applyFont="1" applyFill="1" applyBorder="1"/>
    <xf numFmtId="0" fontId="31" fillId="0" borderId="0" xfId="11" applyFont="1" applyAlignment="1">
      <alignment horizontal="right"/>
    </xf>
    <xf numFmtId="164" fontId="36" fillId="3" borderId="50" xfId="0" applyNumberFormat="1" applyFont="1" applyFill="1" applyBorder="1"/>
    <xf numFmtId="0" fontId="43" fillId="0" borderId="26" xfId="0" applyFont="1" applyBorder="1"/>
    <xf numFmtId="168" fontId="31" fillId="0" borderId="4" xfId="0" applyNumberFormat="1" applyFont="1" applyBorder="1"/>
    <xf numFmtId="44" fontId="31" fillId="0" borderId="0" xfId="2" applyFont="1" applyFill="1"/>
    <xf numFmtId="168" fontId="47" fillId="0" borderId="37" xfId="11" applyNumberFormat="1" applyFont="1" applyBorder="1"/>
    <xf numFmtId="0" fontId="43" fillId="0" borderId="41" xfId="0" applyFont="1" applyBorder="1"/>
    <xf numFmtId="0" fontId="33" fillId="0" borderId="49" xfId="0" applyFont="1" applyBorder="1" applyAlignment="1">
      <alignment wrapText="1"/>
    </xf>
    <xf numFmtId="6" fontId="43" fillId="0" borderId="6" xfId="0" applyNumberFormat="1" applyFont="1" applyBorder="1"/>
    <xf numFmtId="0" fontId="43" fillId="0" borderId="7" xfId="0" applyFont="1" applyBorder="1"/>
    <xf numFmtId="0" fontId="0" fillId="0" borderId="8" xfId="0" applyBorder="1" applyAlignment="1">
      <alignment wrapText="1"/>
    </xf>
    <xf numFmtId="0" fontId="43" fillId="0" borderId="20" xfId="0" applyFont="1" applyBorder="1"/>
    <xf numFmtId="0" fontId="0" fillId="0" borderId="48" xfId="0" applyBorder="1" applyAlignment="1">
      <alignment wrapText="1"/>
    </xf>
    <xf numFmtId="0" fontId="43" fillId="0" borderId="4" xfId="0" applyFont="1" applyBorder="1"/>
    <xf numFmtId="0" fontId="48" fillId="0" borderId="48" xfId="11" applyFont="1" applyBorder="1" applyAlignment="1">
      <alignment wrapText="1"/>
    </xf>
    <xf numFmtId="0" fontId="47" fillId="0" borderId="41" xfId="11" applyFont="1" applyBorder="1"/>
    <xf numFmtId="0" fontId="33" fillId="0" borderId="49" xfId="11" applyFont="1" applyBorder="1" applyAlignment="1">
      <alignment wrapText="1"/>
    </xf>
    <xf numFmtId="0" fontId="43" fillId="13" borderId="4" xfId="0" applyFont="1" applyFill="1" applyBorder="1"/>
    <xf numFmtId="168" fontId="43" fillId="13" borderId="5" xfId="0" applyNumberFormat="1" applyFont="1" applyFill="1" applyBorder="1" applyAlignment="1">
      <alignment horizontal="left" wrapText="1"/>
    </xf>
    <xf numFmtId="168" fontId="43" fillId="0" borderId="5" xfId="0" applyNumberFormat="1" applyFont="1" applyBorder="1" applyAlignment="1">
      <alignment horizontal="left" wrapText="1"/>
    </xf>
    <xf numFmtId="0" fontId="33" fillId="0" borderId="5" xfId="11" applyFont="1" applyBorder="1" applyAlignment="1">
      <alignment wrapText="1"/>
    </xf>
    <xf numFmtId="0" fontId="43" fillId="0" borderId="37" xfId="0" applyFont="1" applyBorder="1"/>
    <xf numFmtId="0" fontId="48" fillId="0" borderId="49" xfId="11" applyFont="1" applyBorder="1" applyAlignment="1">
      <alignment wrapText="1"/>
    </xf>
    <xf numFmtId="168" fontId="43" fillId="0" borderId="37" xfId="0" applyNumberFormat="1" applyFont="1" applyBorder="1"/>
    <xf numFmtId="0" fontId="0" fillId="0" borderId="49" xfId="0" applyBorder="1" applyAlignment="1">
      <alignment wrapText="1"/>
    </xf>
    <xf numFmtId="49" fontId="31" fillId="0" borderId="0" xfId="0" applyNumberFormat="1" applyFont="1" applyAlignment="1">
      <alignment wrapText="1"/>
    </xf>
    <xf numFmtId="168" fontId="47" fillId="0" borderId="47" xfId="11" applyNumberFormat="1" applyFont="1" applyBorder="1"/>
    <xf numFmtId="43" fontId="33" fillId="0" borderId="20" xfId="1" applyFont="1" applyBorder="1"/>
    <xf numFmtId="0" fontId="47" fillId="0" borderId="20" xfId="11" applyFont="1" applyBorder="1"/>
    <xf numFmtId="168" fontId="30" fillId="0" borderId="48" xfId="0" applyNumberFormat="1" applyFont="1" applyBorder="1" applyAlignment="1">
      <alignment horizontal="left" wrapText="1"/>
    </xf>
    <xf numFmtId="168" fontId="31" fillId="13" borderId="4" xfId="0" applyNumberFormat="1" applyFont="1" applyFill="1" applyBorder="1"/>
    <xf numFmtId="4" fontId="31" fillId="13" borderId="0" xfId="18" applyNumberFormat="1" applyFont="1" applyFill="1" applyAlignment="1">
      <alignment horizontal="center"/>
    </xf>
    <xf numFmtId="4" fontId="31" fillId="0" borderId="0" xfId="11" applyNumberFormat="1" applyFont="1"/>
    <xf numFmtId="44" fontId="31" fillId="0" borderId="0" xfId="2" applyFont="1" applyBorder="1"/>
    <xf numFmtId="0" fontId="31" fillId="0" borderId="3" xfId="11" applyFont="1" applyBorder="1"/>
    <xf numFmtId="6" fontId="36" fillId="0" borderId="4" xfId="11" applyNumberFormat="1" applyFont="1" applyBorder="1"/>
    <xf numFmtId="8" fontId="31" fillId="0" borderId="6" xfId="11" applyNumberFormat="1" applyFont="1" applyBorder="1"/>
    <xf numFmtId="0" fontId="31" fillId="0" borderId="7" xfId="11" applyFont="1" applyBorder="1"/>
    <xf numFmtId="8" fontId="31" fillId="0" borderId="47" xfId="11" applyNumberFormat="1" applyFont="1" applyBorder="1"/>
    <xf numFmtId="0" fontId="31" fillId="0" borderId="20" xfId="11" applyFont="1" applyBorder="1"/>
    <xf numFmtId="6" fontId="36" fillId="0" borderId="37" xfId="11" applyNumberFormat="1" applyFont="1" applyBorder="1"/>
    <xf numFmtId="0" fontId="31" fillId="0" borderId="41" xfId="11" applyFont="1" applyBorder="1"/>
    <xf numFmtId="0" fontId="31" fillId="0" borderId="4" xfId="11" applyFont="1" applyBorder="1"/>
    <xf numFmtId="0" fontId="47" fillId="0" borderId="5" xfId="11" applyFont="1" applyBorder="1" applyAlignment="1">
      <alignment wrapText="1"/>
    </xf>
    <xf numFmtId="0" fontId="31" fillId="13" borderId="4" xfId="11" applyFont="1" applyFill="1" applyBorder="1"/>
    <xf numFmtId="0" fontId="31" fillId="13" borderId="0" xfId="11" applyFont="1" applyFill="1"/>
    <xf numFmtId="8" fontId="31" fillId="0" borderId="4" xfId="11" applyNumberFormat="1" applyFont="1" applyBorder="1"/>
    <xf numFmtId="6" fontId="31" fillId="0" borderId="4" xfId="11" applyNumberFormat="1" applyFont="1" applyBorder="1"/>
    <xf numFmtId="0" fontId="31" fillId="0" borderId="47" xfId="11" applyFont="1" applyBorder="1"/>
    <xf numFmtId="0" fontId="33" fillId="0" borderId="48" xfId="11" applyFont="1" applyBorder="1" applyAlignment="1">
      <alignment wrapText="1"/>
    </xf>
    <xf numFmtId="0" fontId="31" fillId="0" borderId="37" xfId="11" applyFont="1" applyBorder="1"/>
    <xf numFmtId="0" fontId="31" fillId="0" borderId="49" xfId="0" applyFont="1" applyBorder="1"/>
    <xf numFmtId="8" fontId="36" fillId="0" borderId="37" xfId="11" applyNumberFormat="1" applyFont="1" applyBorder="1"/>
    <xf numFmtId="8" fontId="31" fillId="0" borderId="37" xfId="11" applyNumberFormat="1" applyFont="1" applyBorder="1"/>
    <xf numFmtId="2" fontId="31" fillId="0" borderId="41" xfId="11" applyNumberFormat="1" applyFont="1" applyBorder="1"/>
    <xf numFmtId="168" fontId="30" fillId="0" borderId="49" xfId="0" applyNumberFormat="1" applyFont="1" applyBorder="1" applyAlignment="1">
      <alignment horizontal="left" wrapText="1"/>
    </xf>
    <xf numFmtId="8" fontId="31" fillId="13" borderId="4" xfId="11" applyNumberFormat="1" applyFont="1" applyFill="1" applyBorder="1"/>
    <xf numFmtId="2" fontId="31" fillId="13" borderId="0" xfId="11" applyNumberFormat="1" applyFont="1" applyFill="1" applyAlignment="1">
      <alignment horizontal="right"/>
    </xf>
    <xf numFmtId="2" fontId="31" fillId="0" borderId="0" xfId="11" applyNumberFormat="1" applyFont="1" applyAlignment="1">
      <alignment horizontal="right"/>
    </xf>
    <xf numFmtId="168" fontId="36" fillId="0" borderId="4" xfId="11" applyNumberFormat="1" applyFont="1" applyBorder="1" applyAlignment="1">
      <alignment horizontal="center"/>
    </xf>
    <xf numFmtId="1" fontId="36" fillId="0" borderId="0" xfId="11" applyNumberFormat="1" applyFont="1" applyAlignment="1">
      <alignment horizontal="center"/>
    </xf>
    <xf numFmtId="1" fontId="31" fillId="0" borderId="0" xfId="11" applyNumberFormat="1" applyFont="1" applyAlignment="1">
      <alignment horizontal="right"/>
    </xf>
    <xf numFmtId="0" fontId="36" fillId="0" borderId="5" xfId="11" applyFont="1" applyBorder="1"/>
    <xf numFmtId="168" fontId="36" fillId="0" borderId="9" xfId="11" applyNumberFormat="1" applyFont="1" applyBorder="1" applyAlignment="1">
      <alignment horizontal="center" vertical="center"/>
    </xf>
    <xf numFmtId="1" fontId="36" fillId="0" borderId="10" xfId="11" applyNumberFormat="1" applyFont="1" applyBorder="1" applyAlignment="1">
      <alignment horizontal="center" vertical="center"/>
    </xf>
    <xf numFmtId="0" fontId="36" fillId="0" borderId="10" xfId="11" applyFont="1" applyBorder="1" applyAlignment="1">
      <alignment horizontal="center" vertical="center"/>
    </xf>
    <xf numFmtId="168" fontId="36" fillId="0" borderId="10" xfId="11" applyNumberFormat="1" applyFont="1" applyBorder="1" applyAlignment="1">
      <alignment vertical="center" wrapText="1"/>
    </xf>
    <xf numFmtId="168" fontId="36" fillId="0" borderId="10" xfId="11" applyNumberFormat="1" applyFont="1" applyBorder="1" applyAlignment="1">
      <alignment horizontal="center" vertical="center" wrapText="1"/>
    </xf>
    <xf numFmtId="0" fontId="36" fillId="0" borderId="12" xfId="11" applyFont="1" applyBorder="1"/>
    <xf numFmtId="164" fontId="36" fillId="3" borderId="67" xfId="11" applyNumberFormat="1" applyFont="1" applyFill="1" applyBorder="1" applyAlignment="1">
      <alignment horizontal="right"/>
    </xf>
    <xf numFmtId="0" fontId="31" fillId="0" borderId="58" xfId="11" applyFont="1" applyBorder="1"/>
    <xf numFmtId="0" fontId="31" fillId="0" borderId="59" xfId="11" applyFont="1" applyBorder="1"/>
    <xf numFmtId="0" fontId="31" fillId="0" borderId="37" xfId="11" applyFont="1" applyBorder="1" applyAlignment="1">
      <alignment horizontal="right"/>
    </xf>
    <xf numFmtId="0" fontId="31" fillId="0" borderId="49" xfId="11" applyFont="1" applyBorder="1"/>
    <xf numFmtId="164" fontId="36" fillId="0" borderId="37" xfId="11" applyNumberFormat="1" applyFont="1" applyBorder="1"/>
    <xf numFmtId="0" fontId="33" fillId="0" borderId="49" xfId="0" applyFont="1" applyBorder="1"/>
    <xf numFmtId="164" fontId="31" fillId="0" borderId="6" xfId="11" applyNumberFormat="1" applyFont="1" applyBorder="1"/>
    <xf numFmtId="164" fontId="31" fillId="0" borderId="47" xfId="11" applyNumberFormat="1" applyFont="1" applyBorder="1"/>
    <xf numFmtId="164" fontId="36" fillId="0" borderId="4" xfId="11" applyNumberFormat="1" applyFont="1" applyBorder="1"/>
    <xf numFmtId="0" fontId="33" fillId="0" borderId="5" xfId="19" applyFont="1" applyBorder="1"/>
    <xf numFmtId="0" fontId="31" fillId="13" borderId="5" xfId="11" applyFont="1" applyFill="1" applyBorder="1"/>
    <xf numFmtId="164" fontId="31" fillId="0" borderId="4" xfId="11" applyNumberFormat="1" applyFont="1" applyBorder="1"/>
    <xf numFmtId="165" fontId="31" fillId="0" borderId="0" xfId="11" applyNumberFormat="1" applyFont="1" applyAlignment="1">
      <alignment horizontal="center"/>
    </xf>
    <xf numFmtId="0" fontId="31" fillId="0" borderId="5" xfId="11" applyFont="1" applyBorder="1"/>
    <xf numFmtId="164" fontId="31" fillId="0" borderId="37" xfId="11" applyNumberFormat="1" applyFont="1" applyBorder="1"/>
    <xf numFmtId="164" fontId="31" fillId="13" borderId="4" xfId="11" applyNumberFormat="1" applyFont="1" applyFill="1" applyBorder="1"/>
    <xf numFmtId="2" fontId="31" fillId="13" borderId="0" xfId="11" applyNumberFormat="1" applyFont="1" applyFill="1" applyAlignment="1">
      <alignment horizontal="center"/>
    </xf>
    <xf numFmtId="0" fontId="31" fillId="13" borderId="0" xfId="11" applyFont="1" applyFill="1" applyAlignment="1">
      <alignment horizontal="center"/>
    </xf>
    <xf numFmtId="2" fontId="31" fillId="0" borderId="0" xfId="11" applyNumberFormat="1" applyFont="1" applyAlignment="1">
      <alignment horizontal="center"/>
    </xf>
    <xf numFmtId="0" fontId="31" fillId="0" borderId="0" xfId="11" applyFont="1" applyAlignment="1">
      <alignment horizontal="center"/>
    </xf>
    <xf numFmtId="165" fontId="31" fillId="0" borderId="20" xfId="11" applyNumberFormat="1" applyFont="1" applyBorder="1" applyAlignment="1">
      <alignment horizontal="center"/>
    </xf>
    <xf numFmtId="0" fontId="36" fillId="0" borderId="65" xfId="11" applyFont="1" applyBorder="1" applyAlignment="1">
      <alignment horizontal="center"/>
    </xf>
    <xf numFmtId="0" fontId="36" fillId="0" borderId="11" xfId="11" applyFont="1" applyBorder="1" applyAlignment="1">
      <alignment horizontal="center"/>
    </xf>
    <xf numFmtId="0" fontId="36" fillId="0" borderId="11" xfId="11" applyFont="1" applyBorder="1" applyAlignment="1">
      <alignment horizontal="center" vertical="center" wrapText="1"/>
    </xf>
    <xf numFmtId="0" fontId="36" fillId="0" borderId="66" xfId="11" applyFont="1" applyBorder="1" applyAlignment="1">
      <alignment wrapText="1"/>
    </xf>
    <xf numFmtId="168" fontId="33" fillId="0" borderId="4" xfId="0" applyNumberFormat="1" applyFont="1" applyBorder="1"/>
    <xf numFmtId="0" fontId="31" fillId="0" borderId="3" xfId="11" applyFont="1" applyBorder="1" applyAlignment="1">
      <alignment horizontal="left"/>
    </xf>
    <xf numFmtId="0" fontId="31" fillId="0" borderId="5" xfId="11" applyFont="1" applyBorder="1" applyAlignment="1">
      <alignment horizontal="left"/>
    </xf>
    <xf numFmtId="164" fontId="36" fillId="3" borderId="1" xfId="11" applyNumberFormat="1" applyFont="1" applyFill="1" applyBorder="1"/>
    <xf numFmtId="0" fontId="36" fillId="0" borderId="2" xfId="11" applyFont="1" applyBorder="1"/>
    <xf numFmtId="164" fontId="36" fillId="3" borderId="4" xfId="11" applyNumberFormat="1" applyFont="1" applyFill="1" applyBorder="1"/>
    <xf numFmtId="164" fontId="36" fillId="3" borderId="47" xfId="11" applyNumberFormat="1" applyFont="1" applyFill="1" applyBorder="1"/>
    <xf numFmtId="0" fontId="36" fillId="0" borderId="20" xfId="11" applyFont="1" applyBorder="1"/>
    <xf numFmtId="0" fontId="31" fillId="0" borderId="48" xfId="11" applyFont="1" applyBorder="1" applyAlignment="1">
      <alignment horizontal="left"/>
    </xf>
    <xf numFmtId="2" fontId="31" fillId="0" borderId="0" xfId="11" applyNumberFormat="1" applyFont="1"/>
    <xf numFmtId="168" fontId="43" fillId="13" borderId="8" xfId="0" applyNumberFormat="1" applyFont="1" applyFill="1" applyBorder="1" applyAlignment="1">
      <alignment horizontal="left"/>
    </xf>
    <xf numFmtId="10" fontId="31" fillId="0" borderId="0" xfId="11" applyNumberFormat="1" applyFont="1"/>
    <xf numFmtId="0" fontId="36" fillId="0" borderId="70" xfId="0" applyFont="1" applyBorder="1" applyAlignment="1">
      <alignment wrapText="1"/>
    </xf>
    <xf numFmtId="0" fontId="36" fillId="0" borderId="69" xfId="0" applyFont="1" applyBorder="1" applyAlignment="1">
      <alignment wrapText="1"/>
    </xf>
    <xf numFmtId="43" fontId="31" fillId="0" borderId="0" xfId="1" applyFont="1"/>
    <xf numFmtId="0" fontId="31" fillId="0" borderId="36" xfId="0" applyFont="1" applyBorder="1" applyAlignment="1">
      <alignment wrapText="1"/>
    </xf>
    <xf numFmtId="0" fontId="31" fillId="0" borderId="36" xfId="0" applyFont="1" applyBorder="1" applyAlignment="1">
      <alignment vertical="center" wrapText="1"/>
    </xf>
    <xf numFmtId="9" fontId="31" fillId="0" borderId="0" xfId="11" applyNumberFormat="1" applyFont="1"/>
    <xf numFmtId="0" fontId="31" fillId="0" borderId="71" xfId="0" applyFont="1" applyBorder="1" applyAlignment="1">
      <alignment wrapText="1"/>
    </xf>
    <xf numFmtId="3" fontId="36" fillId="0" borderId="69" xfId="0" applyNumberFormat="1" applyFont="1" applyBorder="1" applyAlignment="1">
      <alignment wrapText="1"/>
    </xf>
    <xf numFmtId="168" fontId="31" fillId="0" borderId="37" xfId="0" applyNumberFormat="1" applyFont="1" applyBorder="1"/>
    <xf numFmtId="0" fontId="36" fillId="11" borderId="56" xfId="0" applyFont="1" applyFill="1" applyBorder="1" applyAlignment="1">
      <alignment horizontal="center" wrapText="1"/>
    </xf>
    <xf numFmtId="0" fontId="36" fillId="11" borderId="69" xfId="0" applyFont="1" applyFill="1" applyBorder="1" applyAlignment="1">
      <alignment horizontal="center"/>
    </xf>
    <xf numFmtId="168" fontId="30" fillId="0" borderId="48" xfId="0" applyNumberFormat="1" applyFont="1" applyBorder="1" applyAlignment="1">
      <alignment horizontal="left"/>
    </xf>
    <xf numFmtId="168" fontId="31" fillId="13" borderId="6" xfId="0" applyNumberFormat="1" applyFont="1" applyFill="1" applyBorder="1"/>
    <xf numFmtId="4" fontId="31" fillId="13" borderId="7" xfId="18" applyNumberFormat="1" applyFont="1" applyFill="1" applyBorder="1" applyAlignment="1">
      <alignment horizontal="center"/>
    </xf>
    <xf numFmtId="6" fontId="43" fillId="13" borderId="7" xfId="0" applyNumberFormat="1" applyFont="1" applyFill="1" applyBorder="1"/>
    <xf numFmtId="168" fontId="36" fillId="0" borderId="47" xfId="0" applyNumberFormat="1" applyFont="1" applyBorder="1" applyAlignment="1">
      <alignment horizontal="right"/>
    </xf>
    <xf numFmtId="1" fontId="36" fillId="0" borderId="20" xfId="0" applyNumberFormat="1" applyFont="1" applyBorder="1" applyAlignment="1">
      <alignment horizontal="center"/>
    </xf>
    <xf numFmtId="0" fontId="36" fillId="0" borderId="20" xfId="0" applyFont="1" applyBorder="1" applyAlignment="1">
      <alignment horizontal="center"/>
    </xf>
    <xf numFmtId="0" fontId="31" fillId="0" borderId="48" xfId="0" applyFont="1" applyBorder="1"/>
    <xf numFmtId="3" fontId="36" fillId="0" borderId="65" xfId="0" applyNumberFormat="1" applyFont="1" applyBorder="1" applyAlignment="1">
      <alignment horizontal="center"/>
    </xf>
    <xf numFmtId="0" fontId="36" fillId="0" borderId="11" xfId="0" applyFont="1" applyBorder="1" applyAlignment="1">
      <alignment horizontal="center"/>
    </xf>
    <xf numFmtId="3" fontId="31" fillId="0" borderId="11" xfId="0" applyNumberFormat="1" applyFont="1" applyBorder="1" applyAlignment="1">
      <alignment horizontal="center"/>
    </xf>
    <xf numFmtId="0" fontId="31" fillId="0" borderId="66" xfId="0" applyFont="1" applyBorder="1" applyAlignment="1">
      <alignment horizontal="center"/>
    </xf>
    <xf numFmtId="0" fontId="31" fillId="0" borderId="0" xfId="11" applyFont="1" applyAlignment="1">
      <alignment horizontal="left"/>
    </xf>
    <xf numFmtId="0" fontId="31" fillId="0" borderId="0" xfId="11" applyFont="1" applyAlignment="1">
      <alignment horizontal="center" vertical="center"/>
    </xf>
    <xf numFmtId="164" fontId="36" fillId="3" borderId="25" xfId="11" applyNumberFormat="1" applyFont="1" applyFill="1" applyBorder="1"/>
    <xf numFmtId="0" fontId="31" fillId="0" borderId="26" xfId="11" applyFont="1" applyBorder="1"/>
    <xf numFmtId="0" fontId="31" fillId="0" borderId="27" xfId="11" applyFont="1" applyBorder="1"/>
    <xf numFmtId="6" fontId="36" fillId="0" borderId="9" xfId="0" applyNumberFormat="1" applyFont="1" applyBorder="1"/>
    <xf numFmtId="0" fontId="33" fillId="0" borderId="12" xfId="0" applyFont="1" applyBorder="1"/>
    <xf numFmtId="0" fontId="31" fillId="0" borderId="0" xfId="0" applyFont="1" applyAlignment="1">
      <alignment horizontal="center" vertical="center"/>
    </xf>
    <xf numFmtId="8" fontId="31" fillId="0" borderId="1" xfId="0" applyNumberFormat="1" applyFont="1" applyBorder="1"/>
    <xf numFmtId="0" fontId="31" fillId="0" borderId="2" xfId="0" applyFont="1" applyBorder="1"/>
    <xf numFmtId="0" fontId="0" fillId="0" borderId="3" xfId="0" applyBorder="1" applyAlignment="1">
      <alignment wrapText="1"/>
    </xf>
    <xf numFmtId="8" fontId="31" fillId="0" borderId="47" xfId="0" applyNumberFormat="1" applyFont="1" applyBorder="1"/>
    <xf numFmtId="0" fontId="31" fillId="0" borderId="20" xfId="0" applyFont="1" applyBorder="1"/>
    <xf numFmtId="0" fontId="31" fillId="0" borderId="41" xfId="0" applyFont="1" applyBorder="1"/>
    <xf numFmtId="0" fontId="31" fillId="0" borderId="47" xfId="0" applyFont="1" applyBorder="1"/>
    <xf numFmtId="6" fontId="31" fillId="13" borderId="4" xfId="0" applyNumberFormat="1" applyFont="1" applyFill="1" applyBorder="1"/>
    <xf numFmtId="0" fontId="31" fillId="13" borderId="0" xfId="0" applyFont="1" applyFill="1"/>
    <xf numFmtId="0" fontId="31" fillId="0" borderId="4" xfId="0" applyFont="1" applyBorder="1"/>
    <xf numFmtId="0" fontId="31" fillId="0" borderId="37" xfId="0" applyFont="1" applyBorder="1"/>
    <xf numFmtId="42" fontId="36" fillId="0" borderId="37" xfId="0" applyNumberFormat="1" applyFont="1" applyBorder="1"/>
    <xf numFmtId="171" fontId="31" fillId="0" borderId="37" xfId="0" applyNumberFormat="1" applyFont="1" applyBorder="1"/>
    <xf numFmtId="4" fontId="31" fillId="0" borderId="41" xfId="0" applyNumberFormat="1" applyFont="1" applyBorder="1"/>
    <xf numFmtId="42" fontId="31" fillId="13" borderId="4" xfId="21" applyNumberFormat="1" applyFont="1" applyFill="1" applyBorder="1"/>
    <xf numFmtId="44" fontId="31" fillId="0" borderId="0" xfId="2" applyFont="1"/>
    <xf numFmtId="42" fontId="31" fillId="0" borderId="4" xfId="21" applyNumberFormat="1" applyFont="1" applyBorder="1"/>
    <xf numFmtId="165" fontId="36" fillId="0" borderId="35" xfId="11" applyNumberFormat="1" applyFont="1" applyBorder="1"/>
    <xf numFmtId="0" fontId="36" fillId="0" borderId="17" xfId="11" applyFont="1" applyBorder="1"/>
    <xf numFmtId="0" fontId="31" fillId="0" borderId="36" xfId="11" applyFont="1" applyBorder="1"/>
    <xf numFmtId="173" fontId="36" fillId="0" borderId="35" xfId="1" applyNumberFormat="1" applyFont="1" applyBorder="1"/>
    <xf numFmtId="0" fontId="36" fillId="0" borderId="17" xfId="11" applyFont="1" applyBorder="1" applyAlignment="1">
      <alignment horizontal="center"/>
    </xf>
    <xf numFmtId="173" fontId="36" fillId="0" borderId="63" xfId="1" applyNumberFormat="1" applyFont="1" applyBorder="1"/>
    <xf numFmtId="0" fontId="36" fillId="0" borderId="64" xfId="11" applyFont="1" applyBorder="1"/>
    <xf numFmtId="0" fontId="31" fillId="0" borderId="72" xfId="11" applyFont="1" applyBorder="1"/>
    <xf numFmtId="0" fontId="37" fillId="0" borderId="0" xfId="0" applyFont="1" applyAlignment="1">
      <alignment vertical="center" wrapText="1"/>
    </xf>
    <xf numFmtId="44" fontId="31" fillId="0" borderId="0" xfId="0" applyNumberFormat="1" applyFont="1"/>
    <xf numFmtId="8" fontId="31" fillId="3" borderId="50" xfId="0" applyNumberFormat="1" applyFont="1" applyFill="1" applyBorder="1"/>
    <xf numFmtId="0" fontId="31" fillId="0" borderId="26" xfId="0" applyFont="1" applyBorder="1"/>
    <xf numFmtId="172" fontId="31" fillId="0" borderId="27" xfId="21" applyNumberFormat="1" applyFont="1" applyBorder="1"/>
    <xf numFmtId="6" fontId="31" fillId="0" borderId="67" xfId="0" applyNumberFormat="1" applyFont="1" applyBorder="1"/>
    <xf numFmtId="0" fontId="31" fillId="0" borderId="58" xfId="0" applyFont="1" applyBorder="1"/>
    <xf numFmtId="0" fontId="33" fillId="0" borderId="59" xfId="0" applyFont="1" applyBorder="1"/>
    <xf numFmtId="8" fontId="31" fillId="0" borderId="6" xfId="0" applyNumberFormat="1" applyFont="1" applyBorder="1"/>
    <xf numFmtId="0" fontId="31" fillId="0" borderId="7" xfId="0" applyFont="1" applyBorder="1"/>
    <xf numFmtId="8" fontId="43" fillId="13" borderId="0" xfId="0" applyNumberFormat="1" applyFont="1" applyFill="1"/>
    <xf numFmtId="8" fontId="43" fillId="0" borderId="0" xfId="0" applyNumberFormat="1" applyFont="1"/>
    <xf numFmtId="0" fontId="31" fillId="0" borderId="6" xfId="21" applyFont="1" applyBorder="1" applyAlignment="1">
      <alignment horizontal="center"/>
    </xf>
    <xf numFmtId="0" fontId="31" fillId="0" borderId="7" xfId="21" applyFont="1" applyBorder="1" applyAlignment="1">
      <alignment horizontal="center"/>
    </xf>
    <xf numFmtId="0" fontId="31" fillId="0" borderId="8" xfId="21" applyFont="1" applyBorder="1"/>
    <xf numFmtId="3" fontId="36" fillId="0" borderId="9" xfId="21" applyNumberFormat="1" applyFont="1" applyBorder="1" applyAlignment="1">
      <alignment horizontal="center"/>
    </xf>
    <xf numFmtId="0" fontId="36" fillId="0" borderId="10" xfId="21" applyFont="1" applyBorder="1"/>
    <xf numFmtId="0" fontId="36" fillId="0" borderId="10" xfId="21" applyFont="1" applyBorder="1" applyAlignment="1">
      <alignment horizontal="center" vertical="center"/>
    </xf>
    <xf numFmtId="0" fontId="36" fillId="0" borderId="12" xfId="21" applyFont="1" applyBorder="1"/>
    <xf numFmtId="164" fontId="36" fillId="0" borderId="0" xfId="0" applyNumberFormat="1" applyFont="1"/>
    <xf numFmtId="168" fontId="31" fillId="0" borderId="0" xfId="0" applyNumberFormat="1" applyFont="1"/>
    <xf numFmtId="168" fontId="36" fillId="0" borderId="0" xfId="0" applyNumberFormat="1" applyFont="1"/>
    <xf numFmtId="10" fontId="36" fillId="0" borderId="0" xfId="0" applyNumberFormat="1" applyFont="1"/>
    <xf numFmtId="9" fontId="36" fillId="0" borderId="0" xfId="0" applyNumberFormat="1" applyFont="1"/>
    <xf numFmtId="9" fontId="36" fillId="0" borderId="0" xfId="3" applyFont="1" applyBorder="1"/>
    <xf numFmtId="166" fontId="31" fillId="0" borderId="0" xfId="0" applyNumberFormat="1" applyFont="1"/>
    <xf numFmtId="10" fontId="31" fillId="0" borderId="0" xfId="0" applyNumberFormat="1" applyFont="1"/>
    <xf numFmtId="166" fontId="31" fillId="0" borderId="0" xfId="3" applyNumberFormat="1" applyFont="1" applyBorder="1"/>
    <xf numFmtId="10" fontId="31" fillId="0" borderId="0" xfId="0" applyNumberFormat="1" applyFont="1" applyAlignment="1">
      <alignment wrapText="1"/>
    </xf>
    <xf numFmtId="1" fontId="31" fillId="0" borderId="0" xfId="0" applyNumberFormat="1" applyFont="1" applyAlignment="1">
      <alignment horizontal="right"/>
    </xf>
    <xf numFmtId="167" fontId="31" fillId="0" borderId="0" xfId="0" applyNumberFormat="1" applyFont="1"/>
    <xf numFmtId="0" fontId="36" fillId="0" borderId="0" xfId="0" applyFont="1" applyAlignment="1">
      <alignment horizontal="left" wrapText="1"/>
    </xf>
    <xf numFmtId="0" fontId="31" fillId="0" borderId="0" xfId="0" applyFont="1" applyAlignment="1">
      <alignment wrapText="1"/>
    </xf>
    <xf numFmtId="172" fontId="36" fillId="3" borderId="0" xfId="0" applyNumberFormat="1" applyFont="1" applyFill="1"/>
    <xf numFmtId="172" fontId="36" fillId="0" borderId="0" xfId="0" applyNumberFormat="1" applyFont="1"/>
    <xf numFmtId="173" fontId="31" fillId="0" borderId="0" xfId="1" applyNumberFormat="1" applyFont="1" applyFill="1" applyBorder="1"/>
    <xf numFmtId="165" fontId="36" fillId="0" borderId="0" xfId="0" applyNumberFormat="1" applyFont="1"/>
    <xf numFmtId="165" fontId="31" fillId="0" borderId="0" xfId="0" applyNumberFormat="1" applyFont="1"/>
    <xf numFmtId="168" fontId="36" fillId="0" borderId="0" xfId="0" applyNumberFormat="1" applyFont="1" applyAlignment="1">
      <alignment horizontal="center"/>
    </xf>
    <xf numFmtId="10" fontId="36" fillId="0" borderId="0" xfId="3" applyNumberFormat="1" applyFont="1" applyBorder="1"/>
    <xf numFmtId="172" fontId="33" fillId="3" borderId="1" xfId="0" applyNumberFormat="1" applyFont="1" applyFill="1" applyBorder="1"/>
    <xf numFmtId="2" fontId="33" fillId="0" borderId="2" xfId="0" applyNumberFormat="1" applyFont="1" applyBorder="1" applyAlignment="1">
      <alignment horizontal="center"/>
    </xf>
    <xf numFmtId="168" fontId="33" fillId="0" borderId="2" xfId="0" applyNumberFormat="1" applyFont="1" applyBorder="1"/>
    <xf numFmtId="172" fontId="33" fillId="0" borderId="0" xfId="0" applyNumberFormat="1" applyFont="1"/>
    <xf numFmtId="2" fontId="33" fillId="10" borderId="0" xfId="0" applyNumberFormat="1" applyFont="1" applyFill="1"/>
    <xf numFmtId="10" fontId="27" fillId="0" borderId="0" xfId="3" applyNumberFormat="1" applyFont="1"/>
    <xf numFmtId="168" fontId="33" fillId="0" borderId="0" xfId="0" applyNumberFormat="1" applyFont="1"/>
    <xf numFmtId="173" fontId="27" fillId="0" borderId="4" xfId="1" applyNumberFormat="1" applyFont="1" applyFill="1" applyBorder="1"/>
    <xf numFmtId="43" fontId="33" fillId="0" borderId="0" xfId="1" applyFont="1" applyFill="1" applyBorder="1" applyAlignment="1">
      <alignment horizontal="center"/>
    </xf>
    <xf numFmtId="164" fontId="27" fillId="0" borderId="5" xfId="0" applyNumberFormat="1" applyFont="1" applyBorder="1"/>
    <xf numFmtId="173" fontId="27" fillId="0" borderId="0" xfId="1" applyNumberFormat="1" applyFont="1" applyFill="1" applyBorder="1"/>
    <xf numFmtId="165" fontId="33" fillId="0" borderId="73" xfId="0" applyNumberFormat="1" applyFont="1" applyBorder="1"/>
    <xf numFmtId="43" fontId="33" fillId="0" borderId="74" xfId="1" applyFont="1" applyFill="1" applyBorder="1" applyAlignment="1">
      <alignment horizontal="center"/>
    </xf>
    <xf numFmtId="164" fontId="33" fillId="0" borderId="74" xfId="0" applyNumberFormat="1" applyFont="1" applyBorder="1"/>
    <xf numFmtId="164" fontId="33" fillId="0" borderId="75" xfId="0" applyNumberFormat="1" applyFont="1" applyBorder="1"/>
    <xf numFmtId="173" fontId="27" fillId="0" borderId="1" xfId="1" applyNumberFormat="1" applyFont="1" applyFill="1" applyBorder="1"/>
    <xf numFmtId="43" fontId="33" fillId="0" borderId="2" xfId="1" applyFont="1" applyFill="1" applyBorder="1" applyAlignment="1">
      <alignment horizontal="center"/>
    </xf>
    <xf numFmtId="164" fontId="33" fillId="0" borderId="2" xfId="0" applyNumberFormat="1" applyFont="1" applyBorder="1"/>
    <xf numFmtId="164" fontId="27" fillId="0" borderId="3" xfId="0" applyNumberFormat="1" applyFont="1" applyBorder="1"/>
    <xf numFmtId="10" fontId="27" fillId="0" borderId="0" xfId="0" applyNumberFormat="1" applyFont="1"/>
    <xf numFmtId="0" fontId="27" fillId="0" borderId="5" xfId="19" applyFont="1" applyBorder="1" applyAlignment="1">
      <alignment wrapText="1"/>
    </xf>
    <xf numFmtId="165" fontId="33" fillId="0" borderId="28" xfId="0" applyNumberFormat="1" applyFont="1" applyBorder="1"/>
    <xf numFmtId="0" fontId="33" fillId="0" borderId="18" xfId="19" applyFont="1" applyBorder="1" applyAlignment="1">
      <alignment wrapText="1"/>
    </xf>
    <xf numFmtId="165" fontId="33" fillId="0" borderId="51" xfId="0" applyNumberFormat="1" applyFont="1" applyBorder="1"/>
    <xf numFmtId="0" fontId="27" fillId="0" borderId="52" xfId="0" applyFont="1" applyBorder="1"/>
    <xf numFmtId="0" fontId="33" fillId="0" borderId="53" xfId="11" applyFont="1" applyBorder="1" applyAlignment="1">
      <alignment wrapText="1"/>
    </xf>
    <xf numFmtId="0" fontId="27" fillId="0" borderId="74" xfId="0" applyFont="1" applyBorder="1"/>
    <xf numFmtId="0" fontId="33" fillId="0" borderId="75" xfId="11" applyFont="1" applyBorder="1" applyAlignment="1">
      <alignment wrapText="1"/>
    </xf>
    <xf numFmtId="6" fontId="43" fillId="0" borderId="74" xfId="0" applyNumberFormat="1" applyFont="1" applyBorder="1"/>
    <xf numFmtId="168" fontId="0" fillId="0" borderId="5" xfId="0" applyNumberFormat="1" applyBorder="1" applyAlignment="1">
      <alignment horizontal="left" wrapText="1"/>
    </xf>
    <xf numFmtId="2" fontId="33" fillId="0" borderId="0" xfId="0" applyNumberFormat="1" applyFont="1" applyAlignment="1">
      <alignment horizontal="center"/>
    </xf>
    <xf numFmtId="171" fontId="27" fillId="0" borderId="0" xfId="2" applyNumberFormat="1" applyFont="1" applyBorder="1"/>
    <xf numFmtId="0" fontId="27" fillId="0" borderId="4" xfId="0" applyFont="1" applyBorder="1"/>
    <xf numFmtId="2" fontId="33" fillId="0" borderId="74" xfId="0" applyNumberFormat="1" applyFont="1" applyBorder="1"/>
    <xf numFmtId="0" fontId="33" fillId="0" borderId="74" xfId="0" applyFont="1" applyBorder="1"/>
    <xf numFmtId="2" fontId="33" fillId="0" borderId="0" xfId="0" applyNumberFormat="1" applyFont="1"/>
    <xf numFmtId="0" fontId="33" fillId="0" borderId="5" xfId="0" applyFont="1" applyBorder="1" applyAlignment="1">
      <alignment horizontal="left"/>
    </xf>
    <xf numFmtId="171" fontId="33" fillId="0" borderId="0" xfId="2" applyNumberFormat="1" applyFont="1" applyBorder="1"/>
    <xf numFmtId="165" fontId="27" fillId="0" borderId="17" xfId="0" applyNumberFormat="1" applyFont="1" applyBorder="1"/>
    <xf numFmtId="10" fontId="27" fillId="0" borderId="17" xfId="0" applyNumberFormat="1" applyFont="1" applyBorder="1"/>
    <xf numFmtId="0" fontId="0" fillId="0" borderId="17" xfId="0" applyBorder="1" applyAlignment="1">
      <alignment wrapText="1"/>
    </xf>
    <xf numFmtId="165" fontId="27" fillId="0" borderId="35" xfId="0" applyNumberFormat="1" applyFont="1" applyBorder="1"/>
    <xf numFmtId="0" fontId="0" fillId="0" borderId="36" xfId="0" applyBorder="1" applyAlignment="1">
      <alignment wrapText="1"/>
    </xf>
    <xf numFmtId="165" fontId="33" fillId="0" borderId="54" xfId="0" applyNumberFormat="1" applyFont="1" applyBorder="1"/>
    <xf numFmtId="2" fontId="33" fillId="0" borderId="55" xfId="0" applyNumberFormat="1" applyFont="1" applyBorder="1"/>
    <xf numFmtId="0" fontId="33" fillId="0" borderId="55" xfId="0" applyFont="1" applyBorder="1"/>
    <xf numFmtId="2" fontId="27" fillId="0" borderId="17" xfId="0" applyNumberFormat="1" applyFont="1" applyBorder="1"/>
    <xf numFmtId="168" fontId="3" fillId="0" borderId="17" xfId="0" applyNumberFormat="1" applyFont="1" applyBorder="1" applyAlignment="1">
      <alignment horizontal="left" wrapText="1"/>
    </xf>
    <xf numFmtId="168" fontId="3" fillId="0" borderId="36" xfId="0" applyNumberFormat="1" applyFont="1" applyBorder="1" applyAlignment="1">
      <alignment horizontal="left" wrapText="1"/>
    </xf>
    <xf numFmtId="165" fontId="27" fillId="0" borderId="60" xfId="0" applyNumberFormat="1" applyFont="1" applyBorder="1"/>
    <xf numFmtId="10" fontId="27" fillId="0" borderId="30" xfId="0" applyNumberFormat="1" applyFont="1" applyBorder="1"/>
    <xf numFmtId="0" fontId="0" fillId="0" borderId="71" xfId="0" applyBorder="1" applyAlignment="1">
      <alignment wrapText="1"/>
    </xf>
    <xf numFmtId="165" fontId="27" fillId="0" borderId="45" xfId="0" applyNumberFormat="1" applyFont="1" applyBorder="1"/>
    <xf numFmtId="10" fontId="27" fillId="0" borderId="31" xfId="0" applyNumberFormat="1" applyFont="1" applyBorder="1"/>
    <xf numFmtId="0" fontId="0" fillId="0" borderId="76" xfId="0" applyBorder="1" applyAlignment="1">
      <alignment wrapText="1"/>
    </xf>
    <xf numFmtId="0" fontId="31" fillId="0" borderId="3" xfId="0" applyFont="1" applyBorder="1"/>
    <xf numFmtId="168" fontId="27" fillId="13" borderId="4" xfId="0" applyNumberFormat="1" applyFont="1" applyFill="1" applyBorder="1"/>
    <xf numFmtId="2" fontId="27" fillId="13" borderId="0" xfId="0" applyNumberFormat="1" applyFont="1" applyFill="1" applyAlignment="1">
      <alignment horizontal="center"/>
    </xf>
    <xf numFmtId="6" fontId="27" fillId="13" borderId="0" xfId="0" applyNumberFormat="1" applyFont="1" applyFill="1"/>
    <xf numFmtId="167" fontId="27" fillId="13" borderId="5" xfId="0" applyNumberFormat="1" applyFont="1" applyFill="1" applyBorder="1"/>
    <xf numFmtId="2" fontId="27" fillId="0" borderId="17" xfId="3" applyNumberFormat="1" applyFont="1" applyBorder="1"/>
    <xf numFmtId="168" fontId="36" fillId="0" borderId="35" xfId="13" applyNumberFormat="1" applyFont="1" applyBorder="1"/>
    <xf numFmtId="6" fontId="0" fillId="13" borderId="0" xfId="0" applyNumberFormat="1" applyFill="1"/>
    <xf numFmtId="2" fontId="27" fillId="0" borderId="0" xfId="13" applyNumberFormat="1" applyFont="1"/>
    <xf numFmtId="6" fontId="0" fillId="0" borderId="0" xfId="0" applyNumberFormat="1"/>
    <xf numFmtId="167" fontId="27" fillId="0" borderId="5" xfId="0" applyNumberFormat="1" applyFont="1" applyBorder="1"/>
    <xf numFmtId="168" fontId="27" fillId="0" borderId="5" xfId="0" applyNumberFormat="1" applyFont="1" applyBorder="1"/>
    <xf numFmtId="164" fontId="31" fillId="0" borderId="0" xfId="0" applyNumberFormat="1" applyFont="1"/>
    <xf numFmtId="168" fontId="33" fillId="0" borderId="4" xfId="0" applyNumberFormat="1" applyFont="1" applyBorder="1" applyAlignment="1">
      <alignment horizontal="center"/>
    </xf>
    <xf numFmtId="0" fontId="36" fillId="0" borderId="9" xfId="6" applyFont="1" applyBorder="1" applyAlignment="1">
      <alignment horizontal="center" wrapText="1"/>
    </xf>
    <xf numFmtId="0" fontId="36" fillId="0" borderId="10" xfId="6" applyFont="1" applyBorder="1" applyAlignment="1">
      <alignment horizontal="center" wrapText="1"/>
    </xf>
    <xf numFmtId="0" fontId="31" fillId="0" borderId="12" xfId="6" applyFont="1" applyBorder="1"/>
    <xf numFmtId="164" fontId="27" fillId="3" borderId="32" xfId="0" applyNumberFormat="1" applyFont="1" applyFill="1" applyBorder="1"/>
    <xf numFmtId="164" fontId="27" fillId="0" borderId="33" xfId="0" applyNumberFormat="1" applyFont="1" applyBorder="1" applyAlignment="1">
      <alignment horizontal="left"/>
    </xf>
    <xf numFmtId="0" fontId="27" fillId="0" borderId="34" xfId="0" applyFont="1" applyBorder="1"/>
    <xf numFmtId="17" fontId="33" fillId="0" borderId="25" xfId="0" applyNumberFormat="1" applyFont="1" applyBorder="1" applyAlignment="1">
      <alignment horizontal="right"/>
    </xf>
    <xf numFmtId="17" fontId="33" fillId="0" borderId="26" xfId="0" applyNumberFormat="1" applyFont="1" applyBorder="1"/>
    <xf numFmtId="0" fontId="33" fillId="0" borderId="27" xfId="0" applyFont="1" applyBorder="1"/>
    <xf numFmtId="173" fontId="33" fillId="3" borderId="1" xfId="1" applyNumberFormat="1" applyFont="1" applyFill="1" applyBorder="1"/>
    <xf numFmtId="6" fontId="0" fillId="0" borderId="4" xfId="0" applyNumberFormat="1" applyBorder="1"/>
    <xf numFmtId="165" fontId="27" fillId="0" borderId="4" xfId="13" applyNumberFormat="1" applyFont="1" applyBorder="1"/>
    <xf numFmtId="0" fontId="27" fillId="0" borderId="0" xfId="13" applyFont="1"/>
    <xf numFmtId="165" fontId="33" fillId="0" borderId="73" xfId="13" applyNumberFormat="1" applyFont="1" applyBorder="1"/>
    <xf numFmtId="0" fontId="27" fillId="0" borderId="74" xfId="13" applyFont="1" applyBorder="1"/>
    <xf numFmtId="165" fontId="0" fillId="0" borderId="37" xfId="0" applyNumberFormat="1" applyBorder="1"/>
    <xf numFmtId="0" fontId="27" fillId="0" borderId="41" xfId="13" applyFont="1" applyBorder="1"/>
    <xf numFmtId="165" fontId="27" fillId="0" borderId="47" xfId="13" applyNumberFormat="1" applyFont="1" applyBorder="1"/>
    <xf numFmtId="2" fontId="27" fillId="0" borderId="41" xfId="13" applyNumberFormat="1" applyFont="1" applyBorder="1"/>
    <xf numFmtId="0" fontId="27" fillId="0" borderId="20" xfId="13" applyFont="1" applyBorder="1"/>
    <xf numFmtId="168" fontId="3" fillId="0" borderId="48" xfId="0" applyNumberFormat="1" applyFont="1" applyBorder="1" applyAlignment="1">
      <alignment horizontal="left" wrapText="1"/>
    </xf>
    <xf numFmtId="171" fontId="27" fillId="13" borderId="4" xfId="2" applyNumberFormat="1" applyFont="1" applyFill="1" applyBorder="1"/>
    <xf numFmtId="171" fontId="27" fillId="13" borderId="0" xfId="0" applyNumberFormat="1" applyFont="1" applyFill="1"/>
    <xf numFmtId="171" fontId="27" fillId="0" borderId="4" xfId="2" applyNumberFormat="1" applyFont="1" applyBorder="1"/>
    <xf numFmtId="171" fontId="27" fillId="0" borderId="9" xfId="2" applyNumberFormat="1" applyFont="1" applyBorder="1"/>
    <xf numFmtId="0" fontId="33" fillId="0" borderId="25" xfId="0" applyFont="1" applyBorder="1" applyAlignment="1">
      <alignment horizontal="center"/>
    </xf>
    <xf numFmtId="43" fontId="33" fillId="0" borderId="26" xfId="1" applyFont="1" applyFill="1" applyBorder="1" applyAlignment="1">
      <alignment horizontal="center"/>
    </xf>
    <xf numFmtId="0" fontId="33" fillId="0" borderId="26" xfId="0" applyFont="1" applyBorder="1" applyAlignment="1">
      <alignment horizontal="center"/>
    </xf>
    <xf numFmtId="0" fontId="33" fillId="0" borderId="25" xfId="0" applyFont="1" applyBorder="1"/>
    <xf numFmtId="0" fontId="27" fillId="0" borderId="25" xfId="0" applyFont="1" applyBorder="1"/>
    <xf numFmtId="0" fontId="27" fillId="0" borderId="26" xfId="0" applyFont="1" applyBorder="1"/>
    <xf numFmtId="10" fontId="46" fillId="0" borderId="0" xfId="3" applyNumberFormat="1" applyFont="1" applyFill="1" applyBorder="1"/>
    <xf numFmtId="44" fontId="36" fillId="3" borderId="2" xfId="6" applyNumberFormat="1" applyFont="1" applyFill="1" applyBorder="1" applyAlignment="1">
      <alignment horizontal="center"/>
    </xf>
    <xf numFmtId="164" fontId="31" fillId="0" borderId="2" xfId="0" applyNumberFormat="1" applyFont="1" applyBorder="1"/>
    <xf numFmtId="0" fontId="36" fillId="0" borderId="0" xfId="6" applyFont="1" applyAlignment="1">
      <alignment horizontal="center" wrapText="1"/>
    </xf>
    <xf numFmtId="44" fontId="36" fillId="3" borderId="35" xfId="2" applyFont="1" applyFill="1" applyBorder="1"/>
    <xf numFmtId="164" fontId="31" fillId="0" borderId="33" xfId="0" applyNumberFormat="1" applyFont="1" applyBorder="1" applyAlignment="1">
      <alignment horizontal="left"/>
    </xf>
    <xf numFmtId="164" fontId="31" fillId="0" borderId="17" xfId="0" applyNumberFormat="1" applyFont="1" applyBorder="1" applyAlignment="1">
      <alignment horizontal="left"/>
    </xf>
    <xf numFmtId="17" fontId="36" fillId="0" borderId="63" xfId="0" applyNumberFormat="1" applyFont="1" applyBorder="1" applyAlignment="1">
      <alignment horizontal="right"/>
    </xf>
    <xf numFmtId="17" fontId="36" fillId="0" borderId="64" xfId="0" applyNumberFormat="1" applyFont="1" applyBorder="1"/>
    <xf numFmtId="174" fontId="36" fillId="0" borderId="0" xfId="0" applyNumberFormat="1" applyFont="1"/>
    <xf numFmtId="0" fontId="27" fillId="0" borderId="55" xfId="0" applyFont="1" applyBorder="1"/>
    <xf numFmtId="0" fontId="33" fillId="0" borderId="61" xfId="11" applyFont="1" applyBorder="1" applyAlignment="1">
      <alignment wrapText="1"/>
    </xf>
    <xf numFmtId="0" fontId="36" fillId="0" borderId="27" xfId="0" applyFont="1" applyBorder="1" applyAlignment="1">
      <alignment horizontal="left"/>
    </xf>
    <xf numFmtId="0" fontId="31" fillId="0" borderId="59" xfId="0" applyFont="1" applyBorder="1"/>
    <xf numFmtId="44" fontId="33" fillId="3" borderId="1" xfId="2" applyFont="1" applyFill="1" applyBorder="1"/>
    <xf numFmtId="171" fontId="33" fillId="0" borderId="73" xfId="2" applyNumberFormat="1" applyFont="1" applyBorder="1"/>
    <xf numFmtId="171" fontId="33" fillId="0" borderId="37" xfId="2" applyNumberFormat="1" applyFont="1" applyBorder="1"/>
    <xf numFmtId="165" fontId="33" fillId="0" borderId="41" xfId="0" applyNumberFormat="1" applyFont="1" applyBorder="1"/>
    <xf numFmtId="171" fontId="33" fillId="0" borderId="4" xfId="2" applyNumberFormat="1" applyFont="1" applyBorder="1"/>
    <xf numFmtId="0" fontId="33" fillId="0" borderId="4" xfId="11" applyFont="1" applyBorder="1" applyAlignment="1">
      <alignment wrapText="1"/>
    </xf>
    <xf numFmtId="0" fontId="33" fillId="0" borderId="0" xfId="11" applyFont="1" applyAlignment="1">
      <alignment wrapText="1"/>
    </xf>
    <xf numFmtId="171" fontId="31" fillId="0" borderId="0" xfId="0" applyNumberFormat="1" applyFont="1"/>
    <xf numFmtId="2" fontId="27" fillId="13" borderId="0" xfId="0" applyNumberFormat="1" applyFont="1" applyFill="1"/>
    <xf numFmtId="2" fontId="27" fillId="0" borderId="0" xfId="0" applyNumberFormat="1" applyFont="1"/>
    <xf numFmtId="2" fontId="27" fillId="0" borderId="10" xfId="0" applyNumberFormat="1" applyFont="1" applyBorder="1"/>
    <xf numFmtId="0" fontId="33" fillId="0" borderId="26" xfId="0" applyFont="1" applyBorder="1"/>
    <xf numFmtId="0" fontId="27" fillId="0" borderId="27" xfId="0" applyFont="1" applyBorder="1"/>
    <xf numFmtId="166" fontId="36" fillId="0" borderId="0" xfId="0" applyNumberFormat="1" applyFont="1"/>
    <xf numFmtId="8" fontId="36" fillId="0" borderId="0" xfId="0" applyNumberFormat="1" applyFont="1"/>
    <xf numFmtId="9" fontId="31" fillId="0" borderId="0" xfId="0" applyNumberFormat="1" applyFont="1"/>
    <xf numFmtId="2" fontId="36" fillId="0" borderId="0" xfId="0" applyNumberFormat="1" applyFont="1"/>
    <xf numFmtId="44" fontId="36" fillId="0" borderId="1" xfId="2" applyFont="1" applyFill="1" applyBorder="1"/>
    <xf numFmtId="172" fontId="36" fillId="0" borderId="2" xfId="0" applyNumberFormat="1" applyFont="1" applyBorder="1"/>
    <xf numFmtId="172" fontId="36" fillId="0" borderId="3" xfId="0" applyNumberFormat="1" applyFont="1" applyBorder="1"/>
    <xf numFmtId="44" fontId="36" fillId="3" borderId="4" xfId="2" applyFont="1" applyFill="1" applyBorder="1"/>
    <xf numFmtId="171" fontId="36" fillId="0" borderId="73" xfId="2" applyNumberFormat="1" applyFont="1" applyFill="1" applyBorder="1"/>
    <xf numFmtId="2" fontId="31" fillId="0" borderId="74" xfId="0" applyNumberFormat="1" applyFont="1" applyBorder="1"/>
    <xf numFmtId="10" fontId="31" fillId="0" borderId="74" xfId="0" applyNumberFormat="1" applyFont="1" applyBorder="1"/>
    <xf numFmtId="0" fontId="36" fillId="0" borderId="75" xfId="0" applyFont="1" applyBorder="1"/>
    <xf numFmtId="164" fontId="31" fillId="0" borderId="4" xfId="0" applyNumberFormat="1" applyFont="1" applyBorder="1"/>
    <xf numFmtId="0" fontId="31" fillId="0" borderId="5" xfId="19" applyFont="1" applyBorder="1" applyAlignment="1">
      <alignment wrapText="1"/>
    </xf>
    <xf numFmtId="165" fontId="31" fillId="0" borderId="4" xfId="0" applyNumberFormat="1" applyFont="1" applyBorder="1"/>
    <xf numFmtId="168" fontId="52" fillId="0" borderId="73" xfId="0" applyNumberFormat="1" applyFont="1" applyBorder="1" applyAlignment="1">
      <alignment horizontal="center"/>
    </xf>
    <xf numFmtId="165" fontId="36" fillId="0" borderId="74" xfId="0" applyNumberFormat="1" applyFont="1" applyBorder="1"/>
    <xf numFmtId="0" fontId="31" fillId="0" borderId="74" xfId="0" applyFont="1" applyBorder="1"/>
    <xf numFmtId="0" fontId="36" fillId="0" borderId="75" xfId="19" applyFont="1" applyBorder="1" applyAlignment="1">
      <alignment vertical="top" wrapText="1"/>
    </xf>
    <xf numFmtId="171" fontId="31" fillId="0" borderId="4" xfId="2" applyNumberFormat="1" applyFont="1" applyFill="1" applyBorder="1"/>
    <xf numFmtId="171" fontId="31" fillId="0" borderId="0" xfId="2" applyNumberFormat="1" applyFont="1" applyFill="1" applyBorder="1"/>
    <xf numFmtId="9" fontId="31" fillId="0" borderId="0" xfId="1" applyNumberFormat="1" applyFont="1" applyFill="1" applyBorder="1"/>
    <xf numFmtId="7" fontId="36" fillId="0" borderId="1" xfId="0" applyNumberFormat="1" applyFont="1" applyBorder="1"/>
    <xf numFmtId="3" fontId="31" fillId="0" borderId="2" xfId="0" applyNumberFormat="1" applyFont="1" applyBorder="1"/>
    <xf numFmtId="164" fontId="36" fillId="0" borderId="2" xfId="0" applyNumberFormat="1" applyFont="1" applyBorder="1"/>
    <xf numFmtId="3" fontId="36" fillId="0" borderId="3" xfId="0" applyNumberFormat="1" applyFont="1" applyBorder="1"/>
    <xf numFmtId="0" fontId="31" fillId="0" borderId="0" xfId="0" applyFont="1" applyAlignment="1">
      <alignment horizontal="right"/>
    </xf>
    <xf numFmtId="3" fontId="31" fillId="0" borderId="0" xfId="0" applyNumberFormat="1" applyFont="1"/>
    <xf numFmtId="3" fontId="31" fillId="0" borderId="5" xfId="0" applyNumberFormat="1" applyFont="1" applyBorder="1"/>
    <xf numFmtId="168" fontId="31" fillId="0" borderId="0" xfId="0" applyNumberFormat="1" applyFont="1" applyAlignment="1">
      <alignment horizontal="center" wrapText="1"/>
    </xf>
    <xf numFmtId="168" fontId="31" fillId="0" borderId="4" xfId="0" applyNumberFormat="1" applyFont="1" applyBorder="1" applyAlignment="1">
      <alignment horizontal="center"/>
    </xf>
    <xf numFmtId="43" fontId="31" fillId="0" borderId="0" xfId="1" applyFont="1" applyFill="1" applyBorder="1" applyAlignment="1">
      <alignment horizontal="center"/>
    </xf>
    <xf numFmtId="7" fontId="31" fillId="0" borderId="4" xfId="0" applyNumberFormat="1" applyFont="1" applyBorder="1"/>
    <xf numFmtId="175" fontId="31" fillId="0" borderId="0" xfId="0" applyNumberFormat="1" applyFont="1" applyAlignment="1">
      <alignment horizontal="right"/>
    </xf>
    <xf numFmtId="3" fontId="31" fillId="0" borderId="5" xfId="0" applyNumberFormat="1" applyFont="1" applyBorder="1" applyAlignment="1">
      <alignment horizontal="left"/>
    </xf>
    <xf numFmtId="43" fontId="36" fillId="0" borderId="74" xfId="1" applyFont="1" applyBorder="1"/>
    <xf numFmtId="43" fontId="36" fillId="0" borderId="74" xfId="1" applyFont="1" applyFill="1" applyBorder="1" applyAlignment="1">
      <alignment horizontal="center"/>
    </xf>
    <xf numFmtId="0" fontId="36" fillId="0" borderId="75" xfId="0" applyFont="1" applyBorder="1" applyAlignment="1">
      <alignment horizontal="left"/>
    </xf>
    <xf numFmtId="0" fontId="31" fillId="0" borderId="9" xfId="0" applyFont="1" applyBorder="1"/>
    <xf numFmtId="3" fontId="36" fillId="0" borderId="10" xfId="0" applyNumberFormat="1" applyFont="1" applyBorder="1"/>
    <xf numFmtId="3" fontId="31" fillId="0" borderId="10" xfId="0" applyNumberFormat="1" applyFont="1" applyBorder="1"/>
    <xf numFmtId="3" fontId="31" fillId="0" borderId="12" xfId="0" applyNumberFormat="1" applyFont="1" applyBorder="1"/>
    <xf numFmtId="0" fontId="36" fillId="0" borderId="0" xfId="0" applyFont="1" applyAlignment="1">
      <alignment horizontal="right"/>
    </xf>
    <xf numFmtId="168" fontId="36" fillId="0" borderId="0" xfId="0" applyNumberFormat="1" applyFont="1" applyAlignment="1">
      <alignment horizontal="right"/>
    </xf>
    <xf numFmtId="10" fontId="31" fillId="0" borderId="0" xfId="1" applyNumberFormat="1" applyFont="1" applyFill="1" applyBorder="1" applyAlignment="1">
      <alignment horizontal="center"/>
    </xf>
    <xf numFmtId="3" fontId="36" fillId="0" borderId="0" xfId="0" applyNumberFormat="1" applyFont="1"/>
    <xf numFmtId="10" fontId="31" fillId="0" borderId="0" xfId="1" applyNumberFormat="1" applyFont="1" applyFill="1" applyBorder="1" applyAlignment="1">
      <alignment horizontal="center" vertical="center"/>
    </xf>
    <xf numFmtId="168" fontId="36" fillId="0" borderId="0" xfId="0" applyNumberFormat="1" applyFont="1" applyAlignment="1">
      <alignment horizontal="left"/>
    </xf>
    <xf numFmtId="3" fontId="31" fillId="0" borderId="4" xfId="1" applyNumberFormat="1" applyFont="1" applyFill="1" applyBorder="1" applyAlignment="1">
      <alignment horizontal="center"/>
    </xf>
    <xf numFmtId="2" fontId="31" fillId="0" borderId="0" xfId="1" applyNumberFormat="1" applyFont="1" applyFill="1" applyBorder="1"/>
    <xf numFmtId="0" fontId="31" fillId="0" borderId="5" xfId="0" applyFont="1" applyBorder="1" applyAlignment="1">
      <alignment horizontal="left"/>
    </xf>
    <xf numFmtId="168" fontId="31" fillId="0" borderId="5" xfId="0" applyNumberFormat="1" applyFont="1" applyBorder="1" applyAlignment="1">
      <alignment horizontal="left"/>
    </xf>
    <xf numFmtId="176" fontId="36" fillId="24" borderId="56" xfId="1" applyNumberFormat="1" applyFont="1" applyFill="1" applyBorder="1" applyAlignment="1">
      <alignment horizontal="center" wrapText="1"/>
    </xf>
    <xf numFmtId="176" fontId="36" fillId="24" borderId="77" xfId="1" applyNumberFormat="1" applyFont="1" applyFill="1" applyBorder="1" applyAlignment="1">
      <alignment horizontal="center" wrapText="1"/>
    </xf>
    <xf numFmtId="168" fontId="36" fillId="24" borderId="69" xfId="0" applyNumberFormat="1" applyFont="1" applyFill="1" applyBorder="1" applyAlignment="1">
      <alignment horizontal="center"/>
    </xf>
    <xf numFmtId="0" fontId="53" fillId="0" borderId="0" xfId="0" applyFont="1"/>
    <xf numFmtId="176" fontId="36" fillId="24" borderId="50" xfId="1" applyNumberFormat="1" applyFont="1" applyFill="1" applyBorder="1" applyAlignment="1">
      <alignment horizontal="center" wrapText="1"/>
    </xf>
    <xf numFmtId="176" fontId="36" fillId="24" borderId="78" xfId="1" applyNumberFormat="1" applyFont="1" applyFill="1" applyBorder="1" applyAlignment="1">
      <alignment horizontal="center" wrapText="1"/>
    </xf>
    <xf numFmtId="43" fontId="36" fillId="0" borderId="28" xfId="0" applyNumberFormat="1" applyFont="1" applyBorder="1"/>
    <xf numFmtId="7" fontId="36" fillId="0" borderId="17" xfId="0" applyNumberFormat="1" applyFont="1" applyBorder="1"/>
    <xf numFmtId="0" fontId="36" fillId="0" borderId="41" xfId="0" applyFont="1" applyBorder="1" applyAlignment="1">
      <alignment horizontal="right"/>
    </xf>
    <xf numFmtId="3" fontId="36" fillId="0" borderId="41" xfId="0" applyNumberFormat="1" applyFont="1" applyBorder="1" applyAlignment="1">
      <alignment horizontal="right"/>
    </xf>
    <xf numFmtId="0" fontId="36" fillId="0" borderId="41" xfId="0" applyFont="1" applyBorder="1"/>
    <xf numFmtId="0" fontId="36" fillId="0" borderId="18" xfId="0" applyFont="1" applyBorder="1" applyAlignment="1">
      <alignment horizontal="right"/>
    </xf>
    <xf numFmtId="9" fontId="36" fillId="0" borderId="0" xfId="0" applyNumberFormat="1" applyFont="1" applyAlignment="1">
      <alignment vertical="center"/>
    </xf>
    <xf numFmtId="2" fontId="36" fillId="0" borderId="0" xfId="0" applyNumberFormat="1" applyFont="1" applyAlignment="1">
      <alignment horizontal="right"/>
    </xf>
    <xf numFmtId="3" fontId="36" fillId="0" borderId="0" xfId="0" applyNumberFormat="1" applyFont="1" applyAlignment="1">
      <alignment horizontal="right"/>
    </xf>
    <xf numFmtId="0" fontId="36" fillId="0" borderId="0" xfId="0" applyFont="1" applyAlignment="1">
      <alignment horizontal="left"/>
    </xf>
    <xf numFmtId="44" fontId="36" fillId="0" borderId="0" xfId="2" applyFont="1" applyFill="1" applyBorder="1"/>
    <xf numFmtId="2" fontId="36" fillId="0" borderId="0" xfId="0" applyNumberFormat="1" applyFont="1" applyAlignment="1">
      <alignment horizontal="right" vertical="center"/>
    </xf>
    <xf numFmtId="3" fontId="36" fillId="0" borderId="0" xfId="0" applyNumberFormat="1" applyFont="1" applyAlignment="1">
      <alignment vertical="center"/>
    </xf>
    <xf numFmtId="0" fontId="36" fillId="0" borderId="0" xfId="0" applyFont="1" applyAlignment="1">
      <alignment horizontal="left" vertical="center"/>
    </xf>
    <xf numFmtId="171" fontId="36" fillId="0" borderId="0" xfId="2" applyNumberFormat="1" applyFont="1" applyFill="1" applyBorder="1"/>
    <xf numFmtId="1" fontId="31" fillId="0" borderId="0" xfId="0" applyNumberFormat="1" applyFont="1"/>
    <xf numFmtId="16" fontId="36" fillId="0" borderId="0" xfId="0" quotePrefix="1" applyNumberFormat="1" applyFont="1"/>
    <xf numFmtId="172" fontId="36" fillId="3" borderId="79" xfId="0" applyNumberFormat="1" applyFont="1" applyFill="1" applyBorder="1"/>
    <xf numFmtId="172" fontId="36" fillId="29" borderId="80" xfId="0" applyNumberFormat="1" applyFont="1" applyFill="1" applyBorder="1"/>
    <xf numFmtId="172" fontId="36" fillId="29" borderId="81" xfId="0" applyNumberFormat="1" applyFont="1" applyFill="1" applyBorder="1"/>
    <xf numFmtId="0" fontId="31" fillId="29" borderId="0" xfId="0" applyFont="1" applyFill="1"/>
    <xf numFmtId="168" fontId="36" fillId="0" borderId="82" xfId="0" applyNumberFormat="1" applyFont="1" applyBorder="1"/>
    <xf numFmtId="2" fontId="36" fillId="0" borderId="83" xfId="0" applyNumberFormat="1" applyFont="1" applyBorder="1"/>
    <xf numFmtId="166" fontId="36" fillId="0" borderId="83" xfId="0" applyNumberFormat="1" applyFont="1" applyBorder="1"/>
    <xf numFmtId="0" fontId="36" fillId="0" borderId="83" xfId="0" applyFont="1" applyBorder="1"/>
    <xf numFmtId="0" fontId="31" fillId="0" borderId="0" xfId="0" applyFont="1" applyAlignment="1">
      <alignment vertical="center"/>
    </xf>
    <xf numFmtId="3" fontId="31" fillId="0" borderId="0" xfId="0" applyNumberFormat="1" applyFont="1" applyAlignment="1">
      <alignment vertical="center"/>
    </xf>
    <xf numFmtId="2" fontId="36" fillId="0" borderId="84" xfId="0" applyNumberFormat="1" applyFont="1" applyBorder="1"/>
    <xf numFmtId="168" fontId="36" fillId="0" borderId="73" xfId="0" applyNumberFormat="1" applyFont="1" applyBorder="1"/>
    <xf numFmtId="166" fontId="31" fillId="0" borderId="74" xfId="0" applyNumberFormat="1" applyFont="1" applyBorder="1"/>
    <xf numFmtId="171" fontId="31" fillId="0" borderId="0" xfId="2" applyNumberFormat="1" applyFont="1" applyBorder="1"/>
    <xf numFmtId="43" fontId="31" fillId="0" borderId="0" xfId="0" applyNumberFormat="1" applyFont="1" applyAlignment="1">
      <alignment horizontal="right"/>
    </xf>
    <xf numFmtId="3" fontId="31" fillId="0" borderId="0" xfId="0" applyNumberFormat="1" applyFont="1" applyAlignment="1">
      <alignment horizontal="right"/>
    </xf>
    <xf numFmtId="0" fontId="31" fillId="0" borderId="25" xfId="0" applyFont="1" applyBorder="1"/>
    <xf numFmtId="10" fontId="31" fillId="0" borderId="26" xfId="3" applyNumberFormat="1" applyFont="1" applyBorder="1"/>
    <xf numFmtId="0" fontId="31" fillId="0" borderId="27" xfId="0" applyFont="1" applyBorder="1"/>
    <xf numFmtId="43" fontId="31" fillId="0" borderId="0" xfId="0" applyNumberFormat="1" applyFont="1"/>
    <xf numFmtId="0" fontId="43" fillId="0" borderId="4" xfId="0" applyFont="1" applyBorder="1" applyAlignment="1">
      <alignment wrapText="1"/>
    </xf>
    <xf numFmtId="9" fontId="36" fillId="0" borderId="0" xfId="0" applyNumberFormat="1" applyFont="1" applyAlignment="1">
      <alignment horizontal="right" vertical="center"/>
    </xf>
    <xf numFmtId="168" fontId="36" fillId="0" borderId="4" xfId="0" applyNumberFormat="1" applyFont="1" applyBorder="1"/>
    <xf numFmtId="1" fontId="36" fillId="0" borderId="0" xfId="0" applyNumberFormat="1" applyFont="1"/>
    <xf numFmtId="3" fontId="36" fillId="0" borderId="0" xfId="1" applyNumberFormat="1" applyFont="1" applyFill="1" applyBorder="1"/>
    <xf numFmtId="3" fontId="31" fillId="0" borderId="0" xfId="1" applyNumberFormat="1" applyFont="1" applyFill="1" applyBorder="1"/>
    <xf numFmtId="2" fontId="36" fillId="0" borderId="74" xfId="0" applyNumberFormat="1" applyFont="1" applyBorder="1"/>
    <xf numFmtId="168" fontId="36" fillId="0" borderId="74" xfId="0" applyNumberFormat="1" applyFont="1" applyBorder="1"/>
    <xf numFmtId="0" fontId="36" fillId="0" borderId="74" xfId="0" applyFont="1" applyBorder="1"/>
    <xf numFmtId="4" fontId="31" fillId="0" borderId="0" xfId="1" applyNumberFormat="1" applyFont="1" applyFill="1" applyBorder="1"/>
    <xf numFmtId="177" fontId="31" fillId="0" borderId="0" xfId="2" quotePrefix="1" applyNumberFormat="1" applyFont="1" applyBorder="1" applyAlignment="1">
      <alignment horizontal="right"/>
    </xf>
    <xf numFmtId="165" fontId="31" fillId="0" borderId="0" xfId="2" applyNumberFormat="1" applyFont="1" applyBorder="1"/>
    <xf numFmtId="168" fontId="31" fillId="0" borderId="0" xfId="0" applyNumberFormat="1" applyFont="1" applyAlignment="1">
      <alignment horizontal="right"/>
    </xf>
    <xf numFmtId="9" fontId="36" fillId="0" borderId="0" xfId="0" applyNumberFormat="1" applyFont="1" applyAlignment="1">
      <alignment horizontal="center" wrapText="1"/>
    </xf>
    <xf numFmtId="3" fontId="36" fillId="0" borderId="0" xfId="0" applyNumberFormat="1" applyFont="1" applyAlignment="1">
      <alignment horizontal="center" wrapText="1"/>
    </xf>
    <xf numFmtId="176" fontId="36" fillId="0" borderId="0" xfId="1" applyNumberFormat="1" applyFont="1" applyFill="1" applyBorder="1" applyAlignment="1">
      <alignment horizontal="center" wrapText="1"/>
    </xf>
    <xf numFmtId="168" fontId="36" fillId="0" borderId="60" xfId="0" applyNumberFormat="1" applyFont="1" applyBorder="1" applyAlignment="1">
      <alignment horizontal="center"/>
    </xf>
    <xf numFmtId="1" fontId="36" fillId="29" borderId="30" xfId="0" applyNumberFormat="1" applyFont="1" applyFill="1" applyBorder="1" applyAlignment="1">
      <alignment horizontal="center"/>
    </xf>
    <xf numFmtId="168" fontId="36" fillId="29" borderId="30" xfId="0" applyNumberFormat="1" applyFont="1" applyFill="1" applyBorder="1" applyAlignment="1">
      <alignment horizontal="center"/>
    </xf>
    <xf numFmtId="0" fontId="36" fillId="29" borderId="30" xfId="0" applyFont="1" applyFill="1" applyBorder="1" applyAlignment="1">
      <alignment horizontal="center" wrapText="1"/>
    </xf>
    <xf numFmtId="168" fontId="36" fillId="29" borderId="71" xfId="0" applyNumberFormat="1" applyFont="1" applyFill="1" applyBorder="1" applyAlignment="1">
      <alignment horizontal="center"/>
    </xf>
    <xf numFmtId="168" fontId="36" fillId="29" borderId="60" xfId="0" applyNumberFormat="1" applyFont="1" applyFill="1" applyBorder="1" applyAlignment="1">
      <alignment horizontal="center"/>
    </xf>
    <xf numFmtId="3" fontId="36" fillId="0" borderId="25" xfId="0" applyNumberFormat="1" applyFont="1" applyBorder="1"/>
    <xf numFmtId="1" fontId="36" fillId="0" borderId="26" xfId="0" applyNumberFormat="1" applyFont="1" applyBorder="1"/>
    <xf numFmtId="168" fontId="36" fillId="0" borderId="26" xfId="0" applyNumberFormat="1" applyFont="1" applyBorder="1" applyAlignment="1">
      <alignment horizontal="right"/>
    </xf>
    <xf numFmtId="2" fontId="36" fillId="0" borderId="26" xfId="0" quotePrefix="1" applyNumberFormat="1" applyFont="1" applyBorder="1"/>
    <xf numFmtId="0" fontId="36" fillId="0" borderId="27" xfId="0" applyFont="1" applyBorder="1" applyAlignment="1">
      <alignment horizontal="right"/>
    </xf>
    <xf numFmtId="10" fontId="43" fillId="0" borderId="0" xfId="3" applyNumberFormat="1" applyFont="1"/>
    <xf numFmtId="44" fontId="43" fillId="0" borderId="0" xfId="2" applyFont="1"/>
    <xf numFmtId="3" fontId="30" fillId="0" borderId="44" xfId="0" applyNumberFormat="1" applyFont="1" applyBorder="1"/>
    <xf numFmtId="0" fontId="30" fillId="0" borderId="85" xfId="0" applyFont="1" applyBorder="1" applyAlignment="1">
      <alignment horizontal="right" wrapText="1"/>
    </xf>
    <xf numFmtId="0" fontId="30" fillId="0" borderId="2" xfId="0" applyFont="1" applyBorder="1" applyAlignment="1">
      <alignment horizontal="right" wrapText="1"/>
    </xf>
    <xf numFmtId="0" fontId="30" fillId="0" borderId="70" xfId="0" applyFont="1" applyBorder="1" applyAlignment="1">
      <alignment wrapText="1"/>
    </xf>
    <xf numFmtId="3" fontId="30" fillId="0" borderId="56" xfId="0" applyNumberFormat="1" applyFont="1" applyBorder="1"/>
    <xf numFmtId="0" fontId="30" fillId="0" borderId="77" xfId="0" applyFont="1" applyBorder="1" applyAlignment="1">
      <alignment horizontal="right" wrapText="1"/>
    </xf>
    <xf numFmtId="0" fontId="30" fillId="0" borderId="26" xfId="0" applyFont="1" applyBorder="1" applyAlignment="1">
      <alignment horizontal="right" wrapText="1"/>
    </xf>
    <xf numFmtId="0" fontId="30" fillId="0" borderId="69" xfId="0" applyFont="1" applyBorder="1" applyAlignment="1">
      <alignment wrapText="1"/>
    </xf>
    <xf numFmtId="3" fontId="43" fillId="10" borderId="60" xfId="0" applyNumberFormat="1" applyFont="1" applyFill="1" applyBorder="1"/>
    <xf numFmtId="2" fontId="43" fillId="0" borderId="17" xfId="0" applyNumberFormat="1" applyFont="1" applyBorder="1" applyAlignment="1">
      <alignment horizontal="right" wrapText="1"/>
    </xf>
    <xf numFmtId="1" fontId="43" fillId="0" borderId="7" xfId="0" applyNumberFormat="1" applyFont="1" applyBorder="1" applyAlignment="1">
      <alignment horizontal="right" wrapText="1"/>
    </xf>
    <xf numFmtId="0" fontId="43" fillId="0" borderId="36" xfId="0" applyFont="1" applyBorder="1" applyAlignment="1">
      <alignment wrapText="1"/>
    </xf>
    <xf numFmtId="167" fontId="43" fillId="0" borderId="17" xfId="0" applyNumberFormat="1" applyFont="1" applyBorder="1" applyAlignment="1">
      <alignment horizontal="right" vertical="center" wrapText="1"/>
    </xf>
    <xf numFmtId="0" fontId="43" fillId="0" borderId="36" xfId="0" applyFont="1" applyBorder="1" applyAlignment="1">
      <alignment vertical="center" wrapText="1"/>
    </xf>
    <xf numFmtId="167" fontId="43" fillId="0" borderId="64" xfId="0" applyNumberFormat="1" applyFont="1" applyBorder="1" applyAlignment="1">
      <alignment horizontal="right" wrapText="1"/>
    </xf>
    <xf numFmtId="0" fontId="43" fillId="0" borderId="71" xfId="0" applyFont="1" applyBorder="1" applyAlignment="1">
      <alignment wrapText="1"/>
    </xf>
    <xf numFmtId="3" fontId="30" fillId="0" borderId="77" xfId="0" applyNumberFormat="1" applyFont="1" applyBorder="1" applyAlignment="1">
      <alignment horizontal="center" wrapText="1"/>
    </xf>
    <xf numFmtId="3" fontId="30" fillId="0" borderId="26" xfId="0" applyNumberFormat="1" applyFont="1" applyBorder="1" applyAlignment="1">
      <alignment horizontal="center" wrapText="1"/>
    </xf>
    <xf numFmtId="3" fontId="30" fillId="0" borderId="69" xfId="0" applyNumberFormat="1" applyFont="1" applyBorder="1" applyAlignment="1">
      <alignment wrapText="1"/>
    </xf>
    <xf numFmtId="164" fontId="27" fillId="0" borderId="0" xfId="0" applyNumberFormat="1" applyFont="1"/>
    <xf numFmtId="164" fontId="27" fillId="0" borderId="2" xfId="0" applyNumberFormat="1" applyFont="1" applyBorder="1"/>
    <xf numFmtId="8" fontId="36" fillId="3" borderId="1" xfId="11" applyNumberFormat="1" applyFont="1" applyFill="1" applyBorder="1"/>
    <xf numFmtId="164" fontId="27" fillId="3" borderId="1" xfId="0" applyNumberFormat="1" applyFont="1" applyFill="1" applyBorder="1"/>
    <xf numFmtId="0" fontId="43" fillId="10" borderId="39" xfId="0" applyFont="1" applyFill="1" applyBorder="1"/>
    <xf numFmtId="44" fontId="0" fillId="0" borderId="20" xfId="2" applyFont="1" applyFill="1" applyBorder="1"/>
    <xf numFmtId="44" fontId="0" fillId="0" borderId="19" xfId="2" applyFont="1" applyBorder="1"/>
    <xf numFmtId="10" fontId="0" fillId="0" borderId="0" xfId="3" applyNumberFormat="1" applyFont="1"/>
    <xf numFmtId="44" fontId="0" fillId="0" borderId="15" xfId="2" applyFont="1" applyBorder="1"/>
    <xf numFmtId="0" fontId="3" fillId="0" borderId="0" xfId="0" applyFont="1"/>
    <xf numFmtId="44" fontId="0" fillId="0" borderId="0" xfId="2" applyFont="1" applyFill="1" applyBorder="1"/>
    <xf numFmtId="44" fontId="0" fillId="0" borderId="15" xfId="2" applyFont="1" applyFill="1" applyBorder="1"/>
    <xf numFmtId="0" fontId="0" fillId="0" borderId="16" xfId="0" applyBorder="1"/>
    <xf numFmtId="0" fontId="0" fillId="13" borderId="21" xfId="0" applyFill="1" applyBorder="1"/>
    <xf numFmtId="44" fontId="0" fillId="13" borderId="20" xfId="2" applyFont="1" applyFill="1" applyBorder="1"/>
    <xf numFmtId="44" fontId="0" fillId="13" borderId="19" xfId="2" applyFont="1" applyFill="1" applyBorder="1"/>
    <xf numFmtId="44" fontId="0" fillId="0" borderId="0" xfId="0" applyNumberFormat="1"/>
    <xf numFmtId="0" fontId="0" fillId="13" borderId="16" xfId="0" applyFill="1" applyBorder="1"/>
    <xf numFmtId="44" fontId="0" fillId="13" borderId="0" xfId="2" applyFont="1" applyFill="1" applyBorder="1"/>
    <xf numFmtId="44" fontId="0" fillId="13" borderId="15" xfId="2" applyFont="1" applyFill="1" applyBorder="1"/>
    <xf numFmtId="0" fontId="31" fillId="13" borderId="14" xfId="6" applyFont="1" applyFill="1" applyBorder="1" applyAlignment="1">
      <alignment horizontal="left"/>
    </xf>
    <xf numFmtId="44" fontId="0" fillId="13" borderId="7" xfId="2" applyFont="1" applyFill="1" applyBorder="1"/>
    <xf numFmtId="44" fontId="0" fillId="13" borderId="13" xfId="2" applyFont="1" applyFill="1" applyBorder="1"/>
    <xf numFmtId="44" fontId="0" fillId="0" borderId="16" xfId="2" applyFont="1" applyBorder="1"/>
    <xf numFmtId="44" fontId="0" fillId="0" borderId="21" xfId="2" applyFont="1" applyFill="1" applyBorder="1"/>
    <xf numFmtId="0" fontId="0" fillId="3" borderId="31" xfId="0" applyFill="1" applyBorder="1"/>
    <xf numFmtId="44" fontId="0" fillId="3" borderId="16" xfId="2" applyFont="1" applyFill="1" applyBorder="1"/>
    <xf numFmtId="44" fontId="0" fillId="3" borderId="15" xfId="2" applyFont="1" applyFill="1" applyBorder="1"/>
    <xf numFmtId="44" fontId="0" fillId="0" borderId="16" xfId="2" applyFont="1" applyBorder="1" applyAlignment="1">
      <alignment horizontal="center"/>
    </xf>
    <xf numFmtId="44" fontId="0" fillId="0" borderId="15" xfId="2" applyFont="1" applyBorder="1" applyAlignment="1">
      <alignment horizontal="center"/>
    </xf>
    <xf numFmtId="44" fontId="0" fillId="3" borderId="16" xfId="2" applyFont="1" applyFill="1" applyBorder="1" applyAlignment="1">
      <alignment horizontal="center"/>
    </xf>
    <xf numFmtId="44" fontId="0" fillId="3" borderId="15" xfId="2" applyFont="1" applyFill="1" applyBorder="1" applyAlignment="1">
      <alignment horizontal="center"/>
    </xf>
    <xf numFmtId="0" fontId="0" fillId="3" borderId="16" xfId="0" applyFill="1" applyBorder="1"/>
    <xf numFmtId="0" fontId="0" fillId="0" borderId="30" xfId="0" applyBorder="1"/>
    <xf numFmtId="44" fontId="0" fillId="0" borderId="14" xfId="2" applyFont="1" applyBorder="1"/>
    <xf numFmtId="44" fontId="0" fillId="0" borderId="13" xfId="2" applyFont="1" applyBorder="1"/>
    <xf numFmtId="44" fontId="0" fillId="0" borderId="29" xfId="2" applyFont="1" applyFill="1" applyBorder="1"/>
    <xf numFmtId="44" fontId="0" fillId="0" borderId="16" xfId="2" applyFont="1" applyFill="1" applyBorder="1"/>
    <xf numFmtId="44" fontId="0" fillId="0" borderId="31" xfId="2" applyFont="1" applyFill="1" applyBorder="1"/>
    <xf numFmtId="10" fontId="0" fillId="0" borderId="0" xfId="3" applyNumberFormat="1" applyFont="1" applyFill="1"/>
    <xf numFmtId="44" fontId="0" fillId="0" borderId="30" xfId="2" applyFont="1" applyFill="1" applyBorder="1"/>
    <xf numFmtId="0" fontId="2" fillId="0" borderId="5" xfId="0" applyFont="1" applyBorder="1"/>
    <xf numFmtId="44" fontId="1" fillId="0" borderId="0" xfId="2" applyFont="1" applyBorder="1"/>
    <xf numFmtId="44" fontId="1" fillId="0" borderId="0" xfId="2" applyFont="1" applyFill="1" applyBorder="1"/>
    <xf numFmtId="44" fontId="32" fillId="0" borderId="0" xfId="2" applyFont="1" applyFill="1" applyBorder="1"/>
    <xf numFmtId="0" fontId="0" fillId="11" borderId="50" xfId="0" applyFill="1" applyBorder="1"/>
    <xf numFmtId="44" fontId="1" fillId="25" borderId="23" xfId="2" applyFont="1" applyFill="1" applyBorder="1"/>
    <xf numFmtId="44" fontId="32" fillId="25" borderId="22" xfId="2" applyFont="1" applyFill="1" applyBorder="1"/>
    <xf numFmtId="44" fontId="27" fillId="0" borderId="0" xfId="2" applyFont="1" applyFill="1" applyBorder="1"/>
    <xf numFmtId="178" fontId="27" fillId="0" borderId="0" xfId="2" applyNumberFormat="1" applyFont="1" applyFill="1" applyBorder="1"/>
    <xf numFmtId="171" fontId="31" fillId="0" borderId="1" xfId="2" applyNumberFormat="1" applyFont="1" applyFill="1" applyBorder="1"/>
    <xf numFmtId="44" fontId="0" fillId="0" borderId="9" xfId="2" applyFont="1" applyFill="1" applyBorder="1"/>
    <xf numFmtId="44" fontId="27" fillId="10" borderId="0" xfId="2" applyFont="1" applyFill="1" applyBorder="1"/>
    <xf numFmtId="0" fontId="55" fillId="0" borderId="0" xfId="0" applyFont="1" applyAlignment="1">
      <alignment horizontal="center" vertical="center"/>
    </xf>
    <xf numFmtId="44" fontId="31" fillId="0" borderId="0" xfId="17" applyFont="1" applyFill="1" applyBorder="1"/>
    <xf numFmtId="0" fontId="18" fillId="0" borderId="0" xfId="24"/>
    <xf numFmtId="0" fontId="18" fillId="30" borderId="0" xfId="24" applyFill="1"/>
    <xf numFmtId="0" fontId="18" fillId="31" borderId="0" xfId="24" applyFill="1"/>
    <xf numFmtId="0" fontId="18" fillId="32" borderId="0" xfId="24" applyFill="1"/>
    <xf numFmtId="0" fontId="18" fillId="33" borderId="0" xfId="24" applyFill="1"/>
    <xf numFmtId="4" fontId="36" fillId="0" borderId="0" xfId="11" applyNumberFormat="1" applyFont="1"/>
    <xf numFmtId="44" fontId="31" fillId="0" borderId="0" xfId="11" applyNumberFormat="1" applyFont="1"/>
    <xf numFmtId="10" fontId="31" fillId="0" borderId="0" xfId="3" applyNumberFormat="1" applyFont="1" applyAlignment="1">
      <alignment horizontal="left"/>
    </xf>
    <xf numFmtId="43" fontId="36" fillId="0" borderId="20" xfId="1" applyFont="1" applyBorder="1"/>
    <xf numFmtId="168" fontId="36" fillId="0" borderId="47" xfId="11" applyNumberFormat="1" applyFont="1" applyBorder="1"/>
    <xf numFmtId="0" fontId="43" fillId="0" borderId="49" xfId="0" applyFont="1" applyBorder="1"/>
    <xf numFmtId="168" fontId="31" fillId="0" borderId="41" xfId="0" applyNumberFormat="1" applyFont="1" applyBorder="1"/>
    <xf numFmtId="0" fontId="36" fillId="0" borderId="49" xfId="11" applyFont="1" applyBorder="1"/>
    <xf numFmtId="0" fontId="36" fillId="0" borderId="41" xfId="11" applyFont="1" applyBorder="1"/>
    <xf numFmtId="168" fontId="36" fillId="0" borderId="37" xfId="11" applyNumberFormat="1" applyFont="1" applyBorder="1"/>
    <xf numFmtId="3" fontId="31" fillId="10" borderId="17" xfId="0" applyNumberFormat="1" applyFont="1" applyFill="1" applyBorder="1" applyAlignment="1">
      <alignment horizontal="center"/>
    </xf>
    <xf numFmtId="0" fontId="36" fillId="0" borderId="48" xfId="11" applyFont="1" applyBorder="1"/>
    <xf numFmtId="166" fontId="31" fillId="0" borderId="0" xfId="0" applyNumberFormat="1" applyFont="1" applyAlignment="1">
      <alignment horizontal="center"/>
    </xf>
    <xf numFmtId="0" fontId="31" fillId="13" borderId="7" xfId="11" applyFont="1" applyFill="1" applyBorder="1"/>
    <xf numFmtId="0" fontId="31" fillId="13" borderId="6" xfId="11" applyFont="1" applyFill="1" applyBorder="1"/>
    <xf numFmtId="0" fontId="36" fillId="0" borderId="49" xfId="19" applyFont="1" applyBorder="1" applyAlignment="1">
      <alignment wrapText="1"/>
    </xf>
    <xf numFmtId="166" fontId="31" fillId="0" borderId="41" xfId="0" applyNumberFormat="1" applyFont="1" applyBorder="1" applyAlignment="1">
      <alignment horizontal="center"/>
    </xf>
    <xf numFmtId="168" fontId="36" fillId="0" borderId="37" xfId="0" applyNumberFormat="1" applyFont="1" applyBorder="1"/>
    <xf numFmtId="0" fontId="43" fillId="0" borderId="48" xfId="0" applyFont="1" applyBorder="1"/>
    <xf numFmtId="166" fontId="31" fillId="0" borderId="20" xfId="0" applyNumberFormat="1" applyFont="1" applyBorder="1" applyAlignment="1">
      <alignment horizontal="center"/>
    </xf>
    <xf numFmtId="168" fontId="31" fillId="0" borderId="47" xfId="0" applyNumberFormat="1" applyFont="1" applyBorder="1"/>
    <xf numFmtId="166" fontId="36" fillId="0" borderId="41" xfId="0" applyNumberFormat="1" applyFont="1" applyBorder="1" applyAlignment="1">
      <alignment horizontal="center"/>
    </xf>
    <xf numFmtId="0" fontId="36" fillId="11" borderId="17" xfId="0" applyFont="1" applyFill="1" applyBorder="1" applyAlignment="1">
      <alignment horizontal="center"/>
    </xf>
    <xf numFmtId="0" fontId="36" fillId="0" borderId="0" xfId="0" applyFont="1" applyAlignment="1">
      <alignment horizontal="center" vertical="center" wrapText="1"/>
    </xf>
    <xf numFmtId="3" fontId="36" fillId="0" borderId="17" xfId="0" applyNumberFormat="1" applyFont="1" applyBorder="1" applyAlignment="1">
      <alignment wrapText="1"/>
    </xf>
    <xf numFmtId="1" fontId="36" fillId="0" borderId="0" xfId="0" applyNumberFormat="1" applyFont="1" applyAlignment="1">
      <alignment horizontal="center"/>
    </xf>
    <xf numFmtId="168" fontId="36" fillId="0" borderId="4" xfId="0" applyNumberFormat="1" applyFont="1" applyBorder="1" applyAlignment="1">
      <alignment horizontal="right"/>
    </xf>
    <xf numFmtId="0" fontId="31" fillId="0" borderId="17" xfId="0" applyFont="1" applyBorder="1" applyAlignment="1">
      <alignment wrapText="1"/>
    </xf>
    <xf numFmtId="0" fontId="31" fillId="0" borderId="17" xfId="0" applyFont="1" applyBorder="1" applyAlignment="1">
      <alignment vertical="center" wrapText="1"/>
    </xf>
    <xf numFmtId="43" fontId="36" fillId="0" borderId="20" xfId="1" applyFont="1" applyBorder="1" applyAlignment="1">
      <alignment horizontal="center"/>
    </xf>
    <xf numFmtId="0" fontId="36" fillId="0" borderId="17" xfId="0" applyFont="1" applyBorder="1" applyAlignment="1">
      <alignment wrapText="1"/>
    </xf>
    <xf numFmtId="6" fontId="31" fillId="0" borderId="20" xfId="0" applyNumberFormat="1" applyFont="1" applyBorder="1"/>
    <xf numFmtId="0" fontId="31" fillId="0" borderId="8" xfId="19" applyFont="1" applyBorder="1" applyAlignment="1">
      <alignment wrapText="1"/>
    </xf>
    <xf numFmtId="10" fontId="31" fillId="0" borderId="7" xfId="0" applyNumberFormat="1" applyFont="1" applyBorder="1"/>
    <xf numFmtId="6" fontId="31" fillId="0" borderId="7" xfId="0" applyNumberFormat="1" applyFont="1" applyBorder="1"/>
    <xf numFmtId="168" fontId="31" fillId="0" borderId="6" xfId="0" applyNumberFormat="1" applyFont="1" applyBorder="1"/>
    <xf numFmtId="0" fontId="36" fillId="0" borderId="48" xfId="0" applyFont="1" applyBorder="1" applyAlignment="1">
      <alignment horizontal="left"/>
    </xf>
    <xf numFmtId="10" fontId="36" fillId="0" borderId="20" xfId="3" applyNumberFormat="1" applyFont="1" applyBorder="1"/>
    <xf numFmtId="168" fontId="36" fillId="0" borderId="47" xfId="0" applyNumberFormat="1" applyFont="1" applyBorder="1"/>
    <xf numFmtId="171" fontId="31" fillId="0" borderId="0" xfId="2" applyNumberFormat="1" applyFont="1" applyAlignment="1">
      <alignment horizontal="center"/>
    </xf>
    <xf numFmtId="0" fontId="36" fillId="0" borderId="5" xfId="19" applyFont="1" applyBorder="1" applyAlignment="1">
      <alignment wrapText="1"/>
    </xf>
    <xf numFmtId="0" fontId="43" fillId="0" borderId="8" xfId="0" applyFont="1" applyBorder="1"/>
    <xf numFmtId="0" fontId="31" fillId="0" borderId="49" xfId="0" applyFont="1" applyBorder="1" applyAlignment="1">
      <alignment horizontal="left"/>
    </xf>
    <xf numFmtId="10" fontId="36" fillId="0" borderId="41" xfId="0" applyNumberFormat="1" applyFont="1" applyBorder="1" applyAlignment="1">
      <alignment horizontal="center"/>
    </xf>
    <xf numFmtId="164" fontId="36" fillId="3" borderId="37" xfId="0" applyNumberFormat="1" applyFont="1" applyFill="1" applyBorder="1"/>
    <xf numFmtId="0" fontId="31" fillId="0" borderId="49" xfId="11" applyFont="1" applyBorder="1" applyAlignment="1">
      <alignment horizontal="left"/>
    </xf>
    <xf numFmtId="164" fontId="36" fillId="3" borderId="37" xfId="11" applyNumberFormat="1" applyFont="1" applyFill="1" applyBorder="1"/>
    <xf numFmtId="10" fontId="28" fillId="3" borderId="1" xfId="0" applyNumberFormat="1" applyFont="1" applyFill="1" applyBorder="1"/>
    <xf numFmtId="0" fontId="28" fillId="0" borderId="0" xfId="0" applyFont="1"/>
    <xf numFmtId="0" fontId="56" fillId="0" borderId="0" xfId="0" applyFont="1"/>
    <xf numFmtId="0" fontId="0" fillId="11" borderId="21" xfId="0" applyFill="1" applyBorder="1"/>
    <xf numFmtId="44" fontId="0" fillId="11" borderId="20" xfId="2" applyFont="1" applyFill="1" applyBorder="1"/>
    <xf numFmtId="44" fontId="0" fillId="11" borderId="19" xfId="2" applyFont="1" applyFill="1" applyBorder="1"/>
    <xf numFmtId="0" fontId="0" fillId="11" borderId="16" xfId="0" applyFill="1" applyBorder="1"/>
    <xf numFmtId="44" fontId="0" fillId="11" borderId="0" xfId="2" applyFont="1" applyFill="1" applyBorder="1"/>
    <xf numFmtId="44" fontId="0" fillId="11" borderId="15" xfId="2" applyFont="1" applyFill="1" applyBorder="1"/>
    <xf numFmtId="0" fontId="31" fillId="11" borderId="14" xfId="6" applyFont="1" applyFill="1" applyBorder="1" applyAlignment="1">
      <alignment horizontal="left"/>
    </xf>
    <xf numFmtId="44" fontId="0" fillId="11" borderId="7" xfId="2" applyFont="1" applyFill="1" applyBorder="1"/>
    <xf numFmtId="44" fontId="0" fillId="11" borderId="13" xfId="2" applyFont="1" applyFill="1" applyBorder="1"/>
    <xf numFmtId="10" fontId="2" fillId="0" borderId="20" xfId="19" applyNumberFormat="1" applyFont="1" applyBorder="1" applyAlignment="1">
      <alignment horizontal="right" wrapText="1"/>
    </xf>
    <xf numFmtId="0" fontId="2" fillId="0" borderId="0" xfId="19" applyFont="1" applyAlignment="1">
      <alignment horizontal="right" wrapText="1"/>
    </xf>
    <xf numFmtId="0" fontId="36" fillId="0" borderId="26" xfId="0" applyFont="1" applyBorder="1"/>
    <xf numFmtId="0" fontId="36" fillId="0" borderId="25" xfId="0" applyFont="1" applyBorder="1"/>
    <xf numFmtId="2" fontId="31" fillId="0" borderId="0" xfId="13" applyNumberFormat="1" applyFont="1"/>
    <xf numFmtId="171" fontId="31" fillId="0" borderId="9" xfId="2" applyNumberFormat="1" applyFont="1" applyBorder="1"/>
    <xf numFmtId="0" fontId="31" fillId="13" borderId="5" xfId="0" applyFont="1" applyFill="1" applyBorder="1"/>
    <xf numFmtId="171" fontId="31" fillId="13" borderId="0" xfId="0" applyNumberFormat="1" applyFont="1" applyFill="1"/>
    <xf numFmtId="171" fontId="31" fillId="13" borderId="4" xfId="2" applyNumberFormat="1" applyFont="1" applyFill="1" applyBorder="1"/>
    <xf numFmtId="0" fontId="31" fillId="0" borderId="20" xfId="13" applyFont="1" applyBorder="1"/>
    <xf numFmtId="2" fontId="31" fillId="0" borderId="41" xfId="13" applyNumberFormat="1" applyFont="1" applyBorder="1"/>
    <xf numFmtId="165" fontId="31" fillId="0" borderId="47" xfId="13" applyNumberFormat="1" applyFont="1" applyBorder="1"/>
    <xf numFmtId="0" fontId="43" fillId="0" borderId="49" xfId="0" applyFont="1" applyBorder="1" applyAlignment="1">
      <alignment wrapText="1"/>
    </xf>
    <xf numFmtId="0" fontId="31" fillId="0" borderId="41" xfId="13" applyFont="1" applyBorder="1"/>
    <xf numFmtId="165" fontId="43" fillId="0" borderId="37" xfId="0" applyNumberFormat="1" applyFont="1" applyBorder="1"/>
    <xf numFmtId="0" fontId="36" fillId="0" borderId="75" xfId="11" applyFont="1" applyBorder="1" applyAlignment="1">
      <alignment wrapText="1"/>
    </xf>
    <xf numFmtId="0" fontId="31" fillId="0" borderId="74" xfId="13" applyFont="1" applyBorder="1"/>
    <xf numFmtId="165" fontId="36" fillId="0" borderId="73" xfId="13" applyNumberFormat="1" applyFont="1" applyBorder="1"/>
    <xf numFmtId="0" fontId="36" fillId="0" borderId="5" xfId="11" applyFont="1" applyBorder="1" applyAlignment="1">
      <alignment wrapText="1"/>
    </xf>
    <xf numFmtId="0" fontId="31" fillId="0" borderId="0" xfId="13" applyFont="1"/>
    <xf numFmtId="165" fontId="31" fillId="0" borderId="4" xfId="13" applyNumberFormat="1" applyFont="1" applyBorder="1"/>
    <xf numFmtId="0" fontId="36" fillId="0" borderId="0" xfId="11" applyFont="1" applyAlignment="1">
      <alignment wrapText="1"/>
    </xf>
    <xf numFmtId="0" fontId="36" fillId="0" borderId="4" xfId="11" applyFont="1" applyBorder="1" applyAlignment="1">
      <alignment wrapText="1"/>
    </xf>
    <xf numFmtId="6" fontId="31" fillId="0" borderId="4" xfId="11" applyNumberFormat="1" applyFont="1" applyBorder="1" applyAlignment="1">
      <alignment wrapText="1"/>
    </xf>
    <xf numFmtId="171" fontId="36" fillId="0" borderId="73" xfId="2" applyNumberFormat="1" applyFont="1" applyBorder="1"/>
    <xf numFmtId="171" fontId="36" fillId="0" borderId="4" xfId="2" applyNumberFormat="1" applyFont="1" applyBorder="1"/>
    <xf numFmtId="165" fontId="36" fillId="0" borderId="41" xfId="0" applyNumberFormat="1" applyFont="1" applyBorder="1"/>
    <xf numFmtId="171" fontId="36" fillId="0" borderId="37" xfId="2" applyNumberFormat="1" applyFont="1" applyBorder="1"/>
    <xf numFmtId="164" fontId="36" fillId="0" borderId="75" xfId="0" applyNumberFormat="1" applyFont="1" applyBorder="1"/>
    <xf numFmtId="165" fontId="36" fillId="0" borderId="73" xfId="0" applyNumberFormat="1" applyFont="1" applyBorder="1"/>
    <xf numFmtId="44" fontId="31" fillId="0" borderId="4" xfId="0" applyNumberFormat="1" applyFont="1" applyBorder="1"/>
    <xf numFmtId="44" fontId="36" fillId="3" borderId="1" xfId="2" applyFont="1" applyFill="1" applyBorder="1"/>
    <xf numFmtId="0" fontId="1" fillId="0" borderId="0" xfId="4" applyAlignment="1">
      <alignment horizontal="center"/>
    </xf>
    <xf numFmtId="0" fontId="43" fillId="2" borderId="0" xfId="4" applyFont="1" applyFill="1"/>
    <xf numFmtId="0" fontId="43" fillId="2" borderId="0" xfId="4" applyFont="1" applyFill="1" applyAlignment="1">
      <alignment horizontal="right"/>
    </xf>
    <xf numFmtId="44" fontId="2" fillId="0" borderId="0" xfId="2" applyFont="1" applyFill="1" applyBorder="1" applyAlignment="1">
      <alignment horizontal="right"/>
    </xf>
    <xf numFmtId="6" fontId="43" fillId="2" borderId="0" xfId="4" applyNumberFormat="1" applyFont="1" applyFill="1" applyAlignment="1">
      <alignment horizontal="center"/>
    </xf>
    <xf numFmtId="8" fontId="0" fillId="11" borderId="15" xfId="2" applyNumberFormat="1" applyFont="1" applyFill="1" applyBorder="1"/>
    <xf numFmtId="0" fontId="1" fillId="0" borderId="12" xfId="4" applyBorder="1"/>
    <xf numFmtId="0" fontId="1" fillId="0" borderId="3" xfId="4" applyBorder="1"/>
    <xf numFmtId="17" fontId="0" fillId="0" borderId="0" xfId="0" applyNumberFormat="1" applyAlignment="1">
      <alignment horizontal="center"/>
    </xf>
    <xf numFmtId="16" fontId="0" fillId="0" borderId="0" xfId="0" applyNumberFormat="1" applyAlignment="1">
      <alignment horizontal="center"/>
    </xf>
    <xf numFmtId="10" fontId="3" fillId="0" borderId="0" xfId="0" applyNumberFormat="1" applyFont="1"/>
    <xf numFmtId="0" fontId="32" fillId="0" borderId="12" xfId="4" applyFont="1" applyBorder="1"/>
    <xf numFmtId="0" fontId="32" fillId="0" borderId="3" xfId="4" applyFont="1" applyBorder="1"/>
    <xf numFmtId="0" fontId="32" fillId="0" borderId="5" xfId="4" applyFont="1" applyBorder="1"/>
    <xf numFmtId="0" fontId="3" fillId="0" borderId="0" xfId="4" applyFont="1"/>
    <xf numFmtId="0" fontId="3" fillId="0" borderId="0" xfId="4" applyFont="1" applyAlignment="1">
      <alignment horizontal="left" wrapText="1"/>
    </xf>
    <xf numFmtId="0" fontId="1" fillId="0" borderId="10" xfId="4" applyBorder="1"/>
    <xf numFmtId="0" fontId="1" fillId="0" borderId="2" xfId="4" applyBorder="1"/>
    <xf numFmtId="0" fontId="1" fillId="0" borderId="0" xfId="4"/>
    <xf numFmtId="44" fontId="0" fillId="0" borderId="10" xfId="0" applyNumberFormat="1" applyBorder="1"/>
    <xf numFmtId="44" fontId="0" fillId="0" borderId="2" xfId="2" applyFont="1" applyBorder="1"/>
    <xf numFmtId="0" fontId="1" fillId="0" borderId="2" xfId="4" applyBorder="1" applyAlignment="1">
      <alignment wrapText="1"/>
    </xf>
    <xf numFmtId="44" fontId="0" fillId="0" borderId="2" xfId="0" applyNumberFormat="1" applyBorder="1"/>
    <xf numFmtId="0" fontId="32" fillId="0" borderId="0" xfId="4" applyFont="1" applyAlignment="1">
      <alignment horizontal="right" wrapText="1"/>
    </xf>
    <xf numFmtId="165" fontId="1" fillId="0" borderId="0" xfId="4" applyNumberFormat="1" applyAlignment="1">
      <alignment horizontal="center"/>
    </xf>
    <xf numFmtId="0" fontId="1" fillId="0" borderId="0" xfId="4" applyAlignment="1">
      <alignment wrapText="1"/>
    </xf>
    <xf numFmtId="0" fontId="1" fillId="0" borderId="0" xfId="4" applyAlignment="1">
      <alignment horizontal="right"/>
    </xf>
    <xf numFmtId="10" fontId="1" fillId="0" borderId="0" xfId="3" applyNumberFormat="1" applyFont="1" applyAlignment="1">
      <alignment horizontal="center"/>
    </xf>
    <xf numFmtId="9" fontId="1" fillId="0" borderId="0" xfId="3" applyFont="1" applyAlignment="1">
      <alignment horizontal="center"/>
    </xf>
    <xf numFmtId="9" fontId="1" fillId="0" borderId="0" xfId="3" applyFont="1"/>
    <xf numFmtId="0" fontId="39" fillId="0" borderId="0" xfId="4" applyFont="1" applyAlignment="1">
      <alignment horizontal="right"/>
    </xf>
    <xf numFmtId="0" fontId="2" fillId="0" borderId="0" xfId="0" applyFont="1"/>
    <xf numFmtId="0" fontId="28" fillId="0" borderId="0" xfId="0" applyFont="1" applyAlignment="1">
      <alignment horizontal="right"/>
    </xf>
    <xf numFmtId="0" fontId="0" fillId="0" borderId="0" xfId="0" applyAlignment="1">
      <alignment vertical="center" wrapText="1"/>
    </xf>
    <xf numFmtId="0" fontId="2" fillId="0" borderId="0" xfId="0" applyFont="1" applyAlignment="1">
      <alignment horizontal="right"/>
    </xf>
    <xf numFmtId="44" fontId="32" fillId="0" borderId="4" xfId="2" applyFont="1" applyFill="1" applyBorder="1"/>
    <xf numFmtId="0" fontId="59" fillId="0" borderId="5" xfId="0" applyFont="1" applyBorder="1"/>
    <xf numFmtId="0" fontId="57" fillId="0" borderId="0" xfId="0" applyFont="1"/>
    <xf numFmtId="0" fontId="53" fillId="10" borderId="0" xfId="0" applyFont="1" applyFill="1"/>
    <xf numFmtId="6" fontId="31" fillId="0" borderId="0" xfId="0" applyNumberFormat="1" applyFont="1"/>
    <xf numFmtId="6" fontId="36" fillId="0" borderId="0" xfId="0" applyNumberFormat="1" applyFont="1"/>
    <xf numFmtId="7" fontId="36" fillId="17" borderId="0" xfId="0" applyNumberFormat="1" applyFont="1" applyFill="1"/>
    <xf numFmtId="7" fontId="36" fillId="3" borderId="0" xfId="0" applyNumberFormat="1" applyFont="1" applyFill="1"/>
    <xf numFmtId="2" fontId="44" fillId="0" borderId="0" xfId="0" applyNumberFormat="1" applyFont="1" applyAlignment="1">
      <alignment horizontal="center"/>
    </xf>
    <xf numFmtId="10" fontId="36" fillId="0" borderId="0" xfId="3" applyNumberFormat="1" applyFont="1"/>
    <xf numFmtId="10" fontId="36" fillId="0" borderId="0" xfId="3" applyNumberFormat="1" applyFont="1" applyBorder="1" applyAlignment="1">
      <alignment horizontal="center" vertical="center"/>
    </xf>
    <xf numFmtId="8" fontId="31" fillId="0" borderId="0" xfId="0" applyNumberFormat="1" applyFont="1"/>
    <xf numFmtId="171" fontId="0" fillId="0" borderId="0" xfId="0" applyNumberFormat="1"/>
    <xf numFmtId="44" fontId="43" fillId="0" borderId="0" xfId="0" applyNumberFormat="1" applyFont="1"/>
    <xf numFmtId="172" fontId="36" fillId="3" borderId="0" xfId="0" applyNumberFormat="1" applyFont="1" applyFill="1" applyAlignment="1">
      <alignment horizontal="center"/>
    </xf>
    <xf numFmtId="172" fontId="36" fillId="3" borderId="2" xfId="0" applyNumberFormat="1" applyFont="1" applyFill="1" applyBorder="1" applyAlignment="1">
      <alignment horizontal="center"/>
    </xf>
    <xf numFmtId="7" fontId="36" fillId="3" borderId="0" xfId="6" applyNumberFormat="1" applyFont="1" applyFill="1" applyAlignment="1">
      <alignment horizontal="center"/>
    </xf>
    <xf numFmtId="10" fontId="46" fillId="0" borderId="23" xfId="3" applyNumberFormat="1" applyFont="1" applyFill="1" applyBorder="1"/>
    <xf numFmtId="10" fontId="46" fillId="0" borderId="22" xfId="3" applyNumberFormat="1" applyFont="1" applyFill="1" applyBorder="1"/>
    <xf numFmtId="0" fontId="36" fillId="0" borderId="26" xfId="6" applyFont="1" applyBorder="1" applyAlignment="1">
      <alignment horizontal="center" wrapText="1"/>
    </xf>
    <xf numFmtId="0" fontId="36" fillId="0" borderId="50" xfId="6" applyFont="1" applyBorder="1" applyAlignment="1">
      <alignment horizontal="center" wrapText="1"/>
    </xf>
    <xf numFmtId="172" fontId="31" fillId="0" borderId="0" xfId="13" applyNumberFormat="1" applyFont="1"/>
    <xf numFmtId="9" fontId="31" fillId="0" borderId="0" xfId="13" applyNumberFormat="1" applyFont="1"/>
    <xf numFmtId="168" fontId="31" fillId="0" borderId="0" xfId="13" applyNumberFormat="1" applyFont="1"/>
    <xf numFmtId="172" fontId="36" fillId="0" borderId="0" xfId="13" applyNumberFormat="1" applyFont="1"/>
    <xf numFmtId="168" fontId="36" fillId="0" borderId="0" xfId="13" applyNumberFormat="1" applyFont="1"/>
    <xf numFmtId="0" fontId="31" fillId="3" borderId="0" xfId="13" applyFont="1" applyFill="1"/>
    <xf numFmtId="0" fontId="36" fillId="0" borderId="0" xfId="13" applyFont="1"/>
    <xf numFmtId="0" fontId="36" fillId="11" borderId="27" xfId="13" applyFont="1" applyFill="1" applyBorder="1" applyAlignment="1">
      <alignment horizontal="center"/>
    </xf>
    <xf numFmtId="0" fontId="31" fillId="0" borderId="0" xfId="6" applyFont="1"/>
    <xf numFmtId="0" fontId="36" fillId="0" borderId="27" xfId="13" applyFont="1" applyBorder="1" applyAlignment="1">
      <alignment horizontal="right"/>
    </xf>
    <xf numFmtId="0" fontId="36" fillId="0" borderId="26" xfId="13" applyFont="1" applyBorder="1"/>
    <xf numFmtId="168" fontId="36" fillId="0" borderId="26" xfId="13" applyNumberFormat="1" applyFont="1" applyBorder="1" applyAlignment="1">
      <alignment horizontal="right"/>
    </xf>
    <xf numFmtId="1" fontId="36" fillId="0" borderId="26" xfId="13" applyNumberFormat="1" applyFont="1" applyBorder="1"/>
    <xf numFmtId="3" fontId="36" fillId="0" borderId="25" xfId="13" applyNumberFormat="1" applyFont="1" applyBorder="1"/>
    <xf numFmtId="0" fontId="36" fillId="0" borderId="3" xfId="13" applyFont="1" applyBorder="1" applyAlignment="1">
      <alignment horizontal="right"/>
    </xf>
    <xf numFmtId="0" fontId="31" fillId="0" borderId="2" xfId="13" applyFont="1" applyBorder="1"/>
    <xf numFmtId="0" fontId="36" fillId="0" borderId="2" xfId="13" applyFont="1" applyBorder="1"/>
    <xf numFmtId="168" fontId="36" fillId="0" borderId="2" xfId="13" applyNumberFormat="1" applyFont="1" applyBorder="1" applyAlignment="1">
      <alignment horizontal="right"/>
    </xf>
    <xf numFmtId="1" fontId="36" fillId="0" borderId="2" xfId="13" applyNumberFormat="1" applyFont="1" applyBorder="1"/>
    <xf numFmtId="3" fontId="36" fillId="0" borderId="1" xfId="13" applyNumberFormat="1" applyFont="1" applyBorder="1"/>
    <xf numFmtId="0" fontId="36" fillId="0" borderId="12" xfId="13" applyFont="1" applyBorder="1" applyAlignment="1">
      <alignment horizontal="right"/>
    </xf>
    <xf numFmtId="0" fontId="31" fillId="0" borderId="10" xfId="13" applyFont="1" applyBorder="1"/>
    <xf numFmtId="0" fontId="36" fillId="0" borderId="10" xfId="13" applyFont="1" applyBorder="1"/>
    <xf numFmtId="168" fontId="36" fillId="0" borderId="10" xfId="13" applyNumberFormat="1" applyFont="1" applyBorder="1" applyAlignment="1">
      <alignment horizontal="right"/>
    </xf>
    <xf numFmtId="1" fontId="36" fillId="0" borderId="10" xfId="13" applyNumberFormat="1" applyFont="1" applyBorder="1"/>
    <xf numFmtId="3" fontId="36" fillId="0" borderId="9" xfId="13" applyNumberFormat="1" applyFont="1" applyBorder="1"/>
    <xf numFmtId="0" fontId="36" fillId="0" borderId="72" xfId="13" applyFont="1" applyBorder="1"/>
    <xf numFmtId="0" fontId="36" fillId="0" borderId="64" xfId="13" applyFont="1" applyBorder="1" applyAlignment="1">
      <alignment horizontal="center" vertical="center" wrapText="1"/>
    </xf>
    <xf numFmtId="168" fontId="36" fillId="0" borderId="64" xfId="13" applyNumberFormat="1" applyFont="1" applyBorder="1" applyAlignment="1">
      <alignment vertical="center"/>
    </xf>
    <xf numFmtId="1" fontId="36" fillId="0" borderId="64" xfId="13" applyNumberFormat="1" applyFont="1" applyBorder="1" applyAlignment="1">
      <alignment vertical="center"/>
    </xf>
    <xf numFmtId="168" fontId="36" fillId="0" borderId="63" xfId="13" applyNumberFormat="1" applyFont="1" applyBorder="1" applyAlignment="1">
      <alignment vertical="center"/>
    </xf>
    <xf numFmtId="3" fontId="36" fillId="0" borderId="0" xfId="13" applyNumberFormat="1" applyFont="1"/>
    <xf numFmtId="0" fontId="36" fillId="0" borderId="36" xfId="13" applyFont="1" applyBorder="1"/>
    <xf numFmtId="0" fontId="36" fillId="0" borderId="17" xfId="13" applyFont="1" applyBorder="1" applyAlignment="1">
      <alignment horizontal="center" vertical="center" wrapText="1"/>
    </xf>
    <xf numFmtId="168" fontId="36" fillId="0" borderId="17" xfId="13" applyNumberFormat="1" applyFont="1" applyBorder="1" applyAlignment="1">
      <alignment vertical="center"/>
    </xf>
    <xf numFmtId="1" fontId="36" fillId="0" borderId="17" xfId="13" applyNumberFormat="1" applyFont="1" applyBorder="1" applyAlignment="1">
      <alignment vertical="center"/>
    </xf>
    <xf numFmtId="168" fontId="36" fillId="0" borderId="35" xfId="13" applyNumberFormat="1" applyFont="1" applyBorder="1" applyAlignment="1">
      <alignment vertical="center"/>
    </xf>
    <xf numFmtId="172" fontId="31" fillId="0" borderId="4" xfId="13" applyNumberFormat="1" applyFont="1" applyBorder="1"/>
    <xf numFmtId="0" fontId="36" fillId="11" borderId="27" xfId="13" applyFont="1" applyFill="1" applyBorder="1"/>
    <xf numFmtId="168" fontId="36" fillId="11" borderId="25" xfId="13" applyNumberFormat="1" applyFont="1" applyFill="1" applyBorder="1" applyAlignment="1">
      <alignment horizontal="center"/>
    </xf>
    <xf numFmtId="0" fontId="36" fillId="0" borderId="5" xfId="13" applyFont="1" applyBorder="1"/>
    <xf numFmtId="0" fontId="31" fillId="0" borderId="5" xfId="13" applyFont="1" applyBorder="1"/>
    <xf numFmtId="0" fontId="31" fillId="0" borderId="5" xfId="13" applyFont="1" applyBorder="1" applyAlignment="1">
      <alignment horizontal="center"/>
    </xf>
    <xf numFmtId="0" fontId="31" fillId="0" borderId="4" xfId="13" applyFont="1" applyBorder="1" applyAlignment="1">
      <alignment horizontal="center"/>
    </xf>
    <xf numFmtId="167" fontId="36" fillId="13" borderId="0" xfId="6" applyNumberFormat="1" applyFont="1" applyFill="1" applyAlignment="1">
      <alignment horizontal="center"/>
    </xf>
    <xf numFmtId="2" fontId="31" fillId="13" borderId="0" xfId="13" applyNumberFormat="1" applyFont="1" applyFill="1"/>
    <xf numFmtId="172" fontId="31" fillId="13" borderId="4" xfId="13" applyNumberFormat="1" applyFont="1" applyFill="1" applyBorder="1"/>
    <xf numFmtId="0" fontId="31" fillId="0" borderId="8" xfId="13" applyFont="1" applyBorder="1"/>
    <xf numFmtId="0" fontId="31" fillId="0" borderId="8" xfId="13" applyFont="1" applyBorder="1" applyAlignment="1">
      <alignment horizontal="center"/>
    </xf>
    <xf numFmtId="0" fontId="31" fillId="0" borderId="6" xfId="13" applyFont="1" applyBorder="1" applyAlignment="1">
      <alignment horizontal="center"/>
    </xf>
    <xf numFmtId="0" fontId="31" fillId="0" borderId="5" xfId="13" applyFont="1" applyBorder="1" applyAlignment="1">
      <alignment wrapText="1"/>
    </xf>
    <xf numFmtId="0" fontId="31" fillId="0" borderId="5" xfId="13" applyFont="1" applyBorder="1" applyAlignment="1">
      <alignment horizontal="right" wrapText="1"/>
    </xf>
    <xf numFmtId="0" fontId="31" fillId="0" borderId="4" xfId="13" applyFont="1" applyBorder="1" applyAlignment="1">
      <alignment horizontal="center" wrapText="1"/>
    </xf>
    <xf numFmtId="2" fontId="31" fillId="0" borderId="20" xfId="13" applyNumberFormat="1" applyFont="1" applyBorder="1"/>
    <xf numFmtId="172" fontId="36" fillId="0" borderId="47" xfId="13" applyNumberFormat="1" applyFont="1" applyBorder="1"/>
    <xf numFmtId="168" fontId="31" fillId="0" borderId="41" xfId="13" applyNumberFormat="1" applyFont="1" applyBorder="1"/>
    <xf numFmtId="168" fontId="31" fillId="0" borderId="37" xfId="13" applyNumberFormat="1" applyFont="1" applyBorder="1"/>
    <xf numFmtId="0" fontId="31" fillId="0" borderId="3" xfId="13" applyFont="1" applyBorder="1"/>
    <xf numFmtId="0" fontId="31" fillId="0" borderId="3" xfId="13" applyFont="1" applyBorder="1" applyAlignment="1">
      <alignment horizontal="right"/>
    </xf>
    <xf numFmtId="166" fontId="31" fillId="0" borderId="1" xfId="31" applyNumberFormat="1" applyFont="1" applyFill="1" applyBorder="1" applyAlignment="1">
      <alignment horizontal="center"/>
    </xf>
    <xf numFmtId="44" fontId="31" fillId="0" borderId="37" xfId="2" applyFont="1" applyBorder="1"/>
    <xf numFmtId="44" fontId="31" fillId="0" borderId="37" xfId="2" applyFont="1" applyBorder="1" applyAlignment="1"/>
    <xf numFmtId="172" fontId="36" fillId="0" borderId="37" xfId="13" applyNumberFormat="1" applyFont="1" applyBorder="1"/>
    <xf numFmtId="0" fontId="33" fillId="0" borderId="49" xfId="11" applyFont="1" applyBorder="1"/>
    <xf numFmtId="0" fontId="31" fillId="0" borderId="37" xfId="13" applyFont="1" applyBorder="1"/>
    <xf numFmtId="0" fontId="31" fillId="0" borderId="4" xfId="13" applyFont="1" applyBorder="1"/>
    <xf numFmtId="168" fontId="31" fillId="0" borderId="4" xfId="13" applyNumberFormat="1" applyFont="1" applyBorder="1"/>
    <xf numFmtId="0" fontId="33" fillId="0" borderId="5" xfId="11" applyFont="1" applyBorder="1"/>
    <xf numFmtId="8" fontId="31" fillId="0" borderId="4" xfId="13" applyNumberFormat="1" applyFont="1" applyBorder="1"/>
    <xf numFmtId="0" fontId="31" fillId="13" borderId="0" xfId="13" applyFont="1" applyFill="1"/>
    <xf numFmtId="0" fontId="31" fillId="13" borderId="4" xfId="13" applyFont="1" applyFill="1" applyBorder="1"/>
    <xf numFmtId="168" fontId="31" fillId="13" borderId="0" xfId="13" applyNumberFormat="1" applyFont="1" applyFill="1"/>
    <xf numFmtId="168" fontId="31" fillId="13" borderId="4" xfId="13" applyNumberFormat="1" applyFont="1" applyFill="1" applyBorder="1"/>
    <xf numFmtId="172" fontId="31" fillId="13" borderId="0" xfId="13" applyNumberFormat="1" applyFont="1" applyFill="1"/>
    <xf numFmtId="9" fontId="31" fillId="13" borderId="0" xfId="13" applyNumberFormat="1" applyFont="1" applyFill="1"/>
    <xf numFmtId="0" fontId="31" fillId="0" borderId="0" xfId="13" applyFont="1" applyAlignment="1">
      <alignment horizontal="center"/>
    </xf>
    <xf numFmtId="10" fontId="31" fillId="0" borderId="0" xfId="3" applyNumberFormat="1" applyFont="1" applyFill="1" applyBorder="1" applyAlignment="1">
      <alignment horizontal="center"/>
    </xf>
    <xf numFmtId="172" fontId="36" fillId="0" borderId="41" xfId="13" applyNumberFormat="1" applyFont="1" applyBorder="1"/>
    <xf numFmtId="9" fontId="36" fillId="0" borderId="41" xfId="13" applyNumberFormat="1" applyFont="1" applyBorder="1"/>
    <xf numFmtId="168" fontId="36" fillId="0" borderId="41" xfId="13" applyNumberFormat="1" applyFont="1" applyBorder="1"/>
    <xf numFmtId="172" fontId="31" fillId="0" borderId="0" xfId="13" applyNumberFormat="1" applyFont="1" applyAlignment="1">
      <alignment horizontal="center" vertical="top"/>
    </xf>
    <xf numFmtId="172" fontId="31" fillId="0" borderId="41" xfId="13" applyNumberFormat="1" applyFont="1" applyBorder="1"/>
    <xf numFmtId="0" fontId="47" fillId="0" borderId="49" xfId="11" applyFont="1" applyBorder="1" applyAlignment="1">
      <alignment wrapText="1"/>
    </xf>
    <xf numFmtId="0" fontId="36" fillId="0" borderId="41" xfId="13" applyFont="1" applyBorder="1"/>
    <xf numFmtId="0" fontId="36" fillId="0" borderId="37" xfId="13" applyFont="1" applyBorder="1"/>
    <xf numFmtId="0" fontId="47" fillId="0" borderId="8" xfId="11" applyFont="1" applyBorder="1" applyAlignment="1">
      <alignment wrapText="1"/>
    </xf>
    <xf numFmtId="0" fontId="47" fillId="0" borderId="8" xfId="11" applyFont="1" applyBorder="1"/>
    <xf numFmtId="0" fontId="33" fillId="0" borderId="49" xfId="19" applyFont="1" applyBorder="1"/>
    <xf numFmtId="44" fontId="31" fillId="0" borderId="47" xfId="2" applyFont="1" applyBorder="1"/>
    <xf numFmtId="44" fontId="31" fillId="0" borderId="47" xfId="2" applyFont="1" applyBorder="1" applyAlignment="1"/>
    <xf numFmtId="0" fontId="31" fillId="0" borderId="7" xfId="13" applyFont="1" applyBorder="1"/>
    <xf numFmtId="44" fontId="31" fillId="0" borderId="6" xfId="2" applyFont="1" applyBorder="1"/>
    <xf numFmtId="0" fontId="0" fillId="0" borderId="5" xfId="0" applyBorder="1" applyAlignment="1">
      <alignment wrapText="1"/>
    </xf>
    <xf numFmtId="44" fontId="31" fillId="0" borderId="4" xfId="2" applyFont="1" applyBorder="1"/>
    <xf numFmtId="44" fontId="31" fillId="0" borderId="4" xfId="2" applyFont="1" applyBorder="1" applyAlignment="1"/>
    <xf numFmtId="0" fontId="33" fillId="0" borderId="48" xfId="0" applyFont="1" applyBorder="1"/>
    <xf numFmtId="172" fontId="31" fillId="0" borderId="47" xfId="13" applyNumberFormat="1" applyFont="1" applyBorder="1"/>
    <xf numFmtId="172" fontId="31" fillId="0" borderId="37" xfId="13" applyNumberFormat="1" applyFont="1" applyBorder="1"/>
    <xf numFmtId="0" fontId="36" fillId="0" borderId="49" xfId="13" applyFont="1" applyBorder="1"/>
    <xf numFmtId="44" fontId="36" fillId="0" borderId="37" xfId="2" applyFont="1" applyBorder="1"/>
    <xf numFmtId="44" fontId="36" fillId="0" borderId="37" xfId="2" applyFont="1" applyBorder="1" applyAlignment="1"/>
    <xf numFmtId="0" fontId="36" fillId="0" borderId="48" xfId="13" applyFont="1" applyBorder="1"/>
    <xf numFmtId="168" fontId="31" fillId="0" borderId="20" xfId="13" applyNumberFormat="1" applyFont="1" applyBorder="1"/>
    <xf numFmtId="44" fontId="36" fillId="0" borderId="47" xfId="2" applyFont="1" applyBorder="1" applyAlignment="1"/>
    <xf numFmtId="172" fontId="36" fillId="0" borderId="59" xfId="13" applyNumberFormat="1" applyFont="1" applyBorder="1"/>
    <xf numFmtId="0" fontId="31" fillId="0" borderId="58" xfId="13" applyFont="1" applyBorder="1"/>
    <xf numFmtId="10" fontId="31" fillId="0" borderId="58" xfId="13" applyNumberFormat="1" applyFont="1" applyBorder="1"/>
    <xf numFmtId="172" fontId="36" fillId="0" borderId="3" xfId="13" applyNumberFormat="1" applyFont="1" applyBorder="1"/>
    <xf numFmtId="168" fontId="31" fillId="0" borderId="2" xfId="13" applyNumberFormat="1" applyFont="1" applyBorder="1"/>
    <xf numFmtId="10" fontId="31" fillId="0" borderId="2" xfId="13" applyNumberFormat="1" applyFont="1" applyBorder="1"/>
    <xf numFmtId="172" fontId="36" fillId="0" borderId="5" xfId="13" applyNumberFormat="1" applyFont="1" applyBorder="1"/>
    <xf numFmtId="10" fontId="31" fillId="0" borderId="0" xfId="13" applyNumberFormat="1" applyFont="1"/>
    <xf numFmtId="172" fontId="36" fillId="0" borderId="27" xfId="13" applyNumberFormat="1" applyFont="1" applyBorder="1"/>
    <xf numFmtId="168" fontId="31" fillId="0" borderId="26" xfId="13" applyNumberFormat="1" applyFont="1" applyBorder="1"/>
    <xf numFmtId="10" fontId="31" fillId="0" borderId="26" xfId="13" applyNumberFormat="1" applyFont="1" applyBorder="1"/>
    <xf numFmtId="8" fontId="31" fillId="0" borderId="0" xfId="13" applyNumberFormat="1" applyFont="1"/>
    <xf numFmtId="10" fontId="36" fillId="0" borderId="26" xfId="3" applyNumberFormat="1" applyFont="1" applyBorder="1"/>
    <xf numFmtId="168" fontId="36" fillId="0" borderId="26" xfId="13" applyNumberFormat="1" applyFont="1" applyBorder="1"/>
    <xf numFmtId="172" fontId="36" fillId="0" borderId="25" xfId="13" applyNumberFormat="1" applyFont="1" applyBorder="1"/>
    <xf numFmtId="10" fontId="36" fillId="0" borderId="2" xfId="3" applyNumberFormat="1" applyFont="1" applyBorder="1"/>
    <xf numFmtId="168" fontId="36" fillId="0" borderId="2" xfId="13" applyNumberFormat="1" applyFont="1" applyBorder="1"/>
    <xf numFmtId="172" fontId="36" fillId="0" borderId="1" xfId="13" applyNumberFormat="1" applyFont="1" applyBorder="1"/>
    <xf numFmtId="8" fontId="31" fillId="0" borderId="0" xfId="13" applyNumberFormat="1" applyFont="1" applyAlignment="1">
      <alignment horizontal="center"/>
    </xf>
    <xf numFmtId="1" fontId="31" fillId="0" borderId="0" xfId="13" applyNumberFormat="1" applyFont="1"/>
    <xf numFmtId="0" fontId="36" fillId="12" borderId="11" xfId="13" applyFont="1" applyFill="1" applyBorder="1" applyAlignment="1">
      <alignment horizontal="center"/>
    </xf>
    <xf numFmtId="0" fontId="36" fillId="12" borderId="0" xfId="13" applyFont="1" applyFill="1"/>
    <xf numFmtId="168" fontId="36" fillId="12" borderId="0" xfId="13" applyNumberFormat="1" applyFont="1" applyFill="1" applyAlignment="1">
      <alignment horizontal="right"/>
    </xf>
    <xf numFmtId="1" fontId="36" fillId="12" borderId="0" xfId="13" applyNumberFormat="1" applyFont="1" applyFill="1"/>
    <xf numFmtId="168" fontId="36" fillId="12" borderId="0" xfId="13" applyNumberFormat="1" applyFont="1" applyFill="1"/>
    <xf numFmtId="2" fontId="36" fillId="12" borderId="0" xfId="6" applyNumberFormat="1" applyFont="1" applyFill="1" applyAlignment="1">
      <alignment horizontal="center"/>
    </xf>
    <xf numFmtId="168" fontId="31" fillId="12" borderId="0" xfId="13" applyNumberFormat="1" applyFont="1" applyFill="1"/>
    <xf numFmtId="2" fontId="31" fillId="12" borderId="0" xfId="13" applyNumberFormat="1" applyFont="1" applyFill="1"/>
    <xf numFmtId="166" fontId="36" fillId="12" borderId="0" xfId="31" applyNumberFormat="1" applyFont="1" applyFill="1" applyBorder="1" applyAlignment="1">
      <alignment horizontal="center"/>
    </xf>
    <xf numFmtId="0" fontId="36" fillId="12" borderId="0" xfId="6" applyFont="1" applyFill="1" applyAlignment="1">
      <alignment horizontal="center"/>
    </xf>
    <xf numFmtId="0" fontId="36" fillId="12" borderId="41" xfId="13" applyFont="1" applyFill="1" applyBorder="1"/>
    <xf numFmtId="168" fontId="36" fillId="12" borderId="83" xfId="13" applyNumberFormat="1" applyFont="1" applyFill="1" applyBorder="1"/>
    <xf numFmtId="2" fontId="36" fillId="12" borderId="83" xfId="13" applyNumberFormat="1" applyFont="1" applyFill="1" applyBorder="1"/>
    <xf numFmtId="2" fontId="36" fillId="12" borderId="0" xfId="13" applyNumberFormat="1" applyFont="1" applyFill="1"/>
    <xf numFmtId="10" fontId="31" fillId="12" borderId="0" xfId="13" applyNumberFormat="1" applyFont="1" applyFill="1"/>
    <xf numFmtId="0" fontId="31" fillId="12" borderId="0" xfId="13" applyFont="1" applyFill="1"/>
    <xf numFmtId="1" fontId="31" fillId="12" borderId="0" xfId="13" applyNumberFormat="1" applyFont="1" applyFill="1"/>
    <xf numFmtId="0" fontId="31" fillId="12" borderId="83" xfId="13" applyFont="1" applyFill="1" applyBorder="1"/>
    <xf numFmtId="168" fontId="31" fillId="12" borderId="83" xfId="13" applyNumberFormat="1" applyFont="1" applyFill="1" applyBorder="1"/>
    <xf numFmtId="2" fontId="31" fillId="12" borderId="83" xfId="13" applyNumberFormat="1" applyFont="1" applyFill="1" applyBorder="1"/>
    <xf numFmtId="0" fontId="36" fillId="12" borderId="65" xfId="13" applyFont="1" applyFill="1" applyBorder="1" applyAlignment="1">
      <alignment horizontal="center"/>
    </xf>
    <xf numFmtId="3" fontId="36" fillId="12" borderId="4" xfId="13" applyNumberFormat="1" applyFont="1" applyFill="1" applyBorder="1"/>
    <xf numFmtId="168" fontId="36" fillId="12" borderId="4" xfId="13" applyNumberFormat="1" applyFont="1" applyFill="1" applyBorder="1"/>
    <xf numFmtId="0" fontId="36" fillId="12" borderId="83" xfId="13" applyFont="1" applyFill="1" applyBorder="1"/>
    <xf numFmtId="168" fontId="31" fillId="12" borderId="4" xfId="13" applyNumberFormat="1" applyFont="1" applyFill="1" applyBorder="1"/>
    <xf numFmtId="0" fontId="36" fillId="12" borderId="86" xfId="13" applyFont="1" applyFill="1" applyBorder="1"/>
    <xf numFmtId="168" fontId="36" fillId="12" borderId="86" xfId="13" applyNumberFormat="1" applyFont="1" applyFill="1" applyBorder="1"/>
    <xf numFmtId="2" fontId="36" fillId="12" borderId="86" xfId="13" applyNumberFormat="1" applyFont="1" applyFill="1" applyBorder="1"/>
    <xf numFmtId="172" fontId="31" fillId="12" borderId="0" xfId="13" applyNumberFormat="1" applyFont="1" applyFill="1"/>
    <xf numFmtId="168" fontId="36" fillId="12" borderId="82" xfId="13" applyNumberFormat="1" applyFont="1" applyFill="1" applyBorder="1"/>
    <xf numFmtId="9" fontId="36" fillId="12" borderId="26" xfId="13" applyNumberFormat="1" applyFont="1" applyFill="1" applyBorder="1"/>
    <xf numFmtId="168" fontId="31" fillId="12" borderId="26" xfId="13" applyNumberFormat="1" applyFont="1" applyFill="1" applyBorder="1"/>
    <xf numFmtId="172" fontId="31" fillId="12" borderId="26" xfId="13" applyNumberFormat="1" applyFont="1" applyFill="1" applyBorder="1"/>
    <xf numFmtId="9" fontId="31" fillId="12" borderId="26" xfId="13" applyNumberFormat="1" applyFont="1" applyFill="1" applyBorder="1"/>
    <xf numFmtId="168" fontId="31" fillId="12" borderId="6" xfId="13" applyNumberFormat="1" applyFont="1" applyFill="1" applyBorder="1"/>
    <xf numFmtId="168" fontId="36" fillId="12" borderId="87" xfId="13" applyNumberFormat="1" applyFont="1" applyFill="1" applyBorder="1"/>
    <xf numFmtId="172" fontId="31" fillId="12" borderId="4" xfId="13" applyNumberFormat="1" applyFont="1" applyFill="1" applyBorder="1"/>
    <xf numFmtId="172" fontId="36" fillId="12" borderId="25" xfId="13" applyNumberFormat="1" applyFont="1" applyFill="1" applyBorder="1"/>
    <xf numFmtId="172" fontId="31" fillId="12" borderId="25" xfId="13" applyNumberFormat="1" applyFont="1" applyFill="1" applyBorder="1"/>
    <xf numFmtId="172" fontId="36" fillId="3" borderId="25" xfId="13" applyNumberFormat="1" applyFont="1" applyFill="1" applyBorder="1"/>
    <xf numFmtId="44" fontId="36" fillId="3" borderId="4" xfId="13" applyNumberFormat="1" applyFont="1" applyFill="1" applyBorder="1"/>
    <xf numFmtId="44" fontId="36" fillId="3" borderId="25" xfId="13" applyNumberFormat="1" applyFont="1" applyFill="1" applyBorder="1"/>
    <xf numFmtId="0" fontId="55" fillId="0" borderId="21" xfId="0" applyFont="1" applyBorder="1" applyAlignment="1">
      <alignment vertical="center" wrapText="1"/>
    </xf>
    <xf numFmtId="0" fontId="55" fillId="0" borderId="20" xfId="0" applyFont="1" applyBorder="1" applyAlignment="1">
      <alignment vertical="center" wrapText="1"/>
    </xf>
    <xf numFmtId="0" fontId="55" fillId="0" borderId="19" xfId="0" applyFont="1" applyBorder="1" applyAlignment="1">
      <alignment vertical="center" wrapText="1"/>
    </xf>
    <xf numFmtId="0" fontId="55" fillId="0" borderId="14" xfId="0" applyFont="1" applyBorder="1" applyAlignment="1">
      <alignment vertical="center" wrapText="1"/>
    </xf>
    <xf numFmtId="0" fontId="55" fillId="0" borderId="7" xfId="0" applyFont="1" applyBorder="1" applyAlignment="1">
      <alignment vertical="center" wrapText="1"/>
    </xf>
    <xf numFmtId="0" fontId="55" fillId="0" borderId="13" xfId="0" applyFont="1" applyBorder="1" applyAlignment="1">
      <alignment vertical="center" wrapText="1"/>
    </xf>
    <xf numFmtId="0" fontId="29" fillId="0" borderId="0" xfId="0" applyFont="1"/>
    <xf numFmtId="171" fontId="36" fillId="3" borderId="2" xfId="6" applyNumberFormat="1" applyFont="1" applyFill="1" applyBorder="1" applyAlignment="1">
      <alignment horizontal="center"/>
    </xf>
    <xf numFmtId="44" fontId="36" fillId="3" borderId="67" xfId="13" applyNumberFormat="1" applyFont="1" applyFill="1" applyBorder="1"/>
    <xf numFmtId="44" fontId="36" fillId="3" borderId="1" xfId="13" applyNumberFormat="1" applyFont="1" applyFill="1" applyBorder="1"/>
    <xf numFmtId="0" fontId="60" fillId="0" borderId="0" xfId="0" applyFont="1"/>
    <xf numFmtId="0" fontId="61" fillId="0" borderId="0" xfId="0" applyFont="1"/>
    <xf numFmtId="0" fontId="62" fillId="0" borderId="0" xfId="0" applyFont="1"/>
    <xf numFmtId="0" fontId="64" fillId="8" borderId="49" xfId="0" applyFont="1" applyFill="1" applyBorder="1" applyAlignment="1">
      <alignment horizontal="center" wrapText="1"/>
    </xf>
    <xf numFmtId="0" fontId="64" fillId="8" borderId="41" xfId="0" applyFont="1" applyFill="1" applyBorder="1" applyAlignment="1">
      <alignment horizontal="center" wrapText="1"/>
    </xf>
    <xf numFmtId="3" fontId="64" fillId="8" borderId="41" xfId="0" applyNumberFormat="1" applyFont="1" applyFill="1" applyBorder="1" applyAlignment="1">
      <alignment horizontal="center" wrapText="1"/>
    </xf>
    <xf numFmtId="0" fontId="64" fillId="8" borderId="35" xfId="0" applyFont="1" applyFill="1" applyBorder="1" applyAlignment="1">
      <alignment horizontal="center" wrapText="1"/>
    </xf>
    <xf numFmtId="0" fontId="65" fillId="0" borderId="0" xfId="0" applyFont="1"/>
    <xf numFmtId="0" fontId="18" fillId="0" borderId="5" xfId="0" applyFont="1" applyBorder="1"/>
    <xf numFmtId="0" fontId="18" fillId="0" borderId="0" xfId="0" applyFont="1"/>
    <xf numFmtId="164" fontId="18" fillId="0" borderId="0" xfId="0" applyNumberFormat="1" applyFont="1"/>
    <xf numFmtId="164" fontId="18" fillId="0" borderId="45" xfId="0" applyNumberFormat="1" applyFont="1" applyBorder="1" applyAlignment="1">
      <alignment horizontal="right"/>
    </xf>
    <xf numFmtId="0" fontId="18" fillId="0" borderId="61" xfId="0" applyFont="1" applyBorder="1"/>
    <xf numFmtId="0" fontId="18" fillId="0" borderId="55" xfId="0" applyFont="1" applyBorder="1"/>
    <xf numFmtId="164" fontId="18" fillId="0" borderId="55" xfId="0" applyNumberFormat="1" applyFont="1" applyBorder="1"/>
    <xf numFmtId="164" fontId="18" fillId="0" borderId="88" xfId="0" applyNumberFormat="1" applyFont="1" applyBorder="1" applyAlignment="1">
      <alignment horizontal="right"/>
    </xf>
    <xf numFmtId="0" fontId="19" fillId="0" borderId="8" xfId="0" applyFont="1" applyBorder="1" applyAlignment="1">
      <alignment horizontal="right"/>
    </xf>
    <xf numFmtId="0" fontId="18" fillId="0" borderId="7" xfId="0" applyFont="1" applyBorder="1"/>
    <xf numFmtId="164" fontId="18" fillId="0" borderId="7" xfId="0" applyNumberFormat="1" applyFont="1" applyBorder="1"/>
    <xf numFmtId="164" fontId="19" fillId="0" borderId="7" xfId="0" applyNumberFormat="1" applyFont="1" applyBorder="1"/>
    <xf numFmtId="164" fontId="19" fillId="0" borderId="60" xfId="0" applyNumberFormat="1" applyFont="1" applyBorder="1" applyAlignment="1">
      <alignment horizontal="right"/>
    </xf>
    <xf numFmtId="0" fontId="18" fillId="0" borderId="7" xfId="0" applyFont="1" applyBorder="1" applyAlignment="1">
      <alignment horizontal="right"/>
    </xf>
    <xf numFmtId="164" fontId="18" fillId="0" borderId="7" xfId="0" applyNumberFormat="1" applyFont="1" applyBorder="1" applyAlignment="1">
      <alignment horizontal="right"/>
    </xf>
    <xf numFmtId="0" fontId="18" fillId="0" borderId="5" xfId="0" applyFont="1" applyBorder="1" applyAlignment="1">
      <alignment horizontal="left"/>
    </xf>
    <xf numFmtId="0" fontId="18" fillId="0" borderId="49" xfId="0" applyFont="1" applyBorder="1" applyAlignment="1">
      <alignment horizontal="left"/>
    </xf>
    <xf numFmtId="0" fontId="18" fillId="0" borderId="41" xfId="0" applyFont="1" applyBorder="1" applyAlignment="1">
      <alignment horizontal="right"/>
    </xf>
    <xf numFmtId="164" fontId="18" fillId="0" borderId="41" xfId="0" applyNumberFormat="1" applyFont="1" applyBorder="1" applyAlignment="1">
      <alignment horizontal="right"/>
    </xf>
    <xf numFmtId="164" fontId="18" fillId="0" borderId="35" xfId="0" applyNumberFormat="1" applyFont="1" applyBorder="1" applyAlignment="1">
      <alignment horizontal="right"/>
    </xf>
    <xf numFmtId="0" fontId="18" fillId="0" borderId="5" xfId="0" applyFont="1" applyBorder="1" applyAlignment="1">
      <alignment vertical="center"/>
    </xf>
    <xf numFmtId="0" fontId="18" fillId="0" borderId="0" xfId="0" applyFont="1" applyAlignment="1">
      <alignment vertical="center"/>
    </xf>
    <xf numFmtId="164" fontId="18" fillId="0" borderId="0" xfId="0" applyNumberFormat="1" applyFont="1" applyAlignment="1">
      <alignment vertical="center"/>
    </xf>
    <xf numFmtId="164" fontId="18" fillId="0" borderId="45" xfId="0" applyNumberFormat="1" applyFont="1" applyBorder="1" applyAlignment="1">
      <alignment horizontal="right" vertical="center"/>
    </xf>
    <xf numFmtId="0" fontId="18" fillId="0" borderId="48" xfId="0" applyFont="1" applyBorder="1" applyAlignment="1">
      <alignment vertical="center"/>
    </xf>
    <xf numFmtId="0" fontId="18" fillId="0" borderId="20" xfId="0" applyFont="1" applyBorder="1" applyAlignment="1">
      <alignment vertical="center"/>
    </xf>
    <xf numFmtId="164" fontId="18" fillId="0" borderId="20" xfId="0" applyNumberFormat="1" applyFont="1" applyBorder="1"/>
    <xf numFmtId="164" fontId="18" fillId="0" borderId="20" xfId="0" applyNumberFormat="1" applyFont="1" applyBorder="1" applyAlignment="1">
      <alignment vertical="center"/>
    </xf>
    <xf numFmtId="164" fontId="18" fillId="0" borderId="62" xfId="0" applyNumberFormat="1" applyFont="1" applyBorder="1" applyAlignment="1">
      <alignment horizontal="right" vertical="center"/>
    </xf>
    <xf numFmtId="0" fontId="18" fillId="0" borderId="49" xfId="0" applyFont="1" applyBorder="1"/>
    <xf numFmtId="0" fontId="18" fillId="0" borderId="41" xfId="0" applyFont="1" applyBorder="1" applyAlignment="1">
      <alignment vertical="center"/>
    </xf>
    <xf numFmtId="10" fontId="18" fillId="0" borderId="41" xfId="0" applyNumberFormat="1" applyFont="1" applyBorder="1" applyAlignment="1">
      <alignment vertical="center"/>
    </xf>
    <xf numFmtId="164" fontId="18" fillId="0" borderId="41" xfId="0" applyNumberFormat="1" applyFont="1" applyBorder="1"/>
    <xf numFmtId="164" fontId="18" fillId="0" borderId="41" xfId="0" applyNumberFormat="1" applyFont="1" applyBorder="1" applyAlignment="1">
      <alignment vertical="center"/>
    </xf>
    <xf numFmtId="164" fontId="18" fillId="0" borderId="35" xfId="0" applyNumberFormat="1" applyFont="1" applyBorder="1" applyAlignment="1">
      <alignment horizontal="right" vertical="center"/>
    </xf>
    <xf numFmtId="164" fontId="18" fillId="0" borderId="89" xfId="0" applyNumberFormat="1" applyFont="1" applyBorder="1" applyAlignment="1">
      <alignment horizontal="right" vertical="center"/>
    </xf>
    <xf numFmtId="0" fontId="18" fillId="0" borderId="49" xfId="0" applyFont="1" applyBorder="1" applyAlignment="1">
      <alignment horizontal="left" vertical="center"/>
    </xf>
    <xf numFmtId="164" fontId="18" fillId="0" borderId="60" xfId="0" applyNumberFormat="1" applyFont="1" applyBorder="1" applyAlignment="1">
      <alignment horizontal="right" vertical="center"/>
    </xf>
    <xf numFmtId="0" fontId="18" fillId="0" borderId="0" xfId="0" applyFont="1" applyAlignment="1">
      <alignment horizontal="right"/>
    </xf>
    <xf numFmtId="164" fontId="18" fillId="0" borderId="0" xfId="0" applyNumberFormat="1" applyFont="1" applyAlignment="1">
      <alignment horizontal="right"/>
    </xf>
    <xf numFmtId="10" fontId="18" fillId="0" borderId="0" xfId="0" applyNumberFormat="1" applyFont="1" applyAlignment="1">
      <alignment horizontal="right"/>
    </xf>
    <xf numFmtId="0" fontId="18" fillId="0" borderId="75" xfId="0" applyFont="1" applyBorder="1" applyAlignment="1">
      <alignment horizontal="left"/>
    </xf>
    <xf numFmtId="0" fontId="18" fillId="0" borderId="74" xfId="0" applyFont="1" applyBorder="1" applyAlignment="1">
      <alignment horizontal="right"/>
    </xf>
    <xf numFmtId="164" fontId="18" fillId="0" borderId="74" xfId="0" applyNumberFormat="1" applyFont="1" applyBorder="1" applyAlignment="1">
      <alignment horizontal="right"/>
    </xf>
    <xf numFmtId="164" fontId="18" fillId="0" borderId="74" xfId="0" applyNumberFormat="1" applyFont="1" applyBorder="1"/>
    <xf numFmtId="164" fontId="19" fillId="3" borderId="88" xfId="0" applyNumberFormat="1" applyFont="1" applyFill="1" applyBorder="1" applyAlignment="1">
      <alignment horizontal="right"/>
    </xf>
    <xf numFmtId="10" fontId="19" fillId="0" borderId="0" xfId="0" applyNumberFormat="1" applyFont="1"/>
    <xf numFmtId="3" fontId="18" fillId="0" borderId="0" xfId="0" applyNumberFormat="1" applyFont="1"/>
    <xf numFmtId="3" fontId="19" fillId="0" borderId="0" xfId="0" applyNumberFormat="1" applyFont="1"/>
    <xf numFmtId="0" fontId="43" fillId="0" borderId="27" xfId="0" applyFont="1" applyBorder="1"/>
    <xf numFmtId="0" fontId="43" fillId="0" borderId="25" xfId="0" applyFont="1" applyBorder="1"/>
    <xf numFmtId="171" fontId="43" fillId="0" borderId="0" xfId="2" applyNumberFormat="1" applyFont="1" applyBorder="1"/>
    <xf numFmtId="171" fontId="43" fillId="0" borderId="4" xfId="2" applyNumberFormat="1" applyFont="1" applyBorder="1"/>
    <xf numFmtId="0" fontId="43" fillId="0" borderId="12" xfId="0" applyFont="1" applyBorder="1"/>
    <xf numFmtId="0" fontId="43" fillId="0" borderId="10" xfId="0" applyFont="1" applyBorder="1"/>
    <xf numFmtId="0" fontId="43" fillId="0" borderId="9" xfId="0" applyFont="1" applyBorder="1"/>
    <xf numFmtId="10" fontId="18" fillId="0" borderId="0" xfId="0" applyNumberFormat="1" applyFont="1"/>
    <xf numFmtId="3" fontId="18" fillId="0" borderId="0" xfId="0" applyNumberFormat="1" applyFont="1" applyAlignment="1">
      <alignment horizontal="left"/>
    </xf>
    <xf numFmtId="175" fontId="18" fillId="0" borderId="0" xfId="0" applyNumberFormat="1" applyFont="1" applyAlignment="1">
      <alignment horizontal="right"/>
    </xf>
    <xf numFmtId="7" fontId="18" fillId="0" borderId="0" xfId="0" applyNumberFormat="1" applyFont="1"/>
    <xf numFmtId="171" fontId="43" fillId="0" borderId="25" xfId="2" applyNumberFormat="1" applyFont="1" applyBorder="1"/>
    <xf numFmtId="164" fontId="19" fillId="0" borderId="0" xfId="0" applyNumberFormat="1" applyFont="1"/>
    <xf numFmtId="7" fontId="19" fillId="0" borderId="0" xfId="0" applyNumberFormat="1" applyFont="1"/>
    <xf numFmtId="44" fontId="43" fillId="0" borderId="4" xfId="2" applyFont="1" applyBorder="1"/>
    <xf numFmtId="0" fontId="43" fillId="0" borderId="16" xfId="0" applyFont="1" applyBorder="1"/>
    <xf numFmtId="0" fontId="46" fillId="0" borderId="5" xfId="0" applyFont="1" applyBorder="1"/>
    <xf numFmtId="10" fontId="46" fillId="0" borderId="0" xfId="0" applyNumberFormat="1" applyFont="1"/>
    <xf numFmtId="0" fontId="46" fillId="0" borderId="4" xfId="0" applyFont="1" applyBorder="1"/>
    <xf numFmtId="0" fontId="66" fillId="0" borderId="3" xfId="0" applyFont="1" applyBorder="1"/>
    <xf numFmtId="10" fontId="66" fillId="0" borderId="2" xfId="0" applyNumberFormat="1" applyFont="1" applyBorder="1"/>
    <xf numFmtId="0" fontId="66" fillId="0" borderId="1" xfId="0" applyFont="1" applyBorder="1"/>
    <xf numFmtId="10" fontId="43" fillId="0" borderId="10" xfId="0" applyNumberFormat="1" applyFont="1" applyBorder="1"/>
    <xf numFmtId="171" fontId="43" fillId="0" borderId="9" xfId="2" applyNumberFormat="1" applyFont="1" applyBorder="1"/>
    <xf numFmtId="0" fontId="66" fillId="0" borderId="61" xfId="0" applyFont="1" applyBorder="1"/>
    <xf numFmtId="10" fontId="66" fillId="0" borderId="55" xfId="0" applyNumberFormat="1" applyFont="1" applyBorder="1"/>
    <xf numFmtId="0" fontId="43" fillId="0" borderId="55" xfId="0" applyFont="1" applyBorder="1"/>
    <xf numFmtId="171" fontId="43" fillId="0" borderId="54" xfId="2" applyNumberFormat="1" applyFont="1" applyBorder="1"/>
    <xf numFmtId="0" fontId="43" fillId="3" borderId="3" xfId="0" applyFont="1" applyFill="1" applyBorder="1"/>
    <xf numFmtId="0" fontId="43" fillId="3" borderId="2" xfId="0" applyFont="1" applyFill="1" applyBorder="1"/>
    <xf numFmtId="44" fontId="43" fillId="3" borderId="1" xfId="2" applyFont="1" applyFill="1" applyBorder="1"/>
    <xf numFmtId="0" fontId="67" fillId="0" borderId="50" xfId="0" applyFont="1" applyBorder="1" applyAlignment="1">
      <alignment horizontal="center" vertical="center" wrapText="1"/>
    </xf>
    <xf numFmtId="0" fontId="67" fillId="0" borderId="25" xfId="0" applyFont="1" applyBorder="1" applyAlignment="1">
      <alignment horizontal="center" vertical="center" wrapText="1"/>
    </xf>
    <xf numFmtId="0" fontId="68" fillId="0" borderId="22" xfId="0" applyFont="1" applyBorder="1" applyAlignment="1">
      <alignment vertical="center" wrapText="1"/>
    </xf>
    <xf numFmtId="0" fontId="68" fillId="0" borderId="1" xfId="0" applyFont="1" applyBorder="1" applyAlignment="1">
      <alignment horizontal="center" vertical="center" wrapText="1"/>
    </xf>
    <xf numFmtId="8" fontId="68" fillId="0" borderId="1" xfId="0" applyNumberFormat="1" applyFont="1" applyBorder="1" applyAlignment="1">
      <alignment horizontal="center" vertical="center" wrapText="1"/>
    </xf>
    <xf numFmtId="8" fontId="69" fillId="0" borderId="1" xfId="0" applyNumberFormat="1" applyFont="1" applyBorder="1" applyAlignment="1">
      <alignment horizontal="center" vertical="center" wrapText="1"/>
    </xf>
    <xf numFmtId="0" fontId="68" fillId="0" borderId="22" xfId="0" applyFont="1" applyBorder="1" applyAlignment="1">
      <alignment horizontal="left" vertical="center" wrapText="1" indent="2"/>
    </xf>
    <xf numFmtId="6" fontId="68" fillId="0" borderId="1" xfId="0" applyNumberFormat="1" applyFont="1" applyBorder="1" applyAlignment="1">
      <alignment horizontal="center" vertical="center" wrapText="1"/>
    </xf>
    <xf numFmtId="0" fontId="70" fillId="0" borderId="1" xfId="0" applyFont="1" applyBorder="1" applyAlignment="1">
      <alignment horizontal="center" vertical="center" wrapText="1"/>
    </xf>
    <xf numFmtId="0" fontId="68" fillId="0" borderId="22" xfId="0" applyFont="1" applyBorder="1" applyAlignment="1">
      <alignment horizontal="left" vertical="center" wrapText="1" indent="5"/>
    </xf>
    <xf numFmtId="179" fontId="27" fillId="0" borderId="0" xfId="13" applyNumberFormat="1" applyFont="1"/>
    <xf numFmtId="8" fontId="68" fillId="0" borderId="50" xfId="0" applyNumberFormat="1" applyFont="1" applyBorder="1" applyAlignment="1">
      <alignment horizontal="center" vertical="center" wrapText="1"/>
    </xf>
    <xf numFmtId="8" fontId="71" fillId="0" borderId="1" xfId="0" applyNumberFormat="1" applyFont="1" applyBorder="1" applyAlignment="1">
      <alignment horizontal="center" vertical="center" wrapText="1"/>
    </xf>
    <xf numFmtId="8" fontId="71" fillId="0" borderId="50" xfId="0" applyNumberFormat="1" applyFont="1" applyBorder="1" applyAlignment="1">
      <alignment horizontal="center" vertical="center" wrapText="1"/>
    </xf>
    <xf numFmtId="0" fontId="68" fillId="0" borderId="27" xfId="0" applyFont="1" applyBorder="1" applyAlignment="1">
      <alignment horizontal="left" vertical="center" indent="2"/>
    </xf>
    <xf numFmtId="0" fontId="68" fillId="0" borderId="26" xfId="0" applyFont="1" applyBorder="1" applyAlignment="1">
      <alignment horizontal="left" vertical="center" indent="2"/>
    </xf>
    <xf numFmtId="0" fontId="68" fillId="0" borderId="25" xfId="0" applyFont="1" applyBorder="1" applyAlignment="1">
      <alignment horizontal="left" vertical="center" indent="2"/>
    </xf>
    <xf numFmtId="0" fontId="72" fillId="0" borderId="0" xfId="0" applyFont="1" applyAlignment="1">
      <alignment horizontal="center" vertical="center" wrapText="1"/>
    </xf>
    <xf numFmtId="0" fontId="67" fillId="0" borderId="27" xfId="0" applyFont="1" applyBorder="1" applyAlignment="1">
      <alignment vertical="center" wrapText="1"/>
    </xf>
    <xf numFmtId="0" fontId="67" fillId="0" borderId="26" xfId="0" applyFont="1" applyBorder="1" applyAlignment="1">
      <alignment vertical="center" wrapText="1"/>
    </xf>
    <xf numFmtId="0" fontId="67" fillId="0" borderId="25" xfId="0" applyFont="1" applyBorder="1" applyAlignment="1">
      <alignment vertical="center" wrapText="1"/>
    </xf>
    <xf numFmtId="0" fontId="68" fillId="0" borderId="27" xfId="0" applyFont="1" applyBorder="1" applyAlignment="1">
      <alignment vertical="center"/>
    </xf>
    <xf numFmtId="0" fontId="68" fillId="0" borderId="26" xfId="0" applyFont="1" applyBorder="1" applyAlignment="1">
      <alignment vertical="center"/>
    </xf>
    <xf numFmtId="0" fontId="68" fillId="0" borderId="25" xfId="0" applyFont="1" applyBorder="1" applyAlignment="1">
      <alignment vertical="center"/>
    </xf>
    <xf numFmtId="0" fontId="4" fillId="0" borderId="9" xfId="4" applyFont="1" applyBorder="1" applyAlignment="1">
      <alignment horizontal="left" vertical="center" wrapText="1"/>
    </xf>
    <xf numFmtId="0" fontId="4" fillId="0" borderId="1" xfId="4" applyFont="1" applyBorder="1" applyAlignment="1">
      <alignment horizontal="left" vertical="center" wrapText="1"/>
    </xf>
    <xf numFmtId="0" fontId="4" fillId="0" borderId="10" xfId="4" applyFont="1" applyBorder="1" applyAlignment="1">
      <alignment horizontal="left" vertical="top" wrapText="1"/>
    </xf>
    <xf numFmtId="0" fontId="4" fillId="0" borderId="2" xfId="4" applyFont="1" applyBorder="1" applyAlignment="1">
      <alignment horizontal="left" vertical="top" wrapText="1"/>
    </xf>
    <xf numFmtId="0" fontId="4" fillId="0" borderId="4" xfId="4" applyFont="1" applyBorder="1" applyAlignment="1">
      <alignment horizontal="left" vertical="center" wrapText="1"/>
    </xf>
    <xf numFmtId="49" fontId="4" fillId="0" borderId="9" xfId="4" applyNumberFormat="1" applyFont="1" applyBorder="1" applyAlignment="1">
      <alignment horizontal="left" vertical="center" wrapText="1"/>
    </xf>
    <xf numFmtId="49" fontId="4" fillId="0" borderId="1" xfId="4" applyNumberFormat="1" applyFont="1" applyBorder="1" applyAlignment="1">
      <alignment horizontal="left" vertical="center" wrapText="1"/>
    </xf>
    <xf numFmtId="0" fontId="4" fillId="0" borderId="10" xfId="4" applyFont="1" applyBorder="1" applyAlignment="1">
      <alignment vertical="top" wrapText="1"/>
    </xf>
    <xf numFmtId="0" fontId="4" fillId="0" borderId="2" xfId="4" applyFont="1" applyBorder="1" applyAlignment="1">
      <alignment vertical="top" wrapText="1"/>
    </xf>
    <xf numFmtId="0" fontId="4" fillId="0" borderId="0" xfId="4" applyFont="1" applyAlignment="1">
      <alignment horizontal="left" vertical="top" wrapText="1"/>
    </xf>
    <xf numFmtId="0" fontId="4" fillId="0" borderId="0" xfId="4" applyFont="1" applyAlignment="1">
      <alignment horizontal="center"/>
    </xf>
    <xf numFmtId="0" fontId="7" fillId="0" borderId="0" xfId="4" applyFont="1" applyAlignment="1">
      <alignment horizontal="center"/>
    </xf>
    <xf numFmtId="0" fontId="14" fillId="0" borderId="10" xfId="0" applyFont="1" applyBorder="1" applyAlignment="1">
      <alignment horizontal="center"/>
    </xf>
    <xf numFmtId="0" fontId="1" fillId="0" borderId="9" xfId="4" applyBorder="1" applyAlignment="1">
      <alignment horizontal="left" vertical="center" wrapText="1"/>
    </xf>
    <xf numFmtId="0" fontId="1" fillId="0" borderId="1" xfId="4" applyBorder="1" applyAlignment="1">
      <alignment horizontal="left" vertical="center" wrapText="1"/>
    </xf>
    <xf numFmtId="0" fontId="1" fillId="0" borderId="9" xfId="30" applyBorder="1" applyAlignment="1">
      <alignment horizontal="left" vertical="center" wrapText="1"/>
    </xf>
    <xf numFmtId="0" fontId="1" fillId="0" borderId="1" xfId="30" applyBorder="1" applyAlignment="1">
      <alignment horizontal="left" vertical="center" wrapText="1"/>
    </xf>
    <xf numFmtId="0" fontId="1" fillId="0" borderId="10" xfId="4" applyBorder="1" applyAlignment="1">
      <alignment horizontal="left" vertical="top" wrapText="1"/>
    </xf>
    <xf numFmtId="0" fontId="1" fillId="0" borderId="2" xfId="4" applyBorder="1" applyAlignment="1">
      <alignment horizontal="left" vertical="top" wrapText="1"/>
    </xf>
    <xf numFmtId="0" fontId="1" fillId="0" borderId="4" xfId="30" applyBorder="1" applyAlignment="1">
      <alignment horizontal="left" vertical="center" wrapText="1"/>
    </xf>
    <xf numFmtId="49" fontId="1" fillId="0" borderId="9" xfId="30" applyNumberFormat="1" applyBorder="1" applyAlignment="1">
      <alignment horizontal="left" vertical="center" wrapText="1"/>
    </xf>
    <xf numFmtId="49" fontId="1" fillId="0" borderId="1" xfId="30" applyNumberFormat="1" applyBorder="1" applyAlignment="1">
      <alignment horizontal="left" vertical="center" wrapText="1"/>
    </xf>
    <xf numFmtId="0" fontId="1" fillId="0" borderId="4" xfId="4" applyBorder="1" applyAlignment="1">
      <alignment horizontal="left" vertical="center" wrapText="1"/>
    </xf>
    <xf numFmtId="0" fontId="1" fillId="0" borderId="10" xfId="4" applyBorder="1" applyAlignment="1">
      <alignment vertical="top" wrapText="1"/>
    </xf>
    <xf numFmtId="0" fontId="1" fillId="0" borderId="2" xfId="4" applyBorder="1" applyAlignment="1">
      <alignment vertical="top" wrapText="1"/>
    </xf>
    <xf numFmtId="0" fontId="1" fillId="0" borderId="0" xfId="4" applyAlignment="1">
      <alignment horizontal="left" vertical="top" wrapText="1"/>
    </xf>
    <xf numFmtId="0" fontId="1" fillId="0" borderId="0" xfId="4" applyAlignment="1">
      <alignment horizontal="center"/>
    </xf>
    <xf numFmtId="0" fontId="55" fillId="0" borderId="21" xfId="0" applyFont="1" applyBorder="1" applyAlignment="1">
      <alignment horizontal="center" vertical="center" wrapText="1"/>
    </xf>
    <xf numFmtId="0" fontId="55" fillId="0" borderId="20" xfId="0" applyFont="1" applyBorder="1" applyAlignment="1">
      <alignment horizontal="center" vertical="center" wrapText="1"/>
    </xf>
    <xf numFmtId="0" fontId="55" fillId="0" borderId="19" xfId="0" applyFont="1" applyBorder="1" applyAlignment="1">
      <alignment horizontal="center" vertical="center" wrapText="1"/>
    </xf>
    <xf numFmtId="0" fontId="55" fillId="0" borderId="14"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13" xfId="0" applyFont="1" applyBorder="1" applyAlignment="1">
      <alignment horizontal="center" vertical="center" wrapText="1"/>
    </xf>
    <xf numFmtId="0" fontId="0" fillId="0" borderId="18" xfId="0" applyBorder="1" applyAlignment="1">
      <alignment horizontal="center"/>
    </xf>
    <xf numFmtId="0" fontId="0" fillId="0" borderId="28" xfId="0" applyBorder="1" applyAlignment="1">
      <alignment horizontal="center"/>
    </xf>
    <xf numFmtId="0" fontId="0" fillId="13" borderId="18" xfId="0" applyFill="1" applyBorder="1" applyAlignment="1">
      <alignment horizontal="center"/>
    </xf>
    <xf numFmtId="0" fontId="0" fillId="13" borderId="28" xfId="0" applyFill="1" applyBorder="1" applyAlignment="1">
      <alignment horizontal="center"/>
    </xf>
    <xf numFmtId="0" fontId="0" fillId="12" borderId="18" xfId="0" applyFill="1" applyBorder="1" applyAlignment="1">
      <alignment horizontal="center"/>
    </xf>
    <xf numFmtId="0" fontId="0" fillId="12" borderId="28" xfId="0" applyFill="1" applyBorder="1" applyAlignment="1">
      <alignment horizontal="center"/>
    </xf>
    <xf numFmtId="0" fontId="15" fillId="11" borderId="27" xfId="0" applyFont="1" applyFill="1" applyBorder="1" applyAlignment="1">
      <alignment horizontal="center"/>
    </xf>
    <xf numFmtId="0" fontId="0" fillId="0" borderId="26" xfId="0" applyBorder="1" applyAlignment="1">
      <alignment horizontal="center"/>
    </xf>
    <xf numFmtId="0" fontId="34" fillId="0" borderId="16" xfId="0" applyFont="1" applyBorder="1" applyAlignment="1">
      <alignment horizontal="center"/>
    </xf>
    <xf numFmtId="0" fontId="34" fillId="0" borderId="4" xfId="0" applyFont="1" applyBorder="1" applyAlignment="1">
      <alignment horizontal="center"/>
    </xf>
    <xf numFmtId="0" fontId="3" fillId="0" borderId="18" xfId="0" applyFont="1" applyBorder="1" applyAlignment="1">
      <alignment horizontal="center"/>
    </xf>
    <xf numFmtId="0" fontId="3" fillId="0" borderId="28" xfId="0" applyFont="1" applyBorder="1" applyAlignment="1">
      <alignment horizontal="center"/>
    </xf>
    <xf numFmtId="0" fontId="0" fillId="0" borderId="37" xfId="0" applyBorder="1" applyAlignment="1">
      <alignment horizontal="center"/>
    </xf>
    <xf numFmtId="0" fontId="0" fillId="0" borderId="17" xfId="0" applyBorder="1" applyAlignment="1">
      <alignment horizontal="center"/>
    </xf>
    <xf numFmtId="0" fontId="0" fillId="0" borderId="35" xfId="0" applyBorder="1" applyAlignment="1">
      <alignment horizontal="center"/>
    </xf>
    <xf numFmtId="0" fontId="3" fillId="0" borderId="38" xfId="0" applyFont="1" applyBorder="1" applyAlignment="1">
      <alignment horizontal="center"/>
    </xf>
    <xf numFmtId="0" fontId="3" fillId="0" borderId="9" xfId="0" applyFont="1" applyBorder="1" applyAlignment="1">
      <alignment horizontal="center"/>
    </xf>
    <xf numFmtId="0" fontId="0" fillId="0" borderId="25" xfId="0" applyBorder="1"/>
    <xf numFmtId="0" fontId="6" fillId="20" borderId="27" xfId="0" applyFont="1" applyFill="1" applyBorder="1" applyAlignment="1">
      <alignment horizontal="center" vertical="center"/>
    </xf>
    <xf numFmtId="0" fontId="0" fillId="20" borderId="26" xfId="0" applyFill="1" applyBorder="1" applyAlignment="1">
      <alignment horizontal="center" vertical="center"/>
    </xf>
    <xf numFmtId="0" fontId="0" fillId="20" borderId="25" xfId="0" applyFill="1" applyBorder="1" applyAlignment="1">
      <alignment horizontal="center" vertical="center"/>
    </xf>
    <xf numFmtId="0" fontId="34" fillId="0" borderId="30" xfId="0" applyFont="1" applyBorder="1" applyAlignment="1">
      <alignment horizontal="center"/>
    </xf>
    <xf numFmtId="0" fontId="34" fillId="0" borderId="30" xfId="0" applyFont="1" applyBorder="1" applyAlignment="1">
      <alignment horizontal="center" vertical="center"/>
    </xf>
    <xf numFmtId="0" fontId="34" fillId="0" borderId="31" xfId="0" applyFont="1" applyBorder="1" applyAlignment="1">
      <alignment horizontal="center" vertical="center"/>
    </xf>
    <xf numFmtId="0" fontId="31" fillId="13" borderId="17" xfId="11" applyFont="1" applyFill="1" applyBorder="1" applyAlignment="1">
      <alignment horizontal="center"/>
    </xf>
    <xf numFmtId="0" fontId="6" fillId="17" borderId="27" xfId="0" applyFont="1" applyFill="1" applyBorder="1" applyAlignment="1">
      <alignment horizontal="center"/>
    </xf>
    <xf numFmtId="0" fontId="6" fillId="17" borderId="26" xfId="0" applyFont="1" applyFill="1" applyBorder="1" applyAlignment="1">
      <alignment horizontal="center"/>
    </xf>
    <xf numFmtId="0" fontId="6" fillId="17" borderId="9" xfId="0" applyFont="1" applyFill="1" applyBorder="1" applyAlignment="1">
      <alignment horizontal="center"/>
    </xf>
    <xf numFmtId="0" fontId="34" fillId="0" borderId="30" xfId="0" applyFont="1" applyBorder="1" applyAlignment="1">
      <alignment horizontal="center" vertical="center" wrapText="1"/>
    </xf>
    <xf numFmtId="0" fontId="3" fillId="0" borderId="17" xfId="0" applyFont="1" applyBorder="1" applyAlignment="1">
      <alignment horizontal="center"/>
    </xf>
    <xf numFmtId="0" fontId="6" fillId="17" borderId="27" xfId="0" applyFont="1" applyFill="1" applyBorder="1" applyAlignment="1">
      <alignment horizontal="center" vertical="center"/>
    </xf>
    <xf numFmtId="0" fontId="6" fillId="17" borderId="26" xfId="0" applyFont="1" applyFill="1" applyBorder="1" applyAlignment="1">
      <alignment horizontal="center" vertical="center"/>
    </xf>
    <xf numFmtId="0" fontId="6" fillId="17" borderId="25" xfId="0" applyFont="1" applyFill="1" applyBorder="1" applyAlignment="1">
      <alignment horizontal="center" vertical="center"/>
    </xf>
    <xf numFmtId="0" fontId="3" fillId="0" borderId="21" xfId="0" applyFont="1" applyBorder="1" applyAlignment="1">
      <alignment horizontal="center"/>
    </xf>
    <xf numFmtId="0" fontId="3" fillId="0" borderId="19" xfId="0" applyFont="1" applyBorder="1" applyAlignment="1">
      <alignment horizontal="center"/>
    </xf>
    <xf numFmtId="0" fontId="0" fillId="9" borderId="17" xfId="0" applyFill="1" applyBorder="1" applyAlignment="1">
      <alignment horizontal="center"/>
    </xf>
    <xf numFmtId="0" fontId="27" fillId="0" borderId="17" xfId="0" applyFont="1" applyBorder="1" applyAlignment="1">
      <alignment horizontal="center" wrapText="1"/>
    </xf>
    <xf numFmtId="0" fontId="6" fillId="17" borderId="25" xfId="0" applyFont="1" applyFill="1" applyBorder="1" applyAlignment="1">
      <alignment horizontal="center"/>
    </xf>
    <xf numFmtId="0" fontId="0" fillId="12" borderId="17" xfId="0" applyFill="1" applyBorder="1" applyAlignment="1">
      <alignment horizontal="center"/>
    </xf>
    <xf numFmtId="0" fontId="0" fillId="0" borderId="18" xfId="0" applyBorder="1" applyAlignment="1">
      <alignment horizontal="center" vertical="center"/>
    </xf>
    <xf numFmtId="0" fontId="0" fillId="0" borderId="28" xfId="0" applyBorder="1" applyAlignment="1">
      <alignment horizontal="center" vertical="center"/>
    </xf>
    <xf numFmtId="0" fontId="6" fillId="19" borderId="12" xfId="0" applyFont="1" applyFill="1" applyBorder="1" applyAlignment="1">
      <alignment horizontal="center"/>
    </xf>
    <xf numFmtId="0" fontId="6" fillId="19" borderId="10" xfId="0" applyFont="1" applyFill="1" applyBorder="1" applyAlignment="1">
      <alignment horizontal="center"/>
    </xf>
    <xf numFmtId="0" fontId="6" fillId="19" borderId="9" xfId="0" applyFont="1" applyFill="1" applyBorder="1" applyAlignment="1">
      <alignment horizontal="center"/>
    </xf>
    <xf numFmtId="0" fontId="34" fillId="0" borderId="17" xfId="0" applyFont="1" applyBorder="1" applyAlignment="1">
      <alignment horizontal="center"/>
    </xf>
    <xf numFmtId="0" fontId="6" fillId="17" borderId="12" xfId="0" applyFont="1" applyFill="1" applyBorder="1" applyAlignment="1">
      <alignment horizontal="center"/>
    </xf>
    <xf numFmtId="0" fontId="6" fillId="17" borderId="10" xfId="0" applyFont="1" applyFill="1" applyBorder="1" applyAlignment="1">
      <alignment horizontal="center"/>
    </xf>
    <xf numFmtId="0" fontId="34" fillId="0" borderId="5" xfId="0" applyFont="1" applyBorder="1" applyAlignment="1">
      <alignment horizontal="center"/>
    </xf>
    <xf numFmtId="0" fontId="34" fillId="0" borderId="43" xfId="0" applyFont="1" applyBorder="1" applyAlignment="1">
      <alignment horizontal="center" vertical="center"/>
    </xf>
    <xf numFmtId="0" fontId="34" fillId="0" borderId="11" xfId="0" applyFont="1" applyBorder="1" applyAlignment="1">
      <alignment horizontal="center" vertical="center"/>
    </xf>
    <xf numFmtId="0" fontId="34" fillId="0" borderId="42" xfId="0" applyFont="1" applyBorder="1" applyAlignment="1">
      <alignment horizontal="center" vertical="center"/>
    </xf>
    <xf numFmtId="0" fontId="34" fillId="0" borderId="43" xfId="0" applyFont="1" applyBorder="1" applyAlignment="1">
      <alignment horizontal="center"/>
    </xf>
    <xf numFmtId="0" fontId="34" fillId="0" borderId="42" xfId="0" applyFont="1" applyBorder="1" applyAlignment="1">
      <alignment horizontal="center"/>
    </xf>
    <xf numFmtId="0" fontId="0" fillId="13" borderId="17" xfId="0" applyFill="1" applyBorder="1" applyAlignment="1">
      <alignment horizontal="center" vertical="center"/>
    </xf>
    <xf numFmtId="0" fontId="0" fillId="0" borderId="17" xfId="0" applyBorder="1" applyAlignment="1">
      <alignment horizontal="center" vertical="center"/>
    </xf>
    <xf numFmtId="0" fontId="6" fillId="17" borderId="27" xfId="0" applyFont="1" applyFill="1" applyBorder="1" applyAlignment="1">
      <alignment horizontal="left"/>
    </xf>
    <xf numFmtId="0" fontId="6" fillId="17" borderId="26" xfId="0" applyFont="1" applyFill="1" applyBorder="1" applyAlignment="1">
      <alignment horizontal="left"/>
    </xf>
    <xf numFmtId="0" fontId="6" fillId="17" borderId="25" xfId="0" applyFont="1" applyFill="1" applyBorder="1" applyAlignment="1">
      <alignment horizontal="left"/>
    </xf>
    <xf numFmtId="0" fontId="3" fillId="0" borderId="30" xfId="0" applyFont="1" applyBorder="1" applyAlignment="1">
      <alignment horizontal="center" vertical="center"/>
    </xf>
    <xf numFmtId="0" fontId="3" fillId="0" borderId="17" xfId="0" applyFont="1" applyBorder="1" applyAlignment="1">
      <alignment horizontal="center" vertical="center"/>
    </xf>
    <xf numFmtId="168" fontId="33" fillId="0" borderId="30" xfId="12" applyNumberFormat="1" applyFont="1" applyBorder="1" applyAlignment="1">
      <alignment horizontal="center" vertical="center"/>
    </xf>
    <xf numFmtId="168" fontId="33" fillId="0" borderId="17" xfId="12" applyNumberFormat="1" applyFont="1" applyBorder="1" applyAlignment="1">
      <alignment horizontal="center" vertical="center"/>
    </xf>
    <xf numFmtId="0" fontId="37" fillId="0" borderId="30" xfId="0" applyFont="1" applyBorder="1" applyAlignment="1">
      <alignment horizontal="center" wrapText="1"/>
    </xf>
    <xf numFmtId="0" fontId="34" fillId="0" borderId="12" xfId="0" applyFont="1" applyBorder="1" applyAlignment="1">
      <alignment horizontal="center"/>
    </xf>
    <xf numFmtId="0" fontId="34" fillId="0" borderId="9" xfId="0" applyFont="1" applyBorder="1" applyAlignment="1">
      <alignment horizontal="center"/>
    </xf>
    <xf numFmtId="0" fontId="3" fillId="0" borderId="29" xfId="0" applyFont="1" applyBorder="1" applyAlignment="1">
      <alignment horizontal="center"/>
    </xf>
    <xf numFmtId="0" fontId="11" fillId="8" borderId="10" xfId="6" applyFont="1" applyFill="1" applyBorder="1" applyAlignment="1">
      <alignment horizontal="left"/>
    </xf>
    <xf numFmtId="0" fontId="11" fillId="8" borderId="9" xfId="6" applyFont="1" applyFill="1" applyBorder="1" applyAlignment="1">
      <alignment horizontal="left"/>
    </xf>
    <xf numFmtId="0" fontId="20" fillId="0" borderId="16" xfId="7" applyBorder="1" applyAlignment="1">
      <alignment horizontal="right"/>
    </xf>
    <xf numFmtId="0" fontId="20" fillId="0" borderId="0" xfId="7" applyAlignment="1">
      <alignment horizontal="right"/>
    </xf>
    <xf numFmtId="0" fontId="36" fillId="11" borderId="12" xfId="0" applyFont="1" applyFill="1" applyBorder="1" applyAlignment="1">
      <alignment horizontal="center"/>
    </xf>
    <xf numFmtId="0" fontId="36" fillId="11" borderId="10" xfId="0" applyFont="1" applyFill="1" applyBorder="1" applyAlignment="1">
      <alignment horizontal="center"/>
    </xf>
    <xf numFmtId="0" fontId="36" fillId="11" borderId="9" xfId="0" applyFont="1" applyFill="1" applyBorder="1" applyAlignment="1">
      <alignment horizontal="center"/>
    </xf>
    <xf numFmtId="0" fontId="36" fillId="11" borderId="27"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57" xfId="0" applyFont="1" applyFill="1" applyBorder="1" applyAlignment="1">
      <alignment horizontal="center" vertical="center"/>
    </xf>
    <xf numFmtId="0" fontId="36" fillId="11" borderId="12" xfId="0" applyFont="1" applyFill="1" applyBorder="1" applyAlignment="1">
      <alignment horizontal="center" vertical="center"/>
    </xf>
    <xf numFmtId="0" fontId="36" fillId="11" borderId="10" xfId="0" applyFont="1" applyFill="1" applyBorder="1" applyAlignment="1">
      <alignment horizontal="center" vertical="center"/>
    </xf>
    <xf numFmtId="0" fontId="36" fillId="11" borderId="9" xfId="0" applyFont="1" applyFill="1" applyBorder="1" applyAlignment="1">
      <alignment horizontal="center" vertical="center"/>
    </xf>
    <xf numFmtId="0" fontId="36" fillId="0" borderId="0" xfId="0" applyFont="1" applyAlignment="1">
      <alignment horizontal="center"/>
    </xf>
    <xf numFmtId="0" fontId="31" fillId="0" borderId="0" xfId="0" applyFont="1" applyAlignment="1">
      <alignment horizontal="center"/>
    </xf>
    <xf numFmtId="0" fontId="36" fillId="9" borderId="27" xfId="0" applyFont="1" applyFill="1" applyBorder="1" applyAlignment="1">
      <alignment horizontal="center" vertical="center" wrapText="1"/>
    </xf>
    <xf numFmtId="0" fontId="0" fillId="0" borderId="26" xfId="0" applyBorder="1" applyAlignment="1">
      <alignment horizontal="center" wrapText="1"/>
    </xf>
    <xf numFmtId="0" fontId="0" fillId="0" borderId="25" xfId="0" applyBorder="1" applyAlignment="1">
      <alignment horizontal="center" wrapText="1"/>
    </xf>
    <xf numFmtId="168" fontId="44" fillId="0" borderId="0" xfId="0" applyNumberFormat="1" applyFont="1" applyAlignment="1">
      <alignment horizontal="center" vertical="center" wrapText="1"/>
    </xf>
    <xf numFmtId="0" fontId="0" fillId="0" borderId="0" xfId="0" applyAlignment="1">
      <alignment wrapText="1"/>
    </xf>
    <xf numFmtId="0" fontId="44" fillId="0" borderId="0" xfId="0" applyFont="1" applyAlignment="1">
      <alignment horizontal="center" vertical="center" wrapText="1"/>
    </xf>
    <xf numFmtId="0" fontId="5" fillId="0" borderId="0" xfId="0" applyFont="1" applyAlignment="1">
      <alignment horizontal="center" vertical="center" wrapText="1"/>
    </xf>
    <xf numFmtId="0" fontId="36" fillId="11" borderId="27" xfId="0" applyFont="1" applyFill="1" applyBorder="1" applyAlignment="1">
      <alignment horizontal="center" wrapText="1"/>
    </xf>
    <xf numFmtId="168" fontId="36" fillId="11" borderId="27" xfId="0" applyNumberFormat="1" applyFont="1" applyFill="1" applyBorder="1" applyAlignment="1">
      <alignment horizontal="center" wrapText="1"/>
    </xf>
    <xf numFmtId="0" fontId="0" fillId="11" borderId="26" xfId="0" applyFill="1" applyBorder="1" applyAlignment="1">
      <alignment horizontal="center" wrapText="1"/>
    </xf>
    <xf numFmtId="0" fontId="0" fillId="11" borderId="25" xfId="0" applyFill="1" applyBorder="1" applyAlignment="1">
      <alignment horizontal="center" wrapText="1"/>
    </xf>
    <xf numFmtId="0" fontId="36" fillId="9" borderId="27" xfId="0" applyFont="1" applyFill="1" applyBorder="1" applyAlignment="1">
      <alignment horizontal="center" wrapText="1"/>
    </xf>
    <xf numFmtId="0" fontId="33" fillId="23" borderId="12" xfId="0" applyFont="1" applyFill="1" applyBorder="1" applyAlignment="1">
      <alignment horizontal="center" wrapText="1"/>
    </xf>
    <xf numFmtId="0" fontId="33" fillId="23" borderId="10" xfId="0" applyFont="1" applyFill="1" applyBorder="1" applyAlignment="1">
      <alignment horizontal="center" wrapText="1"/>
    </xf>
    <xf numFmtId="0" fontId="33" fillId="23" borderId="9" xfId="0" applyFont="1" applyFill="1" applyBorder="1" applyAlignment="1">
      <alignment horizontal="center" wrapText="1"/>
    </xf>
    <xf numFmtId="0" fontId="27" fillId="0" borderId="0" xfId="0" applyFont="1" applyAlignment="1">
      <alignment horizontal="center" vertical="center"/>
    </xf>
    <xf numFmtId="0" fontId="27" fillId="0" borderId="0" xfId="0" applyFont="1" applyAlignment="1">
      <alignment horizontal="center" vertical="center" wrapText="1"/>
    </xf>
    <xf numFmtId="0" fontId="44" fillId="0" borderId="27" xfId="0" applyFont="1" applyBorder="1" applyAlignment="1">
      <alignment vertical="center"/>
    </xf>
    <xf numFmtId="0" fontId="37" fillId="0" borderId="26" xfId="0" applyFont="1" applyBorder="1" applyAlignment="1">
      <alignment vertical="center"/>
    </xf>
    <xf numFmtId="0" fontId="37" fillId="0" borderId="25" xfId="0" applyFont="1" applyBorder="1" applyAlignment="1">
      <alignment vertical="center"/>
    </xf>
    <xf numFmtId="0" fontId="33" fillId="19" borderId="27" xfId="0" applyFont="1" applyFill="1" applyBorder="1" applyAlignment="1">
      <alignment horizontal="center"/>
    </xf>
    <xf numFmtId="0" fontId="33" fillId="19" borderId="26" xfId="0" applyFont="1" applyFill="1" applyBorder="1" applyAlignment="1">
      <alignment horizontal="center"/>
    </xf>
    <xf numFmtId="0" fontId="31" fillId="0" borderId="0" xfId="15" applyFont="1" applyAlignment="1">
      <alignment horizontal="right"/>
    </xf>
    <xf numFmtId="0" fontId="44" fillId="0" borderId="12" xfId="15" applyFont="1" applyBorder="1" applyAlignment="1">
      <alignment horizontal="center" vertical="center" wrapText="1"/>
    </xf>
    <xf numFmtId="0" fontId="44" fillId="0" borderId="10" xfId="15" applyFont="1" applyBorder="1" applyAlignment="1">
      <alignment horizontal="center" vertical="center" wrapText="1"/>
    </xf>
    <xf numFmtId="0" fontId="44" fillId="0" borderId="9" xfId="15" applyFont="1" applyBorder="1" applyAlignment="1">
      <alignment horizontal="center" vertical="center" wrapText="1"/>
    </xf>
    <xf numFmtId="0" fontId="44" fillId="0" borderId="3" xfId="15" applyFont="1" applyBorder="1" applyAlignment="1">
      <alignment horizontal="center" vertical="center" wrapText="1"/>
    </xf>
    <xf numFmtId="0" fontId="44" fillId="0" borderId="2" xfId="15" applyFont="1" applyBorder="1" applyAlignment="1">
      <alignment horizontal="center" vertical="center" wrapText="1"/>
    </xf>
    <xf numFmtId="0" fontId="44" fillId="0" borderId="1" xfId="15" applyFont="1" applyBorder="1" applyAlignment="1">
      <alignment horizontal="center" vertical="center" wrapText="1"/>
    </xf>
    <xf numFmtId="0" fontId="36" fillId="24" borderId="27" xfId="18" applyFont="1" applyFill="1" applyBorder="1" applyAlignment="1">
      <alignment horizontal="center"/>
    </xf>
    <xf numFmtId="0" fontId="36" fillId="24" borderId="26" xfId="18" applyFont="1" applyFill="1" applyBorder="1" applyAlignment="1">
      <alignment horizontal="center"/>
    </xf>
    <xf numFmtId="0" fontId="36" fillId="24" borderId="25" xfId="18" applyFont="1" applyFill="1" applyBorder="1" applyAlignment="1">
      <alignment horizontal="center"/>
    </xf>
    <xf numFmtId="0" fontId="36" fillId="0" borderId="11" xfId="18" applyFont="1" applyBorder="1" applyAlignment="1">
      <alignment horizontal="right"/>
    </xf>
    <xf numFmtId="0" fontId="36" fillId="0" borderId="10" xfId="0" applyFont="1" applyBorder="1" applyAlignment="1">
      <alignment horizontal="center"/>
    </xf>
    <xf numFmtId="0" fontId="36" fillId="11" borderId="5" xfId="0" applyFont="1" applyFill="1" applyBorder="1" applyAlignment="1">
      <alignment horizontal="center" vertical="center"/>
    </xf>
    <xf numFmtId="0" fontId="36" fillId="11" borderId="0" xfId="0" applyFont="1" applyFill="1" applyAlignment="1">
      <alignment horizontal="center" vertical="center"/>
    </xf>
    <xf numFmtId="2" fontId="44" fillId="0" borderId="27" xfId="0" applyNumberFormat="1" applyFont="1" applyBorder="1" applyAlignment="1">
      <alignment horizontal="center"/>
    </xf>
    <xf numFmtId="2" fontId="44" fillId="0" borderId="26" xfId="0" applyNumberFormat="1" applyFont="1" applyBorder="1" applyAlignment="1">
      <alignment horizontal="center"/>
    </xf>
    <xf numFmtId="2" fontId="44" fillId="0" borderId="25" xfId="0" applyNumberFormat="1" applyFont="1" applyBorder="1" applyAlignment="1">
      <alignment horizontal="center"/>
    </xf>
    <xf numFmtId="0" fontId="36" fillId="11" borderId="25" xfId="0" applyFont="1" applyFill="1" applyBorder="1" applyAlignment="1">
      <alignment horizontal="center" vertical="center"/>
    </xf>
    <xf numFmtId="0" fontId="36" fillId="18" borderId="27" xfId="0" applyFont="1" applyFill="1" applyBorder="1" applyAlignment="1">
      <alignment horizontal="center" vertical="center"/>
    </xf>
    <xf numFmtId="0" fontId="36" fillId="18" borderId="26" xfId="0" applyFont="1" applyFill="1" applyBorder="1" applyAlignment="1">
      <alignment horizontal="center" vertical="center"/>
    </xf>
    <xf numFmtId="0" fontId="36" fillId="18" borderId="25" xfId="0" applyFont="1" applyFill="1" applyBorder="1" applyAlignment="1">
      <alignment horizontal="center" vertical="center"/>
    </xf>
    <xf numFmtId="0" fontId="36" fillId="25" borderId="27" xfId="0" applyFont="1" applyFill="1" applyBorder="1" applyAlignment="1">
      <alignment horizontal="center" vertical="center"/>
    </xf>
    <xf numFmtId="0" fontId="36" fillId="25" borderId="26" xfId="0" applyFont="1" applyFill="1" applyBorder="1" applyAlignment="1">
      <alignment horizontal="center" vertical="center"/>
    </xf>
    <xf numFmtId="0" fontId="36" fillId="25" borderId="25" xfId="0" applyFont="1" applyFill="1" applyBorder="1" applyAlignment="1">
      <alignment horizontal="center" vertical="center"/>
    </xf>
    <xf numFmtId="0" fontId="31" fillId="0" borderId="10" xfId="11" applyFont="1" applyBorder="1" applyAlignment="1">
      <alignment horizontal="center"/>
    </xf>
    <xf numFmtId="0" fontId="56" fillId="0" borderId="0" xfId="0" applyFont="1" applyAlignment="1">
      <alignment horizontal="center" wrapText="1"/>
    </xf>
    <xf numFmtId="0" fontId="29" fillId="18" borderId="12" xfId="0" applyFont="1" applyFill="1" applyBorder="1" applyAlignment="1">
      <alignment horizontal="center" vertical="center" wrapText="1"/>
    </xf>
    <xf numFmtId="0" fontId="29" fillId="18" borderId="10" xfId="0" applyFont="1" applyFill="1" applyBorder="1" applyAlignment="1">
      <alignment horizontal="center" vertical="center" wrapText="1"/>
    </xf>
    <xf numFmtId="0" fontId="29" fillId="18" borderId="9" xfId="0" applyFont="1" applyFill="1" applyBorder="1" applyAlignment="1">
      <alignment horizontal="center" vertical="center" wrapText="1"/>
    </xf>
    <xf numFmtId="0" fontId="29" fillId="18" borderId="5" xfId="0" applyFont="1" applyFill="1" applyBorder="1" applyAlignment="1">
      <alignment horizontal="center" vertical="center" wrapText="1"/>
    </xf>
    <xf numFmtId="0" fontId="29" fillId="18" borderId="0" xfId="0" applyFont="1" applyFill="1" applyAlignment="1">
      <alignment horizontal="center" vertical="center" wrapText="1"/>
    </xf>
    <xf numFmtId="0" fontId="29" fillId="18" borderId="4" xfId="0" applyFont="1" applyFill="1" applyBorder="1" applyAlignment="1">
      <alignment horizontal="center" vertical="center" wrapText="1"/>
    </xf>
    <xf numFmtId="0" fontId="29" fillId="18" borderId="3" xfId="0" applyFont="1" applyFill="1" applyBorder="1" applyAlignment="1">
      <alignment horizontal="center" vertical="center" wrapText="1"/>
    </xf>
    <xf numFmtId="0" fontId="29" fillId="18" borderId="2" xfId="0" applyFont="1" applyFill="1" applyBorder="1" applyAlignment="1">
      <alignment horizontal="center" vertical="center" wrapText="1"/>
    </xf>
    <xf numFmtId="0" fontId="29" fillId="18" borderId="1" xfId="0" applyFont="1" applyFill="1" applyBorder="1" applyAlignment="1">
      <alignment horizontal="center" vertical="center" wrapText="1"/>
    </xf>
    <xf numFmtId="0" fontId="29" fillId="18" borderId="12" xfId="0" applyFont="1" applyFill="1" applyBorder="1" applyAlignment="1">
      <alignment horizontal="center" wrapText="1"/>
    </xf>
    <xf numFmtId="0" fontId="29" fillId="18" borderId="10" xfId="0" applyFont="1" applyFill="1" applyBorder="1" applyAlignment="1">
      <alignment horizontal="center" wrapText="1"/>
    </xf>
    <xf numFmtId="0" fontId="29" fillId="18" borderId="9" xfId="0" applyFont="1" applyFill="1" applyBorder="1" applyAlignment="1">
      <alignment horizontal="center" wrapText="1"/>
    </xf>
    <xf numFmtId="0" fontId="29" fillId="18" borderId="5" xfId="0" applyFont="1" applyFill="1" applyBorder="1" applyAlignment="1">
      <alignment horizontal="center" wrapText="1"/>
    </xf>
    <xf numFmtId="0" fontId="29" fillId="18" borderId="0" xfId="0" applyFont="1" applyFill="1" applyAlignment="1">
      <alignment horizontal="center" wrapText="1"/>
    </xf>
    <xf numFmtId="0" fontId="29" fillId="18" borderId="4" xfId="0" applyFont="1" applyFill="1" applyBorder="1" applyAlignment="1">
      <alignment horizontal="center" wrapText="1"/>
    </xf>
    <xf numFmtId="0" fontId="29" fillId="18" borderId="3" xfId="0" applyFont="1" applyFill="1" applyBorder="1" applyAlignment="1">
      <alignment horizontal="center" wrapText="1"/>
    </xf>
    <xf numFmtId="0" fontId="29" fillId="18" borderId="2" xfId="0" applyFont="1" applyFill="1" applyBorder="1" applyAlignment="1">
      <alignment horizontal="center" wrapText="1"/>
    </xf>
    <xf numFmtId="0" fontId="29" fillId="18" borderId="1" xfId="0" applyFont="1" applyFill="1" applyBorder="1" applyAlignment="1">
      <alignment horizontal="center" wrapText="1"/>
    </xf>
    <xf numFmtId="0" fontId="33" fillId="28" borderId="27" xfId="0" applyFont="1" applyFill="1" applyBorder="1" applyAlignment="1">
      <alignment horizontal="center"/>
    </xf>
    <xf numFmtId="0" fontId="33" fillId="28" borderId="26" xfId="0" applyFont="1" applyFill="1" applyBorder="1" applyAlignment="1">
      <alignment horizontal="center"/>
    </xf>
    <xf numFmtId="0" fontId="33" fillId="28" borderId="25" xfId="0" applyFont="1" applyFill="1" applyBorder="1" applyAlignment="1">
      <alignment horizontal="center"/>
    </xf>
    <xf numFmtId="0" fontId="27" fillId="28" borderId="26" xfId="0" applyFont="1" applyFill="1" applyBorder="1" applyAlignment="1">
      <alignment horizontal="center"/>
    </xf>
    <xf numFmtId="0" fontId="27" fillId="28" borderId="25" xfId="0" applyFont="1" applyFill="1" applyBorder="1" applyAlignment="1">
      <alignment horizontal="center"/>
    </xf>
    <xf numFmtId="0" fontId="33" fillId="11" borderId="12" xfId="0" applyFont="1" applyFill="1" applyBorder="1" applyAlignment="1">
      <alignment horizontal="center"/>
    </xf>
    <xf numFmtId="0" fontId="33" fillId="11" borderId="10" xfId="0" applyFont="1" applyFill="1" applyBorder="1" applyAlignment="1">
      <alignment horizontal="center"/>
    </xf>
    <xf numFmtId="0" fontId="33" fillId="11" borderId="9" xfId="0" applyFont="1" applyFill="1" applyBorder="1" applyAlignment="1">
      <alignment horizontal="center"/>
    </xf>
    <xf numFmtId="0" fontId="33" fillId="11" borderId="27" xfId="0" applyFont="1" applyFill="1" applyBorder="1" applyAlignment="1">
      <alignment horizontal="center"/>
    </xf>
    <xf numFmtId="0" fontId="33" fillId="11" borderId="26" xfId="0" applyFont="1" applyFill="1" applyBorder="1" applyAlignment="1">
      <alignment horizontal="center"/>
    </xf>
    <xf numFmtId="0" fontId="33" fillId="11" borderId="25" xfId="0" applyFont="1" applyFill="1" applyBorder="1" applyAlignment="1">
      <alignment horizontal="center"/>
    </xf>
    <xf numFmtId="0" fontId="31" fillId="0" borderId="34" xfId="0" applyFont="1" applyBorder="1" applyAlignment="1">
      <alignment horizontal="left"/>
    </xf>
    <xf numFmtId="0" fontId="31" fillId="0" borderId="33" xfId="0" applyFont="1" applyBorder="1" applyAlignment="1">
      <alignment horizontal="left"/>
    </xf>
    <xf numFmtId="0" fontId="36" fillId="11" borderId="27" xfId="0" applyFont="1" applyFill="1" applyBorder="1" applyAlignment="1">
      <alignment horizontal="center"/>
    </xf>
    <xf numFmtId="0" fontId="36" fillId="11" borderId="26" xfId="0" applyFont="1" applyFill="1" applyBorder="1" applyAlignment="1">
      <alignment horizontal="center"/>
    </xf>
    <xf numFmtId="0" fontId="36" fillId="11" borderId="25" xfId="0" applyFont="1" applyFill="1" applyBorder="1" applyAlignment="1">
      <alignment horizontal="center"/>
    </xf>
    <xf numFmtId="0" fontId="36" fillId="0" borderId="66" xfId="0" applyFont="1" applyBorder="1"/>
    <xf numFmtId="0" fontId="0" fillId="0" borderId="42" xfId="0" applyBorder="1"/>
    <xf numFmtId="0" fontId="31" fillId="0" borderId="36" xfId="0" applyFont="1" applyBorder="1" applyAlignment="1">
      <alignment horizontal="left"/>
    </xf>
    <xf numFmtId="0" fontId="31" fillId="0" borderId="17" xfId="0" applyFont="1" applyBorder="1" applyAlignment="1">
      <alignment horizontal="left"/>
    </xf>
    <xf numFmtId="0" fontId="1" fillId="0" borderId="0" xfId="0" applyFont="1" applyAlignment="1">
      <alignment wrapText="1"/>
    </xf>
    <xf numFmtId="0" fontId="33" fillId="11" borderId="12" xfId="0" applyFont="1" applyFill="1" applyBorder="1" applyAlignment="1">
      <alignment horizontal="center" vertical="center"/>
    </xf>
    <xf numFmtId="0" fontId="33" fillId="11" borderId="10" xfId="0" applyFont="1" applyFill="1" applyBorder="1" applyAlignment="1">
      <alignment horizontal="center" vertical="center"/>
    </xf>
    <xf numFmtId="0" fontId="33" fillId="11" borderId="9" xfId="0" applyFont="1" applyFill="1" applyBorder="1" applyAlignment="1">
      <alignment horizontal="center" vertical="center"/>
    </xf>
    <xf numFmtId="0" fontId="36" fillId="11" borderId="27" xfId="11" applyFont="1" applyFill="1" applyBorder="1" applyAlignment="1">
      <alignment horizontal="center" wrapText="1"/>
    </xf>
    <xf numFmtId="0" fontId="36" fillId="11" borderId="26" xfId="11" applyFont="1" applyFill="1" applyBorder="1" applyAlignment="1">
      <alignment horizontal="center" wrapText="1"/>
    </xf>
    <xf numFmtId="0" fontId="36" fillId="11" borderId="25" xfId="11" applyFont="1" applyFill="1" applyBorder="1" applyAlignment="1">
      <alignment horizontal="center" wrapText="1"/>
    </xf>
    <xf numFmtId="0" fontId="36" fillId="11" borderId="12" xfId="11" applyFont="1" applyFill="1" applyBorder="1" applyAlignment="1">
      <alignment horizontal="center"/>
    </xf>
    <xf numFmtId="0" fontId="36" fillId="11" borderId="10" xfId="11" applyFont="1" applyFill="1" applyBorder="1" applyAlignment="1">
      <alignment horizontal="center"/>
    </xf>
    <xf numFmtId="0" fontId="36" fillId="11" borderId="9" xfId="11" applyFont="1" applyFill="1" applyBorder="1" applyAlignment="1">
      <alignment horizontal="center"/>
    </xf>
    <xf numFmtId="0" fontId="36" fillId="0" borderId="27" xfId="13" applyFont="1" applyBorder="1" applyAlignment="1">
      <alignment horizontal="center"/>
    </xf>
    <xf numFmtId="0" fontId="36" fillId="0" borderId="25" xfId="13" applyFont="1" applyBorder="1" applyAlignment="1">
      <alignment horizontal="center"/>
    </xf>
    <xf numFmtId="0" fontId="36" fillId="11" borderId="27" xfId="13" applyFont="1" applyFill="1" applyBorder="1" applyAlignment="1">
      <alignment horizontal="center"/>
    </xf>
    <xf numFmtId="0" fontId="36" fillId="11" borderId="26" xfId="13" applyFont="1" applyFill="1" applyBorder="1" applyAlignment="1">
      <alignment horizontal="center"/>
    </xf>
    <xf numFmtId="0" fontId="36" fillId="11" borderId="25" xfId="13" applyFont="1" applyFill="1" applyBorder="1" applyAlignment="1">
      <alignment horizontal="center"/>
    </xf>
    <xf numFmtId="0" fontId="36" fillId="11" borderId="27" xfId="13" applyFont="1" applyFill="1" applyBorder="1" applyAlignment="1">
      <alignment horizontal="center" wrapText="1"/>
    </xf>
    <xf numFmtId="0" fontId="36" fillId="11" borderId="26" xfId="13" applyFont="1" applyFill="1" applyBorder="1" applyAlignment="1">
      <alignment horizontal="center" wrapText="1"/>
    </xf>
    <xf numFmtId="0" fontId="36" fillId="11" borderId="25" xfId="13" applyFont="1" applyFill="1" applyBorder="1" applyAlignment="1">
      <alignment horizontal="center" wrapText="1"/>
    </xf>
    <xf numFmtId="0" fontId="49" fillId="0" borderId="27" xfId="11" applyFont="1" applyBorder="1" applyAlignment="1">
      <alignment horizontal="center" vertical="center" wrapText="1"/>
    </xf>
    <xf numFmtId="0" fontId="49" fillId="0" borderId="26" xfId="11" applyFont="1" applyBorder="1" applyAlignment="1">
      <alignment horizontal="center" vertical="center" wrapText="1"/>
    </xf>
    <xf numFmtId="0" fontId="49" fillId="0" borderId="25" xfId="11" applyFont="1" applyBorder="1" applyAlignment="1">
      <alignment horizontal="center" vertical="center" wrapText="1"/>
    </xf>
    <xf numFmtId="0" fontId="36" fillId="27" borderId="12" xfId="11" applyFont="1" applyFill="1" applyBorder="1" applyAlignment="1">
      <alignment horizontal="center" wrapText="1"/>
    </xf>
    <xf numFmtId="0" fontId="3" fillId="0" borderId="10" xfId="0" applyFont="1" applyBorder="1" applyAlignment="1">
      <alignment horizontal="center" wrapText="1"/>
    </xf>
    <xf numFmtId="0" fontId="3" fillId="0" borderId="9" xfId="0" applyFont="1" applyBorder="1" applyAlignment="1">
      <alignment horizontal="center" wrapText="1"/>
    </xf>
    <xf numFmtId="0" fontId="26" fillId="34" borderId="12" xfId="0" applyFont="1" applyFill="1" applyBorder="1" applyAlignment="1">
      <alignment horizontal="center"/>
    </xf>
    <xf numFmtId="0" fontId="63" fillId="34" borderId="10" xfId="0" applyFont="1" applyFill="1" applyBorder="1" applyAlignment="1">
      <alignment horizontal="center"/>
    </xf>
    <xf numFmtId="0" fontId="63" fillId="34" borderId="9" xfId="0" applyFont="1" applyFill="1" applyBorder="1" applyAlignment="1">
      <alignment horizontal="center"/>
    </xf>
    <xf numFmtId="0" fontId="43" fillId="32" borderId="12" xfId="0" applyFont="1" applyFill="1" applyBorder="1" applyAlignment="1">
      <alignment horizontal="center"/>
    </xf>
    <xf numFmtId="0" fontId="43" fillId="32" borderId="10" xfId="0" applyFont="1" applyFill="1" applyBorder="1" applyAlignment="1">
      <alignment horizontal="center"/>
    </xf>
    <xf numFmtId="0" fontId="43" fillId="32" borderId="9" xfId="0" applyFont="1" applyFill="1" applyBorder="1" applyAlignment="1">
      <alignment horizontal="center"/>
    </xf>
    <xf numFmtId="0" fontId="43" fillId="0" borderId="27" xfId="0" applyFont="1" applyBorder="1" applyAlignment="1">
      <alignment horizontal="center"/>
    </xf>
    <xf numFmtId="0" fontId="43" fillId="0" borderId="26" xfId="0" applyFont="1" applyBorder="1" applyAlignment="1">
      <alignment horizontal="center"/>
    </xf>
    <xf numFmtId="0" fontId="43" fillId="0" borderId="25" xfId="0" applyFont="1" applyBorder="1" applyAlignment="1">
      <alignment horizontal="center"/>
    </xf>
    <xf numFmtId="0" fontId="36" fillId="11" borderId="27" xfId="21" applyFont="1" applyFill="1" applyBorder="1" applyAlignment="1">
      <alignment horizontal="center"/>
    </xf>
    <xf numFmtId="0" fontId="36" fillId="11" borderId="26" xfId="21" applyFont="1" applyFill="1" applyBorder="1" applyAlignment="1">
      <alignment horizontal="center"/>
    </xf>
    <xf numFmtId="0" fontId="36" fillId="11" borderId="25" xfId="21" applyFont="1" applyFill="1" applyBorder="1" applyAlignment="1">
      <alignment horizontal="center"/>
    </xf>
    <xf numFmtId="0" fontId="3" fillId="19" borderId="14"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54" fillId="0" borderId="21" xfId="0" applyFont="1" applyBorder="1" applyAlignment="1">
      <alignment horizontal="center" vertical="center"/>
    </xf>
    <xf numFmtId="0" fontId="0" fillId="0" borderId="20" xfId="0" applyBorder="1"/>
    <xf numFmtId="0" fontId="0" fillId="0" borderId="19" xfId="0" applyBorder="1"/>
    <xf numFmtId="0" fontId="0" fillId="0" borderId="14" xfId="0" applyBorder="1"/>
    <xf numFmtId="0" fontId="0" fillId="0" borderId="7" xfId="0" applyBorder="1"/>
    <xf numFmtId="0" fontId="0" fillId="0" borderId="13" xfId="0" applyBorder="1"/>
    <xf numFmtId="0" fontId="54" fillId="0" borderId="12"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1" xfId="0" applyFont="1" applyBorder="1" applyAlignment="1">
      <alignment horizontal="center" vertical="center" wrapText="1"/>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19" borderId="14" xfId="0" applyFont="1" applyFill="1" applyBorder="1" applyAlignment="1">
      <alignment horizontal="center" vertical="center"/>
    </xf>
    <xf numFmtId="0" fontId="3" fillId="19" borderId="13" xfId="0" applyFont="1" applyFill="1" applyBorder="1" applyAlignment="1">
      <alignment horizontal="center" vertical="center"/>
    </xf>
    <xf numFmtId="14" fontId="3" fillId="19" borderId="14" xfId="0" applyNumberFormat="1" applyFont="1" applyFill="1" applyBorder="1" applyAlignment="1">
      <alignment horizontal="center" vertical="center"/>
    </xf>
    <xf numFmtId="14" fontId="3" fillId="19" borderId="13" xfId="0" applyNumberFormat="1" applyFont="1" applyFill="1" applyBorder="1" applyAlignment="1">
      <alignment horizontal="center" vertical="center"/>
    </xf>
    <xf numFmtId="0" fontId="54" fillId="0" borderId="21" xfId="0" applyFont="1" applyBorder="1" applyAlignment="1">
      <alignment horizontal="center" vertical="center" wrapText="1"/>
    </xf>
    <xf numFmtId="0" fontId="54" fillId="0" borderId="20" xfId="0" applyFont="1" applyBorder="1" applyAlignment="1">
      <alignment horizontal="center" vertical="center" wrapText="1"/>
    </xf>
    <xf numFmtId="0" fontId="54" fillId="0" borderId="19" xfId="0" applyFont="1" applyBorder="1" applyAlignment="1">
      <alignment horizontal="center" vertical="center" wrapText="1"/>
    </xf>
    <xf numFmtId="0" fontId="54" fillId="0" borderId="14"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13" xfId="0" applyFont="1" applyBorder="1" applyAlignment="1">
      <alignment horizontal="center" vertical="center" wrapText="1"/>
    </xf>
    <xf numFmtId="0" fontId="3" fillId="19" borderId="18" xfId="0" applyFont="1" applyFill="1" applyBorder="1" applyAlignment="1">
      <alignment horizontal="center" vertical="center"/>
    </xf>
    <xf numFmtId="0" fontId="3" fillId="19" borderId="28" xfId="0" applyFont="1" applyFill="1" applyBorder="1" applyAlignment="1">
      <alignment horizontal="center" vertical="center"/>
    </xf>
    <xf numFmtId="17" fontId="3" fillId="19" borderId="18" xfId="0" applyNumberFormat="1" applyFont="1" applyFill="1" applyBorder="1" applyAlignment="1">
      <alignment horizontal="center" vertical="center"/>
    </xf>
    <xf numFmtId="0" fontId="3" fillId="19" borderId="18" xfId="0" applyFont="1" applyFill="1" applyBorder="1" applyAlignment="1">
      <alignment horizontal="center" vertical="center" wrapText="1"/>
    </xf>
    <xf numFmtId="0" fontId="3" fillId="19" borderId="28" xfId="0" applyFont="1" applyFill="1" applyBorder="1" applyAlignment="1">
      <alignment horizontal="center" vertical="center" wrapText="1"/>
    </xf>
    <xf numFmtId="0" fontId="0" fillId="0" borderId="12" xfId="0" applyBorder="1" applyAlignment="1">
      <alignment horizontal="center"/>
    </xf>
    <xf numFmtId="0" fontId="0" fillId="0" borderId="9" xfId="0" applyBorder="1" applyAlignment="1">
      <alignment horizontal="center"/>
    </xf>
  </cellXfs>
  <cellStyles count="32">
    <cellStyle name="Comma" xfId="1" builtinId="3"/>
    <cellStyle name="Comma 4 2" xfId="16" xr:uid="{F889D88F-F4F1-41C3-8ABF-AC004D51B46D}"/>
    <cellStyle name="Comma 8" xfId="23" xr:uid="{1E26B625-A587-4F64-AFBB-5FD586799C1C}"/>
    <cellStyle name="Currency" xfId="2" builtinId="4"/>
    <cellStyle name="Currency 4 2 2" xfId="17" xr:uid="{C56D35FF-69D9-42BD-9B7B-059639C77060}"/>
    <cellStyle name="Currency 5 2" xfId="20" xr:uid="{33CF513F-61F5-4726-BC4F-FBAB8132DE9C}"/>
    <cellStyle name="Normal" xfId="0" builtinId="0"/>
    <cellStyle name="Normal 10" xfId="6" xr:uid="{8955912D-4A92-45FC-8E43-D688BFA46B6A}"/>
    <cellStyle name="Normal 10 3 3" xfId="24" xr:uid="{D98CF8E4-F8E5-45AF-A33A-AD851E24848C}"/>
    <cellStyle name="Normal 12" xfId="11" xr:uid="{9F998E66-A629-49BE-B677-C338DE93C904}"/>
    <cellStyle name="Normal 2" xfId="15" xr:uid="{168485DD-D674-4D24-A3B4-2541797D4C38}"/>
    <cellStyle name="Normal 2 2" xfId="26" xr:uid="{15D9A3B9-C1C1-4485-B056-180EC8FB6ADB}"/>
    <cellStyle name="Normal 2 2 2" xfId="12" xr:uid="{4EDE6467-2837-4850-9625-448180A136D1}"/>
    <cellStyle name="Normal 2 2 3 2" xfId="21" xr:uid="{418593CA-DD6F-4A95-ACF1-A5484D5CC970}"/>
    <cellStyle name="Normal 2 2 4" xfId="9" xr:uid="{46489297-EDBD-4AAB-A41D-8DEC0E91AE32}"/>
    <cellStyle name="Normal 2 3" xfId="25" xr:uid="{7D5BE401-773B-4D77-847A-A4B9E265C0A6}"/>
    <cellStyle name="Normal 2 4 3" xfId="19" xr:uid="{77706DE3-8652-415D-BFB6-3F2F74620756}"/>
    <cellStyle name="Normal 3" xfId="18" xr:uid="{DBD339D4-4F2F-4B5F-84C7-FE87BD001AF1}"/>
    <cellStyle name="Normal 3 2" xfId="29" xr:uid="{B8157FFA-DD49-4123-8B37-DBF2CB362045}"/>
    <cellStyle name="Normal 3 3" xfId="28" xr:uid="{8133F11E-2B9D-4382-90C9-932ACA5FDDBE}"/>
    <cellStyle name="Normal 4" xfId="27" xr:uid="{6D2F8D96-9219-42FC-B30A-B533DAFC05FA}"/>
    <cellStyle name="Normal 4 2" xfId="22" xr:uid="{C61EB956-01C7-4CBE-A0F2-100202171D37}"/>
    <cellStyle name="Normal 4 5 6" xfId="7" xr:uid="{92727AE1-9055-4550-89A8-D4025ED03BAD}"/>
    <cellStyle name="Normal 5 10" xfId="4" xr:uid="{0EF64290-3B5F-4DD9-A7B1-989F3BADBEEB}"/>
    <cellStyle name="Normal 5 5" xfId="30" xr:uid="{D776C7EA-6B5B-4FED-B2B1-4BEB63B3E67C}"/>
    <cellStyle name="Normal 6" xfId="14" xr:uid="{CE5F4E86-0CE6-493B-8BF8-F9363747FEC1}"/>
    <cellStyle name="Normal 6 2 2" xfId="10" xr:uid="{70B66A4F-26AA-4745-9FA6-45F004933098}"/>
    <cellStyle name="Normal_DYS Rate Options 6.8.10 for DYS Review" xfId="13" xr:uid="{411BD037-737A-4719-9D8B-0A3FF5DAD140}"/>
    <cellStyle name="Percent" xfId="3" builtinId="5"/>
    <cellStyle name="Percent 2" xfId="31" xr:uid="{B16B71B6-0F61-47F8-95CF-C2197DAEF57C}"/>
    <cellStyle name="Percent 2 2 3" xfId="5" xr:uid="{C7838BE3-0E80-47AA-909F-4D6249E56A89}"/>
    <cellStyle name="Percent 2 7" xfId="8" xr:uid="{64FC9DFB-2F24-4EE1-AD84-50BE35C0C0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externalLink" Target="externalLinks/externalLink14.xml"/><Relationship Id="rId50" Type="http://schemas.openxmlformats.org/officeDocument/2006/relationships/externalLink" Target="externalLinks/externalLink17.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externalLink" Target="externalLinks/externalLink12.xml"/><Relationship Id="rId53" Type="http://schemas.openxmlformats.org/officeDocument/2006/relationships/externalLink" Target="externalLinks/externalLink20.xml"/><Relationship Id="rId58" Type="http://schemas.microsoft.com/office/2017/10/relationships/person" Target="persons/perso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externalLink" Target="externalLinks/externalLink15.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1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externalLink" Target="externalLinks/externalLink13.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8.xml"/><Relationship Id="rId54"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49" Type="http://schemas.openxmlformats.org/officeDocument/2006/relationships/externalLink" Target="externalLinks/externalLink16.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1.xml"/><Relationship Id="rId52" Type="http://schemas.openxmlformats.org/officeDocument/2006/relationships/externalLink" Target="externalLinks/externalLink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xdr:colOff>
      <xdr:row>15</xdr:row>
      <xdr:rowOff>114300</xdr:rowOff>
    </xdr:from>
    <xdr:ext cx="9229725" cy="1581150"/>
    <xdr:pic>
      <xdr:nvPicPr>
        <xdr:cNvPr id="2" name="Picture 21">
          <a:extLst>
            <a:ext uri="{FF2B5EF4-FFF2-40B4-BE49-F238E27FC236}">
              <a16:creationId xmlns:a16="http://schemas.microsoft.com/office/drawing/2014/main" id="{63C6319D-00C7-46B7-857C-C5BA9798E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971800"/>
          <a:ext cx="9229725"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W_Pricing\SubAbuse\2013\Resi%20Rehab\Data\Resi%20Rehab%20_All%20Codes%20Analysis.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Administrative%20Services-POS%20Policy%20Office\Admin%20&amp;%20Staff\Kara\Workforce%20Initiatives\May%202022%20BLS\1a.%20C.257%20%20BLS%20M2022%2053rd%20with%20BU.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C:\Users\MRohmann\Downloads\BLS%20M2024%20Detail.xlsx" TargetMode="External"/><Relationship Id="rId1" Type="http://schemas.openxmlformats.org/officeDocument/2006/relationships/externalLinkPath" Target="file:///C:\Users\MRohmann\Downloads\BLS%20M2024%20Detail.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KaSolimini\AppData\Local\Microsoft\Windows\Temporary%20Internet%20Files\Content.Outlook\WQ4JJXAQ\Discrete%20Models%20Revised%20.xls"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Rate%20Projects\CMR%20414_Family%20Stab\2024%20&amp;%202026%20reviews\DDS%20RR%20%20Jan%201,%202026\DDS%20FAM%20STAB%201.1.26\1.%20Strategy%20Materials\Copy%20of%20101%20CMR%20414%20%20Models%209.30.25.xlsx" TargetMode="External"/><Relationship Id="rId1" Type="http://schemas.openxmlformats.org/officeDocument/2006/relationships/externalLinkPath" Target="file:///X:\Administrative%20Services-POS%20Policy%20Office\Rate%20Setting\Rate%20Projects\CMR%20414_Family%20Stab\2024%20&amp;%202026%20reviews\DDS%20RR%20%20Jan%201,%202026\DDS%20FAM%20STAB%201.1.26\1.%20Strategy%20Materials\Copy%20of%20101%20CMR%20414%20%20Models%209.30.25.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Rate%20Projects\CMR%20414_Family%20Stab\2024%20&amp;%202026%20reviews\DDS%20RR%20%20Jan%201,%202024\DDS%20RR%20Jan%201,%202024\1.%20Strategy%20Materials\101%20CMR%20414%20%20Models%207.20.23%20-%20DDS%20+%20EHS.xlsx" TargetMode="External"/><Relationship Id="rId1" Type="http://schemas.openxmlformats.org/officeDocument/2006/relationships/externalLinkPath" Target="file:///X:\Administrative%20Services-POS%20Policy%20Office\Rate%20Setting\Rate%20Projects\CMR%20414_Family%20Stab\2024%20&amp;%202026%20reviews\DDS%20RR%20%20Jan%201,%202024\DDS%20RR%20Jan%201,%202024\1.%20Strategy%20Materials\101%20CMR%20414%20%20Models%207.20.23%20-%20DDS%20+%20EHS.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Rate%20Projects\CMR%20414_Family%20Stab\2022%20&amp;%202023%20reviews\RATE%20REVIEW%20Jan%201,%202022\1.%20Materials\Family%20Stab%201.1.22%20Models%20DCF%204.7.xlsx" TargetMode="External"/><Relationship Id="rId1" Type="http://schemas.openxmlformats.org/officeDocument/2006/relationships/externalLinkPath" Target="file:///X:\Administrative%20Services-POS%20Policy%20Office\Rate%20Setting\Rate%20Projects\CMR%20414_Family%20Stab\2022%20&amp;%202023%20reviews\RATE%20REVIEW%20Jan%201,%202022\1.%20Materials\Family%20Stab%201.1.22%20Models%20DCF%204.7.xlsx"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Rate%20Projects\CMR%20414_Family%20Stab\2024%20&amp;%202026%20reviews\DDS%20RR%20%20Jan%201,%202026\DDS%20FAM%20STAB%201.1.26\1.%20Strategy%20Materials\UFR%20&amp;%20Spend\FSTAB%20FY24%20UFR.xlsx" TargetMode="External"/><Relationship Id="rId1" Type="http://schemas.openxmlformats.org/officeDocument/2006/relationships/externalLinkPath" Target="file:///X:\Administrative%20Services-POS%20Policy%20Office\Rate%20Setting\Rate%20Projects\CMR%20414_Family%20Stab\2024%20&amp;%202026%20reviews\DDS%20RR%20%20Jan%201,%202026\DDS%20FAM%20STAB%201.1.26\1.%20Strategy%20Materials\UFR%20&amp;%20Spend\FSTAB%20FY24%20UF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Z:\Administrative%20Services-POS%20Policy%20Office\Rate%20Setting\Rate%20Projects\Family%20Stab-CMR%20414\2024%20&amp;%202025%20reviews\Rate%20Review%20Jan%201,%202024\1.%20Strategy%20Materials\FSTAB%20FY22%20UFR.xlsx" TargetMode="External"/></Relationships>
</file>

<file path=xl/externalLinks/_rels/externalLink21.xml.rels><?xml version="1.0" encoding="UTF-8" standalone="yes"?>
<Relationships xmlns="http://schemas.openxmlformats.org/package/2006/relationships"><Relationship Id="rId3" Type="http://schemas.openxmlformats.org/officeDocument/2006/relationships/externalLinkPath" Target="file:///X:\Administrative%20Services-POS%20Policy%20Office\Rate%20Setting\Rate%20Projects\CMR%20414_Family%20Stab\2024%20&amp;%202026%20reviews\DDS%20RR%20%20Jan%201,%202026\DDS%20FAM%20STAB%201.1.26\1.%20Strategy%20Materials\101%20CMR%20414%20%20Models%20FINAL%20DDS%20Rates%20-%2010.16.23.xlsx" TargetMode="External"/><Relationship Id="rId2" Type="http://schemas.microsoft.com/office/2019/04/relationships/externalLinkLongPath" Target="file:///X:\Administrative%20Services-POS%20Policy%20Office\Rate%20Setting\Rate%20Projects\CMR%20414_Family%20Stab\2024%20&amp;%202026%20reviews\DDS%20RR%20%20Jan%201,%202026\DDS%20FAM%20STAB%201.1.26\1.%20Strategy%20Materials\101%20CMR%20414%20%20Models%20FINAL%20DDS%20Rates%20-%2010.16.23.xlsx?F51F74C9" TargetMode="External"/><Relationship Id="rId1" Type="http://schemas.openxmlformats.org/officeDocument/2006/relationships/externalLinkPath" Target="file:///\\F51F74C9\101%20CMR%20414%20%20Models%20FINAL%20DDS%20Rates%20-%2010.16.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HS.govt.state.ma.us\DFS\DDS\Boston_500_Harrison_ave\group\OMF\CONTRACT\Reports\Attendance%20Summaries\Monthly%20Attendance%20Summary%20(Bob%20report)%20FY23%202023_07_06.xlsm" TargetMode="External"/><Relationship Id="rId1" Type="http://schemas.openxmlformats.org/officeDocument/2006/relationships/externalLinkPath" Target="file:///\\EHS.govt.state.ma.us\DFS\DDS\Boston_500_Harrison_ave\group\OMF\CONTRACT\Reports\Attendance%20Summaries\Monthly%20Attendance%20Summary%20(Bob%20report)%20FY23%202023_07_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Villacorta\Downloads\FINAL%20ANALYSIS%20Counseling%20Rate%20Options%200719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HNaciri\Downloads\Resi%20Rehab%203386&amp;3401%20122613%20330p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row r="11">
          <cell r="I11">
            <v>19.121599999999997</v>
          </cell>
          <cell r="J11">
            <v>39772.927999999993</v>
          </cell>
        </row>
        <row r="19">
          <cell r="I19">
            <v>25.580080000000002</v>
          </cell>
        </row>
      </sheetData>
      <sheetData sheetId="5">
        <row r="4">
          <cell r="J4">
            <v>28.180799999999998</v>
          </cell>
        </row>
        <row r="11">
          <cell r="J11">
            <v>30.9283</v>
          </cell>
        </row>
      </sheetData>
      <sheetData sheetId="6">
        <row r="6">
          <cell r="J6">
            <v>38.753100000000003</v>
          </cell>
        </row>
        <row r="12">
          <cell r="J12">
            <v>48.742200000000004</v>
          </cell>
        </row>
      </sheetData>
      <sheetData sheetId="7">
        <row r="2">
          <cell r="J2">
            <v>31.575200000000002</v>
          </cell>
        </row>
        <row r="6">
          <cell r="J6">
            <v>49.162799999999997</v>
          </cell>
        </row>
        <row r="11">
          <cell r="J11">
            <v>65.162400000000005</v>
          </cell>
        </row>
      </sheetData>
      <sheetData sheetId="8">
        <row r="2">
          <cell r="J2">
            <v>38.180400000000006</v>
          </cell>
        </row>
      </sheetData>
      <sheetData sheetId="9">
        <row r="2">
          <cell r="M2">
            <v>32.740400000000001</v>
          </cell>
        </row>
        <row r="8">
          <cell r="M8">
            <v>38.017499999999998</v>
          </cell>
        </row>
        <row r="14">
          <cell r="M14">
            <v>41.25168</v>
          </cell>
        </row>
        <row r="18">
          <cell r="M18">
            <v>42.756720000000001</v>
          </cell>
        </row>
      </sheetData>
      <sheetData sheetId="10">
        <row r="33">
          <cell r="N33">
            <v>135424.64000000001</v>
          </cell>
        </row>
        <row r="34">
          <cell r="N34">
            <v>40890.303999999996</v>
          </cell>
        </row>
        <row r="35">
          <cell r="N35">
            <v>62490.688000000002</v>
          </cell>
        </row>
        <row r="36">
          <cell r="N36">
            <v>51538.240000000005</v>
          </cell>
        </row>
        <row r="37">
          <cell r="N37">
            <v>50652.160000000003</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e_M2024_dl"/>
      <sheetName val="DC.DCIII.CNA"/>
      <sheetName val="CASE.MGMT"/>
      <sheetName val="NURSING"/>
      <sheetName val="CLINICAL"/>
      <sheetName val="THER.PATH."/>
      <sheetName val="ALL"/>
      <sheetName val="Field Descriptions"/>
      <sheetName val="UpdateTime"/>
      <sheetName val="Filler"/>
    </sheetNames>
    <sheetDataSet>
      <sheetData sheetId="0"/>
      <sheetData sheetId="1">
        <row r="7">
          <cell r="X7">
            <v>22.520400000000002</v>
          </cell>
        </row>
        <row r="8">
          <cell r="X8">
            <v>46842.432000000008</v>
          </cell>
        </row>
        <row r="16">
          <cell r="X16">
            <v>27.109919999999999</v>
          </cell>
        </row>
        <row r="17">
          <cell r="X17">
            <v>56388.633600000001</v>
          </cell>
        </row>
        <row r="20">
          <cell r="X20">
            <v>22.0016</v>
          </cell>
        </row>
        <row r="21">
          <cell r="X21">
            <v>45763.328000000001</v>
          </cell>
        </row>
      </sheetData>
      <sheetData sheetId="2">
        <row r="6">
          <cell r="I6">
            <v>31.989000000000004</v>
          </cell>
        </row>
        <row r="7">
          <cell r="I7">
            <v>66537.12000000001</v>
          </cell>
        </row>
        <row r="16">
          <cell r="I16">
            <v>36.1419</v>
          </cell>
        </row>
        <row r="17">
          <cell r="I17">
            <v>75175.152000000002</v>
          </cell>
        </row>
        <row r="21">
          <cell r="I21">
            <v>39.176400000000001</v>
          </cell>
        </row>
        <row r="22">
          <cell r="I22">
            <v>81486.911999999997</v>
          </cell>
        </row>
      </sheetData>
      <sheetData sheetId="3">
        <row r="4">
          <cell r="K4">
            <v>37.066800000000001</v>
          </cell>
        </row>
        <row r="5">
          <cell r="K5">
            <v>77098.944000000003</v>
          </cell>
        </row>
        <row r="8">
          <cell r="K8">
            <v>50.818000000000005</v>
          </cell>
        </row>
        <row r="9">
          <cell r="K9">
            <v>105701.44000000002</v>
          </cell>
        </row>
        <row r="12">
          <cell r="K12">
            <v>68.006</v>
          </cell>
        </row>
        <row r="13">
          <cell r="K13">
            <v>141452.48000000001</v>
          </cell>
        </row>
      </sheetData>
      <sheetData sheetId="4">
        <row r="7">
          <cell r="J7">
            <v>40.468299999999999</v>
          </cell>
        </row>
        <row r="8">
          <cell r="J8">
            <v>84174.063999999998</v>
          </cell>
        </row>
      </sheetData>
      <sheetData sheetId="5">
        <row r="6">
          <cell r="K6">
            <v>41.273300000000006</v>
          </cell>
        </row>
        <row r="7">
          <cell r="K7">
            <v>85848.464000000007</v>
          </cell>
        </row>
        <row r="11">
          <cell r="K11">
            <v>39.5488</v>
          </cell>
        </row>
        <row r="12">
          <cell r="K12">
            <v>82261.504000000001</v>
          </cell>
        </row>
        <row r="20">
          <cell r="K20">
            <v>43.965600000000002</v>
          </cell>
        </row>
        <row r="21">
          <cell r="K21">
            <v>91448.448000000004</v>
          </cell>
        </row>
      </sheetData>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tatus"/>
      <sheetName val="BENCHMARKS (2)"/>
      <sheetName val="Spec Assessment"/>
      <sheetName val="Model Budgets_Aft Schl Dy Rspt"/>
      <sheetName val="After School_Dy Respt"/>
      <sheetName val="Model Budget-Edu Coord "/>
      <sheetName val="Edu Coord (Treehouse)"/>
      <sheetName val="3066 FNSS 09 UFR Data "/>
      <sheetName val="Model Budgets-Combined Hr Data"/>
      <sheetName val="Combined Hrly Data"/>
      <sheetName val="Model Budgets-Groups- Specialty"/>
      <sheetName val="MB-Groups -Family Skills Dev."/>
      <sheetName val="MB-Groups -Fathers Program"/>
      <sheetName val="Group-Non Stnd"/>
      <sheetName val="Child Care"/>
      <sheetName val="CAF"/>
      <sheetName val="Unbundled IFC Support Rate"/>
      <sheetName val="Unbundled background file"/>
      <sheetName val="units"/>
    </sheetNames>
    <sheetDataSet>
      <sheetData sheetId="0"/>
      <sheetData sheetId="1">
        <row r="157">
          <cell r="D157">
            <v>52564.428772849235</v>
          </cell>
        </row>
      </sheetData>
      <sheetData sheetId="2"/>
      <sheetData sheetId="3"/>
      <sheetData sheetId="4">
        <row r="4">
          <cell r="F4">
            <v>229</v>
          </cell>
        </row>
        <row r="5">
          <cell r="F5">
            <v>260</v>
          </cell>
        </row>
        <row r="6">
          <cell r="F6">
            <v>240</v>
          </cell>
        </row>
        <row r="7">
          <cell r="F7">
            <v>365</v>
          </cell>
        </row>
        <row r="8">
          <cell r="F8">
            <v>260</v>
          </cell>
        </row>
      </sheetData>
      <sheetData sheetId="5"/>
      <sheetData sheetId="6"/>
      <sheetData sheetId="7"/>
      <sheetData sheetId="8"/>
      <sheetData sheetId="9"/>
      <sheetData sheetId="10"/>
      <sheetData sheetId="11"/>
      <sheetData sheetId="12"/>
      <sheetData sheetId="13"/>
      <sheetData sheetId="14"/>
      <sheetData sheetId="15">
        <row r="20">
          <cell r="AD20">
            <v>4.4640068153077195E-2</v>
          </cell>
        </row>
      </sheetData>
      <sheetData sheetId="16"/>
      <sheetData sheetId="17">
        <row r="45">
          <cell r="G45">
            <v>8.1111275183150191</v>
          </cell>
        </row>
        <row r="53">
          <cell r="G53">
            <v>2.84</v>
          </cell>
        </row>
        <row r="72">
          <cell r="K72">
            <v>1.0391381345926798</v>
          </cell>
        </row>
      </sheetData>
      <sheetData sheetId="1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2022 BLS SALARY CHART (53_PCT)"/>
      <sheetName val="Unbundled IFC Support FY26"/>
      <sheetName val="M2024 BLS SALARY CHART (53_PCT)"/>
      <sheetName val="Ed Coordination FY24"/>
      <sheetName val="Non-Salary Expense FY26"/>
      <sheetName val="Clinical Non Clinical Hrly FY26"/>
      <sheetName val="DCF Ed Coordination FY26"/>
      <sheetName val="DCFClinicalComp FY26"/>
      <sheetName val="DCFFamily Skills Dev Group FY26"/>
      <sheetName val="DCFParent Skill Dev Group FY26"/>
      <sheetName val="CAF Spring 2025"/>
      <sheetName val="Master Lookup FY26"/>
      <sheetName val="Site Based Respite FY24"/>
      <sheetName val="Salary lookup"/>
      <sheetName val="Rates"/>
      <sheetName val="DCFSpecialty Fam Skills Grp "/>
      <sheetName val="HOURLY &amp; AFTER SCHOOL FY26"/>
      <sheetName val="Salary lookup FY24"/>
      <sheetName val="CAF Spring 2023"/>
      <sheetName val="Below the Line"/>
      <sheetName val="MCB FAMS FY26"/>
      <sheetName val="Aut-FamSupCtrs FY26"/>
      <sheetName val="Aut-FamSupCtrs FY24"/>
      <sheetName val="AWC Admin-Family Nav FY26"/>
      <sheetName val="AWC Admin-Family Nav FY24"/>
      <sheetName val="BehavioralSupport FY26"/>
      <sheetName val="BehavioralSupport FY24"/>
      <sheetName val="Family Training FY26"/>
      <sheetName val="Family Training FY24"/>
      <sheetName val="Peer Suppt FY26"/>
      <sheetName val="Fin. Assistance Admin FY26"/>
      <sheetName val="Fin. Assistance Admin FY24"/>
      <sheetName val="Med Complex FY26"/>
      <sheetName val="Respite Caregiver Home FY26"/>
      <sheetName val="IFFS FY26"/>
      <sheetName val="IFFS FY24"/>
      <sheetName val="Med Complex FY24"/>
      <sheetName val="Peer Suppt FY24"/>
      <sheetName val="Non-Salary Expense"/>
      <sheetName val="Adult Comp-Respite Recp FY26"/>
      <sheetName val="Master Lookup"/>
      <sheetName val="Adult Comp-Respite Recp Home"/>
      <sheetName val="Respite Caregiver Home FY24"/>
      <sheetName val="Adolescent Supprt Network FY26"/>
      <sheetName val="MCB FAMS FY24"/>
      <sheetName val="DCFClinicalComp FY24"/>
      <sheetName val="DCFSpecialty Fam Skills Grp"/>
      <sheetName val="Family Skills Dev Group FY24"/>
      <sheetName val="Clinical Non Clinical Hrly SVC "/>
      <sheetName val="Parent Skill Dev Group FY24"/>
      <sheetName val="Adolescent Supprt Network FY24"/>
    </sheetNames>
    <sheetDataSet>
      <sheetData sheetId="0"/>
      <sheetData sheetId="1"/>
      <sheetData sheetId="2">
        <row r="6">
          <cell r="C6">
            <v>46842.432000000008</v>
          </cell>
        </row>
        <row r="18">
          <cell r="C18">
            <v>84174.063999999998</v>
          </cell>
        </row>
        <row r="22">
          <cell r="C22">
            <v>81486.911999999997</v>
          </cell>
        </row>
        <row r="40">
          <cell r="C40">
            <v>0.24970000000000001</v>
          </cell>
        </row>
      </sheetData>
      <sheetData sheetId="3"/>
      <sheetData sheetId="4">
        <row r="4">
          <cell r="E4">
            <v>6392.9174203826224</v>
          </cell>
        </row>
        <row r="14">
          <cell r="E14">
            <v>1766.2389753369646</v>
          </cell>
        </row>
      </sheetData>
      <sheetData sheetId="5"/>
      <sheetData sheetId="6"/>
      <sheetData sheetId="7"/>
      <sheetData sheetId="8">
        <row r="18">
          <cell r="K18">
            <v>1533.4603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rt"/>
      <sheetName val="M2022 BLS SALARY CHART (53_PCT)"/>
      <sheetName val="Master Look Up FY24"/>
      <sheetName val="DDS Fiscal Impact"/>
      <sheetName val="Fiscal Impact DDS"/>
      <sheetName val="Rates"/>
      <sheetName val="Salary lookup"/>
      <sheetName val="Non-Salary Expense"/>
      <sheetName val="Master Lookup"/>
      <sheetName val="AdultCompanion FY24"/>
      <sheetName val="AdultCompanion"/>
      <sheetName val="Respite Recipient Home FY24"/>
      <sheetName val="Aut-FamSupCtrs Final FY24"/>
      <sheetName val="Aut-FamSupCtrs Final"/>
      <sheetName val="Master Look Up"/>
      <sheetName val="AWC Admin-Family Nav FY24"/>
      <sheetName val="AWC Admin - Family Nav"/>
      <sheetName val="BehavioralSupport FY24"/>
      <sheetName val="BehavioralSupport"/>
      <sheetName val="Family Training FY24"/>
      <sheetName val="Family Training "/>
      <sheetName val="Peer Suppt FY24"/>
      <sheetName val="Peer Suppt"/>
      <sheetName val="Respite Recipient Home "/>
      <sheetName val="Fin. Assistance Admin FY24"/>
      <sheetName val="Fin. Assistance Admin"/>
      <sheetName val="MCB FAMS"/>
      <sheetName val="Med Complex FY24"/>
      <sheetName val="Med Complex "/>
      <sheetName val="Respite Caregiver Home FY24"/>
      <sheetName val="Respite Caregiver Home"/>
      <sheetName val="Site Based Respite"/>
      <sheetName val="IFFS FY24"/>
      <sheetName val="IFFS"/>
      <sheetName val="Site Based Respite FY24"/>
      <sheetName val="MCB FAMS FY24"/>
      <sheetName val="DCFClinicalComp FY24"/>
      <sheetName val="DCFClinicalComp"/>
      <sheetName val="Ed Coordination FY24"/>
      <sheetName val="Ed Coordination"/>
      <sheetName val="Specialty Fam Skills Grp FY24"/>
      <sheetName val="Specialty Family Skills Group"/>
      <sheetName val="Family Skills Dev Group FY24"/>
      <sheetName val="Family Skills Dev Group"/>
      <sheetName val="Parent Skill Dev Group FY24"/>
      <sheetName val="Parent Skill Dev Group"/>
      <sheetName val="Unbundled IFC Support FY24"/>
      <sheetName val="Unbundled IFC Support"/>
      <sheetName val="HOURLY &amp; AFTER SCHOOL FY24"/>
      <sheetName val="HOURLY &amp; AFTER SCHOOL"/>
      <sheetName val="Adolescent Supprt Network FY24"/>
      <sheetName val="Adolescent Supprt Network model"/>
      <sheetName val="Add on Rates FY24"/>
      <sheetName val="Add on Rates "/>
      <sheetName val="CAF Spring 2023"/>
      <sheetName val="Spring 2021 CAF"/>
    </sheetNames>
    <sheetDataSet>
      <sheetData sheetId="0" refreshError="1"/>
      <sheetData sheetId="1" refreshError="1"/>
      <sheetData sheetId="2">
        <row r="30">
          <cell r="D30">
            <v>0.12</v>
          </cell>
        </row>
      </sheetData>
      <sheetData sheetId="3" refreshError="1"/>
      <sheetData sheetId="4" refreshError="1"/>
      <sheetData sheetId="5" refreshError="1"/>
      <sheetData sheetId="6" refreshError="1"/>
      <sheetData sheetId="7" refreshError="1"/>
      <sheetData sheetId="8">
        <row r="300">
          <cell r="B300" t="str">
            <v>Management</v>
          </cell>
          <cell r="D300">
            <v>79415.232000000018</v>
          </cell>
          <cell r="E300">
            <v>8</v>
          </cell>
          <cell r="F300">
            <v>5</v>
          </cell>
          <cell r="G300">
            <v>0.625</v>
          </cell>
          <cell r="H300">
            <v>8</v>
          </cell>
          <cell r="I300">
            <v>5</v>
          </cell>
          <cell r="J300">
            <v>0.625</v>
          </cell>
          <cell r="K300">
            <v>8</v>
          </cell>
          <cell r="L300">
            <v>2</v>
          </cell>
          <cell r="M300">
            <v>0.25</v>
          </cell>
          <cell r="N300">
            <v>8</v>
          </cell>
          <cell r="O300">
            <v>2</v>
          </cell>
          <cell r="P300">
            <v>0.25</v>
          </cell>
        </row>
        <row r="301">
          <cell r="B301" t="str">
            <v>Med-Nurse</v>
          </cell>
          <cell r="D301">
            <v>83967.52</v>
          </cell>
          <cell r="E301">
            <v>0</v>
          </cell>
          <cell r="F301">
            <v>0</v>
          </cell>
          <cell r="G301">
            <v>0</v>
          </cell>
          <cell r="H301">
            <v>5</v>
          </cell>
          <cell r="I301">
            <v>5</v>
          </cell>
          <cell r="J301">
            <v>1</v>
          </cell>
          <cell r="K301">
            <v>10</v>
          </cell>
          <cell r="L301">
            <v>2</v>
          </cell>
          <cell r="M301">
            <v>0.2</v>
          </cell>
          <cell r="N301">
            <v>10</v>
          </cell>
          <cell r="O301">
            <v>2</v>
          </cell>
          <cell r="P301">
            <v>0.2</v>
          </cell>
        </row>
        <row r="302">
          <cell r="B302" t="str">
            <v>DC- Support</v>
          </cell>
          <cell r="D302">
            <v>41600</v>
          </cell>
          <cell r="E302">
            <v>25</v>
          </cell>
          <cell r="F302">
            <v>5</v>
          </cell>
          <cell r="G302">
            <v>0.2</v>
          </cell>
          <cell r="H302">
            <v>25</v>
          </cell>
          <cell r="I302">
            <v>5</v>
          </cell>
          <cell r="J302">
            <v>0.2</v>
          </cell>
          <cell r="K302">
            <v>25</v>
          </cell>
          <cell r="L302">
            <v>2</v>
          </cell>
          <cell r="M302">
            <v>8.0000000000000016E-2</v>
          </cell>
          <cell r="N302">
            <v>25</v>
          </cell>
          <cell r="O302">
            <v>2</v>
          </cell>
          <cell r="P302">
            <v>8.0000000000000016E-2</v>
          </cell>
        </row>
        <row r="303">
          <cell r="B303" t="str">
            <v>Direct Care</v>
          </cell>
          <cell r="D303">
            <v>41600</v>
          </cell>
          <cell r="E303">
            <v>2.5</v>
          </cell>
          <cell r="F303">
            <v>7</v>
          </cell>
          <cell r="G303">
            <v>7</v>
          </cell>
          <cell r="H303">
            <v>2.5</v>
          </cell>
          <cell r="I303">
            <v>7</v>
          </cell>
          <cell r="J303">
            <v>7.3</v>
          </cell>
          <cell r="K303">
            <v>2.5</v>
          </cell>
          <cell r="L303">
            <v>2</v>
          </cell>
          <cell r="M303">
            <v>2.63</v>
          </cell>
          <cell r="N303">
            <v>2</v>
          </cell>
          <cell r="O303">
            <v>2</v>
          </cell>
          <cell r="P303">
            <v>3.69</v>
          </cell>
        </row>
        <row r="311">
          <cell r="B311" t="str">
            <v>Total Occupancy</v>
          </cell>
          <cell r="C311">
            <v>6221.9259542286536</v>
          </cell>
        </row>
        <row r="312">
          <cell r="B312" t="str">
            <v>Other Expense</v>
          </cell>
          <cell r="C312">
            <v>3151.0944966340862</v>
          </cell>
        </row>
        <row r="318">
          <cell r="B318" t="str">
            <v>Taxes &amp; Fringe</v>
          </cell>
          <cell r="C318">
            <v>0.27379999999999999</v>
          </cell>
        </row>
        <row r="319">
          <cell r="B319" t="str">
            <v>CAF Rate</v>
          </cell>
          <cell r="C319">
            <v>2.7100379121522307E-2</v>
          </cell>
        </row>
        <row r="320">
          <cell r="B320" t="str">
            <v>Admin. Allocation</v>
          </cell>
          <cell r="C320">
            <v>0.12</v>
          </cell>
        </row>
        <row r="322">
          <cell r="C322">
            <v>0.9</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pring 2019 CAF"/>
      <sheetName val="Master Lookup"/>
      <sheetName val="BLS Chart"/>
      <sheetName val="2020 BLS"/>
      <sheetName val="BLS"/>
      <sheetName val="Master Look Up"/>
      <sheetName val="DCFClinicalComp"/>
      <sheetName val="Ed Coordination"/>
      <sheetName val="Specialty Family Skills Group"/>
      <sheetName val="Family Skills Dev Group"/>
      <sheetName val="Parent Skill Dev Group"/>
      <sheetName val="Unbundled IFC Support"/>
      <sheetName val="FY20 Spend"/>
      <sheetName val="HOURLY &amp; AFTER SCHOOL"/>
      <sheetName val="Adolescent Supprt Network model"/>
      <sheetName val="Add on Rates "/>
      <sheetName val="RATES &amp; FI"/>
      <sheetName val="Spring 2021 CAF"/>
      <sheetName val="Fall 2018"/>
      <sheetName val="Sheet3"/>
    </sheetNames>
    <sheetDataSet>
      <sheetData sheetId="0"/>
      <sheetData sheetId="1">
        <row r="18">
          <cell r="D18">
            <v>36865.745036892295</v>
          </cell>
        </row>
        <row r="19">
          <cell r="D19">
            <v>44685.751559869437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9">
          <cell r="BQ39">
            <v>2.5376928471248276E-2</v>
          </cell>
        </row>
      </sheetData>
      <sheetData sheetId="1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F"/>
      <sheetName val="Profit &amp; Loss"/>
      <sheetName val="Below the line"/>
      <sheetName val="FTEs by category"/>
      <sheetName val="Clean Data"/>
      <sheetName val="Raw Data Calcs"/>
      <sheetName val="Pivot"/>
      <sheetName val="PivotData"/>
      <sheetName val="ADD TO PIVOT DATA"/>
      <sheetName val="HOW TO"/>
    </sheetNames>
    <sheetDataSet>
      <sheetData sheetId="0"/>
      <sheetData sheetId="1"/>
      <sheetData sheetId="2">
        <row r="5">
          <cell r="E5">
            <v>6392.9174203826224</v>
          </cell>
          <cell r="K5">
            <v>2346.7561195270855</v>
          </cell>
          <cell r="O5">
            <v>364.52871302241937</v>
          </cell>
          <cell r="Q5">
            <v>1059.8793475070393</v>
          </cell>
          <cell r="S5">
            <v>699.30302909370471</v>
          </cell>
          <cell r="U5">
            <v>433.93009090630835</v>
          </cell>
          <cell r="W5">
            <v>441.29262566368533</v>
          </cell>
          <cell r="Y5">
            <v>772.79217727650666</v>
          </cell>
          <cell r="AA5">
            <v>140.73071718538566</v>
          </cell>
          <cell r="AC5">
            <v>2281.1717646047468</v>
          </cell>
          <cell r="AE5">
            <v>1766.2389753369646</v>
          </cell>
          <cell r="AG5">
            <v>12760.728785357736</v>
          </cell>
          <cell r="AI5" t="str">
            <v>-</v>
          </cell>
          <cell r="AK5">
            <v>2947.5899663350119</v>
          </cell>
          <cell r="AO5">
            <v>2576.5311706910366</v>
          </cell>
          <cell r="AQ5">
            <v>10098.858133512553</v>
          </cell>
        </row>
      </sheetData>
      <sheetData sheetId="3"/>
      <sheetData sheetId="4">
        <row r="3">
          <cell r="BN3">
            <v>0.18506921909099713</v>
          </cell>
          <cell r="CX3">
            <v>0.14430382183710908</v>
          </cell>
        </row>
        <row r="4">
          <cell r="BN4">
            <v>0.19665509947805848</v>
          </cell>
          <cell r="CX4">
            <v>0.13610318728808196</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F"/>
      <sheetName val="Profit &amp; Loss"/>
      <sheetName val="Below the line"/>
      <sheetName val="FTEs by category"/>
      <sheetName val="Clean Data"/>
      <sheetName val="Raw Data Calcs"/>
      <sheetName val="PIVOT"/>
      <sheetName val="PIVOTDATA"/>
      <sheetName val="ADD TO PIVOT DATA"/>
      <sheetName val="HOW TO"/>
      <sheetName val="Sheet3"/>
    </sheetNames>
    <sheetDataSet>
      <sheetData sheetId="0" refreshError="1"/>
      <sheetData sheetId="1" refreshError="1"/>
      <sheetData sheetId="2">
        <row r="5">
          <cell r="E5">
            <v>6221.9259542286536</v>
          </cell>
        </row>
      </sheetData>
      <sheetData sheetId="3" refreshError="1"/>
      <sheetData sheetId="4">
        <row r="3">
          <cell r="BN3">
            <v>0.19760532777955617</v>
          </cell>
          <cell r="CX3">
            <v>0.14146982114996537</v>
          </cell>
        </row>
        <row r="4">
          <cell r="BN4">
            <v>0.20761444165416432</v>
          </cell>
          <cell r="CX4">
            <v>0.12515967887956961</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hart"/>
      <sheetName val="DCF RATES &amp; FI"/>
      <sheetName val="DDS Fiscal Impact"/>
      <sheetName val="ALL FI"/>
      <sheetName val="M2022 BLS SALARY CHART (53_PCT)"/>
      <sheetName val="Master Look Up FY24"/>
      <sheetName val="CAF Spring 2023"/>
      <sheetName val="Fiscal Impact DDS"/>
      <sheetName val="FY23Util by Month &amp; Attend Code"/>
      <sheetName val="FY23 Encumb Detail"/>
      <sheetName val="Salary lookup"/>
      <sheetName val="Rates"/>
      <sheetName val="Non-Salary Expense"/>
      <sheetName val="Master Lookup"/>
      <sheetName val="AdultCompanion FY24"/>
      <sheetName val="AdultCompanion"/>
      <sheetName val="Aut-FamSupCtrs Final FY24"/>
      <sheetName val="Aut-FamSupCtrs Final"/>
      <sheetName val="Master Look Up"/>
      <sheetName val="AWC Admin-Family Nav FY24"/>
      <sheetName val="AWC Admin - Family Nav"/>
      <sheetName val="BehavioralSupport FY24"/>
      <sheetName val="BehavioralSupport"/>
      <sheetName val="Family Training FY24"/>
      <sheetName val="Family Training "/>
      <sheetName val="Fin. Assistance Admin FY24"/>
      <sheetName val="IFFS FY24"/>
      <sheetName val="Med Complex FY24"/>
      <sheetName val="Peer Suppt FY24"/>
      <sheetName val="Peer Suppt"/>
      <sheetName val="Respite Recipient Home "/>
      <sheetName val="Respite Recipient Home FY24"/>
      <sheetName val="Fin. Assistance Admin"/>
      <sheetName val="MCB FAMS"/>
      <sheetName val="Med Complex "/>
      <sheetName val="Respite Caregiver Home FY24"/>
      <sheetName val="Respite Caregiver Home"/>
      <sheetName val="Site Based Respite"/>
      <sheetName val="IFFS"/>
      <sheetName val="Site Based Respite FY24"/>
      <sheetName val="MCB FAMS FY24"/>
      <sheetName val="DCFClinicalComp FY24"/>
      <sheetName val="DCFClinicalComp"/>
      <sheetName val="Ed Coordination FY24"/>
      <sheetName val="Ed Coordination"/>
      <sheetName val="Specialty Fam Skills Grp FY24"/>
      <sheetName val="Specialty Family Skills Group"/>
      <sheetName val="Family Skills Dev Group FY24"/>
      <sheetName val="Family Skills Dev Group"/>
      <sheetName val="Parent Skill Dev Group FY24"/>
      <sheetName val="Parent Skill Dev Group"/>
      <sheetName val="Unbundled IFC Support FY24"/>
      <sheetName val="Unbundled IFC Support"/>
      <sheetName val="HOURLY &amp; AFTER SCHOOL FY24"/>
      <sheetName val="HOURLY &amp; AFTER SCHOOL"/>
      <sheetName val="Adolescent Supprt Network FY24"/>
      <sheetName val="Adolescent Supprt Network model"/>
      <sheetName val="Add on Rates FY24"/>
      <sheetName val="Add on Rates "/>
      <sheetName val="Spring 2021 CAF"/>
    </sheetNames>
    <sheetDataSet>
      <sheetData sheetId="0"/>
      <sheetData sheetId="1"/>
      <sheetData sheetId="2"/>
      <sheetData sheetId="3"/>
      <sheetData sheetId="4"/>
      <sheetData sheetId="5"/>
      <sheetData sheetId="6">
        <row r="26">
          <cell r="CI26">
            <v>2.7100379121522307E-2</v>
          </cell>
        </row>
      </sheetData>
      <sheetData sheetId="7"/>
      <sheetData sheetId="8"/>
      <sheetData sheetId="9"/>
      <sheetData sheetId="10">
        <row r="5">
          <cell r="G5">
            <v>0.19104335397808503</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Util by Contract &amp; Month"/>
      <sheetName val="Util by Claimability, Contr, Mo"/>
      <sheetName val="Util by Month &amp; Attend Code"/>
      <sheetName val="Tech Stuff"/>
    </sheetNames>
    <sheetDataSet>
      <sheetData sheetId="0" refreshError="1"/>
      <sheetData sheetId="1" refreshError="1"/>
      <sheetData sheetId="2" refreshError="1"/>
      <sheetData sheetId="3"/>
      <sheetData sheetId="4">
        <row r="4">
          <cell r="E4"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cell r="M16">
            <v>1.2139698974996782E-2</v>
          </cell>
          <cell r="N16">
            <v>0</v>
          </cell>
          <cell r="O16">
            <v>0</v>
          </cell>
          <cell r="P16">
            <v>0</v>
          </cell>
          <cell r="Q16">
            <v>0</v>
          </cell>
          <cell r="R16">
            <v>0</v>
          </cell>
          <cell r="S16">
            <v>0</v>
          </cell>
          <cell r="T16">
            <v>0</v>
          </cell>
          <cell r="U16">
            <v>0</v>
          </cell>
          <cell r="V16">
            <v>0</v>
          </cell>
          <cell r="W16">
            <v>0</v>
          </cell>
          <cell r="X16">
            <v>0</v>
          </cell>
          <cell r="Y16">
            <v>0</v>
          </cell>
          <cell r="Z16">
            <v>17680</v>
          </cell>
          <cell r="AA16">
            <v>0</v>
          </cell>
          <cell r="AB16">
            <v>105576.11844574883</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17680</v>
          </cell>
          <cell r="BE16">
            <v>0</v>
          </cell>
          <cell r="BF16">
            <v>0</v>
          </cell>
          <cell r="BG16">
            <v>0</v>
          </cell>
          <cell r="BH16">
            <v>17680</v>
          </cell>
          <cell r="BI16">
            <v>0</v>
          </cell>
          <cell r="BJ16">
            <v>0</v>
          </cell>
          <cell r="BK16">
            <v>0</v>
          </cell>
          <cell r="BL16">
            <v>17680</v>
          </cell>
          <cell r="BM16">
            <v>0</v>
          </cell>
          <cell r="BN16">
            <v>17680</v>
          </cell>
          <cell r="BO16">
            <v>0</v>
          </cell>
          <cell r="BP16">
            <v>0</v>
          </cell>
          <cell r="BQ16">
            <v>0</v>
          </cell>
          <cell r="BR16">
            <v>17680</v>
          </cell>
          <cell r="BS16">
            <v>17680</v>
          </cell>
          <cell r="BT16">
            <v>-39873.996502157926</v>
          </cell>
          <cell r="BU16">
            <v>6.2242076161676985E-2</v>
          </cell>
          <cell r="BV16">
            <v>-11.437455797342871</v>
          </cell>
          <cell r="BW16">
            <v>-39859.701549495061</v>
          </cell>
          <cell r="BX16">
            <v>0</v>
          </cell>
          <cell r="BY16">
            <v>-321.11111111111109</v>
          </cell>
          <cell r="BZ16">
            <v>-41042.440256691923</v>
          </cell>
          <cell r="CA16">
            <v>-251770.26943483832</v>
          </cell>
          <cell r="CB16">
            <v>8.8729109375923237E-2</v>
          </cell>
          <cell r="CC16">
            <v>-23544.303378043831</v>
          </cell>
          <cell r="CD16">
            <v>0</v>
          </cell>
          <cell r="CE16">
            <v>0</v>
          </cell>
          <cell r="CF16">
            <v>0</v>
          </cell>
          <cell r="CG16">
            <v>-159694.9032558178</v>
          </cell>
          <cell r="CH16">
            <v>-4130.6725103641575</v>
          </cell>
          <cell r="CI16">
            <v>-186781.66945053823</v>
          </cell>
          <cell r="CJ16">
            <v>-39859.701549495061</v>
          </cell>
          <cell r="CK16">
            <v>-25547.777777777781</v>
          </cell>
          <cell r="CL16">
            <v>-321.11111111111109</v>
          </cell>
          <cell r="CM16">
            <v>-6940</v>
          </cell>
          <cell r="CN16">
            <v>-41042.440256691923</v>
          </cell>
          <cell r="CO16">
            <v>-292811.73882543447</v>
          </cell>
          <cell r="CP16">
            <v>0.61656919283408007</v>
          </cell>
          <cell r="CQ16">
            <v>5.1803668216236075E-2</v>
          </cell>
          <cell r="CR16">
            <v>0</v>
          </cell>
          <cell r="CS16">
            <v>0</v>
          </cell>
          <cell r="CT16">
            <v>0</v>
          </cell>
          <cell r="CU16">
            <v>8.2503417604680995E-2</v>
          </cell>
          <cell r="CV16">
            <v>-136.37044168758831</v>
          </cell>
          <cell r="CW16">
            <v>-7.9673250520136634</v>
          </cell>
          <cell r="CX16">
            <v>-3.9756890410485179</v>
          </cell>
          <cell r="CY16">
            <v>-4.9970605526161088E-2</v>
          </cell>
          <cell r="CZ16">
            <v>-1.0799875505757857</v>
          </cell>
          <cell r="DA16">
            <v>-17.30948263843479</v>
          </cell>
          <cell r="DB16">
            <v>-163.89396590439674</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persons/person.xml><?xml version="1.0" encoding="utf-8"?>
<personList xmlns="http://schemas.microsoft.com/office/spreadsheetml/2018/threadedcomments" xmlns:x="http://schemas.openxmlformats.org/spreadsheetml/2006/main">
  <person displayName="Farrell, Conor (EHS)" id="{6917BC34-56CE-4D8F-9442-7F49235DF00C}" userId="S::conor.farrell@mass.gov::8a489186-76d8-4ef1-99e1-19ca1523f91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7" dT="2025-04-03T16:02:56.53" personId="{6917BC34-56CE-4D8F-9442-7F49235DF00C}" id="{B49250C1-9257-40E2-A7D6-4EB228112103}">
    <text>$46.22 May 2024 @ 53rd</text>
  </threadedComment>
  <threadedComment ref="C29" dT="2025-04-03T16:03:13.97" personId="{6917BC34-56CE-4D8F-9442-7F49235DF00C}" id="{F64B0D3C-B301-43B5-B471-978524DC41AE}">
    <text>$40.83 May 2024 @ 53rd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10355-075B-48B7-8075-7FBB2D163E44}">
  <sheetPr>
    <pageSetUpPr fitToPage="1"/>
  </sheetPr>
  <dimension ref="B1:L60"/>
  <sheetViews>
    <sheetView showGridLines="0" zoomScale="50" zoomScaleNormal="50" workbookViewId="0">
      <selection activeCell="E49" sqref="E49"/>
    </sheetView>
  </sheetViews>
  <sheetFormatPr defaultRowHeight="26.25" x14ac:dyDescent="0.4"/>
  <cols>
    <col min="1" max="1" width="5.5703125" style="1" customWidth="1"/>
    <col min="2" max="2" width="78.7109375" style="1" customWidth="1"/>
    <col min="3" max="3" width="25.85546875" style="1" customWidth="1"/>
    <col min="4" max="4" width="71.5703125" style="1" customWidth="1"/>
    <col min="5" max="5" width="69.140625" style="2" customWidth="1"/>
    <col min="6" max="6" width="46.140625" style="2" customWidth="1"/>
    <col min="7" max="7" width="9.140625" style="1"/>
    <col min="8" max="8" width="20.28515625" style="1" customWidth="1"/>
    <col min="9" max="9" width="16.28515625" style="1" customWidth="1"/>
    <col min="10" max="10" width="27.5703125" style="1" bestFit="1" customWidth="1"/>
    <col min="11" max="11" width="11.28515625" style="1" bestFit="1" customWidth="1"/>
    <col min="12" max="230" width="9.140625" style="1"/>
    <col min="231" max="231" width="5.5703125" style="1" customWidth="1"/>
    <col min="232" max="232" width="58" style="1" customWidth="1"/>
    <col min="233" max="233" width="24.140625" style="1" customWidth="1"/>
    <col min="234" max="235" width="0" style="1" hidden="1" customWidth="1"/>
    <col min="236" max="236" width="61.42578125" style="1" customWidth="1"/>
    <col min="237" max="237" width="62.140625" style="1" customWidth="1"/>
    <col min="238" max="241" width="0" style="1" hidden="1" customWidth="1"/>
    <col min="242" max="486" width="9.140625" style="1"/>
    <col min="487" max="487" width="5.5703125" style="1" customWidth="1"/>
    <col min="488" max="488" width="58" style="1" customWidth="1"/>
    <col min="489" max="489" width="24.140625" style="1" customWidth="1"/>
    <col min="490" max="491" width="0" style="1" hidden="1" customWidth="1"/>
    <col min="492" max="492" width="61.42578125" style="1" customWidth="1"/>
    <col min="493" max="493" width="62.140625" style="1" customWidth="1"/>
    <col min="494" max="497" width="0" style="1" hidden="1" customWidth="1"/>
    <col min="498" max="742" width="9.140625" style="1"/>
    <col min="743" max="743" width="5.5703125" style="1" customWidth="1"/>
    <col min="744" max="744" width="58" style="1" customWidth="1"/>
    <col min="745" max="745" width="24.140625" style="1" customWidth="1"/>
    <col min="746" max="747" width="0" style="1" hidden="1" customWidth="1"/>
    <col min="748" max="748" width="61.42578125" style="1" customWidth="1"/>
    <col min="749" max="749" width="62.140625" style="1" customWidth="1"/>
    <col min="750" max="753" width="0" style="1" hidden="1" customWidth="1"/>
    <col min="754" max="998" width="9.140625" style="1"/>
    <col min="999" max="999" width="5.5703125" style="1" customWidth="1"/>
    <col min="1000" max="1000" width="58" style="1" customWidth="1"/>
    <col min="1001" max="1001" width="24.140625" style="1" customWidth="1"/>
    <col min="1002" max="1003" width="0" style="1" hidden="1" customWidth="1"/>
    <col min="1004" max="1004" width="61.42578125" style="1" customWidth="1"/>
    <col min="1005" max="1005" width="62.140625" style="1" customWidth="1"/>
    <col min="1006" max="1009" width="0" style="1" hidden="1" customWidth="1"/>
    <col min="1010" max="1254" width="9.140625" style="1"/>
    <col min="1255" max="1255" width="5.5703125" style="1" customWidth="1"/>
    <col min="1256" max="1256" width="58" style="1" customWidth="1"/>
    <col min="1257" max="1257" width="24.140625" style="1" customWidth="1"/>
    <col min="1258" max="1259" width="0" style="1" hidden="1" customWidth="1"/>
    <col min="1260" max="1260" width="61.42578125" style="1" customWidth="1"/>
    <col min="1261" max="1261" width="62.140625" style="1" customWidth="1"/>
    <col min="1262" max="1265" width="0" style="1" hidden="1" customWidth="1"/>
    <col min="1266" max="1510" width="9.140625" style="1"/>
    <col min="1511" max="1511" width="5.5703125" style="1" customWidth="1"/>
    <col min="1512" max="1512" width="58" style="1" customWidth="1"/>
    <col min="1513" max="1513" width="24.140625" style="1" customWidth="1"/>
    <col min="1514" max="1515" width="0" style="1" hidden="1" customWidth="1"/>
    <col min="1516" max="1516" width="61.42578125" style="1" customWidth="1"/>
    <col min="1517" max="1517" width="62.140625" style="1" customWidth="1"/>
    <col min="1518" max="1521" width="0" style="1" hidden="1" customWidth="1"/>
    <col min="1522" max="1766" width="9.140625" style="1"/>
    <col min="1767" max="1767" width="5.5703125" style="1" customWidth="1"/>
    <col min="1768" max="1768" width="58" style="1" customWidth="1"/>
    <col min="1769" max="1769" width="24.140625" style="1" customWidth="1"/>
    <col min="1770" max="1771" width="0" style="1" hidden="1" customWidth="1"/>
    <col min="1772" max="1772" width="61.42578125" style="1" customWidth="1"/>
    <col min="1773" max="1773" width="62.140625" style="1" customWidth="1"/>
    <col min="1774" max="1777" width="0" style="1" hidden="1" customWidth="1"/>
    <col min="1778" max="2022" width="9.140625" style="1"/>
    <col min="2023" max="2023" width="5.5703125" style="1" customWidth="1"/>
    <col min="2024" max="2024" width="58" style="1" customWidth="1"/>
    <col min="2025" max="2025" width="24.140625" style="1" customWidth="1"/>
    <col min="2026" max="2027" width="0" style="1" hidden="1" customWidth="1"/>
    <col min="2028" max="2028" width="61.42578125" style="1" customWidth="1"/>
    <col min="2029" max="2029" width="62.140625" style="1" customWidth="1"/>
    <col min="2030" max="2033" width="0" style="1" hidden="1" customWidth="1"/>
    <col min="2034" max="2278" width="9.140625" style="1"/>
    <col min="2279" max="2279" width="5.5703125" style="1" customWidth="1"/>
    <col min="2280" max="2280" width="58" style="1" customWidth="1"/>
    <col min="2281" max="2281" width="24.140625" style="1" customWidth="1"/>
    <col min="2282" max="2283" width="0" style="1" hidden="1" customWidth="1"/>
    <col min="2284" max="2284" width="61.42578125" style="1" customWidth="1"/>
    <col min="2285" max="2285" width="62.140625" style="1" customWidth="1"/>
    <col min="2286" max="2289" width="0" style="1" hidden="1" customWidth="1"/>
    <col min="2290" max="2534" width="9.140625" style="1"/>
    <col min="2535" max="2535" width="5.5703125" style="1" customWidth="1"/>
    <col min="2536" max="2536" width="58" style="1" customWidth="1"/>
    <col min="2537" max="2537" width="24.140625" style="1" customWidth="1"/>
    <col min="2538" max="2539" width="0" style="1" hidden="1" customWidth="1"/>
    <col min="2540" max="2540" width="61.42578125" style="1" customWidth="1"/>
    <col min="2541" max="2541" width="62.140625" style="1" customWidth="1"/>
    <col min="2542" max="2545" width="0" style="1" hidden="1" customWidth="1"/>
    <col min="2546" max="2790" width="9.140625" style="1"/>
    <col min="2791" max="2791" width="5.5703125" style="1" customWidth="1"/>
    <col min="2792" max="2792" width="58" style="1" customWidth="1"/>
    <col min="2793" max="2793" width="24.140625" style="1" customWidth="1"/>
    <col min="2794" max="2795" width="0" style="1" hidden="1" customWidth="1"/>
    <col min="2796" max="2796" width="61.42578125" style="1" customWidth="1"/>
    <col min="2797" max="2797" width="62.140625" style="1" customWidth="1"/>
    <col min="2798" max="2801" width="0" style="1" hidden="1" customWidth="1"/>
    <col min="2802" max="3046" width="9.140625" style="1"/>
    <col min="3047" max="3047" width="5.5703125" style="1" customWidth="1"/>
    <col min="3048" max="3048" width="58" style="1" customWidth="1"/>
    <col min="3049" max="3049" width="24.140625" style="1" customWidth="1"/>
    <col min="3050" max="3051" width="0" style="1" hidden="1" customWidth="1"/>
    <col min="3052" max="3052" width="61.42578125" style="1" customWidth="1"/>
    <col min="3053" max="3053" width="62.140625" style="1" customWidth="1"/>
    <col min="3054" max="3057" width="0" style="1" hidden="1" customWidth="1"/>
    <col min="3058" max="3302" width="9.140625" style="1"/>
    <col min="3303" max="3303" width="5.5703125" style="1" customWidth="1"/>
    <col min="3304" max="3304" width="58" style="1" customWidth="1"/>
    <col min="3305" max="3305" width="24.140625" style="1" customWidth="1"/>
    <col min="3306" max="3307" width="0" style="1" hidden="1" customWidth="1"/>
    <col min="3308" max="3308" width="61.42578125" style="1" customWidth="1"/>
    <col min="3309" max="3309" width="62.140625" style="1" customWidth="1"/>
    <col min="3310" max="3313" width="0" style="1" hidden="1" customWidth="1"/>
    <col min="3314" max="3558" width="9.140625" style="1"/>
    <col min="3559" max="3559" width="5.5703125" style="1" customWidth="1"/>
    <col min="3560" max="3560" width="58" style="1" customWidth="1"/>
    <col min="3561" max="3561" width="24.140625" style="1" customWidth="1"/>
    <col min="3562" max="3563" width="0" style="1" hidden="1" customWidth="1"/>
    <col min="3564" max="3564" width="61.42578125" style="1" customWidth="1"/>
    <col min="3565" max="3565" width="62.140625" style="1" customWidth="1"/>
    <col min="3566" max="3569" width="0" style="1" hidden="1" customWidth="1"/>
    <col min="3570" max="3814" width="9.140625" style="1"/>
    <col min="3815" max="3815" width="5.5703125" style="1" customWidth="1"/>
    <col min="3816" max="3816" width="58" style="1" customWidth="1"/>
    <col min="3817" max="3817" width="24.140625" style="1" customWidth="1"/>
    <col min="3818" max="3819" width="0" style="1" hidden="1" customWidth="1"/>
    <col min="3820" max="3820" width="61.42578125" style="1" customWidth="1"/>
    <col min="3821" max="3821" width="62.140625" style="1" customWidth="1"/>
    <col min="3822" max="3825" width="0" style="1" hidden="1" customWidth="1"/>
    <col min="3826" max="4070" width="9.140625" style="1"/>
    <col min="4071" max="4071" width="5.5703125" style="1" customWidth="1"/>
    <col min="4072" max="4072" width="58" style="1" customWidth="1"/>
    <col min="4073" max="4073" width="24.140625" style="1" customWidth="1"/>
    <col min="4074" max="4075" width="0" style="1" hidden="1" customWidth="1"/>
    <col min="4076" max="4076" width="61.42578125" style="1" customWidth="1"/>
    <col min="4077" max="4077" width="62.140625" style="1" customWidth="1"/>
    <col min="4078" max="4081" width="0" style="1" hidden="1" customWidth="1"/>
    <col min="4082" max="4326" width="9.140625" style="1"/>
    <col min="4327" max="4327" width="5.5703125" style="1" customWidth="1"/>
    <col min="4328" max="4328" width="58" style="1" customWidth="1"/>
    <col min="4329" max="4329" width="24.140625" style="1" customWidth="1"/>
    <col min="4330" max="4331" width="0" style="1" hidden="1" customWidth="1"/>
    <col min="4332" max="4332" width="61.42578125" style="1" customWidth="1"/>
    <col min="4333" max="4333" width="62.140625" style="1" customWidth="1"/>
    <col min="4334" max="4337" width="0" style="1" hidden="1" customWidth="1"/>
    <col min="4338" max="4582" width="9.140625" style="1"/>
    <col min="4583" max="4583" width="5.5703125" style="1" customWidth="1"/>
    <col min="4584" max="4584" width="58" style="1" customWidth="1"/>
    <col min="4585" max="4585" width="24.140625" style="1" customWidth="1"/>
    <col min="4586" max="4587" width="0" style="1" hidden="1" customWidth="1"/>
    <col min="4588" max="4588" width="61.42578125" style="1" customWidth="1"/>
    <col min="4589" max="4589" width="62.140625" style="1" customWidth="1"/>
    <col min="4590" max="4593" width="0" style="1" hidden="1" customWidth="1"/>
    <col min="4594" max="4838" width="9.140625" style="1"/>
    <col min="4839" max="4839" width="5.5703125" style="1" customWidth="1"/>
    <col min="4840" max="4840" width="58" style="1" customWidth="1"/>
    <col min="4841" max="4841" width="24.140625" style="1" customWidth="1"/>
    <col min="4842" max="4843" width="0" style="1" hidden="1" customWidth="1"/>
    <col min="4844" max="4844" width="61.42578125" style="1" customWidth="1"/>
    <col min="4845" max="4845" width="62.140625" style="1" customWidth="1"/>
    <col min="4846" max="4849" width="0" style="1" hidden="1" customWidth="1"/>
    <col min="4850" max="5094" width="9.140625" style="1"/>
    <col min="5095" max="5095" width="5.5703125" style="1" customWidth="1"/>
    <col min="5096" max="5096" width="58" style="1" customWidth="1"/>
    <col min="5097" max="5097" width="24.140625" style="1" customWidth="1"/>
    <col min="5098" max="5099" width="0" style="1" hidden="1" customWidth="1"/>
    <col min="5100" max="5100" width="61.42578125" style="1" customWidth="1"/>
    <col min="5101" max="5101" width="62.140625" style="1" customWidth="1"/>
    <col min="5102" max="5105" width="0" style="1" hidden="1" customWidth="1"/>
    <col min="5106" max="5350" width="9.140625" style="1"/>
    <col min="5351" max="5351" width="5.5703125" style="1" customWidth="1"/>
    <col min="5352" max="5352" width="58" style="1" customWidth="1"/>
    <col min="5353" max="5353" width="24.140625" style="1" customWidth="1"/>
    <col min="5354" max="5355" width="0" style="1" hidden="1" customWidth="1"/>
    <col min="5356" max="5356" width="61.42578125" style="1" customWidth="1"/>
    <col min="5357" max="5357" width="62.140625" style="1" customWidth="1"/>
    <col min="5358" max="5361" width="0" style="1" hidden="1" customWidth="1"/>
    <col min="5362" max="5606" width="9.140625" style="1"/>
    <col min="5607" max="5607" width="5.5703125" style="1" customWidth="1"/>
    <col min="5608" max="5608" width="58" style="1" customWidth="1"/>
    <col min="5609" max="5609" width="24.140625" style="1" customWidth="1"/>
    <col min="5610" max="5611" width="0" style="1" hidden="1" customWidth="1"/>
    <col min="5612" max="5612" width="61.42578125" style="1" customWidth="1"/>
    <col min="5613" max="5613" width="62.140625" style="1" customWidth="1"/>
    <col min="5614" max="5617" width="0" style="1" hidden="1" customWidth="1"/>
    <col min="5618" max="5862" width="9.140625" style="1"/>
    <col min="5863" max="5863" width="5.5703125" style="1" customWidth="1"/>
    <col min="5864" max="5864" width="58" style="1" customWidth="1"/>
    <col min="5865" max="5865" width="24.140625" style="1" customWidth="1"/>
    <col min="5866" max="5867" width="0" style="1" hidden="1" customWidth="1"/>
    <col min="5868" max="5868" width="61.42578125" style="1" customWidth="1"/>
    <col min="5869" max="5869" width="62.140625" style="1" customWidth="1"/>
    <col min="5870" max="5873" width="0" style="1" hidden="1" customWidth="1"/>
    <col min="5874" max="6118" width="9.140625" style="1"/>
    <col min="6119" max="6119" width="5.5703125" style="1" customWidth="1"/>
    <col min="6120" max="6120" width="58" style="1" customWidth="1"/>
    <col min="6121" max="6121" width="24.140625" style="1" customWidth="1"/>
    <col min="6122" max="6123" width="0" style="1" hidden="1" customWidth="1"/>
    <col min="6124" max="6124" width="61.42578125" style="1" customWidth="1"/>
    <col min="6125" max="6125" width="62.140625" style="1" customWidth="1"/>
    <col min="6126" max="6129" width="0" style="1" hidden="1" customWidth="1"/>
    <col min="6130" max="6374" width="9.140625" style="1"/>
    <col min="6375" max="6375" width="5.5703125" style="1" customWidth="1"/>
    <col min="6376" max="6376" width="58" style="1" customWidth="1"/>
    <col min="6377" max="6377" width="24.140625" style="1" customWidth="1"/>
    <col min="6378" max="6379" width="0" style="1" hidden="1" customWidth="1"/>
    <col min="6380" max="6380" width="61.42578125" style="1" customWidth="1"/>
    <col min="6381" max="6381" width="62.140625" style="1" customWidth="1"/>
    <col min="6382" max="6385" width="0" style="1" hidden="1" customWidth="1"/>
    <col min="6386" max="6630" width="9.140625" style="1"/>
    <col min="6631" max="6631" width="5.5703125" style="1" customWidth="1"/>
    <col min="6632" max="6632" width="58" style="1" customWidth="1"/>
    <col min="6633" max="6633" width="24.140625" style="1" customWidth="1"/>
    <col min="6634" max="6635" width="0" style="1" hidden="1" customWidth="1"/>
    <col min="6636" max="6636" width="61.42578125" style="1" customWidth="1"/>
    <col min="6637" max="6637" width="62.140625" style="1" customWidth="1"/>
    <col min="6638" max="6641" width="0" style="1" hidden="1" customWidth="1"/>
    <col min="6642" max="6886" width="9.140625" style="1"/>
    <col min="6887" max="6887" width="5.5703125" style="1" customWidth="1"/>
    <col min="6888" max="6888" width="58" style="1" customWidth="1"/>
    <col min="6889" max="6889" width="24.140625" style="1" customWidth="1"/>
    <col min="6890" max="6891" width="0" style="1" hidden="1" customWidth="1"/>
    <col min="6892" max="6892" width="61.42578125" style="1" customWidth="1"/>
    <col min="6893" max="6893" width="62.140625" style="1" customWidth="1"/>
    <col min="6894" max="6897" width="0" style="1" hidden="1" customWidth="1"/>
    <col min="6898" max="7142" width="9.140625" style="1"/>
    <col min="7143" max="7143" width="5.5703125" style="1" customWidth="1"/>
    <col min="7144" max="7144" width="58" style="1" customWidth="1"/>
    <col min="7145" max="7145" width="24.140625" style="1" customWidth="1"/>
    <col min="7146" max="7147" width="0" style="1" hidden="1" customWidth="1"/>
    <col min="7148" max="7148" width="61.42578125" style="1" customWidth="1"/>
    <col min="7149" max="7149" width="62.140625" style="1" customWidth="1"/>
    <col min="7150" max="7153" width="0" style="1" hidden="1" customWidth="1"/>
    <col min="7154" max="7398" width="9.140625" style="1"/>
    <col min="7399" max="7399" width="5.5703125" style="1" customWidth="1"/>
    <col min="7400" max="7400" width="58" style="1" customWidth="1"/>
    <col min="7401" max="7401" width="24.140625" style="1" customWidth="1"/>
    <col min="7402" max="7403" width="0" style="1" hidden="1" customWidth="1"/>
    <col min="7404" max="7404" width="61.42578125" style="1" customWidth="1"/>
    <col min="7405" max="7405" width="62.140625" style="1" customWidth="1"/>
    <col min="7406" max="7409" width="0" style="1" hidden="1" customWidth="1"/>
    <col min="7410" max="7654" width="9.140625" style="1"/>
    <col min="7655" max="7655" width="5.5703125" style="1" customWidth="1"/>
    <col min="7656" max="7656" width="58" style="1" customWidth="1"/>
    <col min="7657" max="7657" width="24.140625" style="1" customWidth="1"/>
    <col min="7658" max="7659" width="0" style="1" hidden="1" customWidth="1"/>
    <col min="7660" max="7660" width="61.42578125" style="1" customWidth="1"/>
    <col min="7661" max="7661" width="62.140625" style="1" customWidth="1"/>
    <col min="7662" max="7665" width="0" style="1" hidden="1" customWidth="1"/>
    <col min="7666" max="7910" width="9.140625" style="1"/>
    <col min="7911" max="7911" width="5.5703125" style="1" customWidth="1"/>
    <col min="7912" max="7912" width="58" style="1" customWidth="1"/>
    <col min="7913" max="7913" width="24.140625" style="1" customWidth="1"/>
    <col min="7914" max="7915" width="0" style="1" hidden="1" customWidth="1"/>
    <col min="7916" max="7916" width="61.42578125" style="1" customWidth="1"/>
    <col min="7917" max="7917" width="62.140625" style="1" customWidth="1"/>
    <col min="7918" max="7921" width="0" style="1" hidden="1" customWidth="1"/>
    <col min="7922" max="8166" width="9.140625" style="1"/>
    <col min="8167" max="8167" width="5.5703125" style="1" customWidth="1"/>
    <col min="8168" max="8168" width="58" style="1" customWidth="1"/>
    <col min="8169" max="8169" width="24.140625" style="1" customWidth="1"/>
    <col min="8170" max="8171" width="0" style="1" hidden="1" customWidth="1"/>
    <col min="8172" max="8172" width="61.42578125" style="1" customWidth="1"/>
    <col min="8173" max="8173" width="62.140625" style="1" customWidth="1"/>
    <col min="8174" max="8177" width="0" style="1" hidden="1" customWidth="1"/>
    <col min="8178" max="8422" width="9.140625" style="1"/>
    <col min="8423" max="8423" width="5.5703125" style="1" customWidth="1"/>
    <col min="8424" max="8424" width="58" style="1" customWidth="1"/>
    <col min="8425" max="8425" width="24.140625" style="1" customWidth="1"/>
    <col min="8426" max="8427" width="0" style="1" hidden="1" customWidth="1"/>
    <col min="8428" max="8428" width="61.42578125" style="1" customWidth="1"/>
    <col min="8429" max="8429" width="62.140625" style="1" customWidth="1"/>
    <col min="8430" max="8433" width="0" style="1" hidden="1" customWidth="1"/>
    <col min="8434" max="8678" width="9.140625" style="1"/>
    <col min="8679" max="8679" width="5.5703125" style="1" customWidth="1"/>
    <col min="8680" max="8680" width="58" style="1" customWidth="1"/>
    <col min="8681" max="8681" width="24.140625" style="1" customWidth="1"/>
    <col min="8682" max="8683" width="0" style="1" hidden="1" customWidth="1"/>
    <col min="8684" max="8684" width="61.42578125" style="1" customWidth="1"/>
    <col min="8685" max="8685" width="62.140625" style="1" customWidth="1"/>
    <col min="8686" max="8689" width="0" style="1" hidden="1" customWidth="1"/>
    <col min="8690" max="8934" width="9.140625" style="1"/>
    <col min="8935" max="8935" width="5.5703125" style="1" customWidth="1"/>
    <col min="8936" max="8936" width="58" style="1" customWidth="1"/>
    <col min="8937" max="8937" width="24.140625" style="1" customWidth="1"/>
    <col min="8938" max="8939" width="0" style="1" hidden="1" customWidth="1"/>
    <col min="8940" max="8940" width="61.42578125" style="1" customWidth="1"/>
    <col min="8941" max="8941" width="62.140625" style="1" customWidth="1"/>
    <col min="8942" max="8945" width="0" style="1" hidden="1" customWidth="1"/>
    <col min="8946" max="9190" width="9.140625" style="1"/>
    <col min="9191" max="9191" width="5.5703125" style="1" customWidth="1"/>
    <col min="9192" max="9192" width="58" style="1" customWidth="1"/>
    <col min="9193" max="9193" width="24.140625" style="1" customWidth="1"/>
    <col min="9194" max="9195" width="0" style="1" hidden="1" customWidth="1"/>
    <col min="9196" max="9196" width="61.42578125" style="1" customWidth="1"/>
    <col min="9197" max="9197" width="62.140625" style="1" customWidth="1"/>
    <col min="9198" max="9201" width="0" style="1" hidden="1" customWidth="1"/>
    <col min="9202" max="9446" width="9.140625" style="1"/>
    <col min="9447" max="9447" width="5.5703125" style="1" customWidth="1"/>
    <col min="9448" max="9448" width="58" style="1" customWidth="1"/>
    <col min="9449" max="9449" width="24.140625" style="1" customWidth="1"/>
    <col min="9450" max="9451" width="0" style="1" hidden="1" customWidth="1"/>
    <col min="9452" max="9452" width="61.42578125" style="1" customWidth="1"/>
    <col min="9453" max="9453" width="62.140625" style="1" customWidth="1"/>
    <col min="9454" max="9457" width="0" style="1" hidden="1" customWidth="1"/>
    <col min="9458" max="9702" width="9.140625" style="1"/>
    <col min="9703" max="9703" width="5.5703125" style="1" customWidth="1"/>
    <col min="9704" max="9704" width="58" style="1" customWidth="1"/>
    <col min="9705" max="9705" width="24.140625" style="1" customWidth="1"/>
    <col min="9706" max="9707" width="0" style="1" hidden="1" customWidth="1"/>
    <col min="9708" max="9708" width="61.42578125" style="1" customWidth="1"/>
    <col min="9709" max="9709" width="62.140625" style="1" customWidth="1"/>
    <col min="9710" max="9713" width="0" style="1" hidden="1" customWidth="1"/>
    <col min="9714" max="9958" width="9.140625" style="1"/>
    <col min="9959" max="9959" width="5.5703125" style="1" customWidth="1"/>
    <col min="9960" max="9960" width="58" style="1" customWidth="1"/>
    <col min="9961" max="9961" width="24.140625" style="1" customWidth="1"/>
    <col min="9962" max="9963" width="0" style="1" hidden="1" customWidth="1"/>
    <col min="9964" max="9964" width="61.42578125" style="1" customWidth="1"/>
    <col min="9965" max="9965" width="62.140625" style="1" customWidth="1"/>
    <col min="9966" max="9969" width="0" style="1" hidden="1" customWidth="1"/>
    <col min="9970" max="10214" width="9.140625" style="1"/>
    <col min="10215" max="10215" width="5.5703125" style="1" customWidth="1"/>
    <col min="10216" max="10216" width="58" style="1" customWidth="1"/>
    <col min="10217" max="10217" width="24.140625" style="1" customWidth="1"/>
    <col min="10218" max="10219" width="0" style="1" hidden="1" customWidth="1"/>
    <col min="10220" max="10220" width="61.42578125" style="1" customWidth="1"/>
    <col min="10221" max="10221" width="62.140625" style="1" customWidth="1"/>
    <col min="10222" max="10225" width="0" style="1" hidden="1" customWidth="1"/>
    <col min="10226" max="10470" width="9.140625" style="1"/>
    <col min="10471" max="10471" width="5.5703125" style="1" customWidth="1"/>
    <col min="10472" max="10472" width="58" style="1" customWidth="1"/>
    <col min="10473" max="10473" width="24.140625" style="1" customWidth="1"/>
    <col min="10474" max="10475" width="0" style="1" hidden="1" customWidth="1"/>
    <col min="10476" max="10476" width="61.42578125" style="1" customWidth="1"/>
    <col min="10477" max="10477" width="62.140625" style="1" customWidth="1"/>
    <col min="10478" max="10481" width="0" style="1" hidden="1" customWidth="1"/>
    <col min="10482" max="10726" width="9.140625" style="1"/>
    <col min="10727" max="10727" width="5.5703125" style="1" customWidth="1"/>
    <col min="10728" max="10728" width="58" style="1" customWidth="1"/>
    <col min="10729" max="10729" width="24.140625" style="1" customWidth="1"/>
    <col min="10730" max="10731" width="0" style="1" hidden="1" customWidth="1"/>
    <col min="10732" max="10732" width="61.42578125" style="1" customWidth="1"/>
    <col min="10733" max="10733" width="62.140625" style="1" customWidth="1"/>
    <col min="10734" max="10737" width="0" style="1" hidden="1" customWidth="1"/>
    <col min="10738" max="10982" width="9.140625" style="1"/>
    <col min="10983" max="10983" width="5.5703125" style="1" customWidth="1"/>
    <col min="10984" max="10984" width="58" style="1" customWidth="1"/>
    <col min="10985" max="10985" width="24.140625" style="1" customWidth="1"/>
    <col min="10986" max="10987" width="0" style="1" hidden="1" customWidth="1"/>
    <col min="10988" max="10988" width="61.42578125" style="1" customWidth="1"/>
    <col min="10989" max="10989" width="62.140625" style="1" customWidth="1"/>
    <col min="10990" max="10993" width="0" style="1" hidden="1" customWidth="1"/>
    <col min="10994" max="11238" width="9.140625" style="1"/>
    <col min="11239" max="11239" width="5.5703125" style="1" customWidth="1"/>
    <col min="11240" max="11240" width="58" style="1" customWidth="1"/>
    <col min="11241" max="11241" width="24.140625" style="1" customWidth="1"/>
    <col min="11242" max="11243" width="0" style="1" hidden="1" customWidth="1"/>
    <col min="11244" max="11244" width="61.42578125" style="1" customWidth="1"/>
    <col min="11245" max="11245" width="62.140625" style="1" customWidth="1"/>
    <col min="11246" max="11249" width="0" style="1" hidden="1" customWidth="1"/>
    <col min="11250" max="11494" width="9.140625" style="1"/>
    <col min="11495" max="11495" width="5.5703125" style="1" customWidth="1"/>
    <col min="11496" max="11496" width="58" style="1" customWidth="1"/>
    <col min="11497" max="11497" width="24.140625" style="1" customWidth="1"/>
    <col min="11498" max="11499" width="0" style="1" hidden="1" customWidth="1"/>
    <col min="11500" max="11500" width="61.42578125" style="1" customWidth="1"/>
    <col min="11501" max="11501" width="62.140625" style="1" customWidth="1"/>
    <col min="11502" max="11505" width="0" style="1" hidden="1" customWidth="1"/>
    <col min="11506" max="11750" width="9.140625" style="1"/>
    <col min="11751" max="11751" width="5.5703125" style="1" customWidth="1"/>
    <col min="11752" max="11752" width="58" style="1" customWidth="1"/>
    <col min="11753" max="11753" width="24.140625" style="1" customWidth="1"/>
    <col min="11754" max="11755" width="0" style="1" hidden="1" customWidth="1"/>
    <col min="11756" max="11756" width="61.42578125" style="1" customWidth="1"/>
    <col min="11757" max="11757" width="62.140625" style="1" customWidth="1"/>
    <col min="11758" max="11761" width="0" style="1" hidden="1" customWidth="1"/>
    <col min="11762" max="12006" width="9.140625" style="1"/>
    <col min="12007" max="12007" width="5.5703125" style="1" customWidth="1"/>
    <col min="12008" max="12008" width="58" style="1" customWidth="1"/>
    <col min="12009" max="12009" width="24.140625" style="1" customWidth="1"/>
    <col min="12010" max="12011" width="0" style="1" hidden="1" customWidth="1"/>
    <col min="12012" max="12012" width="61.42578125" style="1" customWidth="1"/>
    <col min="12013" max="12013" width="62.140625" style="1" customWidth="1"/>
    <col min="12014" max="12017" width="0" style="1" hidden="1" customWidth="1"/>
    <col min="12018" max="12262" width="9.140625" style="1"/>
    <col min="12263" max="12263" width="5.5703125" style="1" customWidth="1"/>
    <col min="12264" max="12264" width="58" style="1" customWidth="1"/>
    <col min="12265" max="12265" width="24.140625" style="1" customWidth="1"/>
    <col min="12266" max="12267" width="0" style="1" hidden="1" customWidth="1"/>
    <col min="12268" max="12268" width="61.42578125" style="1" customWidth="1"/>
    <col min="12269" max="12269" width="62.140625" style="1" customWidth="1"/>
    <col min="12270" max="12273" width="0" style="1" hidden="1" customWidth="1"/>
    <col min="12274" max="12518" width="9.140625" style="1"/>
    <col min="12519" max="12519" width="5.5703125" style="1" customWidth="1"/>
    <col min="12520" max="12520" width="58" style="1" customWidth="1"/>
    <col min="12521" max="12521" width="24.140625" style="1" customWidth="1"/>
    <col min="12522" max="12523" width="0" style="1" hidden="1" customWidth="1"/>
    <col min="12524" max="12524" width="61.42578125" style="1" customWidth="1"/>
    <col min="12525" max="12525" width="62.140625" style="1" customWidth="1"/>
    <col min="12526" max="12529" width="0" style="1" hidden="1" customWidth="1"/>
    <col min="12530" max="12774" width="9.140625" style="1"/>
    <col min="12775" max="12775" width="5.5703125" style="1" customWidth="1"/>
    <col min="12776" max="12776" width="58" style="1" customWidth="1"/>
    <col min="12777" max="12777" width="24.140625" style="1" customWidth="1"/>
    <col min="12778" max="12779" width="0" style="1" hidden="1" customWidth="1"/>
    <col min="12780" max="12780" width="61.42578125" style="1" customWidth="1"/>
    <col min="12781" max="12781" width="62.140625" style="1" customWidth="1"/>
    <col min="12782" max="12785" width="0" style="1" hidden="1" customWidth="1"/>
    <col min="12786" max="13030" width="9.140625" style="1"/>
    <col min="13031" max="13031" width="5.5703125" style="1" customWidth="1"/>
    <col min="13032" max="13032" width="58" style="1" customWidth="1"/>
    <col min="13033" max="13033" width="24.140625" style="1" customWidth="1"/>
    <col min="13034" max="13035" width="0" style="1" hidden="1" customWidth="1"/>
    <col min="13036" max="13036" width="61.42578125" style="1" customWidth="1"/>
    <col min="13037" max="13037" width="62.140625" style="1" customWidth="1"/>
    <col min="13038" max="13041" width="0" style="1" hidden="1" customWidth="1"/>
    <col min="13042" max="13286" width="9.140625" style="1"/>
    <col min="13287" max="13287" width="5.5703125" style="1" customWidth="1"/>
    <col min="13288" max="13288" width="58" style="1" customWidth="1"/>
    <col min="13289" max="13289" width="24.140625" style="1" customWidth="1"/>
    <col min="13290" max="13291" width="0" style="1" hidden="1" customWidth="1"/>
    <col min="13292" max="13292" width="61.42578125" style="1" customWidth="1"/>
    <col min="13293" max="13293" width="62.140625" style="1" customWidth="1"/>
    <col min="13294" max="13297" width="0" style="1" hidden="1" customWidth="1"/>
    <col min="13298" max="13542" width="9.140625" style="1"/>
    <col min="13543" max="13543" width="5.5703125" style="1" customWidth="1"/>
    <col min="13544" max="13544" width="58" style="1" customWidth="1"/>
    <col min="13545" max="13545" width="24.140625" style="1" customWidth="1"/>
    <col min="13546" max="13547" width="0" style="1" hidden="1" customWidth="1"/>
    <col min="13548" max="13548" width="61.42578125" style="1" customWidth="1"/>
    <col min="13549" max="13549" width="62.140625" style="1" customWidth="1"/>
    <col min="13550" max="13553" width="0" style="1" hidden="1" customWidth="1"/>
    <col min="13554" max="13798" width="9.140625" style="1"/>
    <col min="13799" max="13799" width="5.5703125" style="1" customWidth="1"/>
    <col min="13800" max="13800" width="58" style="1" customWidth="1"/>
    <col min="13801" max="13801" width="24.140625" style="1" customWidth="1"/>
    <col min="13802" max="13803" width="0" style="1" hidden="1" customWidth="1"/>
    <col min="13804" max="13804" width="61.42578125" style="1" customWidth="1"/>
    <col min="13805" max="13805" width="62.140625" style="1" customWidth="1"/>
    <col min="13806" max="13809" width="0" style="1" hidden="1" customWidth="1"/>
    <col min="13810" max="14054" width="9.140625" style="1"/>
    <col min="14055" max="14055" width="5.5703125" style="1" customWidth="1"/>
    <col min="14056" max="14056" width="58" style="1" customWidth="1"/>
    <col min="14057" max="14057" width="24.140625" style="1" customWidth="1"/>
    <col min="14058" max="14059" width="0" style="1" hidden="1" customWidth="1"/>
    <col min="14060" max="14060" width="61.42578125" style="1" customWidth="1"/>
    <col min="14061" max="14061" width="62.140625" style="1" customWidth="1"/>
    <col min="14062" max="14065" width="0" style="1" hidden="1" customWidth="1"/>
    <col min="14066" max="14310" width="9.140625" style="1"/>
    <col min="14311" max="14311" width="5.5703125" style="1" customWidth="1"/>
    <col min="14312" max="14312" width="58" style="1" customWidth="1"/>
    <col min="14313" max="14313" width="24.140625" style="1" customWidth="1"/>
    <col min="14314" max="14315" width="0" style="1" hidden="1" customWidth="1"/>
    <col min="14316" max="14316" width="61.42578125" style="1" customWidth="1"/>
    <col min="14317" max="14317" width="62.140625" style="1" customWidth="1"/>
    <col min="14318" max="14321" width="0" style="1" hidden="1" customWidth="1"/>
    <col min="14322" max="14566" width="9.140625" style="1"/>
    <col min="14567" max="14567" width="5.5703125" style="1" customWidth="1"/>
    <col min="14568" max="14568" width="58" style="1" customWidth="1"/>
    <col min="14569" max="14569" width="24.140625" style="1" customWidth="1"/>
    <col min="14570" max="14571" width="0" style="1" hidden="1" customWidth="1"/>
    <col min="14572" max="14572" width="61.42578125" style="1" customWidth="1"/>
    <col min="14573" max="14573" width="62.140625" style="1" customWidth="1"/>
    <col min="14574" max="14577" width="0" style="1" hidden="1" customWidth="1"/>
    <col min="14578" max="14822" width="9.140625" style="1"/>
    <col min="14823" max="14823" width="5.5703125" style="1" customWidth="1"/>
    <col min="14824" max="14824" width="58" style="1" customWidth="1"/>
    <col min="14825" max="14825" width="24.140625" style="1" customWidth="1"/>
    <col min="14826" max="14827" width="0" style="1" hidden="1" customWidth="1"/>
    <col min="14828" max="14828" width="61.42578125" style="1" customWidth="1"/>
    <col min="14829" max="14829" width="62.140625" style="1" customWidth="1"/>
    <col min="14830" max="14833" width="0" style="1" hidden="1" customWidth="1"/>
    <col min="14834" max="15078" width="9.140625" style="1"/>
    <col min="15079" max="15079" width="5.5703125" style="1" customWidth="1"/>
    <col min="15080" max="15080" width="58" style="1" customWidth="1"/>
    <col min="15081" max="15081" width="24.140625" style="1" customWidth="1"/>
    <col min="15082" max="15083" width="0" style="1" hidden="1" customWidth="1"/>
    <col min="15084" max="15084" width="61.42578125" style="1" customWidth="1"/>
    <col min="15085" max="15085" width="62.140625" style="1" customWidth="1"/>
    <col min="15086" max="15089" width="0" style="1" hidden="1" customWidth="1"/>
    <col min="15090" max="15334" width="9.140625" style="1"/>
    <col min="15335" max="15335" width="5.5703125" style="1" customWidth="1"/>
    <col min="15336" max="15336" width="58" style="1" customWidth="1"/>
    <col min="15337" max="15337" width="24.140625" style="1" customWidth="1"/>
    <col min="15338" max="15339" width="0" style="1" hidden="1" customWidth="1"/>
    <col min="15340" max="15340" width="61.42578125" style="1" customWidth="1"/>
    <col min="15341" max="15341" width="62.140625" style="1" customWidth="1"/>
    <col min="15342" max="15345" width="0" style="1" hidden="1" customWidth="1"/>
    <col min="15346" max="15590" width="9.140625" style="1"/>
    <col min="15591" max="15591" width="5.5703125" style="1" customWidth="1"/>
    <col min="15592" max="15592" width="58" style="1" customWidth="1"/>
    <col min="15593" max="15593" width="24.140625" style="1" customWidth="1"/>
    <col min="15594" max="15595" width="0" style="1" hidden="1" customWidth="1"/>
    <col min="15596" max="15596" width="61.42578125" style="1" customWidth="1"/>
    <col min="15597" max="15597" width="62.140625" style="1" customWidth="1"/>
    <col min="15598" max="15601" width="0" style="1" hidden="1" customWidth="1"/>
    <col min="15602" max="15846" width="9.140625" style="1"/>
    <col min="15847" max="15847" width="5.5703125" style="1" customWidth="1"/>
    <col min="15848" max="15848" width="58" style="1" customWidth="1"/>
    <col min="15849" max="15849" width="24.140625" style="1" customWidth="1"/>
    <col min="15850" max="15851" width="0" style="1" hidden="1" customWidth="1"/>
    <col min="15852" max="15852" width="61.42578125" style="1" customWidth="1"/>
    <col min="15853" max="15853" width="62.140625" style="1" customWidth="1"/>
    <col min="15854" max="15857" width="0" style="1" hidden="1" customWidth="1"/>
    <col min="15858" max="16102" width="9.140625" style="1"/>
    <col min="16103" max="16103" width="5.5703125" style="1" customWidth="1"/>
    <col min="16104" max="16104" width="58" style="1" customWidth="1"/>
    <col min="16105" max="16105" width="24.140625" style="1" customWidth="1"/>
    <col min="16106" max="16107" width="0" style="1" hidden="1" customWidth="1"/>
    <col min="16108" max="16108" width="61.42578125" style="1" customWidth="1"/>
    <col min="16109" max="16109" width="62.140625" style="1" customWidth="1"/>
    <col min="16110" max="16113" width="0" style="1" hidden="1" customWidth="1"/>
    <col min="16114" max="16357" width="9.140625" style="1"/>
    <col min="16358" max="16384" width="8.85546875" style="1" customWidth="1"/>
  </cols>
  <sheetData>
    <row r="1" spans="2:6" x14ac:dyDescent="0.4">
      <c r="C1" s="57" t="s">
        <v>120</v>
      </c>
    </row>
    <row r="2" spans="2:6" x14ac:dyDescent="0.4">
      <c r="C2" s="56">
        <v>44682</v>
      </c>
    </row>
    <row r="3" spans="2:6" x14ac:dyDescent="0.4">
      <c r="B3" s="55"/>
      <c r="C3" s="54" t="s">
        <v>119</v>
      </c>
    </row>
    <row r="4" spans="2:6" ht="24.95" customHeight="1" thickBot="1" x14ac:dyDescent="0.45">
      <c r="B4" s="52" t="s">
        <v>118</v>
      </c>
      <c r="C4" s="53" t="s">
        <v>117</v>
      </c>
      <c r="D4" s="52" t="s">
        <v>116</v>
      </c>
      <c r="E4" s="51" t="s">
        <v>115</v>
      </c>
      <c r="F4" s="51" t="s">
        <v>114</v>
      </c>
    </row>
    <row r="5" spans="2:6" ht="39.950000000000003" customHeight="1" x14ac:dyDescent="0.4">
      <c r="B5" s="44" t="s">
        <v>113</v>
      </c>
      <c r="C5" s="35">
        <v>20</v>
      </c>
      <c r="D5" s="1617" t="s">
        <v>112</v>
      </c>
      <c r="E5" s="1615" t="s">
        <v>111</v>
      </c>
      <c r="F5" s="1615" t="s">
        <v>110</v>
      </c>
    </row>
    <row r="6" spans="2:6" ht="42.6" customHeight="1" thickBot="1" x14ac:dyDescent="0.45">
      <c r="B6" s="43" t="s">
        <v>109</v>
      </c>
      <c r="C6" s="32">
        <f>C5*2080</f>
        <v>41600</v>
      </c>
      <c r="D6" s="1618"/>
      <c r="E6" s="1616"/>
      <c r="F6" s="1616"/>
    </row>
    <row r="7" spans="2:6" x14ac:dyDescent="0.4">
      <c r="B7" s="36" t="s">
        <v>108</v>
      </c>
      <c r="C7" s="35">
        <f>'[13]DC  CNA  DC III'!I19</f>
        <v>25.580080000000002</v>
      </c>
      <c r="D7" s="34" t="s">
        <v>107</v>
      </c>
      <c r="E7" s="1615" t="s">
        <v>106</v>
      </c>
      <c r="F7" s="1615" t="s">
        <v>105</v>
      </c>
    </row>
    <row r="8" spans="2:6" ht="46.5" customHeight="1" thickBot="1" x14ac:dyDescent="0.45">
      <c r="B8" s="46" t="s">
        <v>104</v>
      </c>
      <c r="C8" s="12">
        <f>C7*2080</f>
        <v>53206.566400000003</v>
      </c>
      <c r="D8" s="2" t="s">
        <v>103</v>
      </c>
      <c r="E8" s="1619"/>
      <c r="F8" s="1619"/>
    </row>
    <row r="9" spans="2:6" ht="26.1" customHeight="1" x14ac:dyDescent="0.4">
      <c r="B9" s="36" t="s">
        <v>102</v>
      </c>
      <c r="C9" s="35">
        <f>'[13]DC  CNA  DC III'!I11</f>
        <v>19.121599999999997</v>
      </c>
      <c r="D9" s="34"/>
      <c r="E9" s="1615" t="s">
        <v>101</v>
      </c>
      <c r="F9" s="1615" t="s">
        <v>100</v>
      </c>
    </row>
    <row r="10" spans="2:6" ht="27" thickBot="1" x14ac:dyDescent="0.45">
      <c r="B10" s="33" t="s">
        <v>99</v>
      </c>
      <c r="C10" s="32">
        <f>'[13]DC  CNA  DC III'!J11</f>
        <v>39772.927999999993</v>
      </c>
      <c r="D10" s="31"/>
      <c r="E10" s="1616"/>
      <c r="F10" s="1616"/>
    </row>
    <row r="11" spans="2:6" x14ac:dyDescent="0.4">
      <c r="B11" s="36" t="s">
        <v>98</v>
      </c>
      <c r="C11" s="35">
        <f>'[13]Case Social Worker.Manager'!J4</f>
        <v>28.180799999999998</v>
      </c>
      <c r="D11" s="34" t="s">
        <v>97</v>
      </c>
      <c r="E11" s="1615" t="s">
        <v>96</v>
      </c>
      <c r="F11" s="1615" t="s">
        <v>95</v>
      </c>
    </row>
    <row r="12" spans="2:6" ht="27" thickBot="1" x14ac:dyDescent="0.45">
      <c r="B12" s="46" t="s">
        <v>94</v>
      </c>
      <c r="C12" s="12">
        <f>C11*2080</f>
        <v>58616.063999999998</v>
      </c>
      <c r="D12" s="1" t="s">
        <v>93</v>
      </c>
      <c r="E12" s="1619"/>
      <c r="F12" s="1619"/>
    </row>
    <row r="13" spans="2:6" ht="52.5" x14ac:dyDescent="0.4">
      <c r="B13" s="50" t="s">
        <v>92</v>
      </c>
      <c r="C13" s="35">
        <f>'[13]Case Social Worker.Manager'!J11</f>
        <v>30.9283</v>
      </c>
      <c r="D13" s="34" t="s">
        <v>91</v>
      </c>
      <c r="E13" s="1615" t="s">
        <v>53</v>
      </c>
      <c r="F13" s="1615" t="s">
        <v>90</v>
      </c>
    </row>
    <row r="14" spans="2:6" ht="53.25" thickBot="1" x14ac:dyDescent="0.45">
      <c r="B14" s="49" t="s">
        <v>89</v>
      </c>
      <c r="C14" s="32">
        <f>C13*2080</f>
        <v>64330.864000000001</v>
      </c>
      <c r="D14" s="31" t="s">
        <v>88</v>
      </c>
      <c r="E14" s="1616"/>
      <c r="F14" s="1616"/>
    </row>
    <row r="15" spans="2:6" x14ac:dyDescent="0.4">
      <c r="B15" s="36" t="s">
        <v>87</v>
      </c>
      <c r="C15" s="35">
        <f>[13]Nursing!J2</f>
        <v>31.575200000000002</v>
      </c>
      <c r="D15" s="34"/>
      <c r="E15" s="1615" t="s">
        <v>86</v>
      </c>
      <c r="F15" s="1615" t="s">
        <v>85</v>
      </c>
    </row>
    <row r="16" spans="2:6" ht="27" thickBot="1" x14ac:dyDescent="0.45">
      <c r="B16" s="33" t="s">
        <v>84</v>
      </c>
      <c r="C16" s="40">
        <f>C15*2080</f>
        <v>65676.416000000012</v>
      </c>
      <c r="D16" s="31" t="s">
        <v>83</v>
      </c>
      <c r="E16" s="1616"/>
      <c r="F16" s="1616"/>
    </row>
    <row r="17" spans="2:12" x14ac:dyDescent="0.4">
      <c r="B17" s="36" t="s">
        <v>82</v>
      </c>
      <c r="C17" s="35">
        <f>[13]Clinical!J6</f>
        <v>38.753100000000003</v>
      </c>
      <c r="D17" s="34" t="s">
        <v>81</v>
      </c>
      <c r="E17" s="1615" t="s">
        <v>80</v>
      </c>
      <c r="F17" s="1615" t="s">
        <v>79</v>
      </c>
    </row>
    <row r="18" spans="2:12" ht="27" thickBot="1" x14ac:dyDescent="0.45">
      <c r="B18" s="33" t="s">
        <v>78</v>
      </c>
      <c r="C18" s="32">
        <f>C17*2080</f>
        <v>80606.448000000004</v>
      </c>
      <c r="D18" s="31"/>
      <c r="E18" s="1616"/>
      <c r="F18" s="1616"/>
    </row>
    <row r="19" spans="2:12" x14ac:dyDescent="0.4">
      <c r="B19" s="36" t="s">
        <v>77</v>
      </c>
      <c r="C19" s="48">
        <f>[13]Therapies!M2</f>
        <v>32.740400000000001</v>
      </c>
      <c r="D19" s="34"/>
      <c r="E19" s="1615" t="s">
        <v>76</v>
      </c>
      <c r="F19" s="1615" t="s">
        <v>75</v>
      </c>
    </row>
    <row r="20" spans="2:12" ht="27" thickBot="1" x14ac:dyDescent="0.45">
      <c r="B20" s="33" t="s">
        <v>74</v>
      </c>
      <c r="C20" s="32">
        <f>C19*2080</f>
        <v>68100.032000000007</v>
      </c>
      <c r="D20" s="31"/>
      <c r="E20" s="1616"/>
      <c r="F20" s="1616"/>
    </row>
    <row r="21" spans="2:12" x14ac:dyDescent="0.4">
      <c r="B21" s="46" t="s">
        <v>73</v>
      </c>
      <c r="C21" s="45">
        <f>[13]Management!J2</f>
        <v>38.180400000000006</v>
      </c>
      <c r="D21" s="1" t="s">
        <v>72</v>
      </c>
      <c r="E21" s="1615" t="s">
        <v>71</v>
      </c>
      <c r="F21" s="1620" t="s">
        <v>70</v>
      </c>
    </row>
    <row r="22" spans="2:12" ht="27" thickBot="1" x14ac:dyDescent="0.45">
      <c r="B22" s="33" t="s">
        <v>69</v>
      </c>
      <c r="C22" s="32">
        <f>C21*2080</f>
        <v>79415.232000000018</v>
      </c>
      <c r="D22" s="31" t="s">
        <v>68</v>
      </c>
      <c r="E22" s="1616"/>
      <c r="F22" s="1621"/>
    </row>
    <row r="23" spans="2:12" ht="39.950000000000003" customHeight="1" x14ac:dyDescent="0.4">
      <c r="B23" s="47" t="s">
        <v>67</v>
      </c>
      <c r="C23" s="45">
        <f>[13]Therapies!M8</f>
        <v>38.017499999999998</v>
      </c>
      <c r="D23" s="1" t="s">
        <v>66</v>
      </c>
      <c r="E23" s="1615" t="s">
        <v>53</v>
      </c>
      <c r="F23" s="1615" t="s">
        <v>65</v>
      </c>
    </row>
    <row r="24" spans="2:12" ht="39.950000000000003" customHeight="1" thickBot="1" x14ac:dyDescent="0.45">
      <c r="B24" s="43" t="s">
        <v>64</v>
      </c>
      <c r="C24" s="32">
        <f>C23*2080</f>
        <v>79076.399999999994</v>
      </c>
      <c r="D24" s="31"/>
      <c r="E24" s="1616"/>
      <c r="F24" s="1616"/>
    </row>
    <row r="25" spans="2:12" x14ac:dyDescent="0.4">
      <c r="B25" s="46" t="s">
        <v>63</v>
      </c>
      <c r="C25" s="45">
        <f>[13]Therapies!M14</f>
        <v>41.25168</v>
      </c>
      <c r="D25" s="1" t="s">
        <v>62</v>
      </c>
      <c r="E25" s="1615" t="s">
        <v>53</v>
      </c>
      <c r="F25" s="1615" t="s">
        <v>61</v>
      </c>
    </row>
    <row r="26" spans="2:12" ht="27" thickBot="1" x14ac:dyDescent="0.45">
      <c r="B26" s="33" t="s">
        <v>60</v>
      </c>
      <c r="C26" s="12">
        <f>C25*2080</f>
        <v>85803.494399999996</v>
      </c>
      <c r="E26" s="1616"/>
      <c r="F26" s="1616"/>
    </row>
    <row r="27" spans="2:12" x14ac:dyDescent="0.4">
      <c r="B27" s="36" t="s">
        <v>59</v>
      </c>
      <c r="C27" s="35">
        <f>[13]Clinical!J12</f>
        <v>48.742200000000004</v>
      </c>
      <c r="D27" s="1622" t="s">
        <v>58</v>
      </c>
      <c r="E27" s="1615" t="s">
        <v>57</v>
      </c>
      <c r="F27" s="1615" t="s">
        <v>56</v>
      </c>
    </row>
    <row r="28" spans="2:12" ht="55.5" customHeight="1" thickBot="1" x14ac:dyDescent="0.45">
      <c r="B28" s="33" t="s">
        <v>55</v>
      </c>
      <c r="C28" s="32">
        <f>C27*2080</f>
        <v>101383.77600000001</v>
      </c>
      <c r="D28" s="1623"/>
      <c r="E28" s="1616"/>
      <c r="F28" s="1616"/>
    </row>
    <row r="29" spans="2:12" x14ac:dyDescent="0.4">
      <c r="B29" s="44" t="s">
        <v>54</v>
      </c>
      <c r="C29" s="35">
        <f>[13]Therapies!M18</f>
        <v>42.756720000000001</v>
      </c>
      <c r="D29" s="34"/>
      <c r="E29" s="1615" t="s">
        <v>53</v>
      </c>
      <c r="F29" s="1615" t="s">
        <v>52</v>
      </c>
    </row>
    <row r="30" spans="2:12" ht="40.5" customHeight="1" thickBot="1" x14ac:dyDescent="0.45">
      <c r="B30" s="43" t="s">
        <v>51</v>
      </c>
      <c r="C30" s="32">
        <f>C29*2080</f>
        <v>88933.977599999998</v>
      </c>
      <c r="D30" s="31"/>
      <c r="E30" s="1616"/>
      <c r="F30" s="1616"/>
    </row>
    <row r="31" spans="2:12" x14ac:dyDescent="0.4">
      <c r="B31" s="36" t="s">
        <v>50</v>
      </c>
      <c r="C31" s="35">
        <f>[13]Nursing!J6</f>
        <v>49.162799999999997</v>
      </c>
      <c r="D31" s="34"/>
      <c r="E31" s="1615" t="s">
        <v>49</v>
      </c>
      <c r="F31" s="1615" t="s">
        <v>48</v>
      </c>
      <c r="I31" s="42" t="s">
        <v>47</v>
      </c>
      <c r="J31" s="1627" t="s">
        <v>46</v>
      </c>
      <c r="K31" s="1627"/>
      <c r="L31" s="41"/>
    </row>
    <row r="32" spans="2:12" ht="66.75" customHeight="1" thickBot="1" x14ac:dyDescent="0.45">
      <c r="B32" s="33" t="s">
        <v>45</v>
      </c>
      <c r="C32" s="40">
        <f>C31*2080</f>
        <v>102258.624</v>
      </c>
      <c r="D32" s="31"/>
      <c r="E32" s="1616"/>
      <c r="F32" s="1616"/>
      <c r="I32" s="39"/>
      <c r="J32" s="38" t="s">
        <v>44</v>
      </c>
      <c r="K32" s="37" t="s">
        <v>43</v>
      </c>
      <c r="L32" s="30"/>
    </row>
    <row r="33" spans="2:12" x14ac:dyDescent="0.4">
      <c r="B33" s="36" t="s">
        <v>42</v>
      </c>
      <c r="C33" s="35">
        <f>[13]Nursing!J11</f>
        <v>65.162400000000005</v>
      </c>
      <c r="D33" s="34"/>
      <c r="E33" s="1615" t="s">
        <v>41</v>
      </c>
      <c r="F33" s="1615" t="s">
        <v>40</v>
      </c>
      <c r="I33" s="25" t="s">
        <v>39</v>
      </c>
      <c r="J33" s="23">
        <v>15</v>
      </c>
      <c r="K33" s="23">
        <f>J33*8</f>
        <v>120</v>
      </c>
      <c r="L33" s="30"/>
    </row>
    <row r="34" spans="2:12" ht="27" thickBot="1" x14ac:dyDescent="0.45">
      <c r="B34" s="33" t="s">
        <v>38</v>
      </c>
      <c r="C34" s="32">
        <f>C33*2080</f>
        <v>135537.79200000002</v>
      </c>
      <c r="D34" s="31"/>
      <c r="E34" s="1616"/>
      <c r="F34" s="1616"/>
      <c r="I34" s="25" t="s">
        <v>37</v>
      </c>
      <c r="J34" s="23">
        <v>10</v>
      </c>
      <c r="K34" s="23">
        <f>J34*8</f>
        <v>80</v>
      </c>
      <c r="L34" s="30"/>
    </row>
    <row r="35" spans="2:12" x14ac:dyDescent="0.4">
      <c r="I35" s="25" t="s">
        <v>36</v>
      </c>
      <c r="J35" s="23">
        <v>11</v>
      </c>
      <c r="K35" s="23">
        <f>J35*8</f>
        <v>88</v>
      </c>
      <c r="L35" s="30"/>
    </row>
    <row r="36" spans="2:12" ht="52.5" x14ac:dyDescent="0.4">
      <c r="B36" s="29" t="s">
        <v>35</v>
      </c>
      <c r="C36" s="12">
        <f>C6</f>
        <v>41600</v>
      </c>
      <c r="I36" s="28" t="s">
        <v>34</v>
      </c>
      <c r="J36" s="27">
        <v>5</v>
      </c>
      <c r="K36" s="27">
        <f>J36*8</f>
        <v>40</v>
      </c>
      <c r="L36" s="26"/>
    </row>
    <row r="37" spans="2:12" x14ac:dyDescent="0.4">
      <c r="C37" s="14"/>
      <c r="I37" s="25"/>
      <c r="J37" s="24" t="s">
        <v>33</v>
      </c>
      <c r="K37" s="23">
        <f>SUM(K33:K36)</f>
        <v>328</v>
      </c>
      <c r="L37" s="22"/>
    </row>
    <row r="38" spans="2:12" ht="27" thickBot="1" x14ac:dyDescent="0.45">
      <c r="B38" s="8" t="s">
        <v>32</v>
      </c>
      <c r="C38" s="21">
        <f>23.39%+2%</f>
        <v>0.25390000000000001</v>
      </c>
      <c r="D38" s="1" t="s">
        <v>31</v>
      </c>
      <c r="I38" s="20"/>
      <c r="J38" s="19" t="s">
        <v>30</v>
      </c>
      <c r="K38" s="18">
        <f>K37/(52*40)</f>
        <v>0.15769230769230769</v>
      </c>
      <c r="L38" s="17"/>
    </row>
    <row r="39" spans="2:12" ht="34.35" customHeight="1" x14ac:dyDescent="0.4">
      <c r="B39" s="8"/>
      <c r="C39" s="14"/>
      <c r="D39" s="1624" t="s">
        <v>29</v>
      </c>
      <c r="E39" s="1624"/>
      <c r="F39" s="1"/>
    </row>
    <row r="40" spans="2:12" x14ac:dyDescent="0.4">
      <c r="C40" s="14"/>
    </row>
    <row r="41" spans="2:12" x14ac:dyDescent="0.4">
      <c r="B41" s="8" t="s">
        <v>28</v>
      </c>
      <c r="C41" s="16">
        <v>0.12</v>
      </c>
      <c r="D41" s="1" t="s">
        <v>27</v>
      </c>
    </row>
    <row r="42" spans="2:12" x14ac:dyDescent="0.4">
      <c r="B42" s="8"/>
      <c r="C42" s="15"/>
    </row>
    <row r="43" spans="2:12" x14ac:dyDescent="0.4">
      <c r="B43" s="1625" t="s">
        <v>26</v>
      </c>
      <c r="C43" s="1625"/>
      <c r="D43" s="1625"/>
    </row>
    <row r="44" spans="2:12" x14ac:dyDescent="0.4">
      <c r="B44" s="13" t="s">
        <v>25</v>
      </c>
      <c r="C44" s="12">
        <v>247470</v>
      </c>
      <c r="D44" s="1" t="s">
        <v>24</v>
      </c>
    </row>
    <row r="45" spans="2:12" x14ac:dyDescent="0.4">
      <c r="B45" s="8" t="s">
        <v>23</v>
      </c>
      <c r="C45" s="12">
        <v>252850</v>
      </c>
      <c r="D45" s="1" t="s">
        <v>22</v>
      </c>
    </row>
    <row r="46" spans="2:12" x14ac:dyDescent="0.4">
      <c r="B46" s="8" t="s">
        <v>21</v>
      </c>
      <c r="C46" s="12">
        <f>'[13]M2022 53_PCT'!N33</f>
        <v>135424.64000000001</v>
      </c>
      <c r="D46" s="1" t="s">
        <v>20</v>
      </c>
    </row>
    <row r="47" spans="2:12" x14ac:dyDescent="0.4">
      <c r="B47" s="8" t="s">
        <v>19</v>
      </c>
      <c r="C47" s="7">
        <f>C6</f>
        <v>41600</v>
      </c>
      <c r="D47" s="1" t="s">
        <v>18</v>
      </c>
    </row>
    <row r="48" spans="2:12" x14ac:dyDescent="0.4">
      <c r="B48" s="8" t="s">
        <v>17</v>
      </c>
      <c r="C48" s="7">
        <f>AVERAGE(C6,C8)</f>
        <v>47403.283200000005</v>
      </c>
      <c r="D48" s="1" t="s">
        <v>16</v>
      </c>
    </row>
    <row r="49" spans="2:6" x14ac:dyDescent="0.4">
      <c r="B49" s="8" t="s">
        <v>15</v>
      </c>
      <c r="C49" s="12">
        <f>C8</f>
        <v>53206.566400000003</v>
      </c>
      <c r="D49" s="1" t="s">
        <v>14</v>
      </c>
    </row>
    <row r="50" spans="2:6" x14ac:dyDescent="0.4">
      <c r="B50" s="8" t="s">
        <v>13</v>
      </c>
      <c r="C50" s="12">
        <f>'[13]M2022 53_PCT'!N34</f>
        <v>40890.303999999996</v>
      </c>
      <c r="D50" s="1" t="s">
        <v>12</v>
      </c>
    </row>
    <row r="51" spans="2:6" x14ac:dyDescent="0.4">
      <c r="B51" s="8" t="s">
        <v>11</v>
      </c>
      <c r="C51" s="7">
        <f>'[13]M2022 53_PCT'!N37</f>
        <v>50652.160000000003</v>
      </c>
      <c r="D51" s="1" t="s">
        <v>10</v>
      </c>
    </row>
    <row r="52" spans="2:6" x14ac:dyDescent="0.4">
      <c r="B52" s="8" t="s">
        <v>9</v>
      </c>
      <c r="C52" s="7">
        <f>AVERAGE('[13]M2022 53_PCT'!N35,'[13]M2022 53_PCT'!N36)</f>
        <v>57014.464000000007</v>
      </c>
      <c r="D52" s="1" t="s">
        <v>8</v>
      </c>
    </row>
    <row r="53" spans="2:6" x14ac:dyDescent="0.4">
      <c r="B53" s="11" t="s">
        <v>7</v>
      </c>
      <c r="C53" s="10">
        <f>(C28*0.5)+(C18*0.5)</f>
        <v>90995.112000000008</v>
      </c>
      <c r="D53" s="9" t="s">
        <v>6</v>
      </c>
    </row>
    <row r="54" spans="2:6" x14ac:dyDescent="0.4">
      <c r="B54" s="8"/>
      <c r="C54" s="7"/>
    </row>
    <row r="55" spans="2:6" x14ac:dyDescent="0.4">
      <c r="B55" s="1626" t="s">
        <v>5</v>
      </c>
      <c r="C55" s="1626"/>
      <c r="D55" s="1626"/>
      <c r="E55" s="1626"/>
      <c r="F55" s="1626"/>
    </row>
    <row r="56" spans="2:6" x14ac:dyDescent="0.4">
      <c r="B56" s="6" t="s">
        <v>4</v>
      </c>
      <c r="C56" s="1" t="s">
        <v>3</v>
      </c>
    </row>
    <row r="57" spans="2:6" ht="66.599999999999994" customHeight="1" x14ac:dyDescent="0.4">
      <c r="B57" s="5" t="s">
        <v>2</v>
      </c>
      <c r="C57" s="1624" t="s">
        <v>1</v>
      </c>
      <c r="D57" s="1624"/>
      <c r="E57" s="1624"/>
      <c r="F57" s="1624"/>
    </row>
    <row r="60" spans="2:6" x14ac:dyDescent="0.4">
      <c r="B60" s="4" t="s">
        <v>0</v>
      </c>
      <c r="C60" s="3">
        <f>(C32*0.5)+(C16*0.5)</f>
        <v>83967.52</v>
      </c>
    </row>
  </sheetData>
  <mergeCells count="37">
    <mergeCell ref="D39:E39"/>
    <mergeCell ref="B43:D43"/>
    <mergeCell ref="B55:F55"/>
    <mergeCell ref="C57:F57"/>
    <mergeCell ref="J31:K31"/>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7" right="0.7" top="0.75" bottom="0.75" header="0.3" footer="0.3"/>
  <pageSetup scale="55"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EDD9F-941B-400B-A6FF-81CAA7C3C155}">
  <sheetPr>
    <pageSetUpPr fitToPage="1"/>
  </sheetPr>
  <dimension ref="A1:R56"/>
  <sheetViews>
    <sheetView topLeftCell="B1" zoomScaleNormal="100" workbookViewId="0">
      <selection activeCell="I50" sqref="I50"/>
    </sheetView>
  </sheetViews>
  <sheetFormatPr defaultColWidth="9.140625" defaultRowHeight="15" x14ac:dyDescent="0.25"/>
  <cols>
    <col min="1" max="1" width="3.140625" style="326" hidden="1" customWidth="1"/>
    <col min="2" max="2" width="5.5703125" style="326" customWidth="1"/>
    <col min="3" max="3" width="28.7109375" style="326" bestFit="1" customWidth="1"/>
    <col min="4" max="4" width="8" style="326" bestFit="1" customWidth="1"/>
    <col min="5" max="5" width="8.28515625" style="326" bestFit="1" customWidth="1"/>
    <col min="6" max="6" width="9.5703125" style="326" bestFit="1" customWidth="1"/>
    <col min="7" max="7" width="7.85546875" style="326" bestFit="1" customWidth="1"/>
    <col min="8" max="8" width="34.42578125" style="326" bestFit="1" customWidth="1"/>
    <col min="9" max="9" width="8" style="326" bestFit="1" customWidth="1"/>
    <col min="10" max="10" width="5" style="326" bestFit="1" customWidth="1"/>
    <col min="11" max="11" width="11" style="330" bestFit="1" customWidth="1"/>
    <col min="12" max="12" width="10.140625" style="326" customWidth="1"/>
    <col min="13" max="13" width="32" style="326" bestFit="1" customWidth="1"/>
    <col min="14" max="14" width="9.140625" style="326"/>
    <col min="15" max="15" width="4.7109375" style="326" bestFit="1" customWidth="1"/>
    <col min="16" max="16" width="6.140625" style="326" bestFit="1" customWidth="1"/>
    <col min="17" max="17" width="5.42578125" style="326" bestFit="1" customWidth="1"/>
    <col min="18" max="18" width="5.140625" style="326" bestFit="1" customWidth="1"/>
    <col min="19" max="16384" width="9.140625" style="326"/>
  </cols>
  <sheetData>
    <row r="1" spans="1:18" ht="15.75" thickBot="1" x14ac:dyDescent="0.3"/>
    <row r="2" spans="1:18" ht="14.45" customHeight="1" x14ac:dyDescent="0.25">
      <c r="A2" s="454"/>
      <c r="B2" s="331"/>
      <c r="C2" s="1752" t="s">
        <v>510</v>
      </c>
      <c r="D2" s="1753"/>
      <c r="E2" s="1753"/>
      <c r="F2" s="1753"/>
      <c r="G2" s="1753"/>
      <c r="H2" s="1753"/>
      <c r="I2" s="1753"/>
      <c r="J2" s="1753"/>
      <c r="K2" s="1754"/>
      <c r="L2" s="335"/>
      <c r="M2" s="331"/>
    </row>
    <row r="3" spans="1:18" ht="15" customHeight="1" thickBot="1" x14ac:dyDescent="0.3">
      <c r="B3" s="331"/>
      <c r="C3" s="1755"/>
      <c r="D3" s="1756"/>
      <c r="E3" s="1756"/>
      <c r="F3" s="1756"/>
      <c r="G3" s="1756"/>
      <c r="H3" s="1756"/>
      <c r="I3" s="1756"/>
      <c r="J3" s="1756"/>
      <c r="K3" s="1757"/>
      <c r="L3" s="331"/>
      <c r="M3" s="331"/>
    </row>
    <row r="4" spans="1:18" ht="15" customHeight="1" x14ac:dyDescent="0.25">
      <c r="B4" s="331"/>
      <c r="C4" s="453"/>
      <c r="D4" s="453"/>
      <c r="E4" s="453"/>
      <c r="F4" s="453"/>
      <c r="G4" s="453"/>
      <c r="H4" s="453"/>
      <c r="I4" s="453"/>
      <c r="J4" s="453"/>
      <c r="K4" s="453"/>
      <c r="L4" s="331"/>
      <c r="M4" s="331"/>
    </row>
    <row r="5" spans="1:18" ht="15" customHeight="1" thickBot="1" x14ac:dyDescent="0.3">
      <c r="B5" s="331"/>
      <c r="C5" s="453"/>
      <c r="D5" s="453"/>
      <c r="E5" s="453"/>
      <c r="F5" s="453"/>
      <c r="G5" s="453"/>
      <c r="H5" s="453"/>
      <c r="I5" s="453"/>
      <c r="J5" s="453"/>
      <c r="K5" s="453"/>
      <c r="L5" s="331"/>
      <c r="M5" s="331"/>
    </row>
    <row r="6" spans="1:18" ht="15.75" thickBot="1" x14ac:dyDescent="0.3">
      <c r="B6" s="331"/>
      <c r="C6" s="1758" t="s">
        <v>509</v>
      </c>
      <c r="D6" s="1759"/>
      <c r="E6" s="1759"/>
      <c r="F6" s="1760"/>
      <c r="G6" s="331"/>
      <c r="H6" s="1758" t="s">
        <v>508</v>
      </c>
      <c r="I6" s="1759"/>
      <c r="J6" s="1759"/>
      <c r="K6" s="1760"/>
      <c r="L6" s="408"/>
      <c r="M6" s="331"/>
      <c r="N6" s="400"/>
      <c r="O6" s="331"/>
      <c r="P6" s="331"/>
      <c r="Q6" s="331"/>
      <c r="R6" s="331"/>
    </row>
    <row r="7" spans="1:18" x14ac:dyDescent="0.25">
      <c r="B7" s="331"/>
      <c r="C7" s="452" t="s">
        <v>507</v>
      </c>
      <c r="D7" s="1761" t="s">
        <v>505</v>
      </c>
      <c r="E7" s="1761"/>
      <c r="F7" s="451">
        <f>R19</f>
        <v>2704</v>
      </c>
      <c r="G7" s="331"/>
      <c r="H7" s="452" t="s">
        <v>506</v>
      </c>
      <c r="I7" s="1761" t="s">
        <v>505</v>
      </c>
      <c r="J7" s="1761"/>
      <c r="K7" s="451">
        <v>5</v>
      </c>
      <c r="L7" s="331"/>
      <c r="M7" s="450" t="s">
        <v>504</v>
      </c>
      <c r="N7" s="449"/>
      <c r="O7" s="448" t="s">
        <v>44</v>
      </c>
      <c r="P7" s="447" t="s">
        <v>503</v>
      </c>
      <c r="Q7" s="447" t="s">
        <v>43</v>
      </c>
      <c r="R7" s="446" t="s">
        <v>490</v>
      </c>
    </row>
    <row r="8" spans="1:18" x14ac:dyDescent="0.25">
      <c r="B8" s="331"/>
      <c r="C8" s="445"/>
      <c r="D8" s="444" t="s">
        <v>331</v>
      </c>
      <c r="E8" s="444" t="s">
        <v>334</v>
      </c>
      <c r="F8" s="443" t="s">
        <v>458</v>
      </c>
      <c r="G8" s="331"/>
      <c r="H8" s="445" t="s">
        <v>118</v>
      </c>
      <c r="I8" s="444" t="s">
        <v>331</v>
      </c>
      <c r="J8" s="444" t="s">
        <v>334</v>
      </c>
      <c r="K8" s="443" t="s">
        <v>458</v>
      </c>
      <c r="L8" s="331"/>
      <c r="M8" s="442" t="s">
        <v>502</v>
      </c>
      <c r="N8" s="441"/>
      <c r="O8" s="440"/>
      <c r="P8" s="439">
        <v>52</v>
      </c>
      <c r="Q8" s="438">
        <v>40</v>
      </c>
      <c r="R8" s="437">
        <f>P8*Q8</f>
        <v>2080</v>
      </c>
    </row>
    <row r="9" spans="1:18" x14ac:dyDescent="0.25">
      <c r="A9" s="326">
        <v>1</v>
      </c>
      <c r="B9" s="331"/>
      <c r="C9" s="377" t="str">
        <f>IF(INDEX('Master Lookup FY26'!B58:B60,A9)=0,"",INDEX('Master Lookup'!$B$58:$B$67,A9))</f>
        <v>Management</v>
      </c>
      <c r="D9" s="379">
        <f>IFERROR(INDEX('Master Lookup FY26'!D58:D60,MATCH(C9,'Master Lookup FY26'!B58:B600,0)),"")</f>
        <v>81486.911999999997</v>
      </c>
      <c r="E9" s="430">
        <f>IFERROR(INDEX('Master Lookup FY26'!E58:E60,MATCH(C9,'Master Lookup FY26'!B58:B60,0)),"")</f>
        <v>0.08</v>
      </c>
      <c r="F9" s="366">
        <f>IFERROR(D9*E9,0)</f>
        <v>6518.9529599999996</v>
      </c>
      <c r="G9" s="331"/>
      <c r="H9" s="377" t="str">
        <f>IF(INDEX('Master Lookup'!$B$58:$B$67,A9)=0,"",INDEX('Master Lookup'!$B$58:$B$67,A9))</f>
        <v>Management</v>
      </c>
      <c r="I9" s="379">
        <f>IFERROR(INDEX('Master Lookup FY26'!D58:D60,MATCH(H9,'Master Lookup FY26'!B58:B60,0)),"")</f>
        <v>81486.911999999997</v>
      </c>
      <c r="J9" s="430">
        <f>IFERROR(INDEX('Master Lookup FY26'!F58:F60,MATCH(H9,'Master Lookup FY26'!B58:B60,0)),"")</f>
        <v>0.08</v>
      </c>
      <c r="K9" s="366">
        <f>IFERROR(I9*J9,0)</f>
        <v>6518.9529599999996</v>
      </c>
      <c r="L9" s="331"/>
      <c r="M9" s="436" t="s">
        <v>501</v>
      </c>
      <c r="N9" s="435"/>
      <c r="O9" s="434"/>
      <c r="P9" s="433"/>
      <c r="Q9" s="432"/>
      <c r="R9" s="431"/>
    </row>
    <row r="10" spans="1:18" x14ac:dyDescent="0.25">
      <c r="A10" s="326">
        <v>2</v>
      </c>
      <c r="B10" s="331"/>
      <c r="C10" s="377" t="str">
        <f>IF(INDEX('Master Lookup'!$B$58:$B$67,A10)=0,"",INDEX('Master Lookup'!$B$58:$B$67,A10))</f>
        <v>Family Navigator</v>
      </c>
      <c r="D10" s="379">
        <f>IFERROR(INDEX('Master Lookup FY26'!D59:D61,MATCH(C10,'Master Lookup FY26'!B59:B601,0)),"")</f>
        <v>66537.12000000001</v>
      </c>
      <c r="E10" s="430">
        <f>IFERROR(INDEX('Master Lookup FY26'!E59:E61,MATCH(C10,'Master Lookup FY26'!B59:B61,0)),"")</f>
        <v>2</v>
      </c>
      <c r="F10" s="366">
        <f>IFERROR(D10*E10,0)</f>
        <v>133074.24000000002</v>
      </c>
      <c r="G10" s="331"/>
      <c r="H10" s="377" t="str">
        <f>IF(INDEX('Master Lookup'!$B$58:$B$67,A10)=0,"",INDEX('Master Lookup'!$B$58:$B$67,A10))</f>
        <v>Family Navigator</v>
      </c>
      <c r="I10" s="379">
        <f>IFERROR(INDEX('Master Lookup FY26'!D59:D61,MATCH(H10,'Master Lookup FY26'!B59:B61,0)),"")</f>
        <v>66537.12000000001</v>
      </c>
      <c r="J10" s="430">
        <f>IFERROR(INDEX('Master Lookup FY26'!F59:F61,MATCH(H10,'Master Lookup FY26'!B59:B61,0)),"")</f>
        <v>2</v>
      </c>
      <c r="K10" s="366">
        <f>IFERROR(I10*J10,0)</f>
        <v>133074.24000000002</v>
      </c>
      <c r="L10" s="331"/>
      <c r="M10" s="420" t="s">
        <v>39</v>
      </c>
      <c r="N10" s="401"/>
      <c r="O10" s="419">
        <v>15</v>
      </c>
      <c r="P10" s="419">
        <v>3</v>
      </c>
      <c r="Q10" s="424">
        <v>40</v>
      </c>
      <c r="R10" s="418">
        <f>Q10*P10</f>
        <v>120</v>
      </c>
    </row>
    <row r="11" spans="1:18" x14ac:dyDescent="0.25">
      <c r="A11" s="326">
        <v>3</v>
      </c>
      <c r="B11" s="331"/>
      <c r="C11" s="377" t="str">
        <f>IF(INDEX('Master Lookup'!$B$58:$B$67,A11)=0,"",INDEX('Master Lookup'!$B$58:$B$67,A11))</f>
        <v>Direct Care Staff</v>
      </c>
      <c r="D11" s="379">
        <f>IFERROR(INDEX('Master Lookup FY26'!D60:D62,MATCH(C11,'Master Lookup FY26'!B60:B602,0)),"")</f>
        <v>46842.432000000008</v>
      </c>
      <c r="E11" s="430">
        <f>IFERROR(INDEX('Master Lookup FY26'!E60:E62,MATCH(C11,'Master Lookup FY26'!B60:B62,0)),"")</f>
        <v>0.1</v>
      </c>
      <c r="F11" s="366">
        <f>IFERROR(D11*E11,0)</f>
        <v>4684.2432000000008</v>
      </c>
      <c r="G11" s="331"/>
      <c r="H11" s="377" t="str">
        <f>IF(INDEX('Master Lookup'!$B$58:$B$67,A11)=0,"",INDEX('Master Lookup'!$B$58:$B$67,A11))</f>
        <v>Direct Care Staff</v>
      </c>
      <c r="I11" s="379">
        <f>IFERROR(INDEX('Master Lookup FY26'!D60:D62,MATCH(H11,'Master Lookup FY26'!B60:B62,0)),"")</f>
        <v>46842.432000000008</v>
      </c>
      <c r="J11" s="430">
        <f>IFERROR(INDEX('Master Lookup FY26'!F60:F62,MATCH(H11,'Master Lookup FY26'!B60:B62,0)),"")</f>
        <v>0.1</v>
      </c>
      <c r="K11" s="366">
        <f>IFERROR(I11*J11,0)</f>
        <v>4684.2432000000008</v>
      </c>
      <c r="L11" s="331"/>
      <c r="M11" s="420" t="s">
        <v>500</v>
      </c>
      <c r="N11" s="401"/>
      <c r="O11" s="419">
        <v>10</v>
      </c>
      <c r="P11" s="419">
        <v>2</v>
      </c>
      <c r="Q11" s="424">
        <v>40</v>
      </c>
      <c r="R11" s="418">
        <f>Q11*P11</f>
        <v>80</v>
      </c>
    </row>
    <row r="12" spans="1:18" x14ac:dyDescent="0.25">
      <c r="A12" s="326">
        <v>4</v>
      </c>
      <c r="B12" s="331"/>
      <c r="C12" s="383" t="s">
        <v>457</v>
      </c>
      <c r="D12" s="382"/>
      <c r="E12" s="425"/>
      <c r="F12" s="380">
        <f>SUM(F9:F11)</f>
        <v>144277.43616000001</v>
      </c>
      <c r="G12" s="331"/>
      <c r="H12" s="429" t="s">
        <v>457</v>
      </c>
      <c r="I12" s="428"/>
      <c r="J12" s="425"/>
      <c r="K12" s="380">
        <f>SUM(K9:K11)</f>
        <v>144277.43616000001</v>
      </c>
      <c r="L12" s="331"/>
      <c r="M12" s="420" t="s">
        <v>36</v>
      </c>
      <c r="N12" s="401"/>
      <c r="O12" s="419">
        <v>12</v>
      </c>
      <c r="P12" s="419">
        <v>2</v>
      </c>
      <c r="Q12" s="424">
        <v>44</v>
      </c>
      <c r="R12" s="418">
        <f>P12*Q12</f>
        <v>88</v>
      </c>
    </row>
    <row r="13" spans="1:18" x14ac:dyDescent="0.25">
      <c r="A13" s="326">
        <v>5</v>
      </c>
      <c r="B13" s="331"/>
      <c r="C13" s="427" t="s">
        <v>322</v>
      </c>
      <c r="D13" s="426">
        <f>INDEX( 'Master Lookup FY26'!C82:C84,MATCH(C13,'Master Lookup FY26'!B82:B84,0))</f>
        <v>0.24970000000000001</v>
      </c>
      <c r="E13" s="425"/>
      <c r="F13" s="366">
        <f>SUM(F12)*D13</f>
        <v>36026.075809152004</v>
      </c>
      <c r="G13" s="331"/>
      <c r="H13" s="427" t="s">
        <v>322</v>
      </c>
      <c r="I13" s="426">
        <f>INDEX('Master Lookup FY26'!C82,MATCH(H13,'Master Lookup FY26'!B82:B84,0))</f>
        <v>0.24970000000000001</v>
      </c>
      <c r="J13" s="425"/>
      <c r="K13" s="366">
        <f>SUM(K12)*I13</f>
        <v>36026.075809152004</v>
      </c>
      <c r="L13" s="331"/>
      <c r="M13" s="420" t="s">
        <v>499</v>
      </c>
      <c r="N13" s="401"/>
      <c r="O13" s="419">
        <v>3</v>
      </c>
      <c r="P13" s="419">
        <v>1</v>
      </c>
      <c r="Q13" s="424">
        <v>24</v>
      </c>
      <c r="R13" s="418">
        <f>Q13*P13</f>
        <v>24</v>
      </c>
    </row>
    <row r="14" spans="1:18" ht="15.75" thickBot="1" x14ac:dyDescent="0.3">
      <c r="A14" s="326">
        <v>6</v>
      </c>
      <c r="B14" s="331"/>
      <c r="C14" s="423"/>
      <c r="D14" s="422"/>
      <c r="E14" s="421"/>
      <c r="F14" s="362"/>
      <c r="G14" s="331"/>
      <c r="H14" s="423"/>
      <c r="I14" s="422"/>
      <c r="J14" s="421"/>
      <c r="K14" s="362"/>
      <c r="L14" s="331"/>
      <c r="M14" s="420" t="s">
        <v>498</v>
      </c>
      <c r="N14" s="401"/>
      <c r="O14" s="419"/>
      <c r="P14" s="419">
        <v>52</v>
      </c>
      <c r="Q14" s="399">
        <v>4</v>
      </c>
      <c r="R14" s="418">
        <f>Q14*P14</f>
        <v>208</v>
      </c>
    </row>
    <row r="15" spans="1:18" ht="16.5" thickTop="1" thickBot="1" x14ac:dyDescent="0.3">
      <c r="A15" s="326">
        <v>7</v>
      </c>
      <c r="B15" s="331"/>
      <c r="C15" s="417" t="s">
        <v>456</v>
      </c>
      <c r="D15" s="416"/>
      <c r="E15" s="415">
        <f>SUM(E9:E11)</f>
        <v>2.1800000000000002</v>
      </c>
      <c r="F15" s="414">
        <f>SUM(F12:F14)</f>
        <v>180303.51196915202</v>
      </c>
      <c r="G15" s="331"/>
      <c r="H15" s="417" t="s">
        <v>456</v>
      </c>
      <c r="I15" s="416"/>
      <c r="J15" s="415">
        <f>SUM(J9:J11)</f>
        <v>2.1800000000000002</v>
      </c>
      <c r="K15" s="414">
        <f>SUM(K12:K14)</f>
        <v>180303.51196915202</v>
      </c>
      <c r="L15" s="331"/>
      <c r="M15" s="413" t="s">
        <v>497</v>
      </c>
      <c r="N15" s="412"/>
      <c r="O15" s="411"/>
      <c r="P15" s="411">
        <v>52</v>
      </c>
      <c r="Q15" s="404">
        <v>4</v>
      </c>
      <c r="R15" s="410">
        <f>Q15*P15</f>
        <v>208</v>
      </c>
    </row>
    <row r="16" spans="1:18" ht="15.75" thickTop="1" x14ac:dyDescent="0.25">
      <c r="A16" s="326">
        <v>8</v>
      </c>
      <c r="B16" s="331"/>
      <c r="C16" s="409" t="s">
        <v>326</v>
      </c>
      <c r="D16" s="408"/>
      <c r="E16" s="381"/>
      <c r="F16" s="380"/>
      <c r="G16" s="331"/>
      <c r="H16" s="409" t="s">
        <v>326</v>
      </c>
      <c r="I16" s="408"/>
      <c r="J16" s="381"/>
      <c r="K16" s="380"/>
      <c r="L16" s="331"/>
      <c r="M16" s="407" t="s">
        <v>496</v>
      </c>
      <c r="N16" s="406"/>
      <c r="O16" s="406"/>
      <c r="P16" s="405"/>
      <c r="Q16" s="404"/>
      <c r="R16" s="398">
        <f>SUM(R10:R15)</f>
        <v>728</v>
      </c>
    </row>
    <row r="17" spans="1:18" x14ac:dyDescent="0.25">
      <c r="A17" s="326">
        <v>9</v>
      </c>
      <c r="B17" s="331"/>
      <c r="C17" s="377" t="str">
        <f>IF(INDEX('Master Lookup'!$B$72:$B$80,A25)=0,"",INDEX('Master Lookup'!$B$72:$B$80,A25))</f>
        <v>Staff Mileage / Travel 205</v>
      </c>
      <c r="D17" s="379">
        <f>IFERROR(INDEX('Master Lookup FY26'!C72:C75,MATCH(C17,'Master Lookup FY26'!B72:B75,0)),"")</f>
        <v>1059.8793475070393</v>
      </c>
      <c r="E17" s="378"/>
      <c r="F17" s="366">
        <f>D17*(E15-E11)</f>
        <v>2204.5490428146418</v>
      </c>
      <c r="G17" s="331"/>
      <c r="H17" s="377" t="str">
        <f>IF(INDEX('Master Lookup'!$B$72:$B$80,A25)=0,"",INDEX('Master Lookup'!$B$72:$B$80,A25))</f>
        <v>Staff Mileage / Travel 205</v>
      </c>
      <c r="I17" s="379">
        <f>IFERROR(INDEX('Master Lookup FY26'!C72:C75,MATCH(H17,'Master Lookup FY26'!B72:B75,0)),"")</f>
        <v>1059.8793475070393</v>
      </c>
      <c r="J17" s="378"/>
      <c r="K17" s="366">
        <f>I17*$J$15</f>
        <v>2310.5369775653458</v>
      </c>
      <c r="L17" s="331"/>
      <c r="M17" s="403" t="s">
        <v>495</v>
      </c>
      <c r="N17" s="402"/>
      <c r="O17" s="401"/>
      <c r="P17" s="400"/>
      <c r="Q17" s="399"/>
      <c r="R17" s="398">
        <f>R8-R16</f>
        <v>1352</v>
      </c>
    </row>
    <row r="18" spans="1:18" ht="15.75" thickBot="1" x14ac:dyDescent="0.3">
      <c r="A18" s="326">
        <v>10</v>
      </c>
      <c r="B18" s="331"/>
      <c r="C18" s="377" t="str">
        <f>IF(INDEX('Master Lookup'!$B$72:$B$80,A26)=0,"",INDEX('Master Lookup'!$B$72:$B$80,A26))</f>
        <v>Program Supplies &amp; Materials 215</v>
      </c>
      <c r="D18" s="379">
        <f>IFERROR(INDEX('Master Lookup FY26'!C72:C75,MATCH(C18,'Master Lookup FY26'!B72:B75,0)),"")</f>
        <v>2947.5899663350119</v>
      </c>
      <c r="E18" s="378"/>
      <c r="F18" s="366">
        <f>D18*(E15-E11)</f>
        <v>6130.9871299768247</v>
      </c>
      <c r="G18" s="331"/>
      <c r="H18" s="377" t="str">
        <f>IF(INDEX('Master Lookup'!$B$72:$B$80,A26)=0,"",INDEX('Master Lookup'!$B$72:$B$80,A26))</f>
        <v>Program Supplies &amp; Materials 215</v>
      </c>
      <c r="I18" s="379">
        <f>IFERROR(INDEX('Master Lookup FY26'!C73:C76,MATCH(H18,'Master Lookup FY26'!B73:B76,0)),"")</f>
        <v>2947.5899663350119</v>
      </c>
      <c r="J18" s="378"/>
      <c r="K18" s="366">
        <f>I18*$J15</f>
        <v>6425.7461266103264</v>
      </c>
      <c r="L18" s="331"/>
      <c r="M18" s="397" t="s">
        <v>494</v>
      </c>
      <c r="N18" s="396"/>
      <c r="O18" s="396"/>
      <c r="P18" s="395"/>
      <c r="Q18" s="395"/>
      <c r="R18" s="394">
        <v>2</v>
      </c>
    </row>
    <row r="19" spans="1:18" ht="15.75" thickBot="1" x14ac:dyDescent="0.3">
      <c r="B19" s="331"/>
      <c r="C19" s="377" t="str">
        <f>IF(INDEX('Master Lookup'!$B$72:$B$80,A27)=0,"",INDEX('Master Lookup'!$B$72:$B$80,A27))</f>
        <v>Other Expense</v>
      </c>
      <c r="D19" s="379">
        <f>IFERROR(INDEX('Master Lookup FY26'!C74:C77,MATCH(C19,'Master Lookup FY26'!B74:B77,0)),"")</f>
        <v>3236.4891574928697</v>
      </c>
      <c r="E19" s="378"/>
      <c r="F19" s="366">
        <f>D19*E10</f>
        <v>6472.9783149857394</v>
      </c>
      <c r="G19" s="331"/>
      <c r="H19" s="377" t="str">
        <f>IF(INDEX('Master Lookup'!$B$72:$B$80,A27)=0,"",INDEX('Master Lookup'!$B$72:$B$80,A27))</f>
        <v>Other Expense</v>
      </c>
      <c r="I19" s="379">
        <f>IFERROR(INDEX('Master Lookup FY26'!C74:C77,MATCH(H19,'Master Lookup FY26'!B74:B77,0)),"")</f>
        <v>3236.4891574928697</v>
      </c>
      <c r="J19" s="378"/>
      <c r="K19" s="366">
        <f>I19*J15</f>
        <v>7055.5463633344561</v>
      </c>
      <c r="L19" s="331"/>
      <c r="M19" s="393" t="s">
        <v>493</v>
      </c>
      <c r="N19" s="392"/>
      <c r="O19" s="391"/>
      <c r="P19" s="390"/>
      <c r="Q19" s="389"/>
      <c r="R19" s="388">
        <f>R17*R18</f>
        <v>2704</v>
      </c>
    </row>
    <row r="20" spans="1:18" x14ac:dyDescent="0.25">
      <c r="B20" s="331"/>
      <c r="C20" s="377" t="str">
        <f>IF(INDEX('Master Lookup'!$B$72:$B$80,A28)=0,"",INDEX('Master Lookup'!$B$72:$B$80,A28))</f>
        <v xml:space="preserve">Flex Spending </v>
      </c>
      <c r="D20" s="379">
        <f>IFERROR(INDEX('Master Lookup FY26'!C75:C78,MATCH(C20,'Master Lookup FY26'!B75:B78,0)),"")</f>
        <v>1000</v>
      </c>
      <c r="E20" s="378"/>
      <c r="F20" s="366">
        <f>E10*D20</f>
        <v>2000</v>
      </c>
      <c r="G20" s="331"/>
      <c r="H20" s="377" t="str">
        <f>IF(INDEX('Master Lookup'!$B$72:$B$80,A28)=0,"",INDEX('Master Lookup'!$B$72:$B$80,A28))</f>
        <v xml:space="preserve">Flex Spending </v>
      </c>
      <c r="I20" s="379">
        <f>IFERROR(INDEX('Master Lookup FY26'!C75:C78,MATCH(H20,'Master Lookup FY26'!B75:B78,0)),"")</f>
        <v>1000</v>
      </c>
      <c r="J20" s="378"/>
      <c r="K20" s="366">
        <f>J10*I20</f>
        <v>2000</v>
      </c>
      <c r="L20" s="331"/>
      <c r="M20" s="331"/>
    </row>
    <row r="21" spans="1:18" hidden="1" x14ac:dyDescent="0.25">
      <c r="B21" s="331"/>
      <c r="C21" s="387"/>
      <c r="D21" s="386" t="str">
        <f>IFERROR(INDEX('Master Lookup'!$C$72:$C$80,MATCH(C21,'Master Lookup'!$B$72:$B$80,0)),"")</f>
        <v/>
      </c>
      <c r="E21" s="385"/>
      <c r="F21" s="384"/>
      <c r="G21" s="331"/>
      <c r="H21" s="387" t="str">
        <f>IF(INDEX('Master Lookup'!$B$72:$B$80,A29)=0,"",INDEX('Master Lookup'!$B$72:$B$80,A29))</f>
        <v/>
      </c>
      <c r="I21" s="386" t="str">
        <f>IFERROR(INDEX('Master Lookup'!$C$72:$C$80,MATCH(H21,'Master Lookup'!$B$72:$B$80,0)),"")</f>
        <v/>
      </c>
      <c r="J21" s="385"/>
      <c r="K21" s="384"/>
      <c r="L21" s="331"/>
      <c r="M21" s="331"/>
    </row>
    <row r="22" spans="1:18" hidden="1" x14ac:dyDescent="0.25">
      <c r="B22" s="331"/>
      <c r="C22" s="387"/>
      <c r="D22" s="386" t="str">
        <f>IFERROR(INDEX('Master Lookup'!$C$72:$C$80,MATCH(C22,'Master Lookup'!$B$72:$B$80,0)),"")</f>
        <v/>
      </c>
      <c r="E22" s="385"/>
      <c r="F22" s="384"/>
      <c r="G22" s="331"/>
      <c r="H22" s="387" t="str">
        <f>IF(INDEX('Master Lookup'!$B$72:$B$80,A30)=0,"",INDEX('Master Lookup'!$B$72:$B$80,A30))</f>
        <v/>
      </c>
      <c r="I22" s="386" t="str">
        <f>IFERROR(INDEX('Master Lookup'!$C$72:$C$80,MATCH(H22,'Master Lookup'!$B$72:$B$80,0)),"")</f>
        <v/>
      </c>
      <c r="J22" s="385"/>
      <c r="K22" s="384"/>
      <c r="L22" s="335"/>
      <c r="M22" s="331"/>
    </row>
    <row r="23" spans="1:18" x14ac:dyDescent="0.25">
      <c r="B23" s="331"/>
      <c r="C23" s="377"/>
      <c r="D23" s="379"/>
      <c r="E23" s="378"/>
      <c r="F23" s="366"/>
      <c r="G23" s="331"/>
      <c r="H23" s="377"/>
      <c r="I23" s="379"/>
      <c r="J23" s="378"/>
      <c r="K23" s="366"/>
      <c r="L23" s="335"/>
      <c r="M23" s="331"/>
    </row>
    <row r="24" spans="1:18" x14ac:dyDescent="0.25">
      <c r="B24" s="331"/>
      <c r="C24" s="383" t="s">
        <v>492</v>
      </c>
      <c r="D24" s="382"/>
      <c r="E24" s="381"/>
      <c r="F24" s="380">
        <f>SUM(F17:F23)</f>
        <v>16808.514487777204</v>
      </c>
      <c r="G24" s="331"/>
      <c r="H24" s="383" t="s">
        <v>492</v>
      </c>
      <c r="I24" s="382"/>
      <c r="J24" s="381"/>
      <c r="K24" s="380">
        <f>SUM(K17:K23)</f>
        <v>17791.829467510128</v>
      </c>
      <c r="L24" s="335"/>
      <c r="M24" s="331"/>
    </row>
    <row r="25" spans="1:18" x14ac:dyDescent="0.25">
      <c r="A25" s="326">
        <v>1</v>
      </c>
      <c r="B25" s="331"/>
      <c r="C25" s="377"/>
      <c r="D25" s="379"/>
      <c r="E25" s="378"/>
      <c r="F25" s="366"/>
      <c r="G25" s="331"/>
      <c r="H25" s="377"/>
      <c r="I25" s="379"/>
      <c r="J25" s="378"/>
      <c r="K25" s="366"/>
      <c r="L25" s="335"/>
      <c r="M25" s="331"/>
    </row>
    <row r="26" spans="1:18" x14ac:dyDescent="0.25">
      <c r="A26" s="326">
        <v>2</v>
      </c>
      <c r="B26" s="331"/>
      <c r="C26" s="377"/>
      <c r="D26" s="375"/>
      <c r="E26" s="374"/>
      <c r="F26" s="373"/>
      <c r="G26" s="331"/>
      <c r="H26" s="376"/>
      <c r="I26" s="375"/>
      <c r="J26" s="374"/>
      <c r="K26" s="373"/>
      <c r="L26" s="331"/>
      <c r="M26" s="331"/>
    </row>
    <row r="27" spans="1:18" ht="30" x14ac:dyDescent="0.25">
      <c r="A27" s="326">
        <v>3</v>
      </c>
      <c r="B27" s="331"/>
      <c r="C27" s="372" t="s">
        <v>491</v>
      </c>
      <c r="D27" s="371"/>
      <c r="E27" s="370"/>
      <c r="F27" s="369">
        <f>SUM(F15,F24)</f>
        <v>197112.02645692922</v>
      </c>
      <c r="G27" s="331"/>
      <c r="H27" s="372" t="s">
        <v>491</v>
      </c>
      <c r="I27" s="371"/>
      <c r="J27" s="370"/>
      <c r="K27" s="369">
        <f>SUM(K15,K24)</f>
        <v>198095.34143666216</v>
      </c>
      <c r="L27" s="331"/>
      <c r="M27" s="331"/>
    </row>
    <row r="28" spans="1:18" x14ac:dyDescent="0.25">
      <c r="A28" s="326">
        <v>4</v>
      </c>
      <c r="B28" s="331"/>
      <c r="C28" s="365" t="s">
        <v>320</v>
      </c>
      <c r="D28" s="368">
        <f>IFERROR(INDEX('Master Lookup FY26'!C82:C84,MATCH(C28,'Master Lookup FY26'!B82:B84,0)),"")</f>
        <v>0.12</v>
      </c>
      <c r="E28" s="367"/>
      <c r="F28" s="366">
        <f>F27*D28</f>
        <v>23653.443174831504</v>
      </c>
      <c r="G28" s="331"/>
      <c r="H28" s="365" t="s">
        <v>320</v>
      </c>
      <c r="I28" s="368">
        <f>IFERROR(INDEX('Master Lookup FY26'!C82:C84,MATCH(H28,'Master Lookup FY26'!B82:B84,0)),"")</f>
        <v>0.12</v>
      </c>
      <c r="J28" s="367"/>
      <c r="K28" s="366">
        <f>K27*I28</f>
        <v>23771.440972399458</v>
      </c>
      <c r="L28" s="331"/>
      <c r="M28" s="331"/>
    </row>
    <row r="29" spans="1:18" ht="15.75" thickBot="1" x14ac:dyDescent="0.3">
      <c r="A29" s="326">
        <v>5</v>
      </c>
      <c r="B29" s="331"/>
      <c r="C29" s="365" t="s">
        <v>321</v>
      </c>
      <c r="D29" s="364">
        <f>IFERROR(INDEX('Master Lookup FY26'!C82:C84,MATCH(C29,'Master Lookup FY26'!B82:B84,0)),"")</f>
        <v>2.5282070971092779E-2</v>
      </c>
      <c r="E29" s="363"/>
      <c r="F29" s="362">
        <f>(F27+F28)*D29</f>
        <v>5581.4082711968022</v>
      </c>
      <c r="G29" s="331"/>
      <c r="H29" s="365" t="s">
        <v>321</v>
      </c>
      <c r="I29" s="364">
        <f>IFERROR(INDEX('Master Lookup FY26'!C82:C84,MATCH(H29,'Master Lookup FY26'!B82:B84,0)),"")</f>
        <v>2.5282070971092779E-2</v>
      </c>
      <c r="J29" s="363"/>
      <c r="K29" s="362">
        <f>(K27+K28)*I29</f>
        <v>5609.2517389938948</v>
      </c>
      <c r="L29" s="331"/>
      <c r="M29" s="331"/>
    </row>
    <row r="30" spans="1:18" ht="15.75" thickTop="1" x14ac:dyDescent="0.25">
      <c r="A30" s="326">
        <v>6</v>
      </c>
      <c r="B30" s="331"/>
      <c r="C30" s="361" t="s">
        <v>490</v>
      </c>
      <c r="D30" s="360"/>
      <c r="E30" s="359"/>
      <c r="F30" s="355">
        <f>SUM(F27:F29)</f>
        <v>226346.87790295752</v>
      </c>
      <c r="G30" s="331"/>
      <c r="H30" s="358" t="s">
        <v>490</v>
      </c>
      <c r="I30" s="357"/>
      <c r="J30" s="356"/>
      <c r="K30" s="355">
        <f>SUM(K27:K29)</f>
        <v>227476.03414805551</v>
      </c>
      <c r="L30" s="331"/>
      <c r="M30" s="331"/>
    </row>
    <row r="31" spans="1:18" ht="15.75" thickBot="1" x14ac:dyDescent="0.3">
      <c r="B31" s="331"/>
      <c r="C31" s="354" t="s">
        <v>489</v>
      </c>
      <c r="D31" s="353"/>
      <c r="E31" s="352"/>
      <c r="F31" s="351">
        <f>F30/F7</f>
        <v>83.708164904939906</v>
      </c>
      <c r="G31" s="331"/>
      <c r="H31" s="354" t="s">
        <v>489</v>
      </c>
      <c r="I31" s="353"/>
      <c r="J31" s="352"/>
      <c r="K31" s="351">
        <f>K30/F7</f>
        <v>84.125752273689173</v>
      </c>
      <c r="L31" s="331"/>
      <c r="M31" s="331"/>
    </row>
    <row r="32" spans="1:18" ht="15.75" thickBot="1" x14ac:dyDescent="0.3">
      <c r="B32" s="331"/>
      <c r="C32" s="350" t="s">
        <v>488</v>
      </c>
      <c r="D32" s="349"/>
      <c r="E32" s="348"/>
      <c r="F32" s="347">
        <f>ROUND(F31*0.25,2)</f>
        <v>20.93</v>
      </c>
      <c r="G32" s="331"/>
      <c r="H32" s="350" t="s">
        <v>487</v>
      </c>
      <c r="I32" s="349"/>
      <c r="J32" s="348"/>
      <c r="K32" s="347">
        <f>ROUND(K31*K7,2)</f>
        <v>420.63</v>
      </c>
      <c r="L32" s="331"/>
      <c r="M32" s="331"/>
    </row>
    <row r="33" spans="1:13" x14ac:dyDescent="0.25">
      <c r="B33" s="331"/>
      <c r="C33" s="331"/>
      <c r="D33" s="1751"/>
      <c r="E33" s="1751"/>
      <c r="F33" s="346"/>
      <c r="G33" s="331"/>
      <c r="H33" s="331"/>
      <c r="I33" s="1751"/>
      <c r="J33" s="1751"/>
      <c r="K33" s="346"/>
      <c r="L33" s="331"/>
      <c r="M33" s="331"/>
    </row>
    <row r="34" spans="1:13" x14ac:dyDescent="0.25">
      <c r="B34" s="331"/>
      <c r="C34" s="331"/>
      <c r="D34" s="331"/>
      <c r="E34" s="331" t="s">
        <v>718</v>
      </c>
      <c r="F34" s="800">
        <v>18.7</v>
      </c>
      <c r="G34" s="336"/>
      <c r="H34" s="345"/>
      <c r="I34" s="1174" t="s">
        <v>718</v>
      </c>
      <c r="J34" s="331"/>
      <c r="K34" s="800">
        <v>375.74</v>
      </c>
      <c r="L34" s="331"/>
      <c r="M34" s="331"/>
    </row>
    <row r="35" spans="1:13" ht="16.5" customHeight="1" x14ac:dyDescent="0.25">
      <c r="B35" s="331"/>
      <c r="D35" s="331"/>
      <c r="E35" s="331" t="s">
        <v>728</v>
      </c>
      <c r="F35" s="344">
        <f>(F32-F34)/F34</f>
        <v>0.11925133689839575</v>
      </c>
      <c r="G35" s="343"/>
      <c r="H35" s="342"/>
      <c r="I35" s="1174" t="s">
        <v>728</v>
      </c>
      <c r="J35" s="331"/>
      <c r="K35" s="344">
        <f>(K32-K34)/K34</f>
        <v>0.1194709107361473</v>
      </c>
      <c r="L35" s="331"/>
      <c r="M35" s="331"/>
    </row>
    <row r="36" spans="1:13" x14ac:dyDescent="0.25">
      <c r="B36" s="331"/>
      <c r="D36" s="331"/>
      <c r="E36" s="331"/>
      <c r="F36" s="331"/>
      <c r="G36" s="331"/>
      <c r="H36" s="331"/>
      <c r="I36" s="331"/>
      <c r="J36" s="331"/>
      <c r="K36" s="337"/>
      <c r="L36" s="331"/>
      <c r="M36" s="331"/>
    </row>
    <row r="37" spans="1:13" ht="15" customHeight="1" x14ac:dyDescent="0.25">
      <c r="B37" s="331"/>
      <c r="C37" s="340"/>
      <c r="D37" s="331"/>
      <c r="E37" s="331"/>
      <c r="F37" s="331"/>
      <c r="G37" s="331"/>
      <c r="H37" s="331"/>
      <c r="I37" s="331"/>
      <c r="J37" s="331"/>
      <c r="K37" s="341"/>
      <c r="L37" s="331"/>
      <c r="M37" s="331"/>
    </row>
    <row r="38" spans="1:13" x14ac:dyDescent="0.25">
      <c r="B38" s="331"/>
      <c r="C38" s="340"/>
      <c r="D38" s="331"/>
      <c r="E38" s="331"/>
      <c r="F38" s="331"/>
      <c r="G38" s="331"/>
      <c r="H38" s="331"/>
      <c r="I38" s="331"/>
      <c r="J38" s="331"/>
      <c r="K38" s="339"/>
      <c r="L38" s="337"/>
      <c r="M38" s="331"/>
    </row>
    <row r="39" spans="1:13" x14ac:dyDescent="0.25">
      <c r="B39" s="331"/>
      <c r="C39" s="338"/>
      <c r="D39" s="331"/>
      <c r="E39" s="331"/>
      <c r="F39" s="331"/>
      <c r="G39" s="331"/>
      <c r="H39" s="331"/>
      <c r="I39" s="331"/>
      <c r="J39" s="331"/>
      <c r="K39" s="331"/>
      <c r="L39" s="331"/>
      <c r="M39" s="331"/>
    </row>
    <row r="40" spans="1:13" x14ac:dyDescent="0.25">
      <c r="B40" s="331"/>
      <c r="C40" s="331"/>
      <c r="D40" s="331"/>
      <c r="E40" s="331"/>
      <c r="F40" s="331"/>
      <c r="G40" s="331"/>
      <c r="H40" s="331"/>
      <c r="I40" s="331"/>
      <c r="J40" s="331"/>
      <c r="K40" s="331"/>
      <c r="L40" s="335"/>
      <c r="M40" s="331"/>
    </row>
    <row r="41" spans="1:13" x14ac:dyDescent="0.25">
      <c r="A41" s="332"/>
      <c r="B41" s="331"/>
      <c r="C41" s="331"/>
      <c r="D41" s="331"/>
      <c r="E41" s="331"/>
      <c r="F41" s="331"/>
      <c r="G41" s="331"/>
      <c r="H41" s="331"/>
      <c r="I41" s="331"/>
      <c r="J41" s="331"/>
      <c r="K41" s="331"/>
      <c r="L41" s="335"/>
      <c r="M41" s="331"/>
    </row>
    <row r="42" spans="1:13" x14ac:dyDescent="0.25">
      <c r="A42" s="334"/>
      <c r="B42" s="331"/>
      <c r="C42" s="331"/>
      <c r="D42" s="331"/>
      <c r="E42" s="331"/>
      <c r="F42" s="331"/>
      <c r="G42" s="331"/>
      <c r="H42" s="331"/>
      <c r="I42" s="331"/>
      <c r="J42" s="331"/>
      <c r="K42" s="331"/>
      <c r="L42" s="335"/>
      <c r="M42" s="331"/>
    </row>
    <row r="43" spans="1:13" ht="18.75" customHeight="1" x14ac:dyDescent="0.25">
      <c r="A43" s="334"/>
      <c r="B43" s="331"/>
      <c r="C43" s="331"/>
      <c r="D43" s="331"/>
      <c r="E43" s="331"/>
      <c r="F43" s="331"/>
      <c r="G43" s="331"/>
      <c r="H43" s="331"/>
      <c r="I43" s="331"/>
      <c r="J43" s="331"/>
      <c r="K43" s="331"/>
      <c r="L43" s="335"/>
      <c r="M43" s="331"/>
    </row>
    <row r="44" spans="1:13" x14ac:dyDescent="0.25">
      <c r="A44" s="334"/>
      <c r="B44" s="331"/>
      <c r="G44" s="331"/>
      <c r="K44" s="326"/>
      <c r="L44" s="335"/>
      <c r="M44" s="337"/>
    </row>
    <row r="45" spans="1:13" x14ac:dyDescent="0.25">
      <c r="A45" s="334"/>
      <c r="B45" s="331"/>
      <c r="K45" s="326"/>
      <c r="L45" s="335"/>
      <c r="M45" s="331"/>
    </row>
    <row r="46" spans="1:13" x14ac:dyDescent="0.25">
      <c r="A46" s="334"/>
      <c r="B46" s="331"/>
      <c r="K46" s="326"/>
      <c r="L46" s="336"/>
      <c r="M46" s="331"/>
    </row>
    <row r="47" spans="1:13" x14ac:dyDescent="0.25">
      <c r="A47" s="334"/>
      <c r="B47" s="331"/>
      <c r="K47" s="326"/>
      <c r="L47" s="335"/>
      <c r="M47" s="331"/>
    </row>
    <row r="48" spans="1:13" x14ac:dyDescent="0.25">
      <c r="A48" s="334"/>
      <c r="B48" s="331"/>
      <c r="F48" s="330"/>
      <c r="K48" s="326"/>
      <c r="L48" s="335"/>
      <c r="M48" s="331"/>
    </row>
    <row r="49" spans="1:13" x14ac:dyDescent="0.25">
      <c r="A49" s="334"/>
      <c r="B49" s="331"/>
      <c r="F49" s="330"/>
      <c r="K49" s="326"/>
      <c r="L49" s="331"/>
      <c r="M49" s="331"/>
    </row>
    <row r="50" spans="1:13" x14ac:dyDescent="0.25">
      <c r="A50" s="334"/>
      <c r="B50" s="331"/>
      <c r="F50" s="330"/>
      <c r="K50" s="326"/>
      <c r="L50" s="331"/>
      <c r="M50" s="331"/>
    </row>
    <row r="51" spans="1:13" x14ac:dyDescent="0.25">
      <c r="A51" s="334"/>
      <c r="B51" s="331"/>
      <c r="F51" s="330"/>
      <c r="K51" s="326"/>
      <c r="L51" s="331"/>
      <c r="M51" s="331"/>
    </row>
    <row r="52" spans="1:13" x14ac:dyDescent="0.25">
      <c r="A52" s="333"/>
      <c r="B52" s="331"/>
      <c r="F52" s="330"/>
      <c r="K52" s="326"/>
      <c r="L52" s="331"/>
      <c r="M52" s="331"/>
    </row>
    <row r="53" spans="1:13" x14ac:dyDescent="0.25">
      <c r="A53" s="332"/>
      <c r="B53" s="331"/>
      <c r="F53" s="330"/>
      <c r="K53" s="326"/>
      <c r="L53" s="331"/>
      <c r="M53" s="331"/>
    </row>
    <row r="54" spans="1:13" x14ac:dyDescent="0.25">
      <c r="B54" s="331"/>
      <c r="K54" s="326"/>
      <c r="L54" s="331"/>
      <c r="M54" s="331"/>
    </row>
    <row r="55" spans="1:13" x14ac:dyDescent="0.25">
      <c r="B55" s="331"/>
      <c r="K55" s="326"/>
      <c r="L55" s="331"/>
      <c r="M55" s="331"/>
    </row>
    <row r="56" spans="1:13" x14ac:dyDescent="0.25">
      <c r="K56" s="326"/>
    </row>
  </sheetData>
  <mergeCells count="7">
    <mergeCell ref="D33:E33"/>
    <mergeCell ref="I33:J33"/>
    <mergeCell ref="C2:K3"/>
    <mergeCell ref="C6:F6"/>
    <mergeCell ref="H6:K6"/>
    <mergeCell ref="D7:E7"/>
    <mergeCell ref="I7:J7"/>
  </mergeCells>
  <pageMargins left="0.7" right="0.7" top="0.75" bottom="0.75" header="0.3" footer="0.3"/>
  <pageSetup scale="5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8A121-C79B-49A8-9478-318742173B9A}">
  <sheetPr>
    <pageSetUpPr fitToPage="1"/>
  </sheetPr>
  <dimension ref="B1:AD75"/>
  <sheetViews>
    <sheetView topLeftCell="H1" zoomScaleNormal="100" workbookViewId="0">
      <selection activeCell="I50" sqref="I50"/>
    </sheetView>
  </sheetViews>
  <sheetFormatPr defaultRowHeight="12.75" x14ac:dyDescent="0.2"/>
  <cols>
    <col min="1" max="1" width="4.42578125" style="340" customWidth="1"/>
    <col min="2" max="2" width="24.7109375" style="457" bestFit="1" customWidth="1"/>
    <col min="3" max="5" width="15" style="457" customWidth="1"/>
    <col min="6" max="6" width="2.42578125" style="457" customWidth="1"/>
    <col min="7" max="7" width="5.140625" style="457" hidden="1" customWidth="1"/>
    <col min="8" max="8" width="5.28515625" style="456" customWidth="1"/>
    <col min="9" max="9" width="34.42578125" style="340" customWidth="1"/>
    <col min="10" max="10" width="10.7109375" style="340" customWidth="1"/>
    <col min="11" max="11" width="8.28515625" style="340" customWidth="1"/>
    <col min="12" max="12" width="10.5703125" style="340" customWidth="1"/>
    <col min="13" max="13" width="10.5703125" style="340" hidden="1" customWidth="1"/>
    <col min="14" max="14" width="8.85546875" style="344" hidden="1" customWidth="1"/>
    <col min="15" max="15" width="10.42578125" style="344" bestFit="1" customWidth="1"/>
    <col min="16" max="16" width="32.140625" style="455" bestFit="1" customWidth="1"/>
    <col min="17" max="17" width="9" style="455" bestFit="1" customWidth="1"/>
    <col min="18" max="18" width="7.28515625" style="340" customWidth="1"/>
    <col min="19" max="19" width="10.140625" style="340" customWidth="1"/>
    <col min="20" max="20" width="10.140625" style="340" hidden="1" customWidth="1"/>
    <col min="21" max="21" width="10.140625" style="344" hidden="1" customWidth="1"/>
    <col min="22" max="22" width="6.5703125" style="340" bestFit="1" customWidth="1"/>
    <col min="23" max="23" width="32.140625" style="340" bestFit="1" customWidth="1"/>
    <col min="24" max="24" width="10.42578125" style="340" customWidth="1"/>
    <col min="25" max="25" width="7.7109375" style="340" customWidth="1"/>
    <col min="26" max="26" width="9.42578125" style="340" customWidth="1"/>
    <col min="27" max="27" width="9.42578125" style="340" hidden="1" customWidth="1"/>
    <col min="28" max="28" width="11.7109375" style="340" hidden="1" customWidth="1"/>
    <col min="29" max="30" width="0" style="340" hidden="1" customWidth="1"/>
    <col min="31" max="262" width="9.140625" style="340"/>
    <col min="263" max="263" width="4.42578125" style="340" customWidth="1"/>
    <col min="264" max="264" width="27" style="340" customWidth="1"/>
    <col min="265" max="265" width="10.42578125" style="340" customWidth="1"/>
    <col min="266" max="266" width="38.7109375" style="340" customWidth="1"/>
    <col min="267" max="267" width="5.28515625" style="340" customWidth="1"/>
    <col min="268" max="268" width="36" style="340" customWidth="1"/>
    <col min="269" max="269" width="10.7109375" style="340" customWidth="1"/>
    <col min="270" max="270" width="8.5703125" style="340" customWidth="1"/>
    <col min="271" max="271" width="10.5703125" style="340" customWidth="1"/>
    <col min="272" max="272" width="9.140625" style="340"/>
    <col min="273" max="273" width="33" style="340" customWidth="1"/>
    <col min="274" max="274" width="9.140625" style="340" customWidth="1"/>
    <col min="275" max="275" width="6.5703125" style="340" customWidth="1"/>
    <col min="276" max="276" width="12.28515625" style="340" customWidth="1"/>
    <col min="277" max="278" width="9.140625" style="340"/>
    <col min="279" max="279" width="17.28515625" style="340" customWidth="1"/>
    <col min="280" max="280" width="10.42578125" style="340" bestFit="1" customWidth="1"/>
    <col min="281" max="518" width="9.140625" style="340"/>
    <col min="519" max="519" width="4.42578125" style="340" customWidth="1"/>
    <col min="520" max="520" width="27" style="340" customWidth="1"/>
    <col min="521" max="521" width="10.42578125" style="340" customWidth="1"/>
    <col min="522" max="522" width="38.7109375" style="340" customWidth="1"/>
    <col min="523" max="523" width="5.28515625" style="340" customWidth="1"/>
    <col min="524" max="524" width="36" style="340" customWidth="1"/>
    <col min="525" max="525" width="10.7109375" style="340" customWidth="1"/>
    <col min="526" max="526" width="8.5703125" style="340" customWidth="1"/>
    <col min="527" max="527" width="10.5703125" style="340" customWidth="1"/>
    <col min="528" max="528" width="9.140625" style="340"/>
    <col min="529" max="529" width="33" style="340" customWidth="1"/>
    <col min="530" max="530" width="9.140625" style="340" customWidth="1"/>
    <col min="531" max="531" width="6.5703125" style="340" customWidth="1"/>
    <col min="532" max="532" width="12.28515625" style="340" customWidth="1"/>
    <col min="533" max="534" width="9.140625" style="340"/>
    <col min="535" max="535" width="17.28515625" style="340" customWidth="1"/>
    <col min="536" max="536" width="10.42578125" style="340" bestFit="1" customWidth="1"/>
    <col min="537" max="774" width="9.140625" style="340"/>
    <col min="775" max="775" width="4.42578125" style="340" customWidth="1"/>
    <col min="776" max="776" width="27" style="340" customWidth="1"/>
    <col min="777" max="777" width="10.42578125" style="340" customWidth="1"/>
    <col min="778" max="778" width="38.7109375" style="340" customWidth="1"/>
    <col min="779" max="779" width="5.28515625" style="340" customWidth="1"/>
    <col min="780" max="780" width="36" style="340" customWidth="1"/>
    <col min="781" max="781" width="10.7109375" style="340" customWidth="1"/>
    <col min="782" max="782" width="8.5703125" style="340" customWidth="1"/>
    <col min="783" max="783" width="10.5703125" style="340" customWidth="1"/>
    <col min="784" max="784" width="9.140625" style="340"/>
    <col min="785" max="785" width="33" style="340" customWidth="1"/>
    <col min="786" max="786" width="9.140625" style="340" customWidth="1"/>
    <col min="787" max="787" width="6.5703125" style="340" customWidth="1"/>
    <col min="788" max="788" width="12.28515625" style="340" customWidth="1"/>
    <col min="789" max="790" width="9.140625" style="340"/>
    <col min="791" max="791" width="17.28515625" style="340" customWidth="1"/>
    <col min="792" max="792" width="10.42578125" style="340" bestFit="1" customWidth="1"/>
    <col min="793" max="1030" width="9.140625" style="340"/>
    <col min="1031" max="1031" width="4.42578125" style="340" customWidth="1"/>
    <col min="1032" max="1032" width="27" style="340" customWidth="1"/>
    <col min="1033" max="1033" width="10.42578125" style="340" customWidth="1"/>
    <col min="1034" max="1034" width="38.7109375" style="340" customWidth="1"/>
    <col min="1035" max="1035" width="5.28515625" style="340" customWidth="1"/>
    <col min="1036" max="1036" width="36" style="340" customWidth="1"/>
    <col min="1037" max="1037" width="10.7109375" style="340" customWidth="1"/>
    <col min="1038" max="1038" width="8.5703125" style="340" customWidth="1"/>
    <col min="1039" max="1039" width="10.5703125" style="340" customWidth="1"/>
    <col min="1040" max="1040" width="9.140625" style="340"/>
    <col min="1041" max="1041" width="33" style="340" customWidth="1"/>
    <col min="1042" max="1042" width="9.140625" style="340" customWidth="1"/>
    <col min="1043" max="1043" width="6.5703125" style="340" customWidth="1"/>
    <col min="1044" max="1044" width="12.28515625" style="340" customWidth="1"/>
    <col min="1045" max="1046" width="9.140625" style="340"/>
    <col min="1047" max="1047" width="17.28515625" style="340" customWidth="1"/>
    <col min="1048" max="1048" width="10.42578125" style="340" bestFit="1" customWidth="1"/>
    <col min="1049" max="1286" width="9.140625" style="340"/>
    <col min="1287" max="1287" width="4.42578125" style="340" customWidth="1"/>
    <col min="1288" max="1288" width="27" style="340" customWidth="1"/>
    <col min="1289" max="1289" width="10.42578125" style="340" customWidth="1"/>
    <col min="1290" max="1290" width="38.7109375" style="340" customWidth="1"/>
    <col min="1291" max="1291" width="5.28515625" style="340" customWidth="1"/>
    <col min="1292" max="1292" width="36" style="340" customWidth="1"/>
    <col min="1293" max="1293" width="10.7109375" style="340" customWidth="1"/>
    <col min="1294" max="1294" width="8.5703125" style="340" customWidth="1"/>
    <col min="1295" max="1295" width="10.5703125" style="340" customWidth="1"/>
    <col min="1296" max="1296" width="9.140625" style="340"/>
    <col min="1297" max="1297" width="33" style="340" customWidth="1"/>
    <col min="1298" max="1298" width="9.140625" style="340" customWidth="1"/>
    <col min="1299" max="1299" width="6.5703125" style="340" customWidth="1"/>
    <col min="1300" max="1300" width="12.28515625" style="340" customWidth="1"/>
    <col min="1301" max="1302" width="9.140625" style="340"/>
    <col min="1303" max="1303" width="17.28515625" style="340" customWidth="1"/>
    <col min="1304" max="1304" width="10.42578125" style="340" bestFit="1" customWidth="1"/>
    <col min="1305" max="1542" width="9.140625" style="340"/>
    <col min="1543" max="1543" width="4.42578125" style="340" customWidth="1"/>
    <col min="1544" max="1544" width="27" style="340" customWidth="1"/>
    <col min="1545" max="1545" width="10.42578125" style="340" customWidth="1"/>
    <col min="1546" max="1546" width="38.7109375" style="340" customWidth="1"/>
    <col min="1547" max="1547" width="5.28515625" style="340" customWidth="1"/>
    <col min="1548" max="1548" width="36" style="340" customWidth="1"/>
    <col min="1549" max="1549" width="10.7109375" style="340" customWidth="1"/>
    <col min="1550" max="1550" width="8.5703125" style="340" customWidth="1"/>
    <col min="1551" max="1551" width="10.5703125" style="340" customWidth="1"/>
    <col min="1552" max="1552" width="9.140625" style="340"/>
    <col min="1553" max="1553" width="33" style="340" customWidth="1"/>
    <col min="1554" max="1554" width="9.140625" style="340" customWidth="1"/>
    <col min="1555" max="1555" width="6.5703125" style="340" customWidth="1"/>
    <col min="1556" max="1556" width="12.28515625" style="340" customWidth="1"/>
    <col min="1557" max="1558" width="9.140625" style="340"/>
    <col min="1559" max="1559" width="17.28515625" style="340" customWidth="1"/>
    <col min="1560" max="1560" width="10.42578125" style="340" bestFit="1" customWidth="1"/>
    <col min="1561" max="1798" width="9.140625" style="340"/>
    <col min="1799" max="1799" width="4.42578125" style="340" customWidth="1"/>
    <col min="1800" max="1800" width="27" style="340" customWidth="1"/>
    <col min="1801" max="1801" width="10.42578125" style="340" customWidth="1"/>
    <col min="1802" max="1802" width="38.7109375" style="340" customWidth="1"/>
    <col min="1803" max="1803" width="5.28515625" style="340" customWidth="1"/>
    <col min="1804" max="1804" width="36" style="340" customWidth="1"/>
    <col min="1805" max="1805" width="10.7109375" style="340" customWidth="1"/>
    <col min="1806" max="1806" width="8.5703125" style="340" customWidth="1"/>
    <col min="1807" max="1807" width="10.5703125" style="340" customWidth="1"/>
    <col min="1808" max="1808" width="9.140625" style="340"/>
    <col min="1809" max="1809" width="33" style="340" customWidth="1"/>
    <col min="1810" max="1810" width="9.140625" style="340" customWidth="1"/>
    <col min="1811" max="1811" width="6.5703125" style="340" customWidth="1"/>
    <col min="1812" max="1812" width="12.28515625" style="340" customWidth="1"/>
    <col min="1813" max="1814" width="9.140625" style="340"/>
    <col min="1815" max="1815" width="17.28515625" style="340" customWidth="1"/>
    <col min="1816" max="1816" width="10.42578125" style="340" bestFit="1" customWidth="1"/>
    <col min="1817" max="2054" width="9.140625" style="340"/>
    <col min="2055" max="2055" width="4.42578125" style="340" customWidth="1"/>
    <col min="2056" max="2056" width="27" style="340" customWidth="1"/>
    <col min="2057" max="2057" width="10.42578125" style="340" customWidth="1"/>
    <col min="2058" max="2058" width="38.7109375" style="340" customWidth="1"/>
    <col min="2059" max="2059" width="5.28515625" style="340" customWidth="1"/>
    <col min="2060" max="2060" width="36" style="340" customWidth="1"/>
    <col min="2061" max="2061" width="10.7109375" style="340" customWidth="1"/>
    <col min="2062" max="2062" width="8.5703125" style="340" customWidth="1"/>
    <col min="2063" max="2063" width="10.5703125" style="340" customWidth="1"/>
    <col min="2064" max="2064" width="9.140625" style="340"/>
    <col min="2065" max="2065" width="33" style="340" customWidth="1"/>
    <col min="2066" max="2066" width="9.140625" style="340" customWidth="1"/>
    <col min="2067" max="2067" width="6.5703125" style="340" customWidth="1"/>
    <col min="2068" max="2068" width="12.28515625" style="340" customWidth="1"/>
    <col min="2069" max="2070" width="9.140625" style="340"/>
    <col min="2071" max="2071" width="17.28515625" style="340" customWidth="1"/>
    <col min="2072" max="2072" width="10.42578125" style="340" bestFit="1" customWidth="1"/>
    <col min="2073" max="2310" width="9.140625" style="340"/>
    <col min="2311" max="2311" width="4.42578125" style="340" customWidth="1"/>
    <col min="2312" max="2312" width="27" style="340" customWidth="1"/>
    <col min="2313" max="2313" width="10.42578125" style="340" customWidth="1"/>
    <col min="2314" max="2314" width="38.7109375" style="340" customWidth="1"/>
    <col min="2315" max="2315" width="5.28515625" style="340" customWidth="1"/>
    <col min="2316" max="2316" width="36" style="340" customWidth="1"/>
    <col min="2317" max="2317" width="10.7109375" style="340" customWidth="1"/>
    <col min="2318" max="2318" width="8.5703125" style="340" customWidth="1"/>
    <col min="2319" max="2319" width="10.5703125" style="340" customWidth="1"/>
    <col min="2320" max="2320" width="9.140625" style="340"/>
    <col min="2321" max="2321" width="33" style="340" customWidth="1"/>
    <col min="2322" max="2322" width="9.140625" style="340" customWidth="1"/>
    <col min="2323" max="2323" width="6.5703125" style="340" customWidth="1"/>
    <col min="2324" max="2324" width="12.28515625" style="340" customWidth="1"/>
    <col min="2325" max="2326" width="9.140625" style="340"/>
    <col min="2327" max="2327" width="17.28515625" style="340" customWidth="1"/>
    <col min="2328" max="2328" width="10.42578125" style="340" bestFit="1" customWidth="1"/>
    <col min="2329" max="2566" width="9.140625" style="340"/>
    <col min="2567" max="2567" width="4.42578125" style="340" customWidth="1"/>
    <col min="2568" max="2568" width="27" style="340" customWidth="1"/>
    <col min="2569" max="2569" width="10.42578125" style="340" customWidth="1"/>
    <col min="2570" max="2570" width="38.7109375" style="340" customWidth="1"/>
    <col min="2571" max="2571" width="5.28515625" style="340" customWidth="1"/>
    <col min="2572" max="2572" width="36" style="340" customWidth="1"/>
    <col min="2573" max="2573" width="10.7109375" style="340" customWidth="1"/>
    <col min="2574" max="2574" width="8.5703125" style="340" customWidth="1"/>
    <col min="2575" max="2575" width="10.5703125" style="340" customWidth="1"/>
    <col min="2576" max="2576" width="9.140625" style="340"/>
    <col min="2577" max="2577" width="33" style="340" customWidth="1"/>
    <col min="2578" max="2578" width="9.140625" style="340" customWidth="1"/>
    <col min="2579" max="2579" width="6.5703125" style="340" customWidth="1"/>
    <col min="2580" max="2580" width="12.28515625" style="340" customWidth="1"/>
    <col min="2581" max="2582" width="9.140625" style="340"/>
    <col min="2583" max="2583" width="17.28515625" style="340" customWidth="1"/>
    <col min="2584" max="2584" width="10.42578125" style="340" bestFit="1" customWidth="1"/>
    <col min="2585" max="2822" width="9.140625" style="340"/>
    <col min="2823" max="2823" width="4.42578125" style="340" customWidth="1"/>
    <col min="2824" max="2824" width="27" style="340" customWidth="1"/>
    <col min="2825" max="2825" width="10.42578125" style="340" customWidth="1"/>
    <col min="2826" max="2826" width="38.7109375" style="340" customWidth="1"/>
    <col min="2827" max="2827" width="5.28515625" style="340" customWidth="1"/>
    <col min="2828" max="2828" width="36" style="340" customWidth="1"/>
    <col min="2829" max="2829" width="10.7109375" style="340" customWidth="1"/>
    <col min="2830" max="2830" width="8.5703125" style="340" customWidth="1"/>
    <col min="2831" max="2831" width="10.5703125" style="340" customWidth="1"/>
    <col min="2832" max="2832" width="9.140625" style="340"/>
    <col min="2833" max="2833" width="33" style="340" customWidth="1"/>
    <col min="2834" max="2834" width="9.140625" style="340" customWidth="1"/>
    <col min="2835" max="2835" width="6.5703125" style="340" customWidth="1"/>
    <col min="2836" max="2836" width="12.28515625" style="340" customWidth="1"/>
    <col min="2837" max="2838" width="9.140625" style="340"/>
    <col min="2839" max="2839" width="17.28515625" style="340" customWidth="1"/>
    <col min="2840" max="2840" width="10.42578125" style="340" bestFit="1" customWidth="1"/>
    <col min="2841" max="3078" width="9.140625" style="340"/>
    <col min="3079" max="3079" width="4.42578125" style="340" customWidth="1"/>
    <col min="3080" max="3080" width="27" style="340" customWidth="1"/>
    <col min="3081" max="3081" width="10.42578125" style="340" customWidth="1"/>
    <col min="3082" max="3082" width="38.7109375" style="340" customWidth="1"/>
    <col min="3083" max="3083" width="5.28515625" style="340" customWidth="1"/>
    <col min="3084" max="3084" width="36" style="340" customWidth="1"/>
    <col min="3085" max="3085" width="10.7109375" style="340" customWidth="1"/>
    <col min="3086" max="3086" width="8.5703125" style="340" customWidth="1"/>
    <col min="3087" max="3087" width="10.5703125" style="340" customWidth="1"/>
    <col min="3088" max="3088" width="9.140625" style="340"/>
    <col min="3089" max="3089" width="33" style="340" customWidth="1"/>
    <col min="3090" max="3090" width="9.140625" style="340" customWidth="1"/>
    <col min="3091" max="3091" width="6.5703125" style="340" customWidth="1"/>
    <col min="3092" max="3092" width="12.28515625" style="340" customWidth="1"/>
    <col min="3093" max="3094" width="9.140625" style="340"/>
    <col min="3095" max="3095" width="17.28515625" style="340" customWidth="1"/>
    <col min="3096" max="3096" width="10.42578125" style="340" bestFit="1" customWidth="1"/>
    <col min="3097" max="3334" width="9.140625" style="340"/>
    <col min="3335" max="3335" width="4.42578125" style="340" customWidth="1"/>
    <col min="3336" max="3336" width="27" style="340" customWidth="1"/>
    <col min="3337" max="3337" width="10.42578125" style="340" customWidth="1"/>
    <col min="3338" max="3338" width="38.7109375" style="340" customWidth="1"/>
    <col min="3339" max="3339" width="5.28515625" style="340" customWidth="1"/>
    <col min="3340" max="3340" width="36" style="340" customWidth="1"/>
    <col min="3341" max="3341" width="10.7109375" style="340" customWidth="1"/>
    <col min="3342" max="3342" width="8.5703125" style="340" customWidth="1"/>
    <col min="3343" max="3343" width="10.5703125" style="340" customWidth="1"/>
    <col min="3344" max="3344" width="9.140625" style="340"/>
    <col min="3345" max="3345" width="33" style="340" customWidth="1"/>
    <col min="3346" max="3346" width="9.140625" style="340" customWidth="1"/>
    <col min="3347" max="3347" width="6.5703125" style="340" customWidth="1"/>
    <col min="3348" max="3348" width="12.28515625" style="340" customWidth="1"/>
    <col min="3349" max="3350" width="9.140625" style="340"/>
    <col min="3351" max="3351" width="17.28515625" style="340" customWidth="1"/>
    <col min="3352" max="3352" width="10.42578125" style="340" bestFit="1" customWidth="1"/>
    <col min="3353" max="3590" width="9.140625" style="340"/>
    <col min="3591" max="3591" width="4.42578125" style="340" customWidth="1"/>
    <col min="3592" max="3592" width="27" style="340" customWidth="1"/>
    <col min="3593" max="3593" width="10.42578125" style="340" customWidth="1"/>
    <col min="3594" max="3594" width="38.7109375" style="340" customWidth="1"/>
    <col min="3595" max="3595" width="5.28515625" style="340" customWidth="1"/>
    <col min="3596" max="3596" width="36" style="340" customWidth="1"/>
    <col min="3597" max="3597" width="10.7109375" style="340" customWidth="1"/>
    <col min="3598" max="3598" width="8.5703125" style="340" customWidth="1"/>
    <col min="3599" max="3599" width="10.5703125" style="340" customWidth="1"/>
    <col min="3600" max="3600" width="9.140625" style="340"/>
    <col min="3601" max="3601" width="33" style="340" customWidth="1"/>
    <col min="3602" max="3602" width="9.140625" style="340" customWidth="1"/>
    <col min="3603" max="3603" width="6.5703125" style="340" customWidth="1"/>
    <col min="3604" max="3604" width="12.28515625" style="340" customWidth="1"/>
    <col min="3605" max="3606" width="9.140625" style="340"/>
    <col min="3607" max="3607" width="17.28515625" style="340" customWidth="1"/>
    <col min="3608" max="3608" width="10.42578125" style="340" bestFit="1" customWidth="1"/>
    <col min="3609" max="3846" width="9.140625" style="340"/>
    <col min="3847" max="3847" width="4.42578125" style="340" customWidth="1"/>
    <col min="3848" max="3848" width="27" style="340" customWidth="1"/>
    <col min="3849" max="3849" width="10.42578125" style="340" customWidth="1"/>
    <col min="3850" max="3850" width="38.7109375" style="340" customWidth="1"/>
    <col min="3851" max="3851" width="5.28515625" style="340" customWidth="1"/>
    <col min="3852" max="3852" width="36" style="340" customWidth="1"/>
    <col min="3853" max="3853" width="10.7109375" style="340" customWidth="1"/>
    <col min="3854" max="3854" width="8.5703125" style="340" customWidth="1"/>
    <col min="3855" max="3855" width="10.5703125" style="340" customWidth="1"/>
    <col min="3856" max="3856" width="9.140625" style="340"/>
    <col min="3857" max="3857" width="33" style="340" customWidth="1"/>
    <col min="3858" max="3858" width="9.140625" style="340" customWidth="1"/>
    <col min="3859" max="3859" width="6.5703125" style="340" customWidth="1"/>
    <col min="3860" max="3860" width="12.28515625" style="340" customWidth="1"/>
    <col min="3861" max="3862" width="9.140625" style="340"/>
    <col min="3863" max="3863" width="17.28515625" style="340" customWidth="1"/>
    <col min="3864" max="3864" width="10.42578125" style="340" bestFit="1" customWidth="1"/>
    <col min="3865" max="4102" width="9.140625" style="340"/>
    <col min="4103" max="4103" width="4.42578125" style="340" customWidth="1"/>
    <col min="4104" max="4104" width="27" style="340" customWidth="1"/>
    <col min="4105" max="4105" width="10.42578125" style="340" customWidth="1"/>
    <col min="4106" max="4106" width="38.7109375" style="340" customWidth="1"/>
    <col min="4107" max="4107" width="5.28515625" style="340" customWidth="1"/>
    <col min="4108" max="4108" width="36" style="340" customWidth="1"/>
    <col min="4109" max="4109" width="10.7109375" style="340" customWidth="1"/>
    <col min="4110" max="4110" width="8.5703125" style="340" customWidth="1"/>
    <col min="4111" max="4111" width="10.5703125" style="340" customWidth="1"/>
    <col min="4112" max="4112" width="9.140625" style="340"/>
    <col min="4113" max="4113" width="33" style="340" customWidth="1"/>
    <col min="4114" max="4114" width="9.140625" style="340" customWidth="1"/>
    <col min="4115" max="4115" width="6.5703125" style="340" customWidth="1"/>
    <col min="4116" max="4116" width="12.28515625" style="340" customWidth="1"/>
    <col min="4117" max="4118" width="9.140625" style="340"/>
    <col min="4119" max="4119" width="17.28515625" style="340" customWidth="1"/>
    <col min="4120" max="4120" width="10.42578125" style="340" bestFit="1" customWidth="1"/>
    <col min="4121" max="4358" width="9.140625" style="340"/>
    <col min="4359" max="4359" width="4.42578125" style="340" customWidth="1"/>
    <col min="4360" max="4360" width="27" style="340" customWidth="1"/>
    <col min="4361" max="4361" width="10.42578125" style="340" customWidth="1"/>
    <col min="4362" max="4362" width="38.7109375" style="340" customWidth="1"/>
    <col min="4363" max="4363" width="5.28515625" style="340" customWidth="1"/>
    <col min="4364" max="4364" width="36" style="340" customWidth="1"/>
    <col min="4365" max="4365" width="10.7109375" style="340" customWidth="1"/>
    <col min="4366" max="4366" width="8.5703125" style="340" customWidth="1"/>
    <col min="4367" max="4367" width="10.5703125" style="340" customWidth="1"/>
    <col min="4368" max="4368" width="9.140625" style="340"/>
    <col min="4369" max="4369" width="33" style="340" customWidth="1"/>
    <col min="4370" max="4370" width="9.140625" style="340" customWidth="1"/>
    <col min="4371" max="4371" width="6.5703125" style="340" customWidth="1"/>
    <col min="4372" max="4372" width="12.28515625" style="340" customWidth="1"/>
    <col min="4373" max="4374" width="9.140625" style="340"/>
    <col min="4375" max="4375" width="17.28515625" style="340" customWidth="1"/>
    <col min="4376" max="4376" width="10.42578125" style="340" bestFit="1" customWidth="1"/>
    <col min="4377" max="4614" width="9.140625" style="340"/>
    <col min="4615" max="4615" width="4.42578125" style="340" customWidth="1"/>
    <col min="4616" max="4616" width="27" style="340" customWidth="1"/>
    <col min="4617" max="4617" width="10.42578125" style="340" customWidth="1"/>
    <col min="4618" max="4618" width="38.7109375" style="340" customWidth="1"/>
    <col min="4619" max="4619" width="5.28515625" style="340" customWidth="1"/>
    <col min="4620" max="4620" width="36" style="340" customWidth="1"/>
    <col min="4621" max="4621" width="10.7109375" style="340" customWidth="1"/>
    <col min="4622" max="4622" width="8.5703125" style="340" customWidth="1"/>
    <col min="4623" max="4623" width="10.5703125" style="340" customWidth="1"/>
    <col min="4624" max="4624" width="9.140625" style="340"/>
    <col min="4625" max="4625" width="33" style="340" customWidth="1"/>
    <col min="4626" max="4626" width="9.140625" style="340" customWidth="1"/>
    <col min="4627" max="4627" width="6.5703125" style="340" customWidth="1"/>
    <col min="4628" max="4628" width="12.28515625" style="340" customWidth="1"/>
    <col min="4629" max="4630" width="9.140625" style="340"/>
    <col min="4631" max="4631" width="17.28515625" style="340" customWidth="1"/>
    <col min="4632" max="4632" width="10.42578125" style="340" bestFit="1" customWidth="1"/>
    <col min="4633" max="4870" width="9.140625" style="340"/>
    <col min="4871" max="4871" width="4.42578125" style="340" customWidth="1"/>
    <col min="4872" max="4872" width="27" style="340" customWidth="1"/>
    <col min="4873" max="4873" width="10.42578125" style="340" customWidth="1"/>
    <col min="4874" max="4874" width="38.7109375" style="340" customWidth="1"/>
    <col min="4875" max="4875" width="5.28515625" style="340" customWidth="1"/>
    <col min="4876" max="4876" width="36" style="340" customWidth="1"/>
    <col min="4877" max="4877" width="10.7109375" style="340" customWidth="1"/>
    <col min="4878" max="4878" width="8.5703125" style="340" customWidth="1"/>
    <col min="4879" max="4879" width="10.5703125" style="340" customWidth="1"/>
    <col min="4880" max="4880" width="9.140625" style="340"/>
    <col min="4881" max="4881" width="33" style="340" customWidth="1"/>
    <col min="4882" max="4882" width="9.140625" style="340" customWidth="1"/>
    <col min="4883" max="4883" width="6.5703125" style="340" customWidth="1"/>
    <col min="4884" max="4884" width="12.28515625" style="340" customWidth="1"/>
    <col min="4885" max="4886" width="9.140625" style="340"/>
    <col min="4887" max="4887" width="17.28515625" style="340" customWidth="1"/>
    <col min="4888" max="4888" width="10.42578125" style="340" bestFit="1" customWidth="1"/>
    <col min="4889" max="5126" width="9.140625" style="340"/>
    <col min="5127" max="5127" width="4.42578125" style="340" customWidth="1"/>
    <col min="5128" max="5128" width="27" style="340" customWidth="1"/>
    <col min="5129" max="5129" width="10.42578125" style="340" customWidth="1"/>
    <col min="5130" max="5130" width="38.7109375" style="340" customWidth="1"/>
    <col min="5131" max="5131" width="5.28515625" style="340" customWidth="1"/>
    <col min="5132" max="5132" width="36" style="340" customWidth="1"/>
    <col min="5133" max="5133" width="10.7109375" style="340" customWidth="1"/>
    <col min="5134" max="5134" width="8.5703125" style="340" customWidth="1"/>
    <col min="5135" max="5135" width="10.5703125" style="340" customWidth="1"/>
    <col min="5136" max="5136" width="9.140625" style="340"/>
    <col min="5137" max="5137" width="33" style="340" customWidth="1"/>
    <col min="5138" max="5138" width="9.140625" style="340" customWidth="1"/>
    <col min="5139" max="5139" width="6.5703125" style="340" customWidth="1"/>
    <col min="5140" max="5140" width="12.28515625" style="340" customWidth="1"/>
    <col min="5141" max="5142" width="9.140625" style="340"/>
    <col min="5143" max="5143" width="17.28515625" style="340" customWidth="1"/>
    <col min="5144" max="5144" width="10.42578125" style="340" bestFit="1" customWidth="1"/>
    <col min="5145" max="5382" width="9.140625" style="340"/>
    <col min="5383" max="5383" width="4.42578125" style="340" customWidth="1"/>
    <col min="5384" max="5384" width="27" style="340" customWidth="1"/>
    <col min="5385" max="5385" width="10.42578125" style="340" customWidth="1"/>
    <col min="5386" max="5386" width="38.7109375" style="340" customWidth="1"/>
    <col min="5387" max="5387" width="5.28515625" style="340" customWidth="1"/>
    <col min="5388" max="5388" width="36" style="340" customWidth="1"/>
    <col min="5389" max="5389" width="10.7109375" style="340" customWidth="1"/>
    <col min="5390" max="5390" width="8.5703125" style="340" customWidth="1"/>
    <col min="5391" max="5391" width="10.5703125" style="340" customWidth="1"/>
    <col min="5392" max="5392" width="9.140625" style="340"/>
    <col min="5393" max="5393" width="33" style="340" customWidth="1"/>
    <col min="5394" max="5394" width="9.140625" style="340" customWidth="1"/>
    <col min="5395" max="5395" width="6.5703125" style="340" customWidth="1"/>
    <col min="5396" max="5396" width="12.28515625" style="340" customWidth="1"/>
    <col min="5397" max="5398" width="9.140625" style="340"/>
    <col min="5399" max="5399" width="17.28515625" style="340" customWidth="1"/>
    <col min="5400" max="5400" width="10.42578125" style="340" bestFit="1" customWidth="1"/>
    <col min="5401" max="5638" width="9.140625" style="340"/>
    <col min="5639" max="5639" width="4.42578125" style="340" customWidth="1"/>
    <col min="5640" max="5640" width="27" style="340" customWidth="1"/>
    <col min="5641" max="5641" width="10.42578125" style="340" customWidth="1"/>
    <col min="5642" max="5642" width="38.7109375" style="340" customWidth="1"/>
    <col min="5643" max="5643" width="5.28515625" style="340" customWidth="1"/>
    <col min="5644" max="5644" width="36" style="340" customWidth="1"/>
    <col min="5645" max="5645" width="10.7109375" style="340" customWidth="1"/>
    <col min="5646" max="5646" width="8.5703125" style="340" customWidth="1"/>
    <col min="5647" max="5647" width="10.5703125" style="340" customWidth="1"/>
    <col min="5648" max="5648" width="9.140625" style="340"/>
    <col min="5649" max="5649" width="33" style="340" customWidth="1"/>
    <col min="5650" max="5650" width="9.140625" style="340" customWidth="1"/>
    <col min="5651" max="5651" width="6.5703125" style="340" customWidth="1"/>
    <col min="5652" max="5652" width="12.28515625" style="340" customWidth="1"/>
    <col min="5653" max="5654" width="9.140625" style="340"/>
    <col min="5655" max="5655" width="17.28515625" style="340" customWidth="1"/>
    <col min="5656" max="5656" width="10.42578125" style="340" bestFit="1" customWidth="1"/>
    <col min="5657" max="5894" width="9.140625" style="340"/>
    <col min="5895" max="5895" width="4.42578125" style="340" customWidth="1"/>
    <col min="5896" max="5896" width="27" style="340" customWidth="1"/>
    <col min="5897" max="5897" width="10.42578125" style="340" customWidth="1"/>
    <col min="5898" max="5898" width="38.7109375" style="340" customWidth="1"/>
    <col min="5899" max="5899" width="5.28515625" style="340" customWidth="1"/>
    <col min="5900" max="5900" width="36" style="340" customWidth="1"/>
    <col min="5901" max="5901" width="10.7109375" style="340" customWidth="1"/>
    <col min="5902" max="5902" width="8.5703125" style="340" customWidth="1"/>
    <col min="5903" max="5903" width="10.5703125" style="340" customWidth="1"/>
    <col min="5904" max="5904" width="9.140625" style="340"/>
    <col min="5905" max="5905" width="33" style="340" customWidth="1"/>
    <col min="5906" max="5906" width="9.140625" style="340" customWidth="1"/>
    <col min="5907" max="5907" width="6.5703125" style="340" customWidth="1"/>
    <col min="5908" max="5908" width="12.28515625" style="340" customWidth="1"/>
    <col min="5909" max="5910" width="9.140625" style="340"/>
    <col min="5911" max="5911" width="17.28515625" style="340" customWidth="1"/>
    <col min="5912" max="5912" width="10.42578125" style="340" bestFit="1" customWidth="1"/>
    <col min="5913" max="6150" width="9.140625" style="340"/>
    <col min="6151" max="6151" width="4.42578125" style="340" customWidth="1"/>
    <col min="6152" max="6152" width="27" style="340" customWidth="1"/>
    <col min="6153" max="6153" width="10.42578125" style="340" customWidth="1"/>
    <col min="6154" max="6154" width="38.7109375" style="340" customWidth="1"/>
    <col min="6155" max="6155" width="5.28515625" style="340" customWidth="1"/>
    <col min="6156" max="6156" width="36" style="340" customWidth="1"/>
    <col min="6157" max="6157" width="10.7109375" style="340" customWidth="1"/>
    <col min="6158" max="6158" width="8.5703125" style="340" customWidth="1"/>
    <col min="6159" max="6159" width="10.5703125" style="340" customWidth="1"/>
    <col min="6160" max="6160" width="9.140625" style="340"/>
    <col min="6161" max="6161" width="33" style="340" customWidth="1"/>
    <col min="6162" max="6162" width="9.140625" style="340" customWidth="1"/>
    <col min="6163" max="6163" width="6.5703125" style="340" customWidth="1"/>
    <col min="6164" max="6164" width="12.28515625" style="340" customWidth="1"/>
    <col min="6165" max="6166" width="9.140625" style="340"/>
    <col min="6167" max="6167" width="17.28515625" style="340" customWidth="1"/>
    <col min="6168" max="6168" width="10.42578125" style="340" bestFit="1" customWidth="1"/>
    <col min="6169" max="6406" width="9.140625" style="340"/>
    <col min="6407" max="6407" width="4.42578125" style="340" customWidth="1"/>
    <col min="6408" max="6408" width="27" style="340" customWidth="1"/>
    <col min="6409" max="6409" width="10.42578125" style="340" customWidth="1"/>
    <col min="6410" max="6410" width="38.7109375" style="340" customWidth="1"/>
    <col min="6411" max="6411" width="5.28515625" style="340" customWidth="1"/>
    <col min="6412" max="6412" width="36" style="340" customWidth="1"/>
    <col min="6413" max="6413" width="10.7109375" style="340" customWidth="1"/>
    <col min="6414" max="6414" width="8.5703125" style="340" customWidth="1"/>
    <col min="6415" max="6415" width="10.5703125" style="340" customWidth="1"/>
    <col min="6416" max="6416" width="9.140625" style="340"/>
    <col min="6417" max="6417" width="33" style="340" customWidth="1"/>
    <col min="6418" max="6418" width="9.140625" style="340" customWidth="1"/>
    <col min="6419" max="6419" width="6.5703125" style="340" customWidth="1"/>
    <col min="6420" max="6420" width="12.28515625" style="340" customWidth="1"/>
    <col min="6421" max="6422" width="9.140625" style="340"/>
    <col min="6423" max="6423" width="17.28515625" style="340" customWidth="1"/>
    <col min="6424" max="6424" width="10.42578125" style="340" bestFit="1" customWidth="1"/>
    <col min="6425" max="6662" width="9.140625" style="340"/>
    <col min="6663" max="6663" width="4.42578125" style="340" customWidth="1"/>
    <col min="6664" max="6664" width="27" style="340" customWidth="1"/>
    <col min="6665" max="6665" width="10.42578125" style="340" customWidth="1"/>
    <col min="6666" max="6666" width="38.7109375" style="340" customWidth="1"/>
    <col min="6667" max="6667" width="5.28515625" style="340" customWidth="1"/>
    <col min="6668" max="6668" width="36" style="340" customWidth="1"/>
    <col min="6669" max="6669" width="10.7109375" style="340" customWidth="1"/>
    <col min="6670" max="6670" width="8.5703125" style="340" customWidth="1"/>
    <col min="6671" max="6671" width="10.5703125" style="340" customWidth="1"/>
    <col min="6672" max="6672" width="9.140625" style="340"/>
    <col min="6673" max="6673" width="33" style="340" customWidth="1"/>
    <col min="6674" max="6674" width="9.140625" style="340" customWidth="1"/>
    <col min="6675" max="6675" width="6.5703125" style="340" customWidth="1"/>
    <col min="6676" max="6676" width="12.28515625" style="340" customWidth="1"/>
    <col min="6677" max="6678" width="9.140625" style="340"/>
    <col min="6679" max="6679" width="17.28515625" style="340" customWidth="1"/>
    <col min="6680" max="6680" width="10.42578125" style="340" bestFit="1" customWidth="1"/>
    <col min="6681" max="6918" width="9.140625" style="340"/>
    <col min="6919" max="6919" width="4.42578125" style="340" customWidth="1"/>
    <col min="6920" max="6920" width="27" style="340" customWidth="1"/>
    <col min="6921" max="6921" width="10.42578125" style="340" customWidth="1"/>
    <col min="6922" max="6922" width="38.7109375" style="340" customWidth="1"/>
    <col min="6923" max="6923" width="5.28515625" style="340" customWidth="1"/>
    <col min="6924" max="6924" width="36" style="340" customWidth="1"/>
    <col min="6925" max="6925" width="10.7109375" style="340" customWidth="1"/>
    <col min="6926" max="6926" width="8.5703125" style="340" customWidth="1"/>
    <col min="6927" max="6927" width="10.5703125" style="340" customWidth="1"/>
    <col min="6928" max="6928" width="9.140625" style="340"/>
    <col min="6929" max="6929" width="33" style="340" customWidth="1"/>
    <col min="6930" max="6930" width="9.140625" style="340" customWidth="1"/>
    <col min="6931" max="6931" width="6.5703125" style="340" customWidth="1"/>
    <col min="6932" max="6932" width="12.28515625" style="340" customWidth="1"/>
    <col min="6933" max="6934" width="9.140625" style="340"/>
    <col min="6935" max="6935" width="17.28515625" style="340" customWidth="1"/>
    <col min="6936" max="6936" width="10.42578125" style="340" bestFit="1" customWidth="1"/>
    <col min="6937" max="7174" width="9.140625" style="340"/>
    <col min="7175" max="7175" width="4.42578125" style="340" customWidth="1"/>
    <col min="7176" max="7176" width="27" style="340" customWidth="1"/>
    <col min="7177" max="7177" width="10.42578125" style="340" customWidth="1"/>
    <col min="7178" max="7178" width="38.7109375" style="340" customWidth="1"/>
    <col min="7179" max="7179" width="5.28515625" style="340" customWidth="1"/>
    <col min="7180" max="7180" width="36" style="340" customWidth="1"/>
    <col min="7181" max="7181" width="10.7109375" style="340" customWidth="1"/>
    <col min="7182" max="7182" width="8.5703125" style="340" customWidth="1"/>
    <col min="7183" max="7183" width="10.5703125" style="340" customWidth="1"/>
    <col min="7184" max="7184" width="9.140625" style="340"/>
    <col min="7185" max="7185" width="33" style="340" customWidth="1"/>
    <col min="7186" max="7186" width="9.140625" style="340" customWidth="1"/>
    <col min="7187" max="7187" width="6.5703125" style="340" customWidth="1"/>
    <col min="7188" max="7188" width="12.28515625" style="340" customWidth="1"/>
    <col min="7189" max="7190" width="9.140625" style="340"/>
    <col min="7191" max="7191" width="17.28515625" style="340" customWidth="1"/>
    <col min="7192" max="7192" width="10.42578125" style="340" bestFit="1" customWidth="1"/>
    <col min="7193" max="7430" width="9.140625" style="340"/>
    <col min="7431" max="7431" width="4.42578125" style="340" customWidth="1"/>
    <col min="7432" max="7432" width="27" style="340" customWidth="1"/>
    <col min="7433" max="7433" width="10.42578125" style="340" customWidth="1"/>
    <col min="7434" max="7434" width="38.7109375" style="340" customWidth="1"/>
    <col min="7435" max="7435" width="5.28515625" style="340" customWidth="1"/>
    <col min="7436" max="7436" width="36" style="340" customWidth="1"/>
    <col min="7437" max="7437" width="10.7109375" style="340" customWidth="1"/>
    <col min="7438" max="7438" width="8.5703125" style="340" customWidth="1"/>
    <col min="7439" max="7439" width="10.5703125" style="340" customWidth="1"/>
    <col min="7440" max="7440" width="9.140625" style="340"/>
    <col min="7441" max="7441" width="33" style="340" customWidth="1"/>
    <col min="7442" max="7442" width="9.140625" style="340" customWidth="1"/>
    <col min="7443" max="7443" width="6.5703125" style="340" customWidth="1"/>
    <col min="7444" max="7444" width="12.28515625" style="340" customWidth="1"/>
    <col min="7445" max="7446" width="9.140625" style="340"/>
    <col min="7447" max="7447" width="17.28515625" style="340" customWidth="1"/>
    <col min="7448" max="7448" width="10.42578125" style="340" bestFit="1" customWidth="1"/>
    <col min="7449" max="7686" width="9.140625" style="340"/>
    <col min="7687" max="7687" width="4.42578125" style="340" customWidth="1"/>
    <col min="7688" max="7688" width="27" style="340" customWidth="1"/>
    <col min="7689" max="7689" width="10.42578125" style="340" customWidth="1"/>
    <col min="7690" max="7690" width="38.7109375" style="340" customWidth="1"/>
    <col min="7691" max="7691" width="5.28515625" style="340" customWidth="1"/>
    <col min="7692" max="7692" width="36" style="340" customWidth="1"/>
    <col min="7693" max="7693" width="10.7109375" style="340" customWidth="1"/>
    <col min="7694" max="7694" width="8.5703125" style="340" customWidth="1"/>
    <col min="7695" max="7695" width="10.5703125" style="340" customWidth="1"/>
    <col min="7696" max="7696" width="9.140625" style="340"/>
    <col min="7697" max="7697" width="33" style="340" customWidth="1"/>
    <col min="7698" max="7698" width="9.140625" style="340" customWidth="1"/>
    <col min="7699" max="7699" width="6.5703125" style="340" customWidth="1"/>
    <col min="7700" max="7700" width="12.28515625" style="340" customWidth="1"/>
    <col min="7701" max="7702" width="9.140625" style="340"/>
    <col min="7703" max="7703" width="17.28515625" style="340" customWidth="1"/>
    <col min="7704" max="7704" width="10.42578125" style="340" bestFit="1" customWidth="1"/>
    <col min="7705" max="7942" width="9.140625" style="340"/>
    <col min="7943" max="7943" width="4.42578125" style="340" customWidth="1"/>
    <col min="7944" max="7944" width="27" style="340" customWidth="1"/>
    <col min="7945" max="7945" width="10.42578125" style="340" customWidth="1"/>
    <col min="7946" max="7946" width="38.7109375" style="340" customWidth="1"/>
    <col min="7947" max="7947" width="5.28515625" style="340" customWidth="1"/>
    <col min="7948" max="7948" width="36" style="340" customWidth="1"/>
    <col min="7949" max="7949" width="10.7109375" style="340" customWidth="1"/>
    <col min="7950" max="7950" width="8.5703125" style="340" customWidth="1"/>
    <col min="7951" max="7951" width="10.5703125" style="340" customWidth="1"/>
    <col min="7952" max="7952" width="9.140625" style="340"/>
    <col min="7953" max="7953" width="33" style="340" customWidth="1"/>
    <col min="7954" max="7954" width="9.140625" style="340" customWidth="1"/>
    <col min="7955" max="7955" width="6.5703125" style="340" customWidth="1"/>
    <col min="7956" max="7956" width="12.28515625" style="340" customWidth="1"/>
    <col min="7957" max="7958" width="9.140625" style="340"/>
    <col min="7959" max="7959" width="17.28515625" style="340" customWidth="1"/>
    <col min="7960" max="7960" width="10.42578125" style="340" bestFit="1" customWidth="1"/>
    <col min="7961" max="8198" width="9.140625" style="340"/>
    <col min="8199" max="8199" width="4.42578125" style="340" customWidth="1"/>
    <col min="8200" max="8200" width="27" style="340" customWidth="1"/>
    <col min="8201" max="8201" width="10.42578125" style="340" customWidth="1"/>
    <col min="8202" max="8202" width="38.7109375" style="340" customWidth="1"/>
    <col min="8203" max="8203" width="5.28515625" style="340" customWidth="1"/>
    <col min="8204" max="8204" width="36" style="340" customWidth="1"/>
    <col min="8205" max="8205" width="10.7109375" style="340" customWidth="1"/>
    <col min="8206" max="8206" width="8.5703125" style="340" customWidth="1"/>
    <col min="8207" max="8207" width="10.5703125" style="340" customWidth="1"/>
    <col min="8208" max="8208" width="9.140625" style="340"/>
    <col min="8209" max="8209" width="33" style="340" customWidth="1"/>
    <col min="8210" max="8210" width="9.140625" style="340" customWidth="1"/>
    <col min="8211" max="8211" width="6.5703125" style="340" customWidth="1"/>
    <col min="8212" max="8212" width="12.28515625" style="340" customWidth="1"/>
    <col min="8213" max="8214" width="9.140625" style="340"/>
    <col min="8215" max="8215" width="17.28515625" style="340" customWidth="1"/>
    <col min="8216" max="8216" width="10.42578125" style="340" bestFit="1" customWidth="1"/>
    <col min="8217" max="8454" width="9.140625" style="340"/>
    <col min="8455" max="8455" width="4.42578125" style="340" customWidth="1"/>
    <col min="8456" max="8456" width="27" style="340" customWidth="1"/>
    <col min="8457" max="8457" width="10.42578125" style="340" customWidth="1"/>
    <col min="8458" max="8458" width="38.7109375" style="340" customWidth="1"/>
    <col min="8459" max="8459" width="5.28515625" style="340" customWidth="1"/>
    <col min="8460" max="8460" width="36" style="340" customWidth="1"/>
    <col min="8461" max="8461" width="10.7109375" style="340" customWidth="1"/>
    <col min="8462" max="8462" width="8.5703125" style="340" customWidth="1"/>
    <col min="8463" max="8463" width="10.5703125" style="340" customWidth="1"/>
    <col min="8464" max="8464" width="9.140625" style="340"/>
    <col min="8465" max="8465" width="33" style="340" customWidth="1"/>
    <col min="8466" max="8466" width="9.140625" style="340" customWidth="1"/>
    <col min="8467" max="8467" width="6.5703125" style="340" customWidth="1"/>
    <col min="8468" max="8468" width="12.28515625" style="340" customWidth="1"/>
    <col min="8469" max="8470" width="9.140625" style="340"/>
    <col min="8471" max="8471" width="17.28515625" style="340" customWidth="1"/>
    <col min="8472" max="8472" width="10.42578125" style="340" bestFit="1" customWidth="1"/>
    <col min="8473" max="8710" width="9.140625" style="340"/>
    <col min="8711" max="8711" width="4.42578125" style="340" customWidth="1"/>
    <col min="8712" max="8712" width="27" style="340" customWidth="1"/>
    <col min="8713" max="8713" width="10.42578125" style="340" customWidth="1"/>
    <col min="8714" max="8714" width="38.7109375" style="340" customWidth="1"/>
    <col min="8715" max="8715" width="5.28515625" style="340" customWidth="1"/>
    <col min="8716" max="8716" width="36" style="340" customWidth="1"/>
    <col min="8717" max="8717" width="10.7109375" style="340" customWidth="1"/>
    <col min="8718" max="8718" width="8.5703125" style="340" customWidth="1"/>
    <col min="8719" max="8719" width="10.5703125" style="340" customWidth="1"/>
    <col min="8720" max="8720" width="9.140625" style="340"/>
    <col min="8721" max="8721" width="33" style="340" customWidth="1"/>
    <col min="8722" max="8722" width="9.140625" style="340" customWidth="1"/>
    <col min="8723" max="8723" width="6.5703125" style="340" customWidth="1"/>
    <col min="8724" max="8724" width="12.28515625" style="340" customWidth="1"/>
    <col min="8725" max="8726" width="9.140625" style="340"/>
    <col min="8727" max="8727" width="17.28515625" style="340" customWidth="1"/>
    <col min="8728" max="8728" width="10.42578125" style="340" bestFit="1" customWidth="1"/>
    <col min="8729" max="8966" width="9.140625" style="340"/>
    <col min="8967" max="8967" width="4.42578125" style="340" customWidth="1"/>
    <col min="8968" max="8968" width="27" style="340" customWidth="1"/>
    <col min="8969" max="8969" width="10.42578125" style="340" customWidth="1"/>
    <col min="8970" max="8970" width="38.7109375" style="340" customWidth="1"/>
    <col min="8971" max="8971" width="5.28515625" style="340" customWidth="1"/>
    <col min="8972" max="8972" width="36" style="340" customWidth="1"/>
    <col min="8973" max="8973" width="10.7109375" style="340" customWidth="1"/>
    <col min="8974" max="8974" width="8.5703125" style="340" customWidth="1"/>
    <col min="8975" max="8975" width="10.5703125" style="340" customWidth="1"/>
    <col min="8976" max="8976" width="9.140625" style="340"/>
    <col min="8977" max="8977" width="33" style="340" customWidth="1"/>
    <col min="8978" max="8978" width="9.140625" style="340" customWidth="1"/>
    <col min="8979" max="8979" width="6.5703125" style="340" customWidth="1"/>
    <col min="8980" max="8980" width="12.28515625" style="340" customWidth="1"/>
    <col min="8981" max="8982" width="9.140625" style="340"/>
    <col min="8983" max="8983" width="17.28515625" style="340" customWidth="1"/>
    <col min="8984" max="8984" width="10.42578125" style="340" bestFit="1" customWidth="1"/>
    <col min="8985" max="9222" width="9.140625" style="340"/>
    <col min="9223" max="9223" width="4.42578125" style="340" customWidth="1"/>
    <col min="9224" max="9224" width="27" style="340" customWidth="1"/>
    <col min="9225" max="9225" width="10.42578125" style="340" customWidth="1"/>
    <col min="9226" max="9226" width="38.7109375" style="340" customWidth="1"/>
    <col min="9227" max="9227" width="5.28515625" style="340" customWidth="1"/>
    <col min="9228" max="9228" width="36" style="340" customWidth="1"/>
    <col min="9229" max="9229" width="10.7109375" style="340" customWidth="1"/>
    <col min="9230" max="9230" width="8.5703125" style="340" customWidth="1"/>
    <col min="9231" max="9231" width="10.5703125" style="340" customWidth="1"/>
    <col min="9232" max="9232" width="9.140625" style="340"/>
    <col min="9233" max="9233" width="33" style="340" customWidth="1"/>
    <col min="9234" max="9234" width="9.140625" style="340" customWidth="1"/>
    <col min="9235" max="9235" width="6.5703125" style="340" customWidth="1"/>
    <col min="9236" max="9236" width="12.28515625" style="340" customWidth="1"/>
    <col min="9237" max="9238" width="9.140625" style="340"/>
    <col min="9239" max="9239" width="17.28515625" style="340" customWidth="1"/>
    <col min="9240" max="9240" width="10.42578125" style="340" bestFit="1" customWidth="1"/>
    <col min="9241" max="9478" width="9.140625" style="340"/>
    <col min="9479" max="9479" width="4.42578125" style="340" customWidth="1"/>
    <col min="9480" max="9480" width="27" style="340" customWidth="1"/>
    <col min="9481" max="9481" width="10.42578125" style="340" customWidth="1"/>
    <col min="9482" max="9482" width="38.7109375" style="340" customWidth="1"/>
    <col min="9483" max="9483" width="5.28515625" style="340" customWidth="1"/>
    <col min="9484" max="9484" width="36" style="340" customWidth="1"/>
    <col min="9485" max="9485" width="10.7109375" style="340" customWidth="1"/>
    <col min="9486" max="9486" width="8.5703125" style="340" customWidth="1"/>
    <col min="9487" max="9487" width="10.5703125" style="340" customWidth="1"/>
    <col min="9488" max="9488" width="9.140625" style="340"/>
    <col min="9489" max="9489" width="33" style="340" customWidth="1"/>
    <col min="9490" max="9490" width="9.140625" style="340" customWidth="1"/>
    <col min="9491" max="9491" width="6.5703125" style="340" customWidth="1"/>
    <col min="9492" max="9492" width="12.28515625" style="340" customWidth="1"/>
    <col min="9493" max="9494" width="9.140625" style="340"/>
    <col min="9495" max="9495" width="17.28515625" style="340" customWidth="1"/>
    <col min="9496" max="9496" width="10.42578125" style="340" bestFit="1" customWidth="1"/>
    <col min="9497" max="9734" width="9.140625" style="340"/>
    <col min="9735" max="9735" width="4.42578125" style="340" customWidth="1"/>
    <col min="9736" max="9736" width="27" style="340" customWidth="1"/>
    <col min="9737" max="9737" width="10.42578125" style="340" customWidth="1"/>
    <col min="9738" max="9738" width="38.7109375" style="340" customWidth="1"/>
    <col min="9739" max="9739" width="5.28515625" style="340" customWidth="1"/>
    <col min="9740" max="9740" width="36" style="340" customWidth="1"/>
    <col min="9741" max="9741" width="10.7109375" style="340" customWidth="1"/>
    <col min="9742" max="9742" width="8.5703125" style="340" customWidth="1"/>
    <col min="9743" max="9743" width="10.5703125" style="340" customWidth="1"/>
    <col min="9744" max="9744" width="9.140625" style="340"/>
    <col min="9745" max="9745" width="33" style="340" customWidth="1"/>
    <col min="9746" max="9746" width="9.140625" style="340" customWidth="1"/>
    <col min="9747" max="9747" width="6.5703125" style="340" customWidth="1"/>
    <col min="9748" max="9748" width="12.28515625" style="340" customWidth="1"/>
    <col min="9749" max="9750" width="9.140625" style="340"/>
    <col min="9751" max="9751" width="17.28515625" style="340" customWidth="1"/>
    <col min="9752" max="9752" width="10.42578125" style="340" bestFit="1" customWidth="1"/>
    <col min="9753" max="9990" width="9.140625" style="340"/>
    <col min="9991" max="9991" width="4.42578125" style="340" customWidth="1"/>
    <col min="9992" max="9992" width="27" style="340" customWidth="1"/>
    <col min="9993" max="9993" width="10.42578125" style="340" customWidth="1"/>
    <col min="9994" max="9994" width="38.7109375" style="340" customWidth="1"/>
    <col min="9995" max="9995" width="5.28515625" style="340" customWidth="1"/>
    <col min="9996" max="9996" width="36" style="340" customWidth="1"/>
    <col min="9997" max="9997" width="10.7109375" style="340" customWidth="1"/>
    <col min="9998" max="9998" width="8.5703125" style="340" customWidth="1"/>
    <col min="9999" max="9999" width="10.5703125" style="340" customWidth="1"/>
    <col min="10000" max="10000" width="9.140625" style="340"/>
    <col min="10001" max="10001" width="33" style="340" customWidth="1"/>
    <col min="10002" max="10002" width="9.140625" style="340" customWidth="1"/>
    <col min="10003" max="10003" width="6.5703125" style="340" customWidth="1"/>
    <col min="10004" max="10004" width="12.28515625" style="340" customWidth="1"/>
    <col min="10005" max="10006" width="9.140625" style="340"/>
    <col min="10007" max="10007" width="17.28515625" style="340" customWidth="1"/>
    <col min="10008" max="10008" width="10.42578125" style="340" bestFit="1" customWidth="1"/>
    <col min="10009" max="10246" width="9.140625" style="340"/>
    <col min="10247" max="10247" width="4.42578125" style="340" customWidth="1"/>
    <col min="10248" max="10248" width="27" style="340" customWidth="1"/>
    <col min="10249" max="10249" width="10.42578125" style="340" customWidth="1"/>
    <col min="10250" max="10250" width="38.7109375" style="340" customWidth="1"/>
    <col min="10251" max="10251" width="5.28515625" style="340" customWidth="1"/>
    <col min="10252" max="10252" width="36" style="340" customWidth="1"/>
    <col min="10253" max="10253" width="10.7109375" style="340" customWidth="1"/>
    <col min="10254" max="10254" width="8.5703125" style="340" customWidth="1"/>
    <col min="10255" max="10255" width="10.5703125" style="340" customWidth="1"/>
    <col min="10256" max="10256" width="9.140625" style="340"/>
    <col min="10257" max="10257" width="33" style="340" customWidth="1"/>
    <col min="10258" max="10258" width="9.140625" style="340" customWidth="1"/>
    <col min="10259" max="10259" width="6.5703125" style="340" customWidth="1"/>
    <col min="10260" max="10260" width="12.28515625" style="340" customWidth="1"/>
    <col min="10261" max="10262" width="9.140625" style="340"/>
    <col min="10263" max="10263" width="17.28515625" style="340" customWidth="1"/>
    <col min="10264" max="10264" width="10.42578125" style="340" bestFit="1" customWidth="1"/>
    <col min="10265" max="10502" width="9.140625" style="340"/>
    <col min="10503" max="10503" width="4.42578125" style="340" customWidth="1"/>
    <col min="10504" max="10504" width="27" style="340" customWidth="1"/>
    <col min="10505" max="10505" width="10.42578125" style="340" customWidth="1"/>
    <col min="10506" max="10506" width="38.7109375" style="340" customWidth="1"/>
    <col min="10507" max="10507" width="5.28515625" style="340" customWidth="1"/>
    <col min="10508" max="10508" width="36" style="340" customWidth="1"/>
    <col min="10509" max="10509" width="10.7109375" style="340" customWidth="1"/>
    <col min="10510" max="10510" width="8.5703125" style="340" customWidth="1"/>
    <col min="10511" max="10511" width="10.5703125" style="340" customWidth="1"/>
    <col min="10512" max="10512" width="9.140625" style="340"/>
    <col min="10513" max="10513" width="33" style="340" customWidth="1"/>
    <col min="10514" max="10514" width="9.140625" style="340" customWidth="1"/>
    <col min="10515" max="10515" width="6.5703125" style="340" customWidth="1"/>
    <col min="10516" max="10516" width="12.28515625" style="340" customWidth="1"/>
    <col min="10517" max="10518" width="9.140625" style="340"/>
    <col min="10519" max="10519" width="17.28515625" style="340" customWidth="1"/>
    <col min="10520" max="10520" width="10.42578125" style="340" bestFit="1" customWidth="1"/>
    <col min="10521" max="10758" width="9.140625" style="340"/>
    <col min="10759" max="10759" width="4.42578125" style="340" customWidth="1"/>
    <col min="10760" max="10760" width="27" style="340" customWidth="1"/>
    <col min="10761" max="10761" width="10.42578125" style="340" customWidth="1"/>
    <col min="10762" max="10762" width="38.7109375" style="340" customWidth="1"/>
    <col min="10763" max="10763" width="5.28515625" style="340" customWidth="1"/>
    <col min="10764" max="10764" width="36" style="340" customWidth="1"/>
    <col min="10765" max="10765" width="10.7109375" style="340" customWidth="1"/>
    <col min="10766" max="10766" width="8.5703125" style="340" customWidth="1"/>
    <col min="10767" max="10767" width="10.5703125" style="340" customWidth="1"/>
    <col min="10768" max="10768" width="9.140625" style="340"/>
    <col min="10769" max="10769" width="33" style="340" customWidth="1"/>
    <col min="10770" max="10770" width="9.140625" style="340" customWidth="1"/>
    <col min="10771" max="10771" width="6.5703125" style="340" customWidth="1"/>
    <col min="10772" max="10772" width="12.28515625" style="340" customWidth="1"/>
    <col min="10773" max="10774" width="9.140625" style="340"/>
    <col min="10775" max="10775" width="17.28515625" style="340" customWidth="1"/>
    <col min="10776" max="10776" width="10.42578125" style="340" bestFit="1" customWidth="1"/>
    <col min="10777" max="11014" width="9.140625" style="340"/>
    <col min="11015" max="11015" width="4.42578125" style="340" customWidth="1"/>
    <col min="11016" max="11016" width="27" style="340" customWidth="1"/>
    <col min="11017" max="11017" width="10.42578125" style="340" customWidth="1"/>
    <col min="11018" max="11018" width="38.7109375" style="340" customWidth="1"/>
    <col min="11019" max="11019" width="5.28515625" style="340" customWidth="1"/>
    <col min="11020" max="11020" width="36" style="340" customWidth="1"/>
    <col min="11021" max="11021" width="10.7109375" style="340" customWidth="1"/>
    <col min="11022" max="11022" width="8.5703125" style="340" customWidth="1"/>
    <col min="11023" max="11023" width="10.5703125" style="340" customWidth="1"/>
    <col min="11024" max="11024" width="9.140625" style="340"/>
    <col min="11025" max="11025" width="33" style="340" customWidth="1"/>
    <col min="11026" max="11026" width="9.140625" style="340" customWidth="1"/>
    <col min="11027" max="11027" width="6.5703125" style="340" customWidth="1"/>
    <col min="11028" max="11028" width="12.28515625" style="340" customWidth="1"/>
    <col min="11029" max="11030" width="9.140625" style="340"/>
    <col min="11031" max="11031" width="17.28515625" style="340" customWidth="1"/>
    <col min="11032" max="11032" width="10.42578125" style="340" bestFit="1" customWidth="1"/>
    <col min="11033" max="11270" width="9.140625" style="340"/>
    <col min="11271" max="11271" width="4.42578125" style="340" customWidth="1"/>
    <col min="11272" max="11272" width="27" style="340" customWidth="1"/>
    <col min="11273" max="11273" width="10.42578125" style="340" customWidth="1"/>
    <col min="11274" max="11274" width="38.7109375" style="340" customWidth="1"/>
    <col min="11275" max="11275" width="5.28515625" style="340" customWidth="1"/>
    <col min="11276" max="11276" width="36" style="340" customWidth="1"/>
    <col min="11277" max="11277" width="10.7109375" style="340" customWidth="1"/>
    <col min="11278" max="11278" width="8.5703125" style="340" customWidth="1"/>
    <col min="11279" max="11279" width="10.5703125" style="340" customWidth="1"/>
    <col min="11280" max="11280" width="9.140625" style="340"/>
    <col min="11281" max="11281" width="33" style="340" customWidth="1"/>
    <col min="11282" max="11282" width="9.140625" style="340" customWidth="1"/>
    <col min="11283" max="11283" width="6.5703125" style="340" customWidth="1"/>
    <col min="11284" max="11284" width="12.28515625" style="340" customWidth="1"/>
    <col min="11285" max="11286" width="9.140625" style="340"/>
    <col min="11287" max="11287" width="17.28515625" style="340" customWidth="1"/>
    <col min="11288" max="11288" width="10.42578125" style="340" bestFit="1" customWidth="1"/>
    <col min="11289" max="11526" width="9.140625" style="340"/>
    <col min="11527" max="11527" width="4.42578125" style="340" customWidth="1"/>
    <col min="11528" max="11528" width="27" style="340" customWidth="1"/>
    <col min="11529" max="11529" width="10.42578125" style="340" customWidth="1"/>
    <col min="11530" max="11530" width="38.7109375" style="340" customWidth="1"/>
    <col min="11531" max="11531" width="5.28515625" style="340" customWidth="1"/>
    <col min="11532" max="11532" width="36" style="340" customWidth="1"/>
    <col min="11533" max="11533" width="10.7109375" style="340" customWidth="1"/>
    <col min="11534" max="11534" width="8.5703125" style="340" customWidth="1"/>
    <col min="11535" max="11535" width="10.5703125" style="340" customWidth="1"/>
    <col min="11536" max="11536" width="9.140625" style="340"/>
    <col min="11537" max="11537" width="33" style="340" customWidth="1"/>
    <col min="11538" max="11538" width="9.140625" style="340" customWidth="1"/>
    <col min="11539" max="11539" width="6.5703125" style="340" customWidth="1"/>
    <col min="11540" max="11540" width="12.28515625" style="340" customWidth="1"/>
    <col min="11541" max="11542" width="9.140625" style="340"/>
    <col min="11543" max="11543" width="17.28515625" style="340" customWidth="1"/>
    <col min="11544" max="11544" width="10.42578125" style="340" bestFit="1" customWidth="1"/>
    <col min="11545" max="11782" width="9.140625" style="340"/>
    <col min="11783" max="11783" width="4.42578125" style="340" customWidth="1"/>
    <col min="11784" max="11784" width="27" style="340" customWidth="1"/>
    <col min="11785" max="11785" width="10.42578125" style="340" customWidth="1"/>
    <col min="11786" max="11786" width="38.7109375" style="340" customWidth="1"/>
    <col min="11787" max="11787" width="5.28515625" style="340" customWidth="1"/>
    <col min="11788" max="11788" width="36" style="340" customWidth="1"/>
    <col min="11789" max="11789" width="10.7109375" style="340" customWidth="1"/>
    <col min="11790" max="11790" width="8.5703125" style="340" customWidth="1"/>
    <col min="11791" max="11791" width="10.5703125" style="340" customWidth="1"/>
    <col min="11792" max="11792" width="9.140625" style="340"/>
    <col min="11793" max="11793" width="33" style="340" customWidth="1"/>
    <col min="11794" max="11794" width="9.140625" style="340" customWidth="1"/>
    <col min="11795" max="11795" width="6.5703125" style="340" customWidth="1"/>
    <col min="11796" max="11796" width="12.28515625" style="340" customWidth="1"/>
    <col min="11797" max="11798" width="9.140625" style="340"/>
    <col min="11799" max="11799" width="17.28515625" style="340" customWidth="1"/>
    <col min="11800" max="11800" width="10.42578125" style="340" bestFit="1" customWidth="1"/>
    <col min="11801" max="12038" width="9.140625" style="340"/>
    <col min="12039" max="12039" width="4.42578125" style="340" customWidth="1"/>
    <col min="12040" max="12040" width="27" style="340" customWidth="1"/>
    <col min="12041" max="12041" width="10.42578125" style="340" customWidth="1"/>
    <col min="12042" max="12042" width="38.7109375" style="340" customWidth="1"/>
    <col min="12043" max="12043" width="5.28515625" style="340" customWidth="1"/>
    <col min="12044" max="12044" width="36" style="340" customWidth="1"/>
    <col min="12045" max="12045" width="10.7109375" style="340" customWidth="1"/>
    <col min="12046" max="12046" width="8.5703125" style="340" customWidth="1"/>
    <col min="12047" max="12047" width="10.5703125" style="340" customWidth="1"/>
    <col min="12048" max="12048" width="9.140625" style="340"/>
    <col min="12049" max="12049" width="33" style="340" customWidth="1"/>
    <col min="12050" max="12050" width="9.140625" style="340" customWidth="1"/>
    <col min="12051" max="12051" width="6.5703125" style="340" customWidth="1"/>
    <col min="12052" max="12052" width="12.28515625" style="340" customWidth="1"/>
    <col min="12053" max="12054" width="9.140625" style="340"/>
    <col min="12055" max="12055" width="17.28515625" style="340" customWidth="1"/>
    <col min="12056" max="12056" width="10.42578125" style="340" bestFit="1" customWidth="1"/>
    <col min="12057" max="12294" width="9.140625" style="340"/>
    <col min="12295" max="12295" width="4.42578125" style="340" customWidth="1"/>
    <col min="12296" max="12296" width="27" style="340" customWidth="1"/>
    <col min="12297" max="12297" width="10.42578125" style="340" customWidth="1"/>
    <col min="12298" max="12298" width="38.7109375" style="340" customWidth="1"/>
    <col min="12299" max="12299" width="5.28515625" style="340" customWidth="1"/>
    <col min="12300" max="12300" width="36" style="340" customWidth="1"/>
    <col min="12301" max="12301" width="10.7109375" style="340" customWidth="1"/>
    <col min="12302" max="12302" width="8.5703125" style="340" customWidth="1"/>
    <col min="12303" max="12303" width="10.5703125" style="340" customWidth="1"/>
    <col min="12304" max="12304" width="9.140625" style="340"/>
    <col min="12305" max="12305" width="33" style="340" customWidth="1"/>
    <col min="12306" max="12306" width="9.140625" style="340" customWidth="1"/>
    <col min="12307" max="12307" width="6.5703125" style="340" customWidth="1"/>
    <col min="12308" max="12308" width="12.28515625" style="340" customWidth="1"/>
    <col min="12309" max="12310" width="9.140625" style="340"/>
    <col min="12311" max="12311" width="17.28515625" style="340" customWidth="1"/>
    <col min="12312" max="12312" width="10.42578125" style="340" bestFit="1" customWidth="1"/>
    <col min="12313" max="12550" width="9.140625" style="340"/>
    <col min="12551" max="12551" width="4.42578125" style="340" customWidth="1"/>
    <col min="12552" max="12552" width="27" style="340" customWidth="1"/>
    <col min="12553" max="12553" width="10.42578125" style="340" customWidth="1"/>
    <col min="12554" max="12554" width="38.7109375" style="340" customWidth="1"/>
    <col min="12555" max="12555" width="5.28515625" style="340" customWidth="1"/>
    <col min="12556" max="12556" width="36" style="340" customWidth="1"/>
    <col min="12557" max="12557" width="10.7109375" style="340" customWidth="1"/>
    <col min="12558" max="12558" width="8.5703125" style="340" customWidth="1"/>
    <col min="12559" max="12559" width="10.5703125" style="340" customWidth="1"/>
    <col min="12560" max="12560" width="9.140625" style="340"/>
    <col min="12561" max="12561" width="33" style="340" customWidth="1"/>
    <col min="12562" max="12562" width="9.140625" style="340" customWidth="1"/>
    <col min="12563" max="12563" width="6.5703125" style="340" customWidth="1"/>
    <col min="12564" max="12564" width="12.28515625" style="340" customWidth="1"/>
    <col min="12565" max="12566" width="9.140625" style="340"/>
    <col min="12567" max="12567" width="17.28515625" style="340" customWidth="1"/>
    <col min="12568" max="12568" width="10.42578125" style="340" bestFit="1" customWidth="1"/>
    <col min="12569" max="12806" width="9.140625" style="340"/>
    <col min="12807" max="12807" width="4.42578125" style="340" customWidth="1"/>
    <col min="12808" max="12808" width="27" style="340" customWidth="1"/>
    <col min="12809" max="12809" width="10.42578125" style="340" customWidth="1"/>
    <col min="12810" max="12810" width="38.7109375" style="340" customWidth="1"/>
    <col min="12811" max="12811" width="5.28515625" style="340" customWidth="1"/>
    <col min="12812" max="12812" width="36" style="340" customWidth="1"/>
    <col min="12813" max="12813" width="10.7109375" style="340" customWidth="1"/>
    <col min="12814" max="12814" width="8.5703125" style="340" customWidth="1"/>
    <col min="12815" max="12815" width="10.5703125" style="340" customWidth="1"/>
    <col min="12816" max="12816" width="9.140625" style="340"/>
    <col min="12817" max="12817" width="33" style="340" customWidth="1"/>
    <col min="12818" max="12818" width="9.140625" style="340" customWidth="1"/>
    <col min="12819" max="12819" width="6.5703125" style="340" customWidth="1"/>
    <col min="12820" max="12820" width="12.28515625" style="340" customWidth="1"/>
    <col min="12821" max="12822" width="9.140625" style="340"/>
    <col min="12823" max="12823" width="17.28515625" style="340" customWidth="1"/>
    <col min="12824" max="12824" width="10.42578125" style="340" bestFit="1" customWidth="1"/>
    <col min="12825" max="13062" width="9.140625" style="340"/>
    <col min="13063" max="13063" width="4.42578125" style="340" customWidth="1"/>
    <col min="13064" max="13064" width="27" style="340" customWidth="1"/>
    <col min="13065" max="13065" width="10.42578125" style="340" customWidth="1"/>
    <col min="13066" max="13066" width="38.7109375" style="340" customWidth="1"/>
    <col min="13067" max="13067" width="5.28515625" style="340" customWidth="1"/>
    <col min="13068" max="13068" width="36" style="340" customWidth="1"/>
    <col min="13069" max="13069" width="10.7109375" style="340" customWidth="1"/>
    <col min="13070" max="13070" width="8.5703125" style="340" customWidth="1"/>
    <col min="13071" max="13071" width="10.5703125" style="340" customWidth="1"/>
    <col min="13072" max="13072" width="9.140625" style="340"/>
    <col min="13073" max="13073" width="33" style="340" customWidth="1"/>
    <col min="13074" max="13074" width="9.140625" style="340" customWidth="1"/>
    <col min="13075" max="13075" width="6.5703125" style="340" customWidth="1"/>
    <col min="13076" max="13076" width="12.28515625" style="340" customWidth="1"/>
    <col min="13077" max="13078" width="9.140625" style="340"/>
    <col min="13079" max="13079" width="17.28515625" style="340" customWidth="1"/>
    <col min="13080" max="13080" width="10.42578125" style="340" bestFit="1" customWidth="1"/>
    <col min="13081" max="13318" width="9.140625" style="340"/>
    <col min="13319" max="13319" width="4.42578125" style="340" customWidth="1"/>
    <col min="13320" max="13320" width="27" style="340" customWidth="1"/>
    <col min="13321" max="13321" width="10.42578125" style="340" customWidth="1"/>
    <col min="13322" max="13322" width="38.7109375" style="340" customWidth="1"/>
    <col min="13323" max="13323" width="5.28515625" style="340" customWidth="1"/>
    <col min="13324" max="13324" width="36" style="340" customWidth="1"/>
    <col min="13325" max="13325" width="10.7109375" style="340" customWidth="1"/>
    <col min="13326" max="13326" width="8.5703125" style="340" customWidth="1"/>
    <col min="13327" max="13327" width="10.5703125" style="340" customWidth="1"/>
    <col min="13328" max="13328" width="9.140625" style="340"/>
    <col min="13329" max="13329" width="33" style="340" customWidth="1"/>
    <col min="13330" max="13330" width="9.140625" style="340" customWidth="1"/>
    <col min="13331" max="13331" width="6.5703125" style="340" customWidth="1"/>
    <col min="13332" max="13332" width="12.28515625" style="340" customWidth="1"/>
    <col min="13333" max="13334" width="9.140625" style="340"/>
    <col min="13335" max="13335" width="17.28515625" style="340" customWidth="1"/>
    <col min="13336" max="13336" width="10.42578125" style="340" bestFit="1" customWidth="1"/>
    <col min="13337" max="13574" width="9.140625" style="340"/>
    <col min="13575" max="13575" width="4.42578125" style="340" customWidth="1"/>
    <col min="13576" max="13576" width="27" style="340" customWidth="1"/>
    <col min="13577" max="13577" width="10.42578125" style="340" customWidth="1"/>
    <col min="13578" max="13578" width="38.7109375" style="340" customWidth="1"/>
    <col min="13579" max="13579" width="5.28515625" style="340" customWidth="1"/>
    <col min="13580" max="13580" width="36" style="340" customWidth="1"/>
    <col min="13581" max="13581" width="10.7109375" style="340" customWidth="1"/>
    <col min="13582" max="13582" width="8.5703125" style="340" customWidth="1"/>
    <col min="13583" max="13583" width="10.5703125" style="340" customWidth="1"/>
    <col min="13584" max="13584" width="9.140625" style="340"/>
    <col min="13585" max="13585" width="33" style="340" customWidth="1"/>
    <col min="13586" max="13586" width="9.140625" style="340" customWidth="1"/>
    <col min="13587" max="13587" width="6.5703125" style="340" customWidth="1"/>
    <col min="13588" max="13588" width="12.28515625" style="340" customWidth="1"/>
    <col min="13589" max="13590" width="9.140625" style="340"/>
    <col min="13591" max="13591" width="17.28515625" style="340" customWidth="1"/>
    <col min="13592" max="13592" width="10.42578125" style="340" bestFit="1" customWidth="1"/>
    <col min="13593" max="13830" width="9.140625" style="340"/>
    <col min="13831" max="13831" width="4.42578125" style="340" customWidth="1"/>
    <col min="13832" max="13832" width="27" style="340" customWidth="1"/>
    <col min="13833" max="13833" width="10.42578125" style="340" customWidth="1"/>
    <col min="13834" max="13834" width="38.7109375" style="340" customWidth="1"/>
    <col min="13835" max="13835" width="5.28515625" style="340" customWidth="1"/>
    <col min="13836" max="13836" width="36" style="340" customWidth="1"/>
    <col min="13837" max="13837" width="10.7109375" style="340" customWidth="1"/>
    <col min="13838" max="13838" width="8.5703125" style="340" customWidth="1"/>
    <col min="13839" max="13839" width="10.5703125" style="340" customWidth="1"/>
    <col min="13840" max="13840" width="9.140625" style="340"/>
    <col min="13841" max="13841" width="33" style="340" customWidth="1"/>
    <col min="13842" max="13842" width="9.140625" style="340" customWidth="1"/>
    <col min="13843" max="13843" width="6.5703125" style="340" customWidth="1"/>
    <col min="13844" max="13844" width="12.28515625" style="340" customWidth="1"/>
    <col min="13845" max="13846" width="9.140625" style="340"/>
    <col min="13847" max="13847" width="17.28515625" style="340" customWidth="1"/>
    <col min="13848" max="13848" width="10.42578125" style="340" bestFit="1" customWidth="1"/>
    <col min="13849" max="14086" width="9.140625" style="340"/>
    <col min="14087" max="14087" width="4.42578125" style="340" customWidth="1"/>
    <col min="14088" max="14088" width="27" style="340" customWidth="1"/>
    <col min="14089" max="14089" width="10.42578125" style="340" customWidth="1"/>
    <col min="14090" max="14090" width="38.7109375" style="340" customWidth="1"/>
    <col min="14091" max="14091" width="5.28515625" style="340" customWidth="1"/>
    <col min="14092" max="14092" width="36" style="340" customWidth="1"/>
    <col min="14093" max="14093" width="10.7109375" style="340" customWidth="1"/>
    <col min="14094" max="14094" width="8.5703125" style="340" customWidth="1"/>
    <col min="14095" max="14095" width="10.5703125" style="340" customWidth="1"/>
    <col min="14096" max="14096" width="9.140625" style="340"/>
    <col min="14097" max="14097" width="33" style="340" customWidth="1"/>
    <col min="14098" max="14098" width="9.140625" style="340" customWidth="1"/>
    <col min="14099" max="14099" width="6.5703125" style="340" customWidth="1"/>
    <col min="14100" max="14100" width="12.28515625" style="340" customWidth="1"/>
    <col min="14101" max="14102" width="9.140625" style="340"/>
    <col min="14103" max="14103" width="17.28515625" style="340" customWidth="1"/>
    <col min="14104" max="14104" width="10.42578125" style="340" bestFit="1" customWidth="1"/>
    <col min="14105" max="14342" width="9.140625" style="340"/>
    <col min="14343" max="14343" width="4.42578125" style="340" customWidth="1"/>
    <col min="14344" max="14344" width="27" style="340" customWidth="1"/>
    <col min="14345" max="14345" width="10.42578125" style="340" customWidth="1"/>
    <col min="14346" max="14346" width="38.7109375" style="340" customWidth="1"/>
    <col min="14347" max="14347" width="5.28515625" style="340" customWidth="1"/>
    <col min="14348" max="14348" width="36" style="340" customWidth="1"/>
    <col min="14349" max="14349" width="10.7109375" style="340" customWidth="1"/>
    <col min="14350" max="14350" width="8.5703125" style="340" customWidth="1"/>
    <col min="14351" max="14351" width="10.5703125" style="340" customWidth="1"/>
    <col min="14352" max="14352" width="9.140625" style="340"/>
    <col min="14353" max="14353" width="33" style="340" customWidth="1"/>
    <col min="14354" max="14354" width="9.140625" style="340" customWidth="1"/>
    <col min="14355" max="14355" width="6.5703125" style="340" customWidth="1"/>
    <col min="14356" max="14356" width="12.28515625" style="340" customWidth="1"/>
    <col min="14357" max="14358" width="9.140625" style="340"/>
    <col min="14359" max="14359" width="17.28515625" style="340" customWidth="1"/>
    <col min="14360" max="14360" width="10.42578125" style="340" bestFit="1" customWidth="1"/>
    <col min="14361" max="14598" width="9.140625" style="340"/>
    <col min="14599" max="14599" width="4.42578125" style="340" customWidth="1"/>
    <col min="14600" max="14600" width="27" style="340" customWidth="1"/>
    <col min="14601" max="14601" width="10.42578125" style="340" customWidth="1"/>
    <col min="14602" max="14602" width="38.7109375" style="340" customWidth="1"/>
    <col min="14603" max="14603" width="5.28515625" style="340" customWidth="1"/>
    <col min="14604" max="14604" width="36" style="340" customWidth="1"/>
    <col min="14605" max="14605" width="10.7109375" style="340" customWidth="1"/>
    <col min="14606" max="14606" width="8.5703125" style="340" customWidth="1"/>
    <col min="14607" max="14607" width="10.5703125" style="340" customWidth="1"/>
    <col min="14608" max="14608" width="9.140625" style="340"/>
    <col min="14609" max="14609" width="33" style="340" customWidth="1"/>
    <col min="14610" max="14610" width="9.140625" style="340" customWidth="1"/>
    <col min="14611" max="14611" width="6.5703125" style="340" customWidth="1"/>
    <col min="14612" max="14612" width="12.28515625" style="340" customWidth="1"/>
    <col min="14613" max="14614" width="9.140625" style="340"/>
    <col min="14615" max="14615" width="17.28515625" style="340" customWidth="1"/>
    <col min="14616" max="14616" width="10.42578125" style="340" bestFit="1" customWidth="1"/>
    <col min="14617" max="14854" width="9.140625" style="340"/>
    <col min="14855" max="14855" width="4.42578125" style="340" customWidth="1"/>
    <col min="14856" max="14856" width="27" style="340" customWidth="1"/>
    <col min="14857" max="14857" width="10.42578125" style="340" customWidth="1"/>
    <col min="14858" max="14858" width="38.7109375" style="340" customWidth="1"/>
    <col min="14859" max="14859" width="5.28515625" style="340" customWidth="1"/>
    <col min="14860" max="14860" width="36" style="340" customWidth="1"/>
    <col min="14861" max="14861" width="10.7109375" style="340" customWidth="1"/>
    <col min="14862" max="14862" width="8.5703125" style="340" customWidth="1"/>
    <col min="14863" max="14863" width="10.5703125" style="340" customWidth="1"/>
    <col min="14864" max="14864" width="9.140625" style="340"/>
    <col min="14865" max="14865" width="33" style="340" customWidth="1"/>
    <col min="14866" max="14866" width="9.140625" style="340" customWidth="1"/>
    <col min="14867" max="14867" width="6.5703125" style="340" customWidth="1"/>
    <col min="14868" max="14868" width="12.28515625" style="340" customWidth="1"/>
    <col min="14869" max="14870" width="9.140625" style="340"/>
    <col min="14871" max="14871" width="17.28515625" style="340" customWidth="1"/>
    <col min="14872" max="14872" width="10.42578125" style="340" bestFit="1" customWidth="1"/>
    <col min="14873" max="15110" width="9.140625" style="340"/>
    <col min="15111" max="15111" width="4.42578125" style="340" customWidth="1"/>
    <col min="15112" max="15112" width="27" style="340" customWidth="1"/>
    <col min="15113" max="15113" width="10.42578125" style="340" customWidth="1"/>
    <col min="15114" max="15114" width="38.7109375" style="340" customWidth="1"/>
    <col min="15115" max="15115" width="5.28515625" style="340" customWidth="1"/>
    <col min="15116" max="15116" width="36" style="340" customWidth="1"/>
    <col min="15117" max="15117" width="10.7109375" style="340" customWidth="1"/>
    <col min="15118" max="15118" width="8.5703125" style="340" customWidth="1"/>
    <col min="15119" max="15119" width="10.5703125" style="340" customWidth="1"/>
    <col min="15120" max="15120" width="9.140625" style="340"/>
    <col min="15121" max="15121" width="33" style="340" customWidth="1"/>
    <col min="15122" max="15122" width="9.140625" style="340" customWidth="1"/>
    <col min="15123" max="15123" width="6.5703125" style="340" customWidth="1"/>
    <col min="15124" max="15124" width="12.28515625" style="340" customWidth="1"/>
    <col min="15125" max="15126" width="9.140625" style="340"/>
    <col min="15127" max="15127" width="17.28515625" style="340" customWidth="1"/>
    <col min="15128" max="15128" width="10.42578125" style="340" bestFit="1" customWidth="1"/>
    <col min="15129" max="15366" width="9.140625" style="340"/>
    <col min="15367" max="15367" width="4.42578125" style="340" customWidth="1"/>
    <col min="15368" max="15368" width="27" style="340" customWidth="1"/>
    <col min="15369" max="15369" width="10.42578125" style="340" customWidth="1"/>
    <col min="15370" max="15370" width="38.7109375" style="340" customWidth="1"/>
    <col min="15371" max="15371" width="5.28515625" style="340" customWidth="1"/>
    <col min="15372" max="15372" width="36" style="340" customWidth="1"/>
    <col min="15373" max="15373" width="10.7109375" style="340" customWidth="1"/>
    <col min="15374" max="15374" width="8.5703125" style="340" customWidth="1"/>
    <col min="15375" max="15375" width="10.5703125" style="340" customWidth="1"/>
    <col min="15376" max="15376" width="9.140625" style="340"/>
    <col min="15377" max="15377" width="33" style="340" customWidth="1"/>
    <col min="15378" max="15378" width="9.140625" style="340" customWidth="1"/>
    <col min="15379" max="15379" width="6.5703125" style="340" customWidth="1"/>
    <col min="15380" max="15380" width="12.28515625" style="340" customWidth="1"/>
    <col min="15381" max="15382" width="9.140625" style="340"/>
    <col min="15383" max="15383" width="17.28515625" style="340" customWidth="1"/>
    <col min="15384" max="15384" width="10.42578125" style="340" bestFit="1" customWidth="1"/>
    <col min="15385" max="15622" width="9.140625" style="340"/>
    <col min="15623" max="15623" width="4.42578125" style="340" customWidth="1"/>
    <col min="15624" max="15624" width="27" style="340" customWidth="1"/>
    <col min="15625" max="15625" width="10.42578125" style="340" customWidth="1"/>
    <col min="15626" max="15626" width="38.7109375" style="340" customWidth="1"/>
    <col min="15627" max="15627" width="5.28515625" style="340" customWidth="1"/>
    <col min="15628" max="15628" width="36" style="340" customWidth="1"/>
    <col min="15629" max="15629" width="10.7109375" style="340" customWidth="1"/>
    <col min="15630" max="15630" width="8.5703125" style="340" customWidth="1"/>
    <col min="15631" max="15631" width="10.5703125" style="340" customWidth="1"/>
    <col min="15632" max="15632" width="9.140625" style="340"/>
    <col min="15633" max="15633" width="33" style="340" customWidth="1"/>
    <col min="15634" max="15634" width="9.140625" style="340" customWidth="1"/>
    <col min="15635" max="15635" width="6.5703125" style="340" customWidth="1"/>
    <col min="15636" max="15636" width="12.28515625" style="340" customWidth="1"/>
    <col min="15637" max="15638" width="9.140625" style="340"/>
    <col min="15639" max="15639" width="17.28515625" style="340" customWidth="1"/>
    <col min="15640" max="15640" width="10.42578125" style="340" bestFit="1" customWidth="1"/>
    <col min="15641" max="15878" width="9.140625" style="340"/>
    <col min="15879" max="15879" width="4.42578125" style="340" customWidth="1"/>
    <col min="15880" max="15880" width="27" style="340" customWidth="1"/>
    <col min="15881" max="15881" width="10.42578125" style="340" customWidth="1"/>
    <col min="15882" max="15882" width="38.7109375" style="340" customWidth="1"/>
    <col min="15883" max="15883" width="5.28515625" style="340" customWidth="1"/>
    <col min="15884" max="15884" width="36" style="340" customWidth="1"/>
    <col min="15885" max="15885" width="10.7109375" style="340" customWidth="1"/>
    <col min="15886" max="15886" width="8.5703125" style="340" customWidth="1"/>
    <col min="15887" max="15887" width="10.5703125" style="340" customWidth="1"/>
    <col min="15888" max="15888" width="9.140625" style="340"/>
    <col min="15889" max="15889" width="33" style="340" customWidth="1"/>
    <col min="15890" max="15890" width="9.140625" style="340" customWidth="1"/>
    <col min="15891" max="15891" width="6.5703125" style="340" customWidth="1"/>
    <col min="15892" max="15892" width="12.28515625" style="340" customWidth="1"/>
    <col min="15893" max="15894" width="9.140625" style="340"/>
    <col min="15895" max="15895" width="17.28515625" style="340" customWidth="1"/>
    <col min="15896" max="15896" width="10.42578125" style="340" bestFit="1" customWidth="1"/>
    <col min="15897" max="16134" width="9.140625" style="340"/>
    <col min="16135" max="16135" width="4.42578125" style="340" customWidth="1"/>
    <col min="16136" max="16136" width="27" style="340" customWidth="1"/>
    <col min="16137" max="16137" width="10.42578125" style="340" customWidth="1"/>
    <col min="16138" max="16138" width="38.7109375" style="340" customWidth="1"/>
    <col min="16139" max="16139" width="5.28515625" style="340" customWidth="1"/>
    <col min="16140" max="16140" width="36" style="340" customWidth="1"/>
    <col min="16141" max="16141" width="10.7109375" style="340" customWidth="1"/>
    <col min="16142" max="16142" width="8.5703125" style="340" customWidth="1"/>
    <col min="16143" max="16143" width="10.5703125" style="340" customWidth="1"/>
    <col min="16144" max="16144" width="9.140625" style="340"/>
    <col min="16145" max="16145" width="33" style="340" customWidth="1"/>
    <col min="16146" max="16146" width="9.140625" style="340" customWidth="1"/>
    <col min="16147" max="16147" width="6.5703125" style="340" customWidth="1"/>
    <col min="16148" max="16148" width="12.28515625" style="340" customWidth="1"/>
    <col min="16149" max="16150" width="9.140625" style="340"/>
    <col min="16151" max="16151" width="17.28515625" style="340" customWidth="1"/>
    <col min="16152" max="16152" width="10.42578125" style="340" bestFit="1" customWidth="1"/>
    <col min="16153" max="16373" width="9.140625" style="340"/>
    <col min="16374" max="16384" width="9.140625" style="340" customWidth="1"/>
  </cols>
  <sheetData>
    <row r="1" spans="2:30" ht="13.5" thickBot="1" x14ac:dyDescent="0.25"/>
    <row r="2" spans="2:30" ht="19.5" thickBot="1" x14ac:dyDescent="0.35">
      <c r="B2" s="556"/>
      <c r="C2" s="556"/>
      <c r="D2" s="556"/>
      <c r="E2" s="556"/>
      <c r="F2" s="556"/>
      <c r="G2" s="556"/>
      <c r="H2" s="556"/>
      <c r="I2" s="1765" t="s">
        <v>532</v>
      </c>
      <c r="J2" s="1766"/>
      <c r="K2" s="1766"/>
      <c r="L2" s="1766"/>
      <c r="M2" s="1766"/>
      <c r="N2" s="1766"/>
      <c r="O2" s="1766"/>
      <c r="P2" s="1766"/>
      <c r="Q2" s="1766"/>
      <c r="R2" s="1766"/>
      <c r="S2" s="1766"/>
      <c r="T2" s="1766"/>
      <c r="U2" s="1766"/>
      <c r="V2" s="1766"/>
      <c r="W2" s="1766"/>
      <c r="X2" s="1766"/>
      <c r="Y2" s="1766"/>
      <c r="Z2" s="1767"/>
      <c r="AA2" s="1314"/>
    </row>
    <row r="3" spans="2:30" ht="15" customHeight="1" thickBot="1" x14ac:dyDescent="0.25"/>
    <row r="4" spans="2:30" ht="15" customHeight="1" thickBot="1" x14ac:dyDescent="0.25">
      <c r="B4" s="555" t="s">
        <v>531</v>
      </c>
      <c r="C4" s="554" t="s">
        <v>530</v>
      </c>
      <c r="D4" s="554" t="s">
        <v>529</v>
      </c>
      <c r="E4" s="553" t="s">
        <v>528</v>
      </c>
      <c r="F4" s="470"/>
      <c r="G4" s="469"/>
      <c r="H4" s="340"/>
      <c r="I4" s="1721" t="s">
        <v>413</v>
      </c>
      <c r="J4" s="1722"/>
      <c r="K4" s="1722"/>
      <c r="L4" s="1768"/>
      <c r="M4" s="1763">
        <v>2024</v>
      </c>
      <c r="N4" s="1764"/>
      <c r="P4" s="1769" t="s">
        <v>412</v>
      </c>
      <c r="Q4" s="1770"/>
      <c r="R4" s="1770"/>
      <c r="S4" s="1771"/>
      <c r="T4" s="1763">
        <v>2024</v>
      </c>
      <c r="U4" s="1764"/>
      <c r="V4" s="456"/>
      <c r="W4" s="1772" t="s">
        <v>411</v>
      </c>
      <c r="X4" s="1773"/>
      <c r="Y4" s="1773"/>
      <c r="Z4" s="1774"/>
      <c r="AA4" s="1763">
        <v>2024</v>
      </c>
      <c r="AB4" s="1764"/>
    </row>
    <row r="5" spans="2:30" ht="15" customHeight="1" x14ac:dyDescent="0.2">
      <c r="B5" s="552" t="s">
        <v>527</v>
      </c>
      <c r="C5" s="551">
        <v>2080</v>
      </c>
      <c r="D5" s="551">
        <v>2080</v>
      </c>
      <c r="E5" s="551">
        <v>2080</v>
      </c>
      <c r="F5" s="460"/>
      <c r="G5" s="468"/>
      <c r="H5" s="340"/>
      <c r="I5" s="550" t="s">
        <v>526</v>
      </c>
      <c r="J5" s="549"/>
      <c r="K5" s="549"/>
      <c r="L5" s="548">
        <f>C16</f>
        <v>1136</v>
      </c>
      <c r="M5" s="516">
        <v>1136</v>
      </c>
      <c r="P5" s="550" t="s">
        <v>526</v>
      </c>
      <c r="Q5" s="549"/>
      <c r="R5" s="549"/>
      <c r="S5" s="548">
        <f>D16</f>
        <v>960</v>
      </c>
      <c r="T5" s="516">
        <v>960</v>
      </c>
      <c r="U5" s="849"/>
      <c r="V5" s="458"/>
      <c r="W5" s="550" t="s">
        <v>526</v>
      </c>
      <c r="X5" s="549"/>
      <c r="Y5" s="549"/>
      <c r="Z5" s="548">
        <f>E16</f>
        <v>940</v>
      </c>
      <c r="AA5" s="516">
        <v>940</v>
      </c>
      <c r="AB5" s="458"/>
    </row>
    <row r="6" spans="2:30" ht="15" customHeight="1" x14ac:dyDescent="0.2">
      <c r="B6" s="540" t="s">
        <v>525</v>
      </c>
      <c r="C6" s="538">
        <f>3*40</f>
        <v>120</v>
      </c>
      <c r="D6" s="538">
        <f>3*40</f>
        <v>120</v>
      </c>
      <c r="E6" s="538">
        <f>3*40</f>
        <v>120</v>
      </c>
      <c r="F6" s="465"/>
      <c r="G6" s="464"/>
      <c r="H6" s="340"/>
      <c r="I6" s="547" t="s">
        <v>524</v>
      </c>
      <c r="J6" s="546" t="s">
        <v>331</v>
      </c>
      <c r="K6" s="545" t="s">
        <v>523</v>
      </c>
      <c r="L6" s="544" t="s">
        <v>458</v>
      </c>
      <c r="M6" s="468"/>
      <c r="P6" s="547" t="s">
        <v>524</v>
      </c>
      <c r="Q6" s="546" t="s">
        <v>331</v>
      </c>
      <c r="R6" s="545" t="s">
        <v>523</v>
      </c>
      <c r="S6" s="544" t="s">
        <v>458</v>
      </c>
      <c r="T6" s="468"/>
      <c r="U6" s="1316"/>
      <c r="V6" s="458"/>
      <c r="W6" s="547" t="s">
        <v>524</v>
      </c>
      <c r="X6" s="546" t="s">
        <v>331</v>
      </c>
      <c r="Y6" s="545" t="s">
        <v>523</v>
      </c>
      <c r="Z6" s="544" t="s">
        <v>458</v>
      </c>
      <c r="AA6" s="468"/>
      <c r="AB6" s="458"/>
      <c r="AD6" s="340">
        <f>51.84*2080</f>
        <v>107827.20000000001</v>
      </c>
    </row>
    <row r="7" spans="2:30" ht="15" customHeight="1" x14ac:dyDescent="0.25">
      <c r="B7" s="543" t="s">
        <v>522</v>
      </c>
      <c r="C7" s="538">
        <f>2*40</f>
        <v>80</v>
      </c>
      <c r="D7" s="538">
        <f>2*40</f>
        <v>80</v>
      </c>
      <c r="E7" s="538">
        <f>2*40</f>
        <v>80</v>
      </c>
      <c r="F7" s="465"/>
      <c r="G7" s="326">
        <v>1</v>
      </c>
      <c r="H7" s="340"/>
      <c r="I7" s="511" t="str">
        <f>IF(INDEX('Master Lookup'!$B$93:$B$100,G7)=0,"",INDEX('Master Lookup'!$B$93:$B$100,G7))</f>
        <v>Behav.Supp. - Bachelor's</v>
      </c>
      <c r="J7" s="542">
        <f>IFERROR(INDEX('Master Lookup FY26'!D93:D95,MATCH(I7,'Master Lookup FY26'!C93:C95,0)),"")</f>
        <v>66537.12000000001</v>
      </c>
      <c r="K7" s="541">
        <f>IFERROR(INDEX('Master Lookup'!$E$93:$E$100,MATCH(I7,'Master Lookup'!$B$93:$B$100,0)),"")</f>
        <v>1</v>
      </c>
      <c r="L7" s="493">
        <f>IFERROR(J7*K7,0)</f>
        <v>66537.12000000001</v>
      </c>
      <c r="M7" s="1310">
        <v>58616.063999999998</v>
      </c>
      <c r="N7" s="344">
        <f t="shared" ref="N7:N24" si="0">(L7-M7)/M7</f>
        <v>0.13513455970022162</v>
      </c>
      <c r="P7" s="511" t="str">
        <f>IF(INDEX('Master Lookup'!$B$93:$B$100,G7)=0,"",INDEX('Master Lookup'!$B$93:$B$100,G7))</f>
        <v>Behav.Supp. - Bachelor's</v>
      </c>
      <c r="Q7" s="542">
        <f>IFERROR(INDEX('Master Lookup FY26'!D93:D95,MATCH(P7,'Master Lookup FY26'!C93:C95,0)),"")</f>
        <v>66537.12000000001</v>
      </c>
      <c r="R7" s="541">
        <f>IFERROR(INDEX('Master Lookup'!$F$93:$F$100,MATCH(P7,'Master Lookup'!$B$93:$B$100,0)),"")</f>
        <v>0</v>
      </c>
      <c r="S7" s="493">
        <f>IFERROR(Q7*R7,0)</f>
        <v>0</v>
      </c>
      <c r="T7" s="1310">
        <v>0</v>
      </c>
      <c r="U7" s="466"/>
      <c r="V7" s="458"/>
      <c r="W7" s="511" t="str">
        <f>IF(INDEX('Master Lookup'!$B$93:$B$100,G7)=0,"",INDEX('Master Lookup'!$B$93:$B$100,G7))</f>
        <v>Behav.Supp. - Bachelor's</v>
      </c>
      <c r="X7" s="542">
        <f>IFERROR(INDEX('Master Lookup FY26'!D93:D95,MATCH(W7,'Master Lookup FY26'!C93:C95,0)),"")</f>
        <v>66537.12000000001</v>
      </c>
      <c r="Y7" s="541">
        <f>IFERROR(INDEX('Master Lookup'!$G$93:$G$100,MATCH(W7,'Master Lookup'!$B$93:$B$100,0)),"")</f>
        <v>0</v>
      </c>
      <c r="Z7" s="493">
        <f>IFERROR(X7*Y7,0)</f>
        <v>0</v>
      </c>
      <c r="AA7" s="1310">
        <v>0</v>
      </c>
      <c r="AB7" s="456">
        <v>0</v>
      </c>
    </row>
    <row r="8" spans="2:30" ht="15" customHeight="1" x14ac:dyDescent="0.25">
      <c r="B8" s="540" t="s">
        <v>521</v>
      </c>
      <c r="C8" s="538">
        <f>1*40</f>
        <v>40</v>
      </c>
      <c r="D8" s="538">
        <f>1*40</f>
        <v>40</v>
      </c>
      <c r="E8" s="538">
        <f>40*1.5</f>
        <v>60</v>
      </c>
      <c r="F8" s="465"/>
      <c r="G8" s="326">
        <v>2</v>
      </c>
      <c r="H8" s="340"/>
      <c r="I8" s="377" t="str">
        <f>IF(INDEX('Master Lookup'!$B$93:$B$100,G8)=0,"",INDEX('Master Lookup'!$B$93:$B$100,G8))</f>
        <v>Behav. Supp. - Doctorate</v>
      </c>
      <c r="J8" s="379">
        <f>IFERROR(INDEX('Master Lookup FY26'!D94:D96,MATCH(I8,'Master Lookup FY26'!C94:C96,0)),"")</f>
        <v>101806.432</v>
      </c>
      <c r="K8" s="430">
        <f>IFERROR(INDEX('Master Lookup'!$E$93:$E$100,MATCH(I8,'Master Lookup'!$B$93:$B$100,0)),"")</f>
        <v>0</v>
      </c>
      <c r="L8" s="539">
        <f>IFERROR(J8*K8,0)</f>
        <v>0</v>
      </c>
      <c r="M8" s="1310">
        <v>0</v>
      </c>
      <c r="P8" s="377" t="str">
        <f>IF(INDEX('Master Lookup'!$B$93:$B$100,G8)=0,"",INDEX('Master Lookup'!$B$93:$B$100,G8))</f>
        <v>Behav. Supp. - Doctorate</v>
      </c>
      <c r="Q8" s="379">
        <f>IFERROR(INDEX('Master Lookup FY26'!D94:D96,MATCH(P8,'Master Lookup FY26'!C94:C96,0)),"")</f>
        <v>101806.432</v>
      </c>
      <c r="R8" s="430">
        <f>IFERROR(INDEX('Master Lookup'!$F$93:$F$100,MATCH(P8,'Master Lookup'!$B$93:$B$100,0)),"")</f>
        <v>0</v>
      </c>
      <c r="S8" s="539">
        <f>IFERROR(Q8*R8,0)</f>
        <v>0</v>
      </c>
      <c r="T8" s="1310">
        <v>0</v>
      </c>
      <c r="U8" s="466"/>
      <c r="V8" s="458"/>
      <c r="W8" s="377" t="str">
        <f>IF(INDEX('Master Lookup'!$B$93:$B$100,G8)=0,"",INDEX('Master Lookup'!$B$93:$B$100,G8))</f>
        <v>Behav. Supp. - Doctorate</v>
      </c>
      <c r="X8" s="379">
        <v>107827.2</v>
      </c>
      <c r="Y8" s="430">
        <f>IFERROR(INDEX('Master Lookup'!$G$93:$G$100,MATCH(W8,'Master Lookup'!$B$93:$B$100,0)),"")</f>
        <v>1</v>
      </c>
      <c r="Z8" s="539">
        <f>IFERROR(X8*Y8,0)</f>
        <v>107827.2</v>
      </c>
      <c r="AA8" s="1310">
        <v>101383.77600000001</v>
      </c>
      <c r="AB8" s="458">
        <f>(Z8-AA8)/AA8</f>
        <v>6.355478415007923E-2</v>
      </c>
    </row>
    <row r="9" spans="2:30" ht="15" customHeight="1" x14ac:dyDescent="0.25">
      <c r="B9" s="540" t="s">
        <v>520</v>
      </c>
      <c r="C9" s="538">
        <f>44*2</f>
        <v>88</v>
      </c>
      <c r="D9" s="538">
        <f>44*2</f>
        <v>88</v>
      </c>
      <c r="E9" s="538">
        <f>44*2</f>
        <v>88</v>
      </c>
      <c r="F9" s="465"/>
      <c r="G9" s="326">
        <v>3</v>
      </c>
      <c r="H9" s="340"/>
      <c r="I9" s="377" t="str">
        <f>IF(INDEX('Master Lookup'!$B$93:$B$100,G9)=0,"",INDEX('Master Lookup'!$B$93:$B$100,G9))</f>
        <v>Behav. Supp. - Master's</v>
      </c>
      <c r="J9" s="379">
        <f>IFERROR(INDEX('Master Lookup FY26'!D95:D97,MATCH(I9,'Master Lookup FY26'!C95:C97,0)),"")</f>
        <v>84174.063999999998</v>
      </c>
      <c r="K9" s="430">
        <f>IFERROR(INDEX('Master Lookup'!$E$93:$E$100,MATCH(I9,'Master Lookup'!$B$93:$B$100,0)),"")</f>
        <v>0</v>
      </c>
      <c r="L9" s="539">
        <f>IFERROR(J9*K9,0)</f>
        <v>0</v>
      </c>
      <c r="M9" s="1310">
        <v>0</v>
      </c>
      <c r="P9" s="377" t="str">
        <f>IF(INDEX('Master Lookup'!$B$93:$B$100,G9)=0,"",INDEX('Master Lookup'!$B$93:$B$100,G9))</f>
        <v>Behav. Supp. - Master's</v>
      </c>
      <c r="Q9" s="379">
        <f>IFERROR(INDEX('Master Lookup FY26'!D95:D97,MATCH(P9,'Master Lookup FY26'!C95:C97,0)),"")</f>
        <v>84174.063999999998</v>
      </c>
      <c r="R9" s="430">
        <f>IFERROR(INDEX('Master Lookup'!$F$93:$F$100,MATCH(P9,'Master Lookup'!$B$93:$B$100,0)),"")</f>
        <v>1</v>
      </c>
      <c r="S9" s="539">
        <f>IFERROR(Q9*R9,0)</f>
        <v>84174.063999999998</v>
      </c>
      <c r="T9" s="1310">
        <v>80606.448000000004</v>
      </c>
      <c r="U9" s="466">
        <f>(S9-T9)/T9</f>
        <v>4.425968503164901E-2</v>
      </c>
      <c r="V9" s="458"/>
      <c r="W9" s="377" t="str">
        <f>IF(INDEX('Master Lookup'!$B$93:$B$100,G9)=0,"",INDEX('Master Lookup'!$B$93:$B$100,G9))</f>
        <v>Behav. Supp. - Master's</v>
      </c>
      <c r="X9" s="379">
        <f>IFERROR(INDEX('Master Lookup FY26'!D95:D97,MATCH(W9,'Master Lookup FY26'!C95:C97,0)),"")</f>
        <v>84174.063999999998</v>
      </c>
      <c r="Y9" s="430">
        <f>IFERROR(INDEX('Master Lookup'!$G$93:$G$100,MATCH(W9,'Master Lookup'!$B$93:$B$100,0)),"")</f>
        <v>0</v>
      </c>
      <c r="Z9" s="539">
        <f>IFERROR(X9*Y9,0)</f>
        <v>0</v>
      </c>
      <c r="AA9" s="1310">
        <v>0</v>
      </c>
      <c r="AB9" s="458"/>
    </row>
    <row r="10" spans="2:30" ht="15" customHeight="1" x14ac:dyDescent="0.25">
      <c r="B10" s="533" t="s">
        <v>498</v>
      </c>
      <c r="C10" s="538">
        <f>6*44</f>
        <v>264</v>
      </c>
      <c r="D10" s="538">
        <f>8*44</f>
        <v>352</v>
      </c>
      <c r="E10" s="538">
        <f>8*44</f>
        <v>352</v>
      </c>
      <c r="F10" s="465"/>
      <c r="G10" s="326">
        <v>4</v>
      </c>
      <c r="H10" s="340"/>
      <c r="I10" s="536" t="s">
        <v>457</v>
      </c>
      <c r="J10" s="535"/>
      <c r="K10" s="534"/>
      <c r="L10" s="496">
        <f>SUM(L7:L9)</f>
        <v>66537.12000000001</v>
      </c>
      <c r="M10" s="1311">
        <v>58616.063999999998</v>
      </c>
      <c r="N10" s="344">
        <f t="shared" si="0"/>
        <v>0.13513455970022162</v>
      </c>
      <c r="P10" s="536" t="s">
        <v>457</v>
      </c>
      <c r="Q10" s="535"/>
      <c r="R10" s="534"/>
      <c r="S10" s="496">
        <f>SUM(S7:S9)</f>
        <v>84174.063999999998</v>
      </c>
      <c r="T10" s="1311">
        <v>80606.448000000004</v>
      </c>
      <c r="U10" s="466">
        <f t="shared" ref="U10:U24" si="1">(S10-T10)/T10</f>
        <v>4.425968503164901E-2</v>
      </c>
      <c r="V10" s="537"/>
      <c r="W10" s="536" t="s">
        <v>457</v>
      </c>
      <c r="X10" s="535"/>
      <c r="Y10" s="534"/>
      <c r="Z10" s="496">
        <f>SUM(Z7:Z9)</f>
        <v>107827.2</v>
      </c>
      <c r="AA10" s="1311">
        <v>101383.77600000001</v>
      </c>
      <c r="AB10" s="458">
        <f t="shared" ref="AB10:AB24" si="2">(Z10-AA10)/AA10</f>
        <v>6.355478415007923E-2</v>
      </c>
    </row>
    <row r="11" spans="2:30" ht="15" customHeight="1" thickBot="1" x14ac:dyDescent="0.3">
      <c r="B11" s="533" t="s">
        <v>519</v>
      </c>
      <c r="C11" s="532">
        <f>8*44</f>
        <v>352</v>
      </c>
      <c r="D11" s="532">
        <f>10*44</f>
        <v>440</v>
      </c>
      <c r="E11" s="532">
        <f>10*44</f>
        <v>440</v>
      </c>
      <c r="F11" s="465"/>
      <c r="G11" s="326">
        <v>5</v>
      </c>
      <c r="H11" s="340"/>
      <c r="I11" s="531" t="s">
        <v>322</v>
      </c>
      <c r="J11" s="530">
        <f>INDEX('Master Lookup FY26'!C113:C115,MATCH(I11,'Master Lookup FY26'!B113:B115,0))</f>
        <v>0.24970000000000001</v>
      </c>
      <c r="K11" s="529"/>
      <c r="L11" s="528">
        <f>L10*J11</f>
        <v>16614.318864000004</v>
      </c>
      <c r="M11" s="1310">
        <v>16049.078323199999</v>
      </c>
      <c r="N11" s="344">
        <f t="shared" si="0"/>
        <v>3.5219501669632489E-2</v>
      </c>
      <c r="P11" s="531" t="s">
        <v>322</v>
      </c>
      <c r="Q11" s="530">
        <f>INDEX('Master Lookup FY26'!C113:C115,MATCH(P11,'Master Lookup FY26'!B113:B115,0))</f>
        <v>0.24970000000000001</v>
      </c>
      <c r="R11" s="529"/>
      <c r="S11" s="528">
        <f>S10*Q11</f>
        <v>21018.2637808</v>
      </c>
      <c r="T11" s="1310">
        <v>22070.045462400001</v>
      </c>
      <c r="U11" s="466">
        <f t="shared" si="1"/>
        <v>-4.7656525374715999E-2</v>
      </c>
      <c r="V11" s="336"/>
      <c r="W11" s="531" t="s">
        <v>322</v>
      </c>
      <c r="X11" s="530">
        <f>INDEX('Master Lookup FY26'!C113:C115,MATCH(W11,'Master Lookup'!$B$113:$B$115,0))</f>
        <v>0.24970000000000001</v>
      </c>
      <c r="Y11" s="529"/>
      <c r="Z11" s="528">
        <f>Z10*X11</f>
        <v>26924.451840000002</v>
      </c>
      <c r="AA11" s="1310">
        <v>27758.877868800002</v>
      </c>
      <c r="AB11" s="458">
        <f t="shared" si="2"/>
        <v>-3.0059789619156972E-2</v>
      </c>
    </row>
    <row r="12" spans="2:30" ht="15" customHeight="1" thickBot="1" x14ac:dyDescent="0.3">
      <c r="B12" s="508" t="s">
        <v>518</v>
      </c>
      <c r="C12" s="527">
        <f>SUM(C6:C11)</f>
        <v>944</v>
      </c>
      <c r="D12" s="526">
        <f>SUM(D6:D11)</f>
        <v>1120</v>
      </c>
      <c r="E12" s="526">
        <f>SUM(E6:E11)</f>
        <v>1140</v>
      </c>
      <c r="F12" s="460"/>
      <c r="G12" s="326">
        <v>6</v>
      </c>
      <c r="H12" s="340"/>
      <c r="I12" s="525" t="s">
        <v>456</v>
      </c>
      <c r="J12" s="524"/>
      <c r="K12" s="523">
        <f>K7</f>
        <v>1</v>
      </c>
      <c r="L12" s="496">
        <f>SUM(L10:L11)</f>
        <v>83151.438864000011</v>
      </c>
      <c r="M12" s="1311">
        <v>74665.142323199994</v>
      </c>
      <c r="N12" s="344">
        <f t="shared" si="0"/>
        <v>0.11365807760823285</v>
      </c>
      <c r="P12" s="525" t="s">
        <v>456</v>
      </c>
      <c r="Q12" s="524"/>
      <c r="R12" s="523">
        <f>R7</f>
        <v>0</v>
      </c>
      <c r="S12" s="496">
        <f>SUM(S10:S11)</f>
        <v>105192.3277808</v>
      </c>
      <c r="T12" s="1311">
        <v>102676.4934624</v>
      </c>
      <c r="U12" s="466">
        <f t="shared" si="1"/>
        <v>2.4502534451288912E-2</v>
      </c>
      <c r="V12" s="458"/>
      <c r="W12" s="525" t="s">
        <v>456</v>
      </c>
      <c r="X12" s="524"/>
      <c r="Y12" s="523"/>
      <c r="Z12" s="496">
        <f>SUM(Z10:Z11)</f>
        <v>134751.65184000001</v>
      </c>
      <c r="AA12" s="1311">
        <v>129142.65386880001</v>
      </c>
      <c r="AB12" s="458">
        <f t="shared" si="2"/>
        <v>4.3432574778108128E-2</v>
      </c>
    </row>
    <row r="13" spans="2:30" ht="15" customHeight="1" x14ac:dyDescent="0.25">
      <c r="B13" s="522"/>
      <c r="C13" s="521"/>
      <c r="D13" s="520"/>
      <c r="E13" s="520"/>
      <c r="F13" s="460"/>
      <c r="G13" s="326"/>
      <c r="H13" s="340"/>
      <c r="I13" s="484"/>
      <c r="J13" s="516"/>
      <c r="K13" s="476"/>
      <c r="L13" s="515"/>
      <c r="M13" s="1311"/>
      <c r="P13" s="484"/>
      <c r="Q13" s="516"/>
      <c r="R13" s="476"/>
      <c r="S13" s="515"/>
      <c r="T13" s="1311"/>
      <c r="U13" s="466"/>
      <c r="V13" s="458"/>
      <c r="W13" s="484"/>
      <c r="X13" s="516"/>
      <c r="Y13" s="476"/>
      <c r="Z13" s="515"/>
      <c r="AA13" s="1311"/>
      <c r="AB13" s="458"/>
    </row>
    <row r="14" spans="2:30" ht="15" customHeight="1" x14ac:dyDescent="0.2">
      <c r="B14" s="519" t="s">
        <v>517</v>
      </c>
      <c r="C14" s="518">
        <f>C5-C12</f>
        <v>1136</v>
      </c>
      <c r="D14" s="517">
        <f>D5-D12</f>
        <v>960</v>
      </c>
      <c r="E14" s="517">
        <f>E5-E12</f>
        <v>940</v>
      </c>
      <c r="F14" s="460"/>
      <c r="G14" s="467"/>
      <c r="H14" s="340"/>
      <c r="I14" s="484" t="s">
        <v>326</v>
      </c>
      <c r="J14" s="516"/>
      <c r="K14" s="476"/>
      <c r="L14" s="515"/>
      <c r="M14" s="1311"/>
      <c r="P14" s="484" t="s">
        <v>326</v>
      </c>
      <c r="Q14" s="516"/>
      <c r="R14" s="476"/>
      <c r="S14" s="515"/>
      <c r="T14" s="1311"/>
      <c r="U14" s="466"/>
      <c r="V14" s="458"/>
      <c r="W14" s="484" t="s">
        <v>326</v>
      </c>
      <c r="X14" s="516"/>
      <c r="Y14" s="476"/>
      <c r="Z14" s="515"/>
      <c r="AA14" s="1311"/>
      <c r="AB14" s="458"/>
    </row>
    <row r="15" spans="2:30" ht="15" customHeight="1" thickBot="1" x14ac:dyDescent="0.25">
      <c r="B15" s="514" t="s">
        <v>516</v>
      </c>
      <c r="C15" s="513">
        <v>1</v>
      </c>
      <c r="D15" s="463">
        <v>1</v>
      </c>
      <c r="E15" s="512">
        <v>1</v>
      </c>
      <c r="F15" s="463"/>
      <c r="G15" s="462"/>
      <c r="H15" s="340"/>
      <c r="I15" s="511" t="str">
        <f>IF(INDEX('Master Lookup'!$B$105:$B$111,G18)=0,"",INDEX('Master Lookup'!$B$105:$B$111,G18))</f>
        <v>Total Occupancy</v>
      </c>
      <c r="J15" s="510"/>
      <c r="K15" s="510"/>
      <c r="L15" s="509">
        <f>IFERROR(INDEX('Master Lookup FY26'!C105:C106,MATCH(I15,'Master Lookup FY26'!B105:B106,0)),"")</f>
        <v>6392.9174203826224</v>
      </c>
      <c r="M15" s="379">
        <v>6221.9259542286536</v>
      </c>
      <c r="N15" s="344">
        <f t="shared" si="0"/>
        <v>2.7482079891638145E-2</v>
      </c>
      <c r="P15" s="511" t="str">
        <f>IF(INDEX('Master Lookup'!$B$105:$B$111,G18)=0,"",INDEX('Master Lookup'!$B$105:$B$111,G18))</f>
        <v>Total Occupancy</v>
      </c>
      <c r="Q15" s="510"/>
      <c r="R15" s="510"/>
      <c r="S15" s="509">
        <f>IFERROR(INDEX('Master Lookup FY26'!C105:C106,MATCH(P15,'Master Lookup FY26'!B105:B106,0)),"")</f>
        <v>6392.9174203826224</v>
      </c>
      <c r="T15" s="379">
        <v>6221.9259542286536</v>
      </c>
      <c r="U15" s="466">
        <f t="shared" si="1"/>
        <v>2.7482079891638145E-2</v>
      </c>
      <c r="V15" s="458"/>
      <c r="W15" s="511" t="str">
        <f>IF(INDEX('Master Lookup'!$B$105:$B$111,G18)=0,"",INDEX('Master Lookup'!$B$105:$B$111,G18))</f>
        <v>Total Occupancy</v>
      </c>
      <c r="X15" s="510"/>
      <c r="Y15" s="510"/>
      <c r="Z15" s="509">
        <f>IFERROR(INDEX('Master Lookup FY26'!C105:C106,MATCH(W15,'Master Lookup FY26'!B105:B106,0)),"")</f>
        <v>6392.9174203826224</v>
      </c>
      <c r="AA15" s="379">
        <v>6221.9259542286536</v>
      </c>
      <c r="AB15" s="458">
        <f t="shared" si="2"/>
        <v>2.7482079891638145E-2</v>
      </c>
    </row>
    <row r="16" spans="2:30" ht="15.75" customHeight="1" thickBot="1" x14ac:dyDescent="0.25">
      <c r="B16" s="508" t="s">
        <v>515</v>
      </c>
      <c r="C16" s="507">
        <f>C15*C14</f>
        <v>1136</v>
      </c>
      <c r="D16" s="506">
        <f>D15*D14</f>
        <v>960</v>
      </c>
      <c r="E16" s="506">
        <f>E15*E14</f>
        <v>940</v>
      </c>
      <c r="F16" s="460"/>
      <c r="G16" s="459"/>
      <c r="H16" s="340"/>
      <c r="I16" s="377" t="str">
        <f>IF(INDEX('Master Lookup'!$B$105:$B$111,G19)=0,"",INDEX('Master Lookup'!$B$105:$B$111,G19))</f>
        <v>Client Transportation 208</v>
      </c>
      <c r="J16" s="466"/>
      <c r="K16" s="499"/>
      <c r="L16" s="498">
        <f>IFERROR(INDEX('Master Lookup FY26'!C106:C107,MATCH(I16,'Master Lookup FY26'!B106:B107,0)),"")</f>
        <v>1788.8934173999289</v>
      </c>
      <c r="M16" s="379">
        <v>1741.693522928565</v>
      </c>
      <c r="N16" s="344">
        <f t="shared" si="0"/>
        <v>2.7099999999999881E-2</v>
      </c>
      <c r="P16" s="377" t="str">
        <f>IF(INDEX('Master Lookup'!$B$105:$B$111,G19)=0,"",INDEX('Master Lookup'!$B$105:$B$111,G19))</f>
        <v>Client Transportation 208</v>
      </c>
      <c r="Q16" s="466"/>
      <c r="R16" s="499"/>
      <c r="S16" s="498">
        <f>IFERROR(INDEX('Master Lookup FY26'!C106:C107,MATCH(P16,'Master Lookup FY26'!B106:B107,0)),"")</f>
        <v>1788.8934173999289</v>
      </c>
      <c r="T16" s="379">
        <v>1741.693522928565</v>
      </c>
      <c r="U16" s="466">
        <f t="shared" si="1"/>
        <v>2.7099999999999881E-2</v>
      </c>
      <c r="V16" s="458"/>
      <c r="W16" s="377" t="str">
        <f>IF(INDEX('Master Lookup'!$B$105:$B$111,G19)=0,"",INDEX('Master Lookup'!$B$105:$B$111,G19))</f>
        <v>Client Transportation 208</v>
      </c>
      <c r="X16" s="466"/>
      <c r="Y16" s="499"/>
      <c r="Z16" s="498">
        <f>IFERROR(INDEX('Master Lookup FY26'!C106:C107,MATCH(W16,'Master Lookup FY26'!B106:B107,0)),"")</f>
        <v>1788.8934173999289</v>
      </c>
      <c r="AA16" s="379">
        <v>1741.693522928565</v>
      </c>
      <c r="AB16" s="458">
        <f t="shared" si="2"/>
        <v>2.7099999999999881E-2</v>
      </c>
    </row>
    <row r="17" spans="2:28" ht="15.75" customHeight="1" x14ac:dyDescent="0.2">
      <c r="B17" s="500"/>
      <c r="C17" s="460"/>
      <c r="D17" s="460"/>
      <c r="E17" s="460"/>
      <c r="F17" s="460"/>
      <c r="G17" s="459"/>
      <c r="H17" s="340"/>
      <c r="I17" s="504" t="s">
        <v>492</v>
      </c>
      <c r="J17" s="505"/>
      <c r="K17" s="502"/>
      <c r="L17" s="501">
        <f>SUM(L15:L16)</f>
        <v>8181.8108377825511</v>
      </c>
      <c r="M17" s="382">
        <v>7963.6194771572191</v>
      </c>
      <c r="N17" s="344">
        <f>(L17-M17)/M17</f>
        <v>2.7398516623149849E-2</v>
      </c>
      <c r="P17" s="504" t="s">
        <v>492</v>
      </c>
      <c r="Q17" s="503"/>
      <c r="R17" s="502"/>
      <c r="S17" s="501">
        <f>SUM(S15:S16)</f>
        <v>8181.8108377825511</v>
      </c>
      <c r="T17" s="382">
        <v>7963.6194771572191</v>
      </c>
      <c r="U17" s="466">
        <f t="shared" si="1"/>
        <v>2.7398516623149849E-2</v>
      </c>
      <c r="V17" s="458"/>
      <c r="W17" s="504" t="s">
        <v>492</v>
      </c>
      <c r="X17" s="503"/>
      <c r="Y17" s="502"/>
      <c r="Z17" s="501">
        <f>SUM(Z15:Z16)</f>
        <v>8181.8108377825511</v>
      </c>
      <c r="AA17" s="382">
        <v>7963.6194771572191</v>
      </c>
      <c r="AB17" s="458">
        <f t="shared" si="2"/>
        <v>2.7398516623149849E-2</v>
      </c>
    </row>
    <row r="18" spans="2:28" ht="15.75" customHeight="1" x14ac:dyDescent="0.25">
      <c r="B18" s="500"/>
      <c r="C18" s="460"/>
      <c r="D18" s="460"/>
      <c r="E18" s="460"/>
      <c r="F18" s="460"/>
      <c r="G18" s="326">
        <v>1</v>
      </c>
      <c r="H18" s="340"/>
      <c r="I18" s="377"/>
      <c r="J18" s="466"/>
      <c r="K18" s="499"/>
      <c r="L18" s="498"/>
      <c r="M18" s="379"/>
      <c r="P18" s="377"/>
      <c r="Q18" s="466"/>
      <c r="R18" s="499"/>
      <c r="S18" s="498"/>
      <c r="T18" s="379"/>
      <c r="U18" s="466"/>
      <c r="V18" s="458"/>
      <c r="W18" s="377"/>
      <c r="X18" s="466"/>
      <c r="Y18" s="499"/>
      <c r="Z18" s="498"/>
      <c r="AA18" s="379"/>
      <c r="AB18" s="458"/>
    </row>
    <row r="19" spans="2:28" ht="15" customHeight="1" x14ac:dyDescent="0.25">
      <c r="B19" s="460"/>
      <c r="C19" s="460"/>
      <c r="D19" s="460"/>
      <c r="E19" s="460"/>
      <c r="F19" s="460"/>
      <c r="G19" s="326">
        <v>2</v>
      </c>
      <c r="H19" s="340"/>
      <c r="I19" s="497" t="s">
        <v>453</v>
      </c>
      <c r="J19" s="1239"/>
      <c r="K19" s="370"/>
      <c r="L19" s="496">
        <f>SUM(L12,L17)</f>
        <v>91333.249701782566</v>
      </c>
      <c r="M19" s="1311">
        <v>82628.761800357213</v>
      </c>
      <c r="N19" s="344">
        <f t="shared" si="0"/>
        <v>0.10534452788311929</v>
      </c>
      <c r="P19" s="497" t="s">
        <v>453</v>
      </c>
      <c r="Q19" s="371"/>
      <c r="R19" s="370"/>
      <c r="S19" s="496">
        <f>SUM(S12,S17)</f>
        <v>113374.13861858255</v>
      </c>
      <c r="T19" s="1311">
        <v>110640.11293955722</v>
      </c>
      <c r="U19" s="466">
        <f t="shared" si="1"/>
        <v>2.4710980551140016E-2</v>
      </c>
      <c r="V19" s="458"/>
      <c r="W19" s="497" t="s">
        <v>453</v>
      </c>
      <c r="X19" s="371"/>
      <c r="Y19" s="370"/>
      <c r="Z19" s="496">
        <f>SUM(Z12,Z17)</f>
        <v>142933.46267778255</v>
      </c>
      <c r="AA19" s="1311">
        <v>137106.27334595722</v>
      </c>
      <c r="AB19" s="458">
        <f t="shared" si="2"/>
        <v>4.2501259713490357E-2</v>
      </c>
    </row>
    <row r="20" spans="2:28" ht="15" customHeight="1" x14ac:dyDescent="0.25">
      <c r="B20" s="460"/>
      <c r="C20" s="460"/>
      <c r="D20" s="460"/>
      <c r="E20" s="460"/>
      <c r="F20" s="460"/>
      <c r="G20" s="326">
        <v>3</v>
      </c>
      <c r="H20" s="340"/>
      <c r="I20" s="284" t="s">
        <v>320</v>
      </c>
      <c r="J20" s="495">
        <f>INDEX('Master Lookup FY26'!C113:C115,MATCH(I20,'Master Lookup FY26'!B113:B115,0))</f>
        <v>0.12</v>
      </c>
      <c r="K20" s="494"/>
      <c r="L20" s="493">
        <f>L19*J20</f>
        <v>10959.989964213908</v>
      </c>
      <c r="M20" s="1310">
        <v>9915.4514160428644</v>
      </c>
      <c r="N20" s="344">
        <f t="shared" si="0"/>
        <v>0.10534452788311945</v>
      </c>
      <c r="P20" s="284" t="s">
        <v>320</v>
      </c>
      <c r="Q20" s="495">
        <f>INDEX('Master Lookup FY26'!C113:C115,MATCH(P20,'Master Lookup FY26'!B113:B115,0))</f>
        <v>0.12</v>
      </c>
      <c r="R20" s="494"/>
      <c r="S20" s="493">
        <f>S19*Q20</f>
        <v>13604.896634229906</v>
      </c>
      <c r="T20" s="1310">
        <v>13276.813552746866</v>
      </c>
      <c r="U20" s="466">
        <f t="shared" si="1"/>
        <v>2.4710980551140061E-2</v>
      </c>
      <c r="V20" s="458"/>
      <c r="W20" s="284" t="s">
        <v>320</v>
      </c>
      <c r="X20" s="495">
        <f>INDEX('Master Lookup FY26'!C113:C115,MATCH(W20,'Master Lookup FY26'!B113:B115,0))</f>
        <v>0.12</v>
      </c>
      <c r="Y20" s="494"/>
      <c r="Z20" s="493">
        <f>Z19*X20</f>
        <v>17152.015521333906</v>
      </c>
      <c r="AA20" s="1310">
        <v>16452.752801514867</v>
      </c>
      <c r="AB20" s="458">
        <f t="shared" si="2"/>
        <v>4.2501259713490301E-2</v>
      </c>
    </row>
    <row r="21" spans="2:28" ht="15" customHeight="1" x14ac:dyDescent="0.25">
      <c r="B21" s="460"/>
      <c r="C21" s="460"/>
      <c r="D21" s="460"/>
      <c r="E21" s="460"/>
      <c r="F21" s="460"/>
      <c r="G21" s="326">
        <v>4</v>
      </c>
      <c r="H21" s="340"/>
      <c r="I21" s="280" t="s">
        <v>321</v>
      </c>
      <c r="J21" s="426">
        <f>INDEX('Master Lookup FY26'!C114:C116,MATCH(I21,'Master Lookup FY26'!B114:B116,0))</f>
        <v>2.5282070971092779E-2</v>
      </c>
      <c r="K21" s="490"/>
      <c r="L21" s="489">
        <f>(L19+L20)*J21</f>
        <v>2586.1849450987261</v>
      </c>
      <c r="M21" s="1310">
        <v>2507.9832636674373</v>
      </c>
      <c r="N21" s="344">
        <f t="shared" si="0"/>
        <v>3.1181101789704142E-2</v>
      </c>
      <c r="P21" s="280" t="s">
        <v>321</v>
      </c>
      <c r="Q21" s="491">
        <f>INDEX('Master Lookup FY26'!C114:C116,MATCH(P21,'Master Lookup FY26'!B114:B116,0))</f>
        <v>2.5282070971092779E-2</v>
      </c>
      <c r="R21" s="490"/>
      <c r="S21" s="489">
        <f>(S19+S20)*Q21</f>
        <v>3210.2929811024965</v>
      </c>
      <c r="T21" s="1310">
        <v>3358.1956875152523</v>
      </c>
      <c r="U21" s="466">
        <f t="shared" si="1"/>
        <v>-4.4042313246548732E-2</v>
      </c>
      <c r="V21" s="492"/>
      <c r="W21" s="280" t="s">
        <v>321</v>
      </c>
      <c r="X21" s="491">
        <f>INDEX('Master Lookup FY26'!C114:C116,MATCH(W21,'Master Lookup FY26'!B114:B116,0))</f>
        <v>2.5282070971092779E-2</v>
      </c>
      <c r="Y21" s="490"/>
      <c r="Z21" s="489">
        <f>(Z19+Z20)*X21</f>
        <v>4047.2924212713879</v>
      </c>
      <c r="AA21" s="1310">
        <v>4161.5078261282506</v>
      </c>
      <c r="AB21" s="458">
        <f t="shared" si="2"/>
        <v>-2.7445678256269319E-2</v>
      </c>
    </row>
    <row r="22" spans="2:28" ht="15" customHeight="1" x14ac:dyDescent="0.25">
      <c r="B22" s="460"/>
      <c r="C22" s="460"/>
      <c r="D22" s="460"/>
      <c r="E22" s="460"/>
      <c r="F22" s="460"/>
      <c r="G22" s="326">
        <v>5</v>
      </c>
      <c r="H22" s="340"/>
      <c r="I22" s="488" t="s">
        <v>490</v>
      </c>
      <c r="J22" s="487"/>
      <c r="K22" s="486"/>
      <c r="L22" s="485">
        <f>SUM(L19:L21)</f>
        <v>104879.42461109519</v>
      </c>
      <c r="M22" s="1311">
        <v>95052.19648006752</v>
      </c>
      <c r="N22" s="344">
        <f t="shared" si="0"/>
        <v>0.10338770165178085</v>
      </c>
      <c r="P22" s="488" t="s">
        <v>490</v>
      </c>
      <c r="Q22" s="1240"/>
      <c r="R22" s="486"/>
      <c r="S22" s="485">
        <f>SUM(S19:S21)</f>
        <v>130189.32823391496</v>
      </c>
      <c r="T22" s="1311">
        <v>127275.12217981934</v>
      </c>
      <c r="U22" s="466">
        <f t="shared" si="1"/>
        <v>2.2896902428255456E-2</v>
      </c>
      <c r="V22" s="458"/>
      <c r="W22" s="488" t="s">
        <v>490</v>
      </c>
      <c r="X22" s="1240"/>
      <c r="Y22" s="486"/>
      <c r="Z22" s="485">
        <f>SUM(Z19:Z21)</f>
        <v>164132.77062038783</v>
      </c>
      <c r="AA22" s="1311">
        <v>157720.53397360034</v>
      </c>
      <c r="AB22" s="458">
        <f t="shared" si="2"/>
        <v>4.0655686899086919E-2</v>
      </c>
    </row>
    <row r="23" spans="2:28" ht="15" customHeight="1" x14ac:dyDescent="0.25">
      <c r="B23" s="460"/>
      <c r="C23" s="460"/>
      <c r="D23" s="460"/>
      <c r="E23" s="460"/>
      <c r="F23" s="460"/>
      <c r="G23" s="326">
        <v>6</v>
      </c>
      <c r="H23" s="340"/>
      <c r="I23" s="484" t="s">
        <v>514</v>
      </c>
      <c r="J23" s="477"/>
      <c r="K23" s="476"/>
      <c r="L23" s="483">
        <f>L22/L5</f>
        <v>92.323437157654226</v>
      </c>
      <c r="M23" s="1312">
        <v>83.672708169073516</v>
      </c>
      <c r="N23" s="344">
        <f t="shared" si="0"/>
        <v>0.10338770165178097</v>
      </c>
      <c r="P23" s="484" t="s">
        <v>514</v>
      </c>
      <c r="Q23" s="477"/>
      <c r="R23" s="476"/>
      <c r="S23" s="483">
        <f>S22/S5</f>
        <v>135.61388357699474</v>
      </c>
      <c r="T23" s="1312">
        <v>132.57825227064515</v>
      </c>
      <c r="U23" s="466">
        <f t="shared" si="1"/>
        <v>2.2896902428255355E-2</v>
      </c>
      <c r="V23" s="458"/>
      <c r="W23" s="484" t="s">
        <v>513</v>
      </c>
      <c r="X23" s="477"/>
      <c r="Y23" s="476"/>
      <c r="Z23" s="483">
        <f>Z22/Z5</f>
        <v>174.60933044722111</v>
      </c>
      <c r="AA23" s="1312">
        <v>167.78780209957483</v>
      </c>
      <c r="AB23" s="458">
        <f t="shared" si="2"/>
        <v>4.0655686899086954E-2</v>
      </c>
    </row>
    <row r="24" spans="2:28" ht="15" customHeight="1" thickBot="1" x14ac:dyDescent="0.25">
      <c r="B24" s="471"/>
      <c r="C24" s="471"/>
      <c r="D24" s="471"/>
      <c r="E24" s="471"/>
      <c r="F24" s="471"/>
      <c r="H24" s="340"/>
      <c r="I24" s="482" t="s">
        <v>512</v>
      </c>
      <c r="J24" s="481"/>
      <c r="K24" s="480"/>
      <c r="L24" s="479">
        <f>ROUND(L23*0.25,2)</f>
        <v>23.08</v>
      </c>
      <c r="M24" s="1313">
        <v>20.92</v>
      </c>
      <c r="N24" s="344">
        <f t="shared" si="0"/>
        <v>0.10325047801147211</v>
      </c>
      <c r="P24" s="482" t="s">
        <v>512</v>
      </c>
      <c r="Q24" s="481"/>
      <c r="R24" s="480"/>
      <c r="S24" s="479">
        <f>ROUND(S23*0.25,2)</f>
        <v>33.9</v>
      </c>
      <c r="T24" s="1313">
        <v>33.14</v>
      </c>
      <c r="U24" s="466">
        <f t="shared" si="1"/>
        <v>2.2933011466505674E-2</v>
      </c>
      <c r="W24" s="482" t="s">
        <v>511</v>
      </c>
      <c r="X24" s="481"/>
      <c r="Y24" s="480"/>
      <c r="Z24" s="479">
        <f>ROUND(Z23*0.25,2)</f>
        <v>43.65</v>
      </c>
      <c r="AA24" s="1313">
        <v>41.95</v>
      </c>
      <c r="AB24" s="458">
        <f t="shared" si="2"/>
        <v>4.0524433849821108E-2</v>
      </c>
    </row>
    <row r="25" spans="2:28" ht="15" customHeight="1" x14ac:dyDescent="0.25">
      <c r="B25" s="471"/>
      <c r="C25" s="471"/>
      <c r="D25" s="471"/>
      <c r="E25" s="471"/>
      <c r="F25" s="471"/>
      <c r="G25" s="326"/>
      <c r="H25" s="340"/>
      <c r="I25" s="477"/>
      <c r="J25" s="1727"/>
      <c r="K25" s="1727"/>
      <c r="L25" s="478"/>
      <c r="M25" s="478"/>
      <c r="P25" s="477"/>
      <c r="Q25" s="1762"/>
      <c r="R25" s="1762"/>
      <c r="S25" s="478"/>
      <c r="T25" s="478"/>
      <c r="V25" s="458"/>
      <c r="X25" s="1762"/>
      <c r="Y25" s="1762"/>
      <c r="Z25" s="478"/>
      <c r="AA25" s="478"/>
      <c r="AB25" s="458"/>
    </row>
    <row r="26" spans="2:28" ht="15" customHeight="1" x14ac:dyDescent="0.25">
      <c r="B26" s="471"/>
      <c r="C26" s="471"/>
      <c r="D26" s="471"/>
      <c r="E26" s="471"/>
      <c r="F26" s="471"/>
      <c r="G26" s="326"/>
      <c r="H26" s="340"/>
      <c r="K26" s="340" t="s">
        <v>582</v>
      </c>
      <c r="L26" s="340">
        <v>20.92</v>
      </c>
      <c r="P26" s="477"/>
      <c r="Q26" s="477"/>
      <c r="R26" s="340" t="s">
        <v>582</v>
      </c>
      <c r="S26" s="475">
        <v>33.14</v>
      </c>
      <c r="T26" s="475"/>
      <c r="U26" s="1315"/>
      <c r="V26" s="458"/>
      <c r="W26" s="474"/>
      <c r="Y26" s="340" t="s">
        <v>582</v>
      </c>
      <c r="Z26" s="340">
        <v>41.95</v>
      </c>
      <c r="AB26" s="458"/>
    </row>
    <row r="27" spans="2:28" ht="15" customHeight="1" x14ac:dyDescent="0.2">
      <c r="B27" s="471"/>
      <c r="C27" s="471"/>
      <c r="D27" s="471"/>
      <c r="E27" s="471"/>
      <c r="F27" s="471"/>
      <c r="G27" s="470"/>
      <c r="H27" s="340"/>
      <c r="K27" s="340" t="s">
        <v>743</v>
      </c>
      <c r="L27" s="344">
        <f>(L24-L26)/L26</f>
        <v>0.10325047801147211</v>
      </c>
      <c r="M27" s="344"/>
      <c r="R27" s="340" t="s">
        <v>743</v>
      </c>
      <c r="S27" s="344">
        <f>(S24-S26)/S26</f>
        <v>2.2933011466505674E-2</v>
      </c>
      <c r="T27" s="344"/>
      <c r="W27" s="473"/>
      <c r="X27" s="472"/>
      <c r="Y27" s="340" t="s">
        <v>743</v>
      </c>
      <c r="Z27" s="344">
        <f>(Z24-Z26)/Z26</f>
        <v>4.0524433849821108E-2</v>
      </c>
      <c r="AA27" s="344"/>
    </row>
    <row r="28" spans="2:28" ht="15" hidden="1" customHeight="1" x14ac:dyDescent="0.2">
      <c r="B28" s="471"/>
      <c r="C28" s="471"/>
      <c r="D28" s="471"/>
      <c r="E28" s="471"/>
      <c r="F28" s="471"/>
      <c r="G28" s="470"/>
      <c r="H28" s="340"/>
      <c r="W28" s="473"/>
      <c r="X28" s="472"/>
    </row>
    <row r="29" spans="2:28" ht="15" hidden="1" customHeight="1" x14ac:dyDescent="0.2">
      <c r="B29" s="471"/>
      <c r="C29" s="471"/>
      <c r="D29" s="471"/>
      <c r="E29" s="471"/>
      <c r="F29" s="471"/>
      <c r="G29" s="470"/>
      <c r="H29" s="340"/>
    </row>
    <row r="30" spans="2:28" ht="15" hidden="1" customHeight="1" x14ac:dyDescent="0.2">
      <c r="B30" s="470"/>
      <c r="C30" s="470"/>
      <c r="D30" s="470"/>
      <c r="E30" s="470"/>
      <c r="F30" s="470"/>
      <c r="G30" s="469"/>
      <c r="H30" s="340"/>
    </row>
    <row r="31" spans="2:28" ht="15" hidden="1" customHeight="1" x14ac:dyDescent="0.2">
      <c r="B31" s="460"/>
      <c r="C31" s="460"/>
      <c r="D31" s="460"/>
      <c r="E31" s="460"/>
      <c r="F31" s="460"/>
      <c r="G31" s="468"/>
      <c r="H31" s="340"/>
      <c r="J31" s="477">
        <v>2026</v>
      </c>
      <c r="L31" s="477">
        <v>2024</v>
      </c>
      <c r="O31" s="340"/>
      <c r="P31" s="756"/>
      <c r="Q31" s="340"/>
      <c r="S31" s="344"/>
    </row>
    <row r="32" spans="2:28" ht="15" hidden="1" customHeight="1" x14ac:dyDescent="0.2">
      <c r="B32" s="465"/>
      <c r="C32" s="465"/>
      <c r="D32" s="465"/>
      <c r="E32" s="465"/>
      <c r="F32" s="465"/>
      <c r="G32" s="464"/>
      <c r="H32" s="340"/>
      <c r="I32" s="340" t="s">
        <v>410</v>
      </c>
      <c r="J32" s="1310">
        <v>56388.633600000001</v>
      </c>
      <c r="K32" s="1310"/>
      <c r="L32" s="1310">
        <v>58616.063999999998</v>
      </c>
      <c r="M32" s="344">
        <f>(J32-L32)/L32</f>
        <v>-3.8000340657468872E-2</v>
      </c>
      <c r="O32" s="1317">
        <f>L32*(1+2.71%)</f>
        <v>60204.559334399994</v>
      </c>
      <c r="P32" s="756"/>
      <c r="Q32" s="340"/>
      <c r="R32" s="1310"/>
      <c r="S32" s="344"/>
      <c r="AB32" s="458"/>
    </row>
    <row r="33" spans="2:28" ht="15" hidden="1" customHeight="1" x14ac:dyDescent="0.2">
      <c r="B33" s="465"/>
      <c r="C33" s="465"/>
      <c r="D33" s="465"/>
      <c r="E33" s="465"/>
      <c r="F33" s="465"/>
      <c r="G33" s="464"/>
      <c r="H33" s="340"/>
      <c r="J33" s="1310"/>
      <c r="K33" s="1310"/>
      <c r="L33" s="1310"/>
      <c r="M33" s="344"/>
      <c r="O33" s="340"/>
      <c r="P33" s="756"/>
      <c r="Q33" s="340"/>
      <c r="R33" s="1310"/>
      <c r="S33" s="344"/>
      <c r="AB33" s="458"/>
    </row>
    <row r="34" spans="2:28" ht="15" hidden="1" customHeight="1" x14ac:dyDescent="0.2">
      <c r="B34" s="465"/>
      <c r="C34" s="465"/>
      <c r="D34" s="465"/>
      <c r="E34" s="465"/>
      <c r="F34" s="465"/>
      <c r="G34" s="467"/>
      <c r="H34" s="466"/>
      <c r="J34" s="1310"/>
      <c r="K34" s="1310"/>
      <c r="L34" s="1310"/>
      <c r="M34" s="344"/>
    </row>
    <row r="35" spans="2:28" ht="15" hidden="1" customHeight="1" x14ac:dyDescent="0.2">
      <c r="B35" s="465"/>
      <c r="C35" s="465"/>
      <c r="D35" s="465"/>
      <c r="E35" s="465"/>
      <c r="F35" s="465"/>
      <c r="G35" s="467"/>
      <c r="H35" s="466"/>
      <c r="I35" s="340" t="s">
        <v>777</v>
      </c>
      <c r="J35" s="1310">
        <v>8182</v>
      </c>
      <c r="K35" s="1310"/>
      <c r="L35" s="1310">
        <v>7964</v>
      </c>
      <c r="M35" s="344">
        <f t="shared" ref="M35" si="3">(J35-L35)/L35</f>
        <v>2.7373179306880966E-2</v>
      </c>
    </row>
    <row r="36" spans="2:28" ht="15" hidden="1" customHeight="1" x14ac:dyDescent="0.2">
      <c r="B36" s="465"/>
      <c r="C36" s="465"/>
      <c r="D36" s="465"/>
      <c r="E36" s="465"/>
      <c r="F36" s="465"/>
      <c r="G36" s="459"/>
      <c r="H36" s="466"/>
      <c r="J36" s="1310"/>
      <c r="K36" s="1310"/>
      <c r="L36" s="1310"/>
      <c r="M36" s="344"/>
    </row>
    <row r="37" spans="2:28" ht="15" hidden="1" customHeight="1" x14ac:dyDescent="0.25">
      <c r="B37" s="465"/>
      <c r="C37" s="465"/>
      <c r="D37" s="465"/>
      <c r="E37" s="465"/>
      <c r="F37" s="465"/>
      <c r="G37" s="464"/>
      <c r="H37" s="466"/>
      <c r="I37" s="531" t="s">
        <v>775</v>
      </c>
      <c r="J37" s="1310">
        <f>L11</f>
        <v>16614.318864000004</v>
      </c>
      <c r="K37" s="836">
        <v>0.24970000000000001</v>
      </c>
      <c r="L37" s="1310">
        <f>M11</f>
        <v>16049.078323199999</v>
      </c>
      <c r="M37" s="344">
        <f t="shared" ref="M37:M39" si="4">(J37-L37)/L37</f>
        <v>3.5219501669632489E-2</v>
      </c>
    </row>
    <row r="38" spans="2:28" ht="15" hidden="1" customHeight="1" x14ac:dyDescent="0.2">
      <c r="B38" s="465"/>
      <c r="C38" s="465"/>
      <c r="D38" s="465"/>
      <c r="E38" s="465"/>
      <c r="F38" s="465"/>
      <c r="G38" s="464"/>
      <c r="H38" s="466"/>
      <c r="M38" s="344"/>
    </row>
    <row r="39" spans="2:28" ht="15" hidden="1" customHeight="1" x14ac:dyDescent="0.25">
      <c r="B39" s="460"/>
      <c r="C39" s="460"/>
      <c r="D39" s="460"/>
      <c r="E39" s="460"/>
      <c r="F39" s="460"/>
      <c r="G39" s="464"/>
      <c r="H39" s="466"/>
      <c r="I39" s="280" t="s">
        <v>776</v>
      </c>
      <c r="J39" s="1310">
        <f>L21</f>
        <v>2586.1849450987261</v>
      </c>
      <c r="K39" s="836">
        <v>2.53E-2</v>
      </c>
      <c r="L39" s="1310">
        <f>M21</f>
        <v>2507.9832636674373</v>
      </c>
      <c r="M39" s="344">
        <f t="shared" si="4"/>
        <v>3.1181101789704142E-2</v>
      </c>
    </row>
    <row r="40" spans="2:28" ht="15" hidden="1" customHeight="1" x14ac:dyDescent="0.2">
      <c r="B40" s="460"/>
      <c r="C40" s="460"/>
      <c r="D40" s="460"/>
      <c r="E40" s="460"/>
      <c r="F40" s="460"/>
      <c r="G40" s="464"/>
      <c r="H40" s="466"/>
    </row>
    <row r="41" spans="2:28" ht="15" hidden="1" customHeight="1" x14ac:dyDescent="0.2">
      <c r="B41" s="463"/>
      <c r="C41" s="463"/>
      <c r="D41" s="463"/>
      <c r="E41" s="463"/>
      <c r="F41" s="463"/>
      <c r="G41" s="462"/>
      <c r="H41" s="466"/>
    </row>
    <row r="42" spans="2:28" ht="15" hidden="1" customHeight="1" x14ac:dyDescent="0.2">
      <c r="B42" s="460"/>
      <c r="C42" s="460"/>
      <c r="D42" s="460"/>
      <c r="E42" s="460"/>
      <c r="F42" s="460"/>
      <c r="G42" s="459"/>
      <c r="H42" s="466"/>
    </row>
    <row r="43" spans="2:28" ht="15" hidden="1" customHeight="1" x14ac:dyDescent="0.2">
      <c r="B43" s="460"/>
      <c r="C43" s="460"/>
      <c r="D43" s="460"/>
      <c r="E43" s="460"/>
      <c r="F43" s="460"/>
      <c r="G43" s="459"/>
      <c r="H43" s="466"/>
    </row>
    <row r="44" spans="2:28" ht="15" hidden="1" customHeight="1" x14ac:dyDescent="0.2">
      <c r="B44" s="460"/>
      <c r="C44" s="460"/>
      <c r="D44" s="460"/>
      <c r="E44" s="460"/>
      <c r="F44" s="460"/>
      <c r="G44" s="459"/>
      <c r="H44" s="466"/>
      <c r="P44" s="340"/>
      <c r="Q44" s="340"/>
      <c r="V44" s="458"/>
    </row>
    <row r="45" spans="2:28" ht="15" hidden="1" customHeight="1" x14ac:dyDescent="0.2">
      <c r="B45" s="460"/>
      <c r="C45" s="460"/>
      <c r="D45" s="460"/>
      <c r="E45" s="460"/>
      <c r="F45" s="460"/>
      <c r="H45" s="466"/>
      <c r="P45" s="340"/>
      <c r="Q45" s="340"/>
      <c r="V45" s="458"/>
    </row>
    <row r="46" spans="2:28" ht="15" hidden="1" customHeight="1" x14ac:dyDescent="0.2">
      <c r="B46" s="460"/>
      <c r="C46" s="460"/>
      <c r="D46" s="460"/>
      <c r="E46" s="460"/>
      <c r="F46" s="460"/>
      <c r="H46" s="466"/>
      <c r="P46" s="340"/>
      <c r="Q46" s="340"/>
      <c r="V46" s="458"/>
    </row>
    <row r="47" spans="2:28" ht="15" hidden="1" customHeight="1" x14ac:dyDescent="0.2">
      <c r="B47" s="460"/>
      <c r="C47" s="460"/>
      <c r="D47" s="460"/>
      <c r="E47" s="460"/>
      <c r="F47" s="460"/>
      <c r="H47" s="466"/>
      <c r="P47" s="340"/>
      <c r="Q47" s="340"/>
      <c r="V47" s="458"/>
    </row>
    <row r="48" spans="2:28" ht="15" hidden="1" customHeight="1" x14ac:dyDescent="0.2">
      <c r="B48" s="469"/>
      <c r="C48" s="469"/>
      <c r="D48" s="469"/>
      <c r="E48" s="469"/>
      <c r="F48" s="469"/>
      <c r="G48" s="469"/>
      <c r="H48" s="466"/>
      <c r="P48" s="340"/>
      <c r="Q48" s="340"/>
      <c r="V48" s="458"/>
    </row>
    <row r="49" spans="2:22" ht="15" hidden="1" customHeight="1" x14ac:dyDescent="0.2">
      <c r="B49" s="460"/>
      <c r="C49" s="460"/>
      <c r="D49" s="460"/>
      <c r="E49" s="460"/>
      <c r="F49" s="460"/>
      <c r="G49" s="468"/>
      <c r="H49" s="466"/>
      <c r="P49" s="340"/>
      <c r="Q49" s="340"/>
      <c r="V49" s="458"/>
    </row>
    <row r="50" spans="2:22" ht="15" hidden="1" customHeight="1" x14ac:dyDescent="0.2">
      <c r="B50" s="465"/>
      <c r="C50" s="465"/>
      <c r="D50" s="465"/>
      <c r="E50" s="465"/>
      <c r="F50" s="465"/>
      <c r="G50" s="464"/>
      <c r="H50" s="466"/>
    </row>
    <row r="51" spans="2:22" ht="16.5" hidden="1" customHeight="1" x14ac:dyDescent="0.2">
      <c r="B51" s="465"/>
      <c r="C51" s="465"/>
      <c r="D51" s="465"/>
      <c r="E51" s="465"/>
      <c r="F51" s="465"/>
      <c r="G51" s="467"/>
      <c r="H51" s="466"/>
    </row>
    <row r="52" spans="2:22" ht="15" hidden="1" customHeight="1" x14ac:dyDescent="0.2">
      <c r="B52" s="465"/>
      <c r="C52" s="465"/>
      <c r="D52" s="465"/>
      <c r="E52" s="465"/>
      <c r="F52" s="465"/>
      <c r="G52" s="467"/>
      <c r="H52" s="466"/>
    </row>
    <row r="53" spans="2:22" ht="15" hidden="1" customHeight="1" x14ac:dyDescent="0.2">
      <c r="B53" s="465"/>
      <c r="C53" s="465"/>
      <c r="D53" s="465"/>
      <c r="E53" s="465"/>
      <c r="F53" s="465"/>
      <c r="G53" s="459"/>
      <c r="H53" s="466"/>
    </row>
    <row r="54" spans="2:22" ht="14.25" hidden="1" customHeight="1" x14ac:dyDescent="0.2">
      <c r="B54" s="465"/>
      <c r="C54" s="465"/>
      <c r="D54" s="465"/>
      <c r="E54" s="465"/>
      <c r="F54" s="465"/>
      <c r="G54" s="464"/>
    </row>
    <row r="55" spans="2:22" ht="16.5" hidden="1" customHeight="1" x14ac:dyDescent="0.2">
      <c r="B55" s="465"/>
      <c r="C55" s="465"/>
      <c r="D55" s="465"/>
      <c r="E55" s="465"/>
      <c r="F55" s="465"/>
      <c r="G55" s="464"/>
    </row>
    <row r="56" spans="2:22" hidden="1" x14ac:dyDescent="0.2">
      <c r="B56" s="460"/>
      <c r="C56" s="460"/>
      <c r="D56" s="460"/>
      <c r="E56" s="460"/>
      <c r="F56" s="460"/>
      <c r="G56" s="464"/>
    </row>
    <row r="57" spans="2:22" x14ac:dyDescent="0.2">
      <c r="B57" s="460"/>
      <c r="C57" s="460"/>
      <c r="D57" s="460"/>
      <c r="E57" s="460"/>
      <c r="F57" s="460"/>
      <c r="G57" s="464"/>
    </row>
    <row r="58" spans="2:22" x14ac:dyDescent="0.2">
      <c r="B58" s="463"/>
      <c r="C58" s="463"/>
      <c r="D58" s="463"/>
      <c r="E58" s="463"/>
      <c r="F58" s="463"/>
      <c r="G58" s="462"/>
      <c r="P58" s="461"/>
    </row>
    <row r="59" spans="2:22" ht="14.25" customHeight="1" x14ac:dyDescent="0.2">
      <c r="B59" s="460"/>
      <c r="C59" s="460"/>
      <c r="D59" s="460"/>
      <c r="E59" s="460"/>
      <c r="F59" s="460"/>
      <c r="G59" s="459"/>
    </row>
    <row r="60" spans="2:22" ht="15" customHeight="1" x14ac:dyDescent="0.2"/>
    <row r="65" spans="14:15" ht="15.75" customHeight="1" x14ac:dyDescent="0.2"/>
    <row r="66" spans="14:15" ht="16.5" customHeight="1" x14ac:dyDescent="0.2"/>
    <row r="67" spans="14:15" x14ac:dyDescent="0.2">
      <c r="N67" s="458"/>
      <c r="O67" s="458"/>
    </row>
    <row r="69" spans="14:15" x14ac:dyDescent="0.2">
      <c r="N69" s="458"/>
      <c r="O69" s="458"/>
    </row>
    <row r="71" spans="14:15" ht="17.25" customHeight="1" x14ac:dyDescent="0.2"/>
    <row r="72" spans="14:15" ht="18.75" customHeight="1" x14ac:dyDescent="0.2"/>
    <row r="75" spans="14:15" ht="17.25" customHeight="1" x14ac:dyDescent="0.2"/>
  </sheetData>
  <mergeCells count="10">
    <mergeCell ref="AA4:AB4"/>
    <mergeCell ref="I2:Z2"/>
    <mergeCell ref="I4:L4"/>
    <mergeCell ref="P4:S4"/>
    <mergeCell ref="W4:Z4"/>
    <mergeCell ref="J25:K25"/>
    <mergeCell ref="Q25:R25"/>
    <mergeCell ref="X25:Y25"/>
    <mergeCell ref="M4:N4"/>
    <mergeCell ref="T4:U4"/>
  </mergeCells>
  <printOptions verticalCentered="1"/>
  <pageMargins left="0.2" right="0.2" top="0.75" bottom="0.25" header="0.3" footer="0.3"/>
  <pageSetup scale="5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18406-DFA3-4D6B-9773-8F32335C97AB}">
  <sheetPr>
    <pageSetUpPr fitToPage="1"/>
  </sheetPr>
  <dimension ref="B2:H68"/>
  <sheetViews>
    <sheetView zoomScaleNormal="100" workbookViewId="0">
      <selection activeCell="I50" sqref="I50"/>
    </sheetView>
  </sheetViews>
  <sheetFormatPr defaultRowHeight="12.75" x14ac:dyDescent="0.2"/>
  <cols>
    <col min="1" max="1" width="4.140625" style="464" customWidth="1"/>
    <col min="2" max="2" width="4.7109375" style="464" customWidth="1"/>
    <col min="3" max="3" width="23.85546875" style="464" customWidth="1"/>
    <col min="4" max="4" width="10.28515625" style="464" customWidth="1"/>
    <col min="5" max="5" width="8.7109375" style="464" customWidth="1"/>
    <col min="6" max="6" width="9.28515625" style="464" customWidth="1"/>
    <col min="7" max="7" width="9.85546875" style="464" customWidth="1"/>
    <col min="8" max="8" width="27.28515625" style="464" customWidth="1"/>
    <col min="9" max="9" width="36.140625" style="464" customWidth="1"/>
    <col min="10" max="10" width="7.140625" style="464" customWidth="1"/>
    <col min="11" max="11" width="7.7109375" style="464" customWidth="1"/>
    <col min="12" max="251" width="9.140625" style="464"/>
    <col min="252" max="252" width="30.85546875" style="464" customWidth="1"/>
    <col min="253" max="253" width="27" style="464" customWidth="1"/>
    <col min="254" max="254" width="11.5703125" style="464" bestFit="1" customWidth="1"/>
    <col min="255" max="255" width="9.7109375" style="464" customWidth="1"/>
    <col min="256" max="256" width="12" style="464" customWidth="1"/>
    <col min="257" max="257" width="38" style="464" customWidth="1"/>
    <col min="258" max="258" width="12" style="464" customWidth="1"/>
    <col min="259" max="259" width="12.140625" style="464" customWidth="1"/>
    <col min="260" max="507" width="9.140625" style="464"/>
    <col min="508" max="508" width="30.85546875" style="464" customWidth="1"/>
    <col min="509" max="509" width="27" style="464" customWidth="1"/>
    <col min="510" max="510" width="11.5703125" style="464" bestFit="1" customWidth="1"/>
    <col min="511" max="511" width="9.7109375" style="464" customWidth="1"/>
    <col min="512" max="512" width="12" style="464" customWidth="1"/>
    <col min="513" max="513" width="38" style="464" customWidth="1"/>
    <col min="514" max="514" width="12" style="464" customWidth="1"/>
    <col min="515" max="515" width="12.140625" style="464" customWidth="1"/>
    <col min="516" max="763" width="9.140625" style="464"/>
    <col min="764" max="764" width="30.85546875" style="464" customWidth="1"/>
    <col min="765" max="765" width="27" style="464" customWidth="1"/>
    <col min="766" max="766" width="11.5703125" style="464" bestFit="1" customWidth="1"/>
    <col min="767" max="767" width="9.7109375" style="464" customWidth="1"/>
    <col min="768" max="768" width="12" style="464" customWidth="1"/>
    <col min="769" max="769" width="38" style="464" customWidth="1"/>
    <col min="770" max="770" width="12" style="464" customWidth="1"/>
    <col min="771" max="771" width="12.140625" style="464" customWidth="1"/>
    <col min="772" max="1019" width="9.140625" style="464"/>
    <col min="1020" max="1020" width="30.85546875" style="464" customWidth="1"/>
    <col min="1021" max="1021" width="27" style="464" customWidth="1"/>
    <col min="1022" max="1022" width="11.5703125" style="464" bestFit="1" customWidth="1"/>
    <col min="1023" max="1023" width="9.7109375" style="464" customWidth="1"/>
    <col min="1024" max="1024" width="12" style="464" customWidth="1"/>
    <col min="1025" max="1025" width="38" style="464" customWidth="1"/>
    <col min="1026" max="1026" width="12" style="464" customWidth="1"/>
    <col min="1027" max="1027" width="12.140625" style="464" customWidth="1"/>
    <col min="1028" max="1275" width="9.140625" style="464"/>
    <col min="1276" max="1276" width="30.85546875" style="464" customWidth="1"/>
    <col min="1277" max="1277" width="27" style="464" customWidth="1"/>
    <col min="1278" max="1278" width="11.5703125" style="464" bestFit="1" customWidth="1"/>
    <col min="1279" max="1279" width="9.7109375" style="464" customWidth="1"/>
    <col min="1280" max="1280" width="12" style="464" customWidth="1"/>
    <col min="1281" max="1281" width="38" style="464" customWidth="1"/>
    <col min="1282" max="1282" width="12" style="464" customWidth="1"/>
    <col min="1283" max="1283" width="12.140625" style="464" customWidth="1"/>
    <col min="1284" max="1531" width="9.140625" style="464"/>
    <col min="1532" max="1532" width="30.85546875" style="464" customWidth="1"/>
    <col min="1533" max="1533" width="27" style="464" customWidth="1"/>
    <col min="1534" max="1534" width="11.5703125" style="464" bestFit="1" customWidth="1"/>
    <col min="1535" max="1535" width="9.7109375" style="464" customWidth="1"/>
    <col min="1536" max="1536" width="12" style="464" customWidth="1"/>
    <col min="1537" max="1537" width="38" style="464" customWidth="1"/>
    <col min="1538" max="1538" width="12" style="464" customWidth="1"/>
    <col min="1539" max="1539" width="12.140625" style="464" customWidth="1"/>
    <col min="1540" max="1787" width="9.140625" style="464"/>
    <col min="1788" max="1788" width="30.85546875" style="464" customWidth="1"/>
    <col min="1789" max="1789" width="27" style="464" customWidth="1"/>
    <col min="1790" max="1790" width="11.5703125" style="464" bestFit="1" customWidth="1"/>
    <col min="1791" max="1791" width="9.7109375" style="464" customWidth="1"/>
    <col min="1792" max="1792" width="12" style="464" customWidth="1"/>
    <col min="1793" max="1793" width="38" style="464" customWidth="1"/>
    <col min="1794" max="1794" width="12" style="464" customWidth="1"/>
    <col min="1795" max="1795" width="12.140625" style="464" customWidth="1"/>
    <col min="1796" max="2043" width="9.140625" style="464"/>
    <col min="2044" max="2044" width="30.85546875" style="464" customWidth="1"/>
    <col min="2045" max="2045" width="27" style="464" customWidth="1"/>
    <col min="2046" max="2046" width="11.5703125" style="464" bestFit="1" customWidth="1"/>
    <col min="2047" max="2047" width="9.7109375" style="464" customWidth="1"/>
    <col min="2048" max="2048" width="12" style="464" customWidth="1"/>
    <col min="2049" max="2049" width="38" style="464" customWidth="1"/>
    <col min="2050" max="2050" width="12" style="464" customWidth="1"/>
    <col min="2051" max="2051" width="12.140625" style="464" customWidth="1"/>
    <col min="2052" max="2299" width="9.140625" style="464"/>
    <col min="2300" max="2300" width="30.85546875" style="464" customWidth="1"/>
    <col min="2301" max="2301" width="27" style="464" customWidth="1"/>
    <col min="2302" max="2302" width="11.5703125" style="464" bestFit="1" customWidth="1"/>
    <col min="2303" max="2303" width="9.7109375" style="464" customWidth="1"/>
    <col min="2304" max="2304" width="12" style="464" customWidth="1"/>
    <col min="2305" max="2305" width="38" style="464" customWidth="1"/>
    <col min="2306" max="2306" width="12" style="464" customWidth="1"/>
    <col min="2307" max="2307" width="12.140625" style="464" customWidth="1"/>
    <col min="2308" max="2555" width="9.140625" style="464"/>
    <col min="2556" max="2556" width="30.85546875" style="464" customWidth="1"/>
    <col min="2557" max="2557" width="27" style="464" customWidth="1"/>
    <col min="2558" max="2558" width="11.5703125" style="464" bestFit="1" customWidth="1"/>
    <col min="2559" max="2559" width="9.7109375" style="464" customWidth="1"/>
    <col min="2560" max="2560" width="12" style="464" customWidth="1"/>
    <col min="2561" max="2561" width="38" style="464" customWidth="1"/>
    <col min="2562" max="2562" width="12" style="464" customWidth="1"/>
    <col min="2563" max="2563" width="12.140625" style="464" customWidth="1"/>
    <col min="2564" max="2811" width="9.140625" style="464"/>
    <col min="2812" max="2812" width="30.85546875" style="464" customWidth="1"/>
    <col min="2813" max="2813" width="27" style="464" customWidth="1"/>
    <col min="2814" max="2814" width="11.5703125" style="464" bestFit="1" customWidth="1"/>
    <col min="2815" max="2815" width="9.7109375" style="464" customWidth="1"/>
    <col min="2816" max="2816" width="12" style="464" customWidth="1"/>
    <col min="2817" max="2817" width="38" style="464" customWidth="1"/>
    <col min="2818" max="2818" width="12" style="464" customWidth="1"/>
    <col min="2819" max="2819" width="12.140625" style="464" customWidth="1"/>
    <col min="2820" max="3067" width="9.140625" style="464"/>
    <col min="3068" max="3068" width="30.85546875" style="464" customWidth="1"/>
    <col min="3069" max="3069" width="27" style="464" customWidth="1"/>
    <col min="3070" max="3070" width="11.5703125" style="464" bestFit="1" customWidth="1"/>
    <col min="3071" max="3071" width="9.7109375" style="464" customWidth="1"/>
    <col min="3072" max="3072" width="12" style="464" customWidth="1"/>
    <col min="3073" max="3073" width="38" style="464" customWidth="1"/>
    <col min="3074" max="3074" width="12" style="464" customWidth="1"/>
    <col min="3075" max="3075" width="12.140625" style="464" customWidth="1"/>
    <col min="3076" max="3323" width="9.140625" style="464"/>
    <col min="3324" max="3324" width="30.85546875" style="464" customWidth="1"/>
    <col min="3325" max="3325" width="27" style="464" customWidth="1"/>
    <col min="3326" max="3326" width="11.5703125" style="464" bestFit="1" customWidth="1"/>
    <col min="3327" max="3327" width="9.7109375" style="464" customWidth="1"/>
    <col min="3328" max="3328" width="12" style="464" customWidth="1"/>
    <col min="3329" max="3329" width="38" style="464" customWidth="1"/>
    <col min="3330" max="3330" width="12" style="464" customWidth="1"/>
    <col min="3331" max="3331" width="12.140625" style="464" customWidth="1"/>
    <col min="3332" max="3579" width="9.140625" style="464"/>
    <col min="3580" max="3580" width="30.85546875" style="464" customWidth="1"/>
    <col min="3581" max="3581" width="27" style="464" customWidth="1"/>
    <col min="3582" max="3582" width="11.5703125" style="464" bestFit="1" customWidth="1"/>
    <col min="3583" max="3583" width="9.7109375" style="464" customWidth="1"/>
    <col min="3584" max="3584" width="12" style="464" customWidth="1"/>
    <col min="3585" max="3585" width="38" style="464" customWidth="1"/>
    <col min="3586" max="3586" width="12" style="464" customWidth="1"/>
    <col min="3587" max="3587" width="12.140625" style="464" customWidth="1"/>
    <col min="3588" max="3835" width="9.140625" style="464"/>
    <col min="3836" max="3836" width="30.85546875" style="464" customWidth="1"/>
    <col min="3837" max="3837" width="27" style="464" customWidth="1"/>
    <col min="3838" max="3838" width="11.5703125" style="464" bestFit="1" customWidth="1"/>
    <col min="3839" max="3839" width="9.7109375" style="464" customWidth="1"/>
    <col min="3840" max="3840" width="12" style="464" customWidth="1"/>
    <col min="3841" max="3841" width="38" style="464" customWidth="1"/>
    <col min="3842" max="3842" width="12" style="464" customWidth="1"/>
    <col min="3843" max="3843" width="12.140625" style="464" customWidth="1"/>
    <col min="3844" max="4091" width="9.140625" style="464"/>
    <col min="4092" max="4092" width="30.85546875" style="464" customWidth="1"/>
    <col min="4093" max="4093" width="27" style="464" customWidth="1"/>
    <col min="4094" max="4094" width="11.5703125" style="464" bestFit="1" customWidth="1"/>
    <col min="4095" max="4095" width="9.7109375" style="464" customWidth="1"/>
    <col min="4096" max="4096" width="12" style="464" customWidth="1"/>
    <col min="4097" max="4097" width="38" style="464" customWidth="1"/>
    <col min="4098" max="4098" width="12" style="464" customWidth="1"/>
    <col min="4099" max="4099" width="12.140625" style="464" customWidth="1"/>
    <col min="4100" max="4347" width="9.140625" style="464"/>
    <col min="4348" max="4348" width="30.85546875" style="464" customWidth="1"/>
    <col min="4349" max="4349" width="27" style="464" customWidth="1"/>
    <col min="4350" max="4350" width="11.5703125" style="464" bestFit="1" customWidth="1"/>
    <col min="4351" max="4351" width="9.7109375" style="464" customWidth="1"/>
    <col min="4352" max="4352" width="12" style="464" customWidth="1"/>
    <col min="4353" max="4353" width="38" style="464" customWidth="1"/>
    <col min="4354" max="4354" width="12" style="464" customWidth="1"/>
    <col min="4355" max="4355" width="12.140625" style="464" customWidth="1"/>
    <col min="4356" max="4603" width="9.140625" style="464"/>
    <col min="4604" max="4604" width="30.85546875" style="464" customWidth="1"/>
    <col min="4605" max="4605" width="27" style="464" customWidth="1"/>
    <col min="4606" max="4606" width="11.5703125" style="464" bestFit="1" customWidth="1"/>
    <col min="4607" max="4607" width="9.7109375" style="464" customWidth="1"/>
    <col min="4608" max="4608" width="12" style="464" customWidth="1"/>
    <col min="4609" max="4609" width="38" style="464" customWidth="1"/>
    <col min="4610" max="4610" width="12" style="464" customWidth="1"/>
    <col min="4611" max="4611" width="12.140625" style="464" customWidth="1"/>
    <col min="4612" max="4859" width="9.140625" style="464"/>
    <col min="4860" max="4860" width="30.85546875" style="464" customWidth="1"/>
    <col min="4861" max="4861" width="27" style="464" customWidth="1"/>
    <col min="4862" max="4862" width="11.5703125" style="464" bestFit="1" customWidth="1"/>
    <col min="4863" max="4863" width="9.7109375" style="464" customWidth="1"/>
    <col min="4864" max="4864" width="12" style="464" customWidth="1"/>
    <col min="4865" max="4865" width="38" style="464" customWidth="1"/>
    <col min="4866" max="4866" width="12" style="464" customWidth="1"/>
    <col min="4867" max="4867" width="12.140625" style="464" customWidth="1"/>
    <col min="4868" max="5115" width="9.140625" style="464"/>
    <col min="5116" max="5116" width="30.85546875" style="464" customWidth="1"/>
    <col min="5117" max="5117" width="27" style="464" customWidth="1"/>
    <col min="5118" max="5118" width="11.5703125" style="464" bestFit="1" customWidth="1"/>
    <col min="5119" max="5119" width="9.7109375" style="464" customWidth="1"/>
    <col min="5120" max="5120" width="12" style="464" customWidth="1"/>
    <col min="5121" max="5121" width="38" style="464" customWidth="1"/>
    <col min="5122" max="5122" width="12" style="464" customWidth="1"/>
    <col min="5123" max="5123" width="12.140625" style="464" customWidth="1"/>
    <col min="5124" max="5371" width="9.140625" style="464"/>
    <col min="5372" max="5372" width="30.85546875" style="464" customWidth="1"/>
    <col min="5373" max="5373" width="27" style="464" customWidth="1"/>
    <col min="5374" max="5374" width="11.5703125" style="464" bestFit="1" customWidth="1"/>
    <col min="5375" max="5375" width="9.7109375" style="464" customWidth="1"/>
    <col min="5376" max="5376" width="12" style="464" customWidth="1"/>
    <col min="5377" max="5377" width="38" style="464" customWidth="1"/>
    <col min="5378" max="5378" width="12" style="464" customWidth="1"/>
    <col min="5379" max="5379" width="12.140625" style="464" customWidth="1"/>
    <col min="5380" max="5627" width="9.140625" style="464"/>
    <col min="5628" max="5628" width="30.85546875" style="464" customWidth="1"/>
    <col min="5629" max="5629" width="27" style="464" customWidth="1"/>
    <col min="5630" max="5630" width="11.5703125" style="464" bestFit="1" customWidth="1"/>
    <col min="5631" max="5631" width="9.7109375" style="464" customWidth="1"/>
    <col min="5632" max="5632" width="12" style="464" customWidth="1"/>
    <col min="5633" max="5633" width="38" style="464" customWidth="1"/>
    <col min="5634" max="5634" width="12" style="464" customWidth="1"/>
    <col min="5635" max="5635" width="12.140625" style="464" customWidth="1"/>
    <col min="5636" max="5883" width="9.140625" style="464"/>
    <col min="5884" max="5884" width="30.85546875" style="464" customWidth="1"/>
    <col min="5885" max="5885" width="27" style="464" customWidth="1"/>
    <col min="5886" max="5886" width="11.5703125" style="464" bestFit="1" customWidth="1"/>
    <col min="5887" max="5887" width="9.7109375" style="464" customWidth="1"/>
    <col min="5888" max="5888" width="12" style="464" customWidth="1"/>
    <col min="5889" max="5889" width="38" style="464" customWidth="1"/>
    <col min="5890" max="5890" width="12" style="464" customWidth="1"/>
    <col min="5891" max="5891" width="12.140625" style="464" customWidth="1"/>
    <col min="5892" max="6139" width="9.140625" style="464"/>
    <col min="6140" max="6140" width="30.85546875" style="464" customWidth="1"/>
    <col min="6141" max="6141" width="27" style="464" customWidth="1"/>
    <col min="6142" max="6142" width="11.5703125" style="464" bestFit="1" customWidth="1"/>
    <col min="6143" max="6143" width="9.7109375" style="464" customWidth="1"/>
    <col min="6144" max="6144" width="12" style="464" customWidth="1"/>
    <col min="6145" max="6145" width="38" style="464" customWidth="1"/>
    <col min="6146" max="6146" width="12" style="464" customWidth="1"/>
    <col min="6147" max="6147" width="12.140625" style="464" customWidth="1"/>
    <col min="6148" max="6395" width="9.140625" style="464"/>
    <col min="6396" max="6396" width="30.85546875" style="464" customWidth="1"/>
    <col min="6397" max="6397" width="27" style="464" customWidth="1"/>
    <col min="6398" max="6398" width="11.5703125" style="464" bestFit="1" customWidth="1"/>
    <col min="6399" max="6399" width="9.7109375" style="464" customWidth="1"/>
    <col min="6400" max="6400" width="12" style="464" customWidth="1"/>
    <col min="6401" max="6401" width="38" style="464" customWidth="1"/>
    <col min="6402" max="6402" width="12" style="464" customWidth="1"/>
    <col min="6403" max="6403" width="12.140625" style="464" customWidth="1"/>
    <col min="6404" max="6651" width="9.140625" style="464"/>
    <col min="6652" max="6652" width="30.85546875" style="464" customWidth="1"/>
    <col min="6653" max="6653" width="27" style="464" customWidth="1"/>
    <col min="6654" max="6654" width="11.5703125" style="464" bestFit="1" customWidth="1"/>
    <col min="6655" max="6655" width="9.7109375" style="464" customWidth="1"/>
    <col min="6656" max="6656" width="12" style="464" customWidth="1"/>
    <col min="6657" max="6657" width="38" style="464" customWidth="1"/>
    <col min="6658" max="6658" width="12" style="464" customWidth="1"/>
    <col min="6659" max="6659" width="12.140625" style="464" customWidth="1"/>
    <col min="6660" max="6907" width="9.140625" style="464"/>
    <col min="6908" max="6908" width="30.85546875" style="464" customWidth="1"/>
    <col min="6909" max="6909" width="27" style="464" customWidth="1"/>
    <col min="6910" max="6910" width="11.5703125" style="464" bestFit="1" customWidth="1"/>
    <col min="6911" max="6911" width="9.7109375" style="464" customWidth="1"/>
    <col min="6912" max="6912" width="12" style="464" customWidth="1"/>
    <col min="6913" max="6913" width="38" style="464" customWidth="1"/>
    <col min="6914" max="6914" width="12" style="464" customWidth="1"/>
    <col min="6915" max="6915" width="12.140625" style="464" customWidth="1"/>
    <col min="6916" max="7163" width="9.140625" style="464"/>
    <col min="7164" max="7164" width="30.85546875" style="464" customWidth="1"/>
    <col min="7165" max="7165" width="27" style="464" customWidth="1"/>
    <col min="7166" max="7166" width="11.5703125" style="464" bestFit="1" customWidth="1"/>
    <col min="7167" max="7167" width="9.7109375" style="464" customWidth="1"/>
    <col min="7168" max="7168" width="12" style="464" customWidth="1"/>
    <col min="7169" max="7169" width="38" style="464" customWidth="1"/>
    <col min="7170" max="7170" width="12" style="464" customWidth="1"/>
    <col min="7171" max="7171" width="12.140625" style="464" customWidth="1"/>
    <col min="7172" max="7419" width="9.140625" style="464"/>
    <col min="7420" max="7420" width="30.85546875" style="464" customWidth="1"/>
    <col min="7421" max="7421" width="27" style="464" customWidth="1"/>
    <col min="7422" max="7422" width="11.5703125" style="464" bestFit="1" customWidth="1"/>
    <col min="7423" max="7423" width="9.7109375" style="464" customWidth="1"/>
    <col min="7424" max="7424" width="12" style="464" customWidth="1"/>
    <col min="7425" max="7425" width="38" style="464" customWidth="1"/>
    <col min="7426" max="7426" width="12" style="464" customWidth="1"/>
    <col min="7427" max="7427" width="12.140625" style="464" customWidth="1"/>
    <col min="7428" max="7675" width="9.140625" style="464"/>
    <col min="7676" max="7676" width="30.85546875" style="464" customWidth="1"/>
    <col min="7677" max="7677" width="27" style="464" customWidth="1"/>
    <col min="7678" max="7678" width="11.5703125" style="464" bestFit="1" customWidth="1"/>
    <col min="7679" max="7679" width="9.7109375" style="464" customWidth="1"/>
    <col min="7680" max="7680" width="12" style="464" customWidth="1"/>
    <col min="7681" max="7681" width="38" style="464" customWidth="1"/>
    <col min="7682" max="7682" width="12" style="464" customWidth="1"/>
    <col min="7683" max="7683" width="12.140625" style="464" customWidth="1"/>
    <col min="7684" max="7931" width="9.140625" style="464"/>
    <col min="7932" max="7932" width="30.85546875" style="464" customWidth="1"/>
    <col min="7933" max="7933" width="27" style="464" customWidth="1"/>
    <col min="7934" max="7934" width="11.5703125" style="464" bestFit="1" customWidth="1"/>
    <col min="7935" max="7935" width="9.7109375" style="464" customWidth="1"/>
    <col min="7936" max="7936" width="12" style="464" customWidth="1"/>
    <col min="7937" max="7937" width="38" style="464" customWidth="1"/>
    <col min="7938" max="7938" width="12" style="464" customWidth="1"/>
    <col min="7939" max="7939" width="12.140625" style="464" customWidth="1"/>
    <col min="7940" max="8187" width="9.140625" style="464"/>
    <col min="8188" max="8188" width="30.85546875" style="464" customWidth="1"/>
    <col min="8189" max="8189" width="27" style="464" customWidth="1"/>
    <col min="8190" max="8190" width="11.5703125" style="464" bestFit="1" customWidth="1"/>
    <col min="8191" max="8191" width="9.7109375" style="464" customWidth="1"/>
    <col min="8192" max="8192" width="12" style="464" customWidth="1"/>
    <col min="8193" max="8193" width="38" style="464" customWidth="1"/>
    <col min="8194" max="8194" width="12" style="464" customWidth="1"/>
    <col min="8195" max="8195" width="12.140625" style="464" customWidth="1"/>
    <col min="8196" max="8443" width="9.140625" style="464"/>
    <col min="8444" max="8444" width="30.85546875" style="464" customWidth="1"/>
    <col min="8445" max="8445" width="27" style="464" customWidth="1"/>
    <col min="8446" max="8446" width="11.5703125" style="464" bestFit="1" customWidth="1"/>
    <col min="8447" max="8447" width="9.7109375" style="464" customWidth="1"/>
    <col min="8448" max="8448" width="12" style="464" customWidth="1"/>
    <col min="8449" max="8449" width="38" style="464" customWidth="1"/>
    <col min="8450" max="8450" width="12" style="464" customWidth="1"/>
    <col min="8451" max="8451" width="12.140625" style="464" customWidth="1"/>
    <col min="8452" max="8699" width="9.140625" style="464"/>
    <col min="8700" max="8700" width="30.85546875" style="464" customWidth="1"/>
    <col min="8701" max="8701" width="27" style="464" customWidth="1"/>
    <col min="8702" max="8702" width="11.5703125" style="464" bestFit="1" customWidth="1"/>
    <col min="8703" max="8703" width="9.7109375" style="464" customWidth="1"/>
    <col min="8704" max="8704" width="12" style="464" customWidth="1"/>
    <col min="8705" max="8705" width="38" style="464" customWidth="1"/>
    <col min="8706" max="8706" width="12" style="464" customWidth="1"/>
    <col min="8707" max="8707" width="12.140625" style="464" customWidth="1"/>
    <col min="8708" max="8955" width="9.140625" style="464"/>
    <col min="8956" max="8956" width="30.85546875" style="464" customWidth="1"/>
    <col min="8957" max="8957" width="27" style="464" customWidth="1"/>
    <col min="8958" max="8958" width="11.5703125" style="464" bestFit="1" customWidth="1"/>
    <col min="8959" max="8959" width="9.7109375" style="464" customWidth="1"/>
    <col min="8960" max="8960" width="12" style="464" customWidth="1"/>
    <col min="8961" max="8961" width="38" style="464" customWidth="1"/>
    <col min="8962" max="8962" width="12" style="464" customWidth="1"/>
    <col min="8963" max="8963" width="12.140625" style="464" customWidth="1"/>
    <col min="8964" max="9211" width="9.140625" style="464"/>
    <col min="9212" max="9212" width="30.85546875" style="464" customWidth="1"/>
    <col min="9213" max="9213" width="27" style="464" customWidth="1"/>
    <col min="9214" max="9214" width="11.5703125" style="464" bestFit="1" customWidth="1"/>
    <col min="9215" max="9215" width="9.7109375" style="464" customWidth="1"/>
    <col min="9216" max="9216" width="12" style="464" customWidth="1"/>
    <col min="9217" max="9217" width="38" style="464" customWidth="1"/>
    <col min="9218" max="9218" width="12" style="464" customWidth="1"/>
    <col min="9219" max="9219" width="12.140625" style="464" customWidth="1"/>
    <col min="9220" max="9467" width="9.140625" style="464"/>
    <col min="9468" max="9468" width="30.85546875" style="464" customWidth="1"/>
    <col min="9469" max="9469" width="27" style="464" customWidth="1"/>
    <col min="9470" max="9470" width="11.5703125" style="464" bestFit="1" customWidth="1"/>
    <col min="9471" max="9471" width="9.7109375" style="464" customWidth="1"/>
    <col min="9472" max="9472" width="12" style="464" customWidth="1"/>
    <col min="9473" max="9473" width="38" style="464" customWidth="1"/>
    <col min="9474" max="9474" width="12" style="464" customWidth="1"/>
    <col min="9475" max="9475" width="12.140625" style="464" customWidth="1"/>
    <col min="9476" max="9723" width="9.140625" style="464"/>
    <col min="9724" max="9724" width="30.85546875" style="464" customWidth="1"/>
    <col min="9725" max="9725" width="27" style="464" customWidth="1"/>
    <col min="9726" max="9726" width="11.5703125" style="464" bestFit="1" customWidth="1"/>
    <col min="9727" max="9727" width="9.7109375" style="464" customWidth="1"/>
    <col min="9728" max="9728" width="12" style="464" customWidth="1"/>
    <col min="9729" max="9729" width="38" style="464" customWidth="1"/>
    <col min="9730" max="9730" width="12" style="464" customWidth="1"/>
    <col min="9731" max="9731" width="12.140625" style="464" customWidth="1"/>
    <col min="9732" max="9979" width="9.140625" style="464"/>
    <col min="9980" max="9980" width="30.85546875" style="464" customWidth="1"/>
    <col min="9981" max="9981" width="27" style="464" customWidth="1"/>
    <col min="9982" max="9982" width="11.5703125" style="464" bestFit="1" customWidth="1"/>
    <col min="9983" max="9983" width="9.7109375" style="464" customWidth="1"/>
    <col min="9984" max="9984" width="12" style="464" customWidth="1"/>
    <col min="9985" max="9985" width="38" style="464" customWidth="1"/>
    <col min="9986" max="9986" width="12" style="464" customWidth="1"/>
    <col min="9987" max="9987" width="12.140625" style="464" customWidth="1"/>
    <col min="9988" max="10235" width="9.140625" style="464"/>
    <col min="10236" max="10236" width="30.85546875" style="464" customWidth="1"/>
    <col min="10237" max="10237" width="27" style="464" customWidth="1"/>
    <col min="10238" max="10238" width="11.5703125" style="464" bestFit="1" customWidth="1"/>
    <col min="10239" max="10239" width="9.7109375" style="464" customWidth="1"/>
    <col min="10240" max="10240" width="12" style="464" customWidth="1"/>
    <col min="10241" max="10241" width="38" style="464" customWidth="1"/>
    <col min="10242" max="10242" width="12" style="464" customWidth="1"/>
    <col min="10243" max="10243" width="12.140625" style="464" customWidth="1"/>
    <col min="10244" max="10491" width="9.140625" style="464"/>
    <col min="10492" max="10492" width="30.85546875" style="464" customWidth="1"/>
    <col min="10493" max="10493" width="27" style="464" customWidth="1"/>
    <col min="10494" max="10494" width="11.5703125" style="464" bestFit="1" customWidth="1"/>
    <col min="10495" max="10495" width="9.7109375" style="464" customWidth="1"/>
    <col min="10496" max="10496" width="12" style="464" customWidth="1"/>
    <col min="10497" max="10497" width="38" style="464" customWidth="1"/>
    <col min="10498" max="10498" width="12" style="464" customWidth="1"/>
    <col min="10499" max="10499" width="12.140625" style="464" customWidth="1"/>
    <col min="10500" max="10747" width="9.140625" style="464"/>
    <col min="10748" max="10748" width="30.85546875" style="464" customWidth="1"/>
    <col min="10749" max="10749" width="27" style="464" customWidth="1"/>
    <col min="10750" max="10750" width="11.5703125" style="464" bestFit="1" customWidth="1"/>
    <col min="10751" max="10751" width="9.7109375" style="464" customWidth="1"/>
    <col min="10752" max="10752" width="12" style="464" customWidth="1"/>
    <col min="10753" max="10753" width="38" style="464" customWidth="1"/>
    <col min="10754" max="10754" width="12" style="464" customWidth="1"/>
    <col min="10755" max="10755" width="12.140625" style="464" customWidth="1"/>
    <col min="10756" max="11003" width="9.140625" style="464"/>
    <col min="11004" max="11004" width="30.85546875" style="464" customWidth="1"/>
    <col min="11005" max="11005" width="27" style="464" customWidth="1"/>
    <col min="11006" max="11006" width="11.5703125" style="464" bestFit="1" customWidth="1"/>
    <col min="11007" max="11007" width="9.7109375" style="464" customWidth="1"/>
    <col min="11008" max="11008" width="12" style="464" customWidth="1"/>
    <col min="11009" max="11009" width="38" style="464" customWidth="1"/>
    <col min="11010" max="11010" width="12" style="464" customWidth="1"/>
    <col min="11011" max="11011" width="12.140625" style="464" customWidth="1"/>
    <col min="11012" max="11259" width="9.140625" style="464"/>
    <col min="11260" max="11260" width="30.85546875" style="464" customWidth="1"/>
    <col min="11261" max="11261" width="27" style="464" customWidth="1"/>
    <col min="11262" max="11262" width="11.5703125" style="464" bestFit="1" customWidth="1"/>
    <col min="11263" max="11263" width="9.7109375" style="464" customWidth="1"/>
    <col min="11264" max="11264" width="12" style="464" customWidth="1"/>
    <col min="11265" max="11265" width="38" style="464" customWidth="1"/>
    <col min="11266" max="11266" width="12" style="464" customWidth="1"/>
    <col min="11267" max="11267" width="12.140625" style="464" customWidth="1"/>
    <col min="11268" max="11515" width="9.140625" style="464"/>
    <col min="11516" max="11516" width="30.85546875" style="464" customWidth="1"/>
    <col min="11517" max="11517" width="27" style="464" customWidth="1"/>
    <col min="11518" max="11518" width="11.5703125" style="464" bestFit="1" customWidth="1"/>
    <col min="11519" max="11519" width="9.7109375" style="464" customWidth="1"/>
    <col min="11520" max="11520" width="12" style="464" customWidth="1"/>
    <col min="11521" max="11521" width="38" style="464" customWidth="1"/>
    <col min="11522" max="11522" width="12" style="464" customWidth="1"/>
    <col min="11523" max="11523" width="12.140625" style="464" customWidth="1"/>
    <col min="11524" max="11771" width="9.140625" style="464"/>
    <col min="11772" max="11772" width="30.85546875" style="464" customWidth="1"/>
    <col min="11773" max="11773" width="27" style="464" customWidth="1"/>
    <col min="11774" max="11774" width="11.5703125" style="464" bestFit="1" customWidth="1"/>
    <col min="11775" max="11775" width="9.7109375" style="464" customWidth="1"/>
    <col min="11776" max="11776" width="12" style="464" customWidth="1"/>
    <col min="11777" max="11777" width="38" style="464" customWidth="1"/>
    <col min="11778" max="11778" width="12" style="464" customWidth="1"/>
    <col min="11779" max="11779" width="12.140625" style="464" customWidth="1"/>
    <col min="11780" max="12027" width="9.140625" style="464"/>
    <col min="12028" max="12028" width="30.85546875" style="464" customWidth="1"/>
    <col min="12029" max="12029" width="27" style="464" customWidth="1"/>
    <col min="12030" max="12030" width="11.5703125" style="464" bestFit="1" customWidth="1"/>
    <col min="12031" max="12031" width="9.7109375" style="464" customWidth="1"/>
    <col min="12032" max="12032" width="12" style="464" customWidth="1"/>
    <col min="12033" max="12033" width="38" style="464" customWidth="1"/>
    <col min="12034" max="12034" width="12" style="464" customWidth="1"/>
    <col min="12035" max="12035" width="12.140625" style="464" customWidth="1"/>
    <col min="12036" max="12283" width="9.140625" style="464"/>
    <col min="12284" max="12284" width="30.85546875" style="464" customWidth="1"/>
    <col min="12285" max="12285" width="27" style="464" customWidth="1"/>
    <col min="12286" max="12286" width="11.5703125" style="464" bestFit="1" customWidth="1"/>
    <col min="12287" max="12287" width="9.7109375" style="464" customWidth="1"/>
    <col min="12288" max="12288" width="12" style="464" customWidth="1"/>
    <col min="12289" max="12289" width="38" style="464" customWidth="1"/>
    <col min="12290" max="12290" width="12" style="464" customWidth="1"/>
    <col min="12291" max="12291" width="12.140625" style="464" customWidth="1"/>
    <col min="12292" max="12539" width="9.140625" style="464"/>
    <col min="12540" max="12540" width="30.85546875" style="464" customWidth="1"/>
    <col min="12541" max="12541" width="27" style="464" customWidth="1"/>
    <col min="12542" max="12542" width="11.5703125" style="464" bestFit="1" customWidth="1"/>
    <col min="12543" max="12543" width="9.7109375" style="464" customWidth="1"/>
    <col min="12544" max="12544" width="12" style="464" customWidth="1"/>
    <col min="12545" max="12545" width="38" style="464" customWidth="1"/>
    <col min="12546" max="12546" width="12" style="464" customWidth="1"/>
    <col min="12547" max="12547" width="12.140625" style="464" customWidth="1"/>
    <col min="12548" max="12795" width="9.140625" style="464"/>
    <col min="12796" max="12796" width="30.85546875" style="464" customWidth="1"/>
    <col min="12797" max="12797" width="27" style="464" customWidth="1"/>
    <col min="12798" max="12798" width="11.5703125" style="464" bestFit="1" customWidth="1"/>
    <col min="12799" max="12799" width="9.7109375" style="464" customWidth="1"/>
    <col min="12800" max="12800" width="12" style="464" customWidth="1"/>
    <col min="12801" max="12801" width="38" style="464" customWidth="1"/>
    <col min="12802" max="12802" width="12" style="464" customWidth="1"/>
    <col min="12803" max="12803" width="12.140625" style="464" customWidth="1"/>
    <col min="12804" max="13051" width="9.140625" style="464"/>
    <col min="13052" max="13052" width="30.85546875" style="464" customWidth="1"/>
    <col min="13053" max="13053" width="27" style="464" customWidth="1"/>
    <col min="13054" max="13054" width="11.5703125" style="464" bestFit="1" customWidth="1"/>
    <col min="13055" max="13055" width="9.7109375" style="464" customWidth="1"/>
    <col min="13056" max="13056" width="12" style="464" customWidth="1"/>
    <col min="13057" max="13057" width="38" style="464" customWidth="1"/>
    <col min="13058" max="13058" width="12" style="464" customWidth="1"/>
    <col min="13059" max="13059" width="12.140625" style="464" customWidth="1"/>
    <col min="13060" max="13307" width="9.140625" style="464"/>
    <col min="13308" max="13308" width="30.85546875" style="464" customWidth="1"/>
    <col min="13309" max="13309" width="27" style="464" customWidth="1"/>
    <col min="13310" max="13310" width="11.5703125" style="464" bestFit="1" customWidth="1"/>
    <col min="13311" max="13311" width="9.7109375" style="464" customWidth="1"/>
    <col min="13312" max="13312" width="12" style="464" customWidth="1"/>
    <col min="13313" max="13313" width="38" style="464" customWidth="1"/>
    <col min="13314" max="13314" width="12" style="464" customWidth="1"/>
    <col min="13315" max="13315" width="12.140625" style="464" customWidth="1"/>
    <col min="13316" max="13563" width="9.140625" style="464"/>
    <col min="13564" max="13564" width="30.85546875" style="464" customWidth="1"/>
    <col min="13565" max="13565" width="27" style="464" customWidth="1"/>
    <col min="13566" max="13566" width="11.5703125" style="464" bestFit="1" customWidth="1"/>
    <col min="13567" max="13567" width="9.7109375" style="464" customWidth="1"/>
    <col min="13568" max="13568" width="12" style="464" customWidth="1"/>
    <col min="13569" max="13569" width="38" style="464" customWidth="1"/>
    <col min="13570" max="13570" width="12" style="464" customWidth="1"/>
    <col min="13571" max="13571" width="12.140625" style="464" customWidth="1"/>
    <col min="13572" max="13819" width="9.140625" style="464"/>
    <col min="13820" max="13820" width="30.85546875" style="464" customWidth="1"/>
    <col min="13821" max="13821" width="27" style="464" customWidth="1"/>
    <col min="13822" max="13822" width="11.5703125" style="464" bestFit="1" customWidth="1"/>
    <col min="13823" max="13823" width="9.7109375" style="464" customWidth="1"/>
    <col min="13824" max="13824" width="12" style="464" customWidth="1"/>
    <col min="13825" max="13825" width="38" style="464" customWidth="1"/>
    <col min="13826" max="13826" width="12" style="464" customWidth="1"/>
    <col min="13827" max="13827" width="12.140625" style="464" customWidth="1"/>
    <col min="13828" max="14075" width="9.140625" style="464"/>
    <col min="14076" max="14076" width="30.85546875" style="464" customWidth="1"/>
    <col min="14077" max="14077" width="27" style="464" customWidth="1"/>
    <col min="14078" max="14078" width="11.5703125" style="464" bestFit="1" customWidth="1"/>
    <col min="14079" max="14079" width="9.7109375" style="464" customWidth="1"/>
    <col min="14080" max="14080" width="12" style="464" customWidth="1"/>
    <col min="14081" max="14081" width="38" style="464" customWidth="1"/>
    <col min="14082" max="14082" width="12" style="464" customWidth="1"/>
    <col min="14083" max="14083" width="12.140625" style="464" customWidth="1"/>
    <col min="14084" max="14331" width="9.140625" style="464"/>
    <col min="14332" max="14332" width="30.85546875" style="464" customWidth="1"/>
    <col min="14333" max="14333" width="27" style="464" customWidth="1"/>
    <col min="14334" max="14334" width="11.5703125" style="464" bestFit="1" customWidth="1"/>
    <col min="14335" max="14335" width="9.7109375" style="464" customWidth="1"/>
    <col min="14336" max="14336" width="12" style="464" customWidth="1"/>
    <col min="14337" max="14337" width="38" style="464" customWidth="1"/>
    <col min="14338" max="14338" width="12" style="464" customWidth="1"/>
    <col min="14339" max="14339" width="12.140625" style="464" customWidth="1"/>
    <col min="14340" max="14587" width="9.140625" style="464"/>
    <col min="14588" max="14588" width="30.85546875" style="464" customWidth="1"/>
    <col min="14589" max="14589" width="27" style="464" customWidth="1"/>
    <col min="14590" max="14590" width="11.5703125" style="464" bestFit="1" customWidth="1"/>
    <col min="14591" max="14591" width="9.7109375" style="464" customWidth="1"/>
    <col min="14592" max="14592" width="12" style="464" customWidth="1"/>
    <col min="14593" max="14593" width="38" style="464" customWidth="1"/>
    <col min="14594" max="14594" width="12" style="464" customWidth="1"/>
    <col min="14595" max="14595" width="12.140625" style="464" customWidth="1"/>
    <col min="14596" max="14843" width="9.140625" style="464"/>
    <col min="14844" max="14844" width="30.85546875" style="464" customWidth="1"/>
    <col min="14845" max="14845" width="27" style="464" customWidth="1"/>
    <col min="14846" max="14846" width="11.5703125" style="464" bestFit="1" customWidth="1"/>
    <col min="14847" max="14847" width="9.7109375" style="464" customWidth="1"/>
    <col min="14848" max="14848" width="12" style="464" customWidth="1"/>
    <col min="14849" max="14849" width="38" style="464" customWidth="1"/>
    <col min="14850" max="14850" width="12" style="464" customWidth="1"/>
    <col min="14851" max="14851" width="12.140625" style="464" customWidth="1"/>
    <col min="14852" max="15099" width="9.140625" style="464"/>
    <col min="15100" max="15100" width="30.85546875" style="464" customWidth="1"/>
    <col min="15101" max="15101" width="27" style="464" customWidth="1"/>
    <col min="15102" max="15102" width="11.5703125" style="464" bestFit="1" customWidth="1"/>
    <col min="15103" max="15103" width="9.7109375" style="464" customWidth="1"/>
    <col min="15104" max="15104" width="12" style="464" customWidth="1"/>
    <col min="15105" max="15105" width="38" style="464" customWidth="1"/>
    <col min="15106" max="15106" width="12" style="464" customWidth="1"/>
    <col min="15107" max="15107" width="12.140625" style="464" customWidth="1"/>
    <col min="15108" max="15355" width="9.140625" style="464"/>
    <col min="15356" max="15356" width="30.85546875" style="464" customWidth="1"/>
    <col min="15357" max="15357" width="27" style="464" customWidth="1"/>
    <col min="15358" max="15358" width="11.5703125" style="464" bestFit="1" customWidth="1"/>
    <col min="15359" max="15359" width="9.7109375" style="464" customWidth="1"/>
    <col min="15360" max="15360" width="12" style="464" customWidth="1"/>
    <col min="15361" max="15361" width="38" style="464" customWidth="1"/>
    <col min="15362" max="15362" width="12" style="464" customWidth="1"/>
    <col min="15363" max="15363" width="12.140625" style="464" customWidth="1"/>
    <col min="15364" max="15611" width="9.140625" style="464"/>
    <col min="15612" max="15612" width="30.85546875" style="464" customWidth="1"/>
    <col min="15613" max="15613" width="27" style="464" customWidth="1"/>
    <col min="15614" max="15614" width="11.5703125" style="464" bestFit="1" customWidth="1"/>
    <col min="15615" max="15615" width="9.7109375" style="464" customWidth="1"/>
    <col min="15616" max="15616" width="12" style="464" customWidth="1"/>
    <col min="15617" max="15617" width="38" style="464" customWidth="1"/>
    <col min="15618" max="15618" width="12" style="464" customWidth="1"/>
    <col min="15619" max="15619" width="12.140625" style="464" customWidth="1"/>
    <col min="15620" max="15867" width="9.140625" style="464"/>
    <col min="15868" max="15868" width="30.85546875" style="464" customWidth="1"/>
    <col min="15869" max="15869" width="27" style="464" customWidth="1"/>
    <col min="15870" max="15870" width="11.5703125" style="464" bestFit="1" customWidth="1"/>
    <col min="15871" max="15871" width="9.7109375" style="464" customWidth="1"/>
    <col min="15872" max="15872" width="12" style="464" customWidth="1"/>
    <col min="15873" max="15873" width="38" style="464" customWidth="1"/>
    <col min="15874" max="15874" width="12" style="464" customWidth="1"/>
    <col min="15875" max="15875" width="12.140625" style="464" customWidth="1"/>
    <col min="15876" max="16123" width="9.140625" style="464"/>
    <col min="16124" max="16124" width="30.85546875" style="464" customWidth="1"/>
    <col min="16125" max="16125" width="27" style="464" customWidth="1"/>
    <col min="16126" max="16126" width="11.5703125" style="464" bestFit="1" customWidth="1"/>
    <col min="16127" max="16127" width="9.7109375" style="464" customWidth="1"/>
    <col min="16128" max="16128" width="12" style="464" customWidth="1"/>
    <col min="16129" max="16129" width="38" style="464" customWidth="1"/>
    <col min="16130" max="16130" width="12" style="464" customWidth="1"/>
    <col min="16131" max="16131" width="12.140625" style="464" customWidth="1"/>
    <col min="16132" max="16377" width="9.140625" style="464"/>
    <col min="16378" max="16378" width="9.140625" style="464" customWidth="1"/>
    <col min="16379" max="16379" width="9.140625" style="464"/>
    <col min="16380" max="16383" width="9.140625" style="464" customWidth="1"/>
    <col min="16384" max="16384" width="9.140625" style="464"/>
  </cols>
  <sheetData>
    <row r="2" spans="2:7" x14ac:dyDescent="0.2">
      <c r="B2" s="679"/>
    </row>
    <row r="3" spans="2:7" ht="13.5" thickBot="1" x14ac:dyDescent="0.25">
      <c r="B3" s="679"/>
    </row>
    <row r="4" spans="2:7" s="115" customFormat="1" ht="13.5" thickBot="1" x14ac:dyDescent="0.25">
      <c r="B4" s="679"/>
      <c r="C4" s="1721" t="s">
        <v>403</v>
      </c>
      <c r="D4" s="1722"/>
      <c r="E4" s="1722"/>
      <c r="F4" s="1768"/>
      <c r="G4" s="464"/>
    </row>
    <row r="5" spans="2:7" s="115" customFormat="1" ht="15" x14ac:dyDescent="0.25">
      <c r="B5" s="326">
        <v>1</v>
      </c>
      <c r="C5" s="666" t="str">
        <f>IF(INDEX('Master Lookup'!$B$193:$B$199,B5)=0,"",INDEX('Master Lookup'!$B$193:$B$199,B5))</f>
        <v>Management</v>
      </c>
      <c r="D5" s="379">
        <f>IFERROR(INDEX('Master Lookup FY26'!D193:D194,MATCH(C5,'Master Lookup FY26'!B193:B194,0)),"")</f>
        <v>81486.911999999997</v>
      </c>
      <c r="E5" s="430">
        <f>IFERROR(INDEX('Master Lookup'!$E$193:$E$199,MATCH(C5,'Master Lookup'!$B$193:$B$199,0)),"")</f>
        <v>5.0099999999999999E-2</v>
      </c>
      <c r="F5" s="650">
        <f t="shared" ref="F5:F10" si="0">IFERROR(D5*E5,0)</f>
        <v>4082.4942911999997</v>
      </c>
      <c r="G5" s="464"/>
    </row>
    <row r="6" spans="2:7" s="115" customFormat="1" ht="15" x14ac:dyDescent="0.25">
      <c r="B6" s="326">
        <v>2</v>
      </c>
      <c r="C6" s="666" t="str">
        <f>IF(INDEX('Master Lookup'!$B$193:$B$199,B6)=0,"",INDEX('Master Lookup'!$B$193:$B$199,B6))</f>
        <v>Direct Care Staff</v>
      </c>
      <c r="D6" s="379">
        <f>IFERROR(INDEX('Master Lookup FY26'!D194:D195,MATCH(C6,'Master Lookup FY26'!B194:B195,0)),"")</f>
        <v>46842.432000000008</v>
      </c>
      <c r="E6" s="430">
        <f>IFERROR(INDEX('Master Lookup'!$E$193:$E$199,MATCH(C6,'Master Lookup'!$B$193:$B$199,0)),"")</f>
        <v>0.90439999999999998</v>
      </c>
      <c r="F6" s="650">
        <f t="shared" si="0"/>
        <v>42364.295500800006</v>
      </c>
      <c r="G6" s="464"/>
    </row>
    <row r="7" spans="2:7" s="115" customFormat="1" ht="15" hidden="1" x14ac:dyDescent="0.25">
      <c r="B7" s="326">
        <v>3</v>
      </c>
      <c r="C7" s="665" t="str">
        <f>IF(INDEX('Master Lookup'!$B$193:$B$199,B7)=0,"",INDEX('Master Lookup'!$B$193:$B$199,B7))</f>
        <v/>
      </c>
      <c r="D7" s="386" t="str">
        <f>IFERROR(INDEX('Master Lookup'!$D$193:$D$199,MATCH(C7,'Master Lookup'!$B$193:$B$199,0)),"")</f>
        <v/>
      </c>
      <c r="E7" s="678" t="str">
        <f>IFERROR(INDEX('Master Lookup'!$E$193:$E$199,MATCH(C7,'Master Lookup'!$B$193:$B$199,0)),"")</f>
        <v/>
      </c>
      <c r="F7" s="677">
        <f t="shared" si="0"/>
        <v>0</v>
      </c>
      <c r="G7" s="464"/>
    </row>
    <row r="8" spans="2:7" s="115" customFormat="1" ht="15" hidden="1" x14ac:dyDescent="0.25">
      <c r="B8" s="326">
        <v>4</v>
      </c>
      <c r="C8" s="665" t="str">
        <f>IF(INDEX('Master Lookup'!$B$193:$B$199,B8)=0,"",INDEX('Master Lookup'!$B$193:$B$199,B8))</f>
        <v/>
      </c>
      <c r="D8" s="386" t="str">
        <f>IFERROR(INDEX('Master Lookup'!$D$193:$D$199,MATCH(C8,'Master Lookup'!$B$193:$B$199,0)),"")</f>
        <v/>
      </c>
      <c r="E8" s="678" t="str">
        <f>IFERROR(INDEX('Master Lookup'!$E$193:$E$199,MATCH(C8,'Master Lookup'!$B$193:$B$199,0)),"")</f>
        <v/>
      </c>
      <c r="F8" s="677">
        <f t="shared" si="0"/>
        <v>0</v>
      </c>
      <c r="G8" s="464"/>
    </row>
    <row r="9" spans="2:7" s="115" customFormat="1" ht="15" hidden="1" x14ac:dyDescent="0.25">
      <c r="B9" s="326">
        <v>5</v>
      </c>
      <c r="C9" s="665" t="str">
        <f>IF(INDEX('Master Lookup'!$B$193:$B$199,B9)=0,"",INDEX('Master Lookup'!$B$193:$B$199,B9))</f>
        <v/>
      </c>
      <c r="D9" s="386" t="str">
        <f>IFERROR(INDEX('Master Lookup'!$D$193:$D$199,MATCH(C9,'Master Lookup'!$B$193:$B$199,0)),"")</f>
        <v/>
      </c>
      <c r="E9" s="678" t="str">
        <f>IFERROR(INDEX('Master Lookup'!$E$193:$E$199,MATCH(C9,'Master Lookup'!$B$193:$B$199,0)),"")</f>
        <v/>
      </c>
      <c r="F9" s="677">
        <f t="shared" si="0"/>
        <v>0</v>
      </c>
      <c r="G9" s="464"/>
    </row>
    <row r="10" spans="2:7" s="115" customFormat="1" ht="15" hidden="1" x14ac:dyDescent="0.25">
      <c r="B10" s="326">
        <v>6</v>
      </c>
      <c r="C10" s="665" t="str">
        <f>IF(INDEX('Master Lookup'!$B$193:$B$199,B10)=0,"",INDEX('Master Lookup'!$B$193:$B$199,B10))</f>
        <v/>
      </c>
      <c r="D10" s="386" t="str">
        <f>IFERROR(INDEX('Master Lookup'!$D$193:$D$199,MATCH(C10,'Master Lookup'!$B$193:$B$199,0)),"")</f>
        <v/>
      </c>
      <c r="E10" s="678" t="str">
        <f>IFERROR(INDEX('Master Lookup'!$E$193:$E$199,MATCH(C10,'Master Lookup'!$B$193:$B$199,0)),"")</f>
        <v/>
      </c>
      <c r="F10" s="677">
        <f t="shared" si="0"/>
        <v>0</v>
      </c>
      <c r="G10" s="464"/>
    </row>
    <row r="11" spans="2:7" s="115" customFormat="1" ht="15.75" x14ac:dyDescent="0.25">
      <c r="B11" s="464"/>
      <c r="C11" s="676" t="s">
        <v>457</v>
      </c>
      <c r="D11" s="675"/>
      <c r="E11" s="674">
        <f>SUM(E5:E10)</f>
        <v>0.95450000000000002</v>
      </c>
      <c r="F11" s="673">
        <f>SUM(F5:F10)</f>
        <v>46446.789792000003</v>
      </c>
      <c r="G11" s="464"/>
    </row>
    <row r="12" spans="2:7" s="115" customFormat="1" ht="15" x14ac:dyDescent="0.25">
      <c r="B12" s="464"/>
      <c r="C12" s="671" t="s">
        <v>322</v>
      </c>
      <c r="D12" s="653"/>
      <c r="E12" s="530">
        <f>INDEX('Master Lookup FY26'!C183:C185,MATCH(C12,'Master Lookup FY26'!B183:B185,0))</f>
        <v>0.24970000000000001</v>
      </c>
      <c r="F12" s="670">
        <f>F11*E12</f>
        <v>11597.7634110624</v>
      </c>
      <c r="G12" s="464"/>
    </row>
    <row r="13" spans="2:7" s="115" customFormat="1" ht="15.75" x14ac:dyDescent="0.25">
      <c r="B13" s="464"/>
      <c r="C13" s="663" t="s">
        <v>550</v>
      </c>
      <c r="D13" s="653"/>
      <c r="E13" s="653"/>
      <c r="F13" s="652">
        <f>SUM(F11:F12)</f>
        <v>58044.553203062402</v>
      </c>
      <c r="G13" s="464"/>
    </row>
    <row r="14" spans="2:7" s="115" customFormat="1" ht="15.75" x14ac:dyDescent="0.25">
      <c r="B14" s="464"/>
      <c r="C14" s="669"/>
      <c r="D14" s="653"/>
      <c r="E14" s="653"/>
      <c r="F14" s="668"/>
      <c r="G14" s="464"/>
    </row>
    <row r="15" spans="2:7" s="115" customFormat="1" ht="15" x14ac:dyDescent="0.25">
      <c r="B15" s="464"/>
      <c r="C15" s="667" t="s">
        <v>326</v>
      </c>
      <c r="D15" s="464"/>
      <c r="E15" s="464"/>
      <c r="F15" s="660"/>
      <c r="G15" s="464"/>
    </row>
    <row r="16" spans="2:7" s="115" customFormat="1" ht="26.25" x14ac:dyDescent="0.25">
      <c r="B16" s="326">
        <v>1</v>
      </c>
      <c r="C16" s="666" t="str">
        <f>IF(INDEX('Master Lookup'!$B$202:$B$206,B16)=0,"",INDEX('Master Lookup'!$B$202:$B$206,B16))</f>
        <v>Program Supplies &amp; Materials 215</v>
      </c>
      <c r="D16" s="464"/>
      <c r="E16" s="379">
        <f>IFERROR(INDEX('Master Lookup FY26'!C202,MATCH(C16,'Master Lookup FY26'!B202,0)),"")</f>
        <v>2947.5899663350119</v>
      </c>
      <c r="F16" s="498">
        <f>E16</f>
        <v>2947.5899663350119</v>
      </c>
      <c r="G16" s="464"/>
    </row>
    <row r="17" spans="2:8" s="115" customFormat="1" ht="15" hidden="1" x14ac:dyDescent="0.25">
      <c r="B17" s="326">
        <v>2</v>
      </c>
      <c r="C17" s="665" t="str">
        <f>IF(INDEX('Master Lookup'!$B$202:$B$206,B17)=0,"",INDEX('Master Lookup'!$B$202:$B$206,B17))</f>
        <v/>
      </c>
      <c r="D17" s="386"/>
      <c r="E17" s="386" t="str">
        <f>IFERROR(INDEX('Master Lookup'!$C$202:$C$206,MATCH(C17,'Master Lookup'!$B$202:$B$206,0)),"")</f>
        <v/>
      </c>
      <c r="F17" s="664"/>
      <c r="G17" s="464"/>
    </row>
    <row r="18" spans="2:8" s="115" customFormat="1" ht="15" hidden="1" x14ac:dyDescent="0.25">
      <c r="B18" s="326">
        <v>3</v>
      </c>
      <c r="C18" s="665" t="str">
        <f>IF(INDEX('Master Lookup'!$B$202:$B$206,B18)=0,"",INDEX('Master Lookup'!$B$202:$B$206,B18))</f>
        <v/>
      </c>
      <c r="D18" s="386"/>
      <c r="E18" s="386" t="str">
        <f>IFERROR(INDEX('Master Lookup'!$C$202:$C$206,MATCH(C18,'Master Lookup'!$B$202:$B$206,0)),"")</f>
        <v/>
      </c>
      <c r="F18" s="664"/>
      <c r="G18" s="464"/>
    </row>
    <row r="19" spans="2:8" s="115" customFormat="1" ht="15" hidden="1" x14ac:dyDescent="0.25">
      <c r="B19" s="326">
        <v>4</v>
      </c>
      <c r="C19" s="665" t="str">
        <f>IF(INDEX('Master Lookup'!$B$202:$B$206,B19)=0,"",INDEX('Master Lookup'!$B$202:$B$206,B19))</f>
        <v/>
      </c>
      <c r="D19" s="386"/>
      <c r="E19" s="386" t="str">
        <f>IFERROR(INDEX('Master Lookup'!$C$202:$C$206,MATCH(C19,'Master Lookup'!$B$202:$B$206,0)),"")</f>
        <v/>
      </c>
      <c r="F19" s="664"/>
      <c r="G19" s="464"/>
    </row>
    <row r="20" spans="2:8" s="115" customFormat="1" ht="30" x14ac:dyDescent="0.25">
      <c r="B20" s="464"/>
      <c r="C20" s="663" t="s">
        <v>492</v>
      </c>
      <c r="D20" s="662"/>
      <c r="E20" s="662"/>
      <c r="F20" s="652">
        <f>SUM(F16:F19)</f>
        <v>2947.5899663350119</v>
      </c>
      <c r="G20" s="464"/>
    </row>
    <row r="21" spans="2:8" s="115" customFormat="1" ht="15.75" x14ac:dyDescent="0.25">
      <c r="B21" s="464"/>
      <c r="C21" s="661"/>
      <c r="D21" s="464"/>
      <c r="E21" s="464"/>
      <c r="F21" s="660"/>
      <c r="G21" s="464"/>
    </row>
    <row r="22" spans="2:8" s="115" customFormat="1" ht="30" x14ac:dyDescent="0.25">
      <c r="B22" s="464"/>
      <c r="C22" s="372" t="s">
        <v>491</v>
      </c>
      <c r="D22" s="658"/>
      <c r="E22" s="653"/>
      <c r="F22" s="652">
        <f>SUM(F20,F13)</f>
        <v>60992.143169397415</v>
      </c>
      <c r="G22" s="464"/>
    </row>
    <row r="23" spans="2:8" s="115" customFormat="1" ht="15" x14ac:dyDescent="0.25">
      <c r="B23" s="464"/>
      <c r="C23" s="659" t="s">
        <v>320</v>
      </c>
      <c r="D23" s="495">
        <f>INDEX('Master Lookup FY26'!C208:C210,MATCH(C23,'Master Lookup FY26'!B208:B210,0))</f>
        <v>0.12</v>
      </c>
      <c r="E23" s="658"/>
      <c r="F23" s="509">
        <f>F22*D23</f>
        <v>7319.0571803276898</v>
      </c>
      <c r="G23" s="464"/>
    </row>
    <row r="24" spans="2:8" s="115" customFormat="1" ht="15" x14ac:dyDescent="0.25">
      <c r="B24" s="464"/>
      <c r="C24" s="657" t="s">
        <v>321</v>
      </c>
      <c r="D24" s="426">
        <f>INDEX('Master Lookup FY26'!C209:C211,MATCH(C24,'Master Lookup FY26'!B209:B211,0))</f>
        <v>2.5282070971092779E-2</v>
      </c>
      <c r="E24" s="656"/>
      <c r="F24" s="655">
        <f>(F23+F22)*D24</f>
        <v>1727.0486153622878</v>
      </c>
      <c r="G24" s="464"/>
    </row>
    <row r="25" spans="2:8" s="115" customFormat="1" ht="15.75" x14ac:dyDescent="0.25">
      <c r="B25" s="464"/>
      <c r="C25" s="654" t="s">
        <v>453</v>
      </c>
      <c r="D25" s="653"/>
      <c r="E25" s="653"/>
      <c r="F25" s="652">
        <f>SUM(F22:F24)</f>
        <v>70038.24896508739</v>
      </c>
      <c r="G25" s="464"/>
    </row>
    <row r="26" spans="2:8" s="115" customFormat="1" ht="13.5" thickBot="1" x14ac:dyDescent="0.25">
      <c r="B26" s="464"/>
      <c r="C26" s="514" t="s">
        <v>549</v>
      </c>
      <c r="D26" s="464"/>
      <c r="E26" s="464"/>
      <c r="F26" s="650">
        <f>F25/12</f>
        <v>5836.5207470906162</v>
      </c>
      <c r="G26" s="464"/>
      <c r="H26" s="628"/>
    </row>
    <row r="27" spans="2:8" s="115" customFormat="1" ht="13.5" thickBot="1" x14ac:dyDescent="0.25">
      <c r="B27" s="464"/>
      <c r="C27" s="508" t="s">
        <v>548</v>
      </c>
      <c r="D27" s="649"/>
      <c r="E27" s="649"/>
      <c r="F27" s="648">
        <f>ROUND((F26/140/2),2)</f>
        <v>20.84</v>
      </c>
      <c r="G27" s="464"/>
    </row>
    <row r="28" spans="2:8" s="115" customFormat="1" x14ac:dyDescent="0.2">
      <c r="B28" s="464"/>
      <c r="C28" s="464"/>
      <c r="D28" s="1775" t="s">
        <v>718</v>
      </c>
      <c r="E28" s="1775"/>
      <c r="F28" s="346">
        <v>18.649999999999999</v>
      </c>
      <c r="G28" s="464"/>
      <c r="H28" s="628"/>
    </row>
    <row r="29" spans="2:8" s="115" customFormat="1" x14ac:dyDescent="0.2">
      <c r="B29" s="464"/>
      <c r="C29" s="464"/>
      <c r="D29" s="647"/>
      <c r="E29" s="115" t="s">
        <v>745</v>
      </c>
      <c r="F29" s="344">
        <f>(F27-F28)/F28</f>
        <v>0.11742627345844511</v>
      </c>
      <c r="G29" s="464"/>
    </row>
    <row r="30" spans="2:8" s="115" customFormat="1" x14ac:dyDescent="0.2">
      <c r="B30" s="464"/>
      <c r="C30" s="464"/>
      <c r="D30" s="464"/>
      <c r="E30" s="464"/>
      <c r="F30" s="464"/>
      <c r="G30" s="464"/>
    </row>
    <row r="31" spans="2:8" s="115" customFormat="1" x14ac:dyDescent="0.2">
      <c r="B31" s="464"/>
      <c r="C31" s="464"/>
      <c r="D31" s="464"/>
      <c r="E31" s="464"/>
      <c r="F31" s="464"/>
      <c r="G31" s="464"/>
    </row>
    <row r="32" spans="2:8" s="115" customFormat="1" hidden="1" x14ac:dyDescent="0.2">
      <c r="B32" s="464"/>
      <c r="C32" s="464"/>
      <c r="D32" s="464"/>
      <c r="E32" s="464"/>
      <c r="F32" s="464"/>
      <c r="G32" s="464"/>
    </row>
    <row r="33" spans="2:8" s="115" customFormat="1" hidden="1" x14ac:dyDescent="0.2">
      <c r="B33" s="464"/>
      <c r="C33" s="646" t="s">
        <v>547</v>
      </c>
      <c r="D33" s="645">
        <v>15.25</v>
      </c>
      <c r="E33" s="644" t="s">
        <v>453</v>
      </c>
      <c r="F33" s="643">
        <f>F25</f>
        <v>70038.24896508739</v>
      </c>
      <c r="G33" s="642" t="s">
        <v>546</v>
      </c>
      <c r="H33" s="641"/>
    </row>
    <row r="34" spans="2:8" s="115" customFormat="1" hidden="1" x14ac:dyDescent="0.2">
      <c r="B34" s="464"/>
      <c r="C34" s="639" t="s">
        <v>545</v>
      </c>
      <c r="D34" s="637">
        <v>2217.08</v>
      </c>
      <c r="E34" s="638"/>
      <c r="F34" s="640">
        <f>F33/12</f>
        <v>5836.5207470906162</v>
      </c>
      <c r="G34" s="638" t="s">
        <v>544</v>
      </c>
      <c r="H34" s="635"/>
    </row>
    <row r="35" spans="2:8" s="115" customFormat="1" hidden="1" x14ac:dyDescent="0.2">
      <c r="B35" s="464"/>
      <c r="C35" s="639" t="s">
        <v>543</v>
      </c>
      <c r="D35" s="637">
        <f>D34/D33</f>
        <v>145.38229508196721</v>
      </c>
      <c r="E35" s="638"/>
      <c r="F35" s="638"/>
      <c r="G35" s="638"/>
      <c r="H35" s="635"/>
    </row>
    <row r="36" spans="2:8" s="115" customFormat="1" hidden="1" x14ac:dyDescent="0.2">
      <c r="B36" s="464"/>
      <c r="C36" s="639" t="s">
        <v>542</v>
      </c>
      <c r="D36" s="637">
        <f>D34/40</f>
        <v>55.427</v>
      </c>
      <c r="E36" s="638"/>
      <c r="F36" s="637">
        <f>F34/40</f>
        <v>145.9130186772654</v>
      </c>
      <c r="G36" s="636" t="s">
        <v>541</v>
      </c>
      <c r="H36" s="635"/>
    </row>
    <row r="37" spans="2:8" hidden="1" x14ac:dyDescent="0.2">
      <c r="C37" s="634"/>
      <c r="D37" s="633"/>
      <c r="E37" s="632"/>
      <c r="F37" s="631">
        <f>F34/15.25</f>
        <v>382.72267194036829</v>
      </c>
      <c r="G37" s="630" t="s">
        <v>540</v>
      </c>
      <c r="H37" s="629"/>
    </row>
    <row r="38" spans="2:8" hidden="1" x14ac:dyDescent="0.2"/>
    <row r="64" spans="8:8" x14ac:dyDescent="0.2">
      <c r="H64" s="115"/>
    </row>
    <row r="65" spans="8:8" x14ac:dyDescent="0.2">
      <c r="H65" s="115"/>
    </row>
    <row r="66" spans="8:8" x14ac:dyDescent="0.2">
      <c r="H66" s="115"/>
    </row>
    <row r="67" spans="8:8" x14ac:dyDescent="0.2">
      <c r="H67" s="628"/>
    </row>
    <row r="68" spans="8:8" x14ac:dyDescent="0.2">
      <c r="H68" s="115"/>
    </row>
  </sheetData>
  <mergeCells count="2">
    <mergeCell ref="C4:F4"/>
    <mergeCell ref="D28:E28"/>
  </mergeCells>
  <pageMargins left="0.75" right="0.75" top="1" bottom="1" header="0.5" footer="0.5"/>
  <pageSetup scale="6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0998D-1B9F-4730-9583-1420AA4D3E42}">
  <dimension ref="B1:AL94"/>
  <sheetViews>
    <sheetView zoomScale="90" zoomScaleNormal="90" workbookViewId="0">
      <selection activeCell="I50" sqref="I50"/>
    </sheetView>
  </sheetViews>
  <sheetFormatPr defaultColWidth="8.85546875" defaultRowHeight="12.75" x14ac:dyDescent="0.2"/>
  <cols>
    <col min="1" max="1" width="8.85546875" style="340"/>
    <col min="2" max="2" width="36.140625" style="340" customWidth="1"/>
    <col min="3" max="3" width="8.85546875" style="340"/>
    <col min="4" max="4" width="36.140625" style="340" bestFit="1" customWidth="1"/>
    <col min="5" max="5" width="8.85546875" style="340"/>
    <col min="6" max="6" width="30.5703125" style="340" customWidth="1"/>
    <col min="7" max="7" width="7.42578125" style="340" customWidth="1"/>
    <col min="8" max="8" width="9.28515625" style="340" customWidth="1"/>
    <col min="9" max="9" width="9.5703125" style="340" customWidth="1"/>
    <col min="10" max="10" width="9.42578125" style="340" bestFit="1" customWidth="1"/>
    <col min="11" max="11" width="2.85546875" style="340" customWidth="1"/>
    <col min="12" max="12" width="29.7109375" style="340" customWidth="1"/>
    <col min="13" max="13" width="9.28515625" style="340" customWidth="1"/>
    <col min="14" max="14" width="7.42578125" style="340" bestFit="1" customWidth="1"/>
    <col min="15" max="15" width="9.85546875" style="340" customWidth="1"/>
    <col min="16" max="16" width="8.42578125" style="340" bestFit="1" customWidth="1"/>
    <col min="17" max="17" width="4.85546875" style="340" customWidth="1"/>
    <col min="18" max="18" width="3.85546875" style="340" customWidth="1"/>
    <col min="19" max="19" width="32.7109375" style="340" customWidth="1"/>
    <col min="20" max="20" width="10.7109375" style="340" bestFit="1" customWidth="1"/>
    <col min="21" max="21" width="7.5703125" style="340" bestFit="1" customWidth="1"/>
    <col min="22" max="22" width="11.5703125" style="340" bestFit="1" customWidth="1"/>
    <col min="23" max="23" width="7.42578125" style="340" customWidth="1"/>
    <col min="24" max="24" width="34.85546875" style="340" customWidth="1"/>
    <col min="25" max="25" width="11" style="340" customWidth="1"/>
    <col min="26" max="26" width="8.85546875" style="340" customWidth="1"/>
    <col min="27" max="27" width="9.5703125" style="340" bestFit="1" customWidth="1"/>
    <col min="28" max="28" width="8.85546875" style="340" customWidth="1"/>
    <col min="29" max="29" width="41.5703125" style="340" hidden="1" customWidth="1"/>
    <col min="30" max="30" width="13.140625" style="340" hidden="1" customWidth="1"/>
    <col min="31" max="31" width="13.85546875" style="340" hidden="1" customWidth="1"/>
    <col min="32" max="32" width="13.42578125" style="340" hidden="1" customWidth="1"/>
    <col min="33" max="33" width="12.42578125" style="340" hidden="1" customWidth="1"/>
    <col min="34" max="34" width="13.7109375" style="340" hidden="1" customWidth="1"/>
    <col min="35" max="35" width="11.5703125" style="340" hidden="1" customWidth="1"/>
    <col min="36" max="36" width="12.42578125" style="340" hidden="1" customWidth="1"/>
    <col min="37" max="44" width="8.85546875" style="340" customWidth="1"/>
    <col min="45" max="16384" width="8.85546875" style="340"/>
  </cols>
  <sheetData>
    <row r="1" spans="2:36" x14ac:dyDescent="0.2">
      <c r="F1" s="477"/>
      <c r="G1" s="1776"/>
      <c r="H1" s="1776"/>
      <c r="I1" s="1776"/>
      <c r="J1" s="1776"/>
      <c r="K1" s="1776"/>
      <c r="L1" s="1776"/>
      <c r="S1" s="477"/>
    </row>
    <row r="2" spans="2:36" x14ac:dyDescent="0.2">
      <c r="G2" s="1776"/>
      <c r="H2" s="1776"/>
      <c r="I2" s="1776"/>
      <c r="J2" s="1776"/>
      <c r="K2" s="1776"/>
      <c r="L2" s="1776"/>
      <c r="S2" s="477"/>
      <c r="AC2" s="477" t="s">
        <v>655</v>
      </c>
    </row>
    <row r="3" spans="2:36" ht="13.5" thickBot="1" x14ac:dyDescent="0.25">
      <c r="F3" s="1732" t="s">
        <v>615</v>
      </c>
      <c r="G3" s="1733"/>
      <c r="H3" s="1733"/>
      <c r="I3" s="1733"/>
      <c r="J3" s="1733"/>
      <c r="K3" s="1733"/>
      <c r="L3" s="1733"/>
      <c r="M3" s="1733"/>
      <c r="N3" s="1733"/>
      <c r="O3" s="1733"/>
    </row>
    <row r="4" spans="2:36" ht="15.75" thickBot="1" x14ac:dyDescent="0.3">
      <c r="B4" s="1736" t="s">
        <v>654</v>
      </c>
      <c r="C4" s="1730"/>
      <c r="D4" s="1731"/>
      <c r="F4" s="1733"/>
      <c r="G4" s="1733"/>
      <c r="H4" s="1733"/>
      <c r="I4" s="1733"/>
      <c r="J4" s="1733"/>
      <c r="K4" s="1733"/>
      <c r="L4" s="1733"/>
      <c r="M4" s="1733"/>
      <c r="N4" s="1733"/>
      <c r="O4" s="1733"/>
      <c r="R4" s="1024"/>
    </row>
    <row r="5" spans="2:36" ht="15.75" thickBot="1" x14ac:dyDescent="0.3">
      <c r="B5" s="1740" t="s">
        <v>651</v>
      </c>
      <c r="C5" s="1730"/>
      <c r="D5" s="1731"/>
      <c r="I5" s="1032">
        <v>1364</v>
      </c>
      <c r="O5" s="1032">
        <v>1364</v>
      </c>
      <c r="Q5" s="1020"/>
      <c r="R5" s="1019"/>
      <c r="AB5" s="336"/>
      <c r="AC5" s="1727" t="s">
        <v>648</v>
      </c>
      <c r="AD5" s="1728"/>
      <c r="AE5" s="1728"/>
      <c r="AF5" s="1728"/>
      <c r="AG5" s="1728"/>
      <c r="AH5" s="1728"/>
      <c r="AI5" s="1728"/>
      <c r="AJ5" s="1728"/>
    </row>
    <row r="6" spans="2:36" ht="26.25" thickBot="1" x14ac:dyDescent="0.25">
      <c r="B6" s="365" t="s">
        <v>329</v>
      </c>
      <c r="C6" s="1083">
        <f>'M2024 BLS SALARY CHART (53_PCT)'!C22</f>
        <v>81486.911999999997</v>
      </c>
      <c r="D6" s="1072" t="s">
        <v>780</v>
      </c>
      <c r="F6" s="1031" t="s">
        <v>612</v>
      </c>
      <c r="G6" s="1030" t="s">
        <v>600</v>
      </c>
      <c r="H6" s="1034" t="s">
        <v>599</v>
      </c>
      <c r="I6" s="1033" t="s">
        <v>579</v>
      </c>
      <c r="J6" s="1032"/>
      <c r="L6" s="1031" t="s">
        <v>357</v>
      </c>
      <c r="M6" s="1030" t="s">
        <v>600</v>
      </c>
      <c r="N6" s="1030" t="s">
        <v>599</v>
      </c>
      <c r="O6" s="1029" t="s">
        <v>579</v>
      </c>
      <c r="Q6" s="848"/>
      <c r="R6" s="848"/>
      <c r="AB6" s="1087"/>
      <c r="AC6" s="470" t="s">
        <v>644</v>
      </c>
      <c r="AD6" s="470" t="s">
        <v>353</v>
      </c>
      <c r="AE6" s="470" t="s">
        <v>643</v>
      </c>
      <c r="AF6" s="1086" t="s">
        <v>642</v>
      </c>
      <c r="AG6" s="1086" t="s">
        <v>641</v>
      </c>
      <c r="AH6" s="470" t="s">
        <v>640</v>
      </c>
      <c r="AI6" s="470" t="s">
        <v>639</v>
      </c>
      <c r="AJ6" s="1085" t="s">
        <v>638</v>
      </c>
    </row>
    <row r="7" spans="2:36" x14ac:dyDescent="0.2">
      <c r="B7" s="365" t="s">
        <v>357</v>
      </c>
      <c r="C7" s="1083">
        <f>'M2024 BLS SALARY CHART (53_PCT)'!C18</f>
        <v>84174.063999999998</v>
      </c>
      <c r="D7" s="1072" t="s">
        <v>780</v>
      </c>
      <c r="F7" s="1028" t="str">
        <f>F78</f>
        <v xml:space="preserve">Management </v>
      </c>
      <c r="G7" s="845">
        <f>C6</f>
        <v>81486.911999999997</v>
      </c>
      <c r="H7" s="1026">
        <v>0.1</v>
      </c>
      <c r="I7" s="1025">
        <f>G7*H7</f>
        <v>8148.6912000000002</v>
      </c>
      <c r="L7" s="1028" t="str">
        <f>L78</f>
        <v xml:space="preserve">Management </v>
      </c>
      <c r="M7" s="845">
        <f>C6</f>
        <v>81486.911999999997</v>
      </c>
      <c r="N7" s="1026">
        <v>0.1</v>
      </c>
      <c r="O7" s="1025">
        <f>M7*N7</f>
        <v>8148.6912000000002</v>
      </c>
      <c r="Q7" s="830"/>
      <c r="R7" s="1084"/>
      <c r="AB7" s="1077"/>
      <c r="AC7" s="477" t="s">
        <v>636</v>
      </c>
      <c r="AD7" s="340">
        <v>8</v>
      </c>
      <c r="AF7" s="1004">
        <v>35000</v>
      </c>
      <c r="AG7" s="1004">
        <f>+AF7/AD7</f>
        <v>4375</v>
      </c>
      <c r="AH7" s="1071">
        <f>+AG7/52</f>
        <v>84.134615384615387</v>
      </c>
      <c r="AI7" s="1042">
        <f>+AH7/7</f>
        <v>12.01923076923077</v>
      </c>
      <c r="AJ7" s="1042"/>
    </row>
    <row r="8" spans="2:36" ht="13.5" thickBot="1" x14ac:dyDescent="0.25">
      <c r="B8" s="365" t="s">
        <v>327</v>
      </c>
      <c r="C8" s="1083">
        <f>'M2024 BLS SALARY CHART (53_PCT)'!C6</f>
        <v>46842.432000000008</v>
      </c>
      <c r="D8" s="1072" t="s">
        <v>780</v>
      </c>
      <c r="F8" s="1027" t="s">
        <v>327</v>
      </c>
      <c r="G8" s="845">
        <f>C8</f>
        <v>46842.432000000008</v>
      </c>
      <c r="H8" s="1026">
        <v>1.1499999999999999</v>
      </c>
      <c r="I8" s="1025">
        <f>G8*H8</f>
        <v>53868.796800000004</v>
      </c>
      <c r="L8" s="1027" t="s">
        <v>357</v>
      </c>
      <c r="M8" s="845">
        <f>C7</f>
        <v>84174.063999999998</v>
      </c>
      <c r="N8" s="1026">
        <v>1</v>
      </c>
      <c r="O8" s="1025">
        <f>M8*N8</f>
        <v>84174.063999999998</v>
      </c>
      <c r="Q8" s="830"/>
      <c r="R8" s="1003"/>
      <c r="AB8" s="1077"/>
      <c r="AC8" s="477" t="s">
        <v>634</v>
      </c>
      <c r="AD8" s="340">
        <v>30</v>
      </c>
      <c r="AF8" s="1004"/>
      <c r="AG8" s="1004"/>
      <c r="AH8" s="1071"/>
      <c r="AI8" s="1042"/>
      <c r="AJ8" s="1042"/>
    </row>
    <row r="9" spans="2:36" ht="15.75" thickBot="1" x14ac:dyDescent="0.3">
      <c r="B9" s="1729" t="s">
        <v>633</v>
      </c>
      <c r="C9" s="1730"/>
      <c r="D9" s="1731"/>
      <c r="F9" s="730" t="s">
        <v>322</v>
      </c>
      <c r="G9" s="1023">
        <f>C13</f>
        <v>0.24970000000000001</v>
      </c>
      <c r="H9" s="847"/>
      <c r="I9" s="1007">
        <f>SUM(I7:I8)*G9</f>
        <v>15485.766753600001</v>
      </c>
      <c r="L9" s="730" t="s">
        <v>322</v>
      </c>
      <c r="M9" s="1023">
        <f>C13</f>
        <v>0.24970000000000001</v>
      </c>
      <c r="N9" s="847"/>
      <c r="O9" s="1007">
        <f>SUM(O7:O8)*M9</f>
        <v>23052.991973439999</v>
      </c>
      <c r="Q9" s="830"/>
      <c r="R9" s="455"/>
      <c r="AB9" s="1076"/>
      <c r="AC9" s="477" t="s">
        <v>632</v>
      </c>
      <c r="AD9" s="340">
        <v>6</v>
      </c>
      <c r="AE9" s="340">
        <v>8</v>
      </c>
      <c r="AF9" s="1004">
        <v>42189</v>
      </c>
      <c r="AG9" s="1004">
        <f>(+AF9/AD9)/AE9</f>
        <v>878.9375</v>
      </c>
      <c r="AH9" s="1071">
        <f>+AG9/52</f>
        <v>16.90264423076923</v>
      </c>
      <c r="AI9" s="1042">
        <f>+AH9/7</f>
        <v>2.4146634615384612</v>
      </c>
      <c r="AJ9" s="1042"/>
    </row>
    <row r="10" spans="2:36" x14ac:dyDescent="0.2">
      <c r="B10" s="365" t="s">
        <v>607</v>
      </c>
      <c r="C10" s="1065">
        <f>'Non-Salary Expense FY26'!E4</f>
        <v>6392.9174203826224</v>
      </c>
      <c r="D10" s="660" t="s">
        <v>779</v>
      </c>
      <c r="F10" s="990"/>
      <c r="G10" s="1021"/>
      <c r="H10" s="917"/>
      <c r="I10" s="1007"/>
      <c r="L10" s="990"/>
      <c r="M10" s="1021"/>
      <c r="N10" s="917"/>
      <c r="O10" s="1007"/>
      <c r="Q10" s="830"/>
      <c r="R10" s="477"/>
      <c r="AB10" s="1081"/>
      <c r="AC10" s="1044" t="s">
        <v>631</v>
      </c>
      <c r="AF10" s="1004"/>
      <c r="AG10" s="1004">
        <f>SUM(AG7:AG9)</f>
        <v>5253.9375</v>
      </c>
      <c r="AH10" s="1071">
        <f>SUM(AH7:AH9)</f>
        <v>101.03725961538461</v>
      </c>
      <c r="AI10" s="1042">
        <f>SUM(AI7:AI9)</f>
        <v>14.433894230769232</v>
      </c>
      <c r="AJ10" s="1041" t="e">
        <f>AI10/AI$21</f>
        <v>#DIV/0!</v>
      </c>
    </row>
    <row r="11" spans="2:36" ht="13.5" thickBot="1" x14ac:dyDescent="0.25">
      <c r="B11" s="365" t="s">
        <v>630</v>
      </c>
      <c r="C11" s="1065">
        <f>'Non-Salary Expense FY26'!E17</f>
        <v>2947.5899663350119</v>
      </c>
      <c r="D11" s="660" t="s">
        <v>779</v>
      </c>
      <c r="F11" s="1014" t="s">
        <v>609</v>
      </c>
      <c r="G11" s="1013"/>
      <c r="H11" s="1012">
        <f>SUM(H6:H8)</f>
        <v>1.25</v>
      </c>
      <c r="I11" s="992">
        <f>SUM(I7:I10)</f>
        <v>77503.254753600006</v>
      </c>
      <c r="L11" s="1014" t="s">
        <v>609</v>
      </c>
      <c r="M11" s="1013"/>
      <c r="N11" s="1012">
        <f>SUM(N6:N8)</f>
        <v>1.1000000000000001</v>
      </c>
      <c r="O11" s="992">
        <f>SUM(O7:O10)</f>
        <v>115375.74717344</v>
      </c>
      <c r="Q11" s="831"/>
      <c r="R11" s="477"/>
      <c r="AB11" s="1077"/>
      <c r="AC11" s="477" t="s">
        <v>629</v>
      </c>
      <c r="AF11" s="1004">
        <v>35000</v>
      </c>
      <c r="AG11" s="1004">
        <f>+AF11/8</f>
        <v>4375</v>
      </c>
      <c r="AH11" s="1071">
        <f>+AG11/52</f>
        <v>84.134615384615387</v>
      </c>
      <c r="AI11" s="1042">
        <f>+AH11/7</f>
        <v>12.01923076923077</v>
      </c>
      <c r="AJ11" s="1041" t="e">
        <f>AI11/AI$21</f>
        <v>#DIV/0!</v>
      </c>
    </row>
    <row r="12" spans="2:36" ht="13.5" thickTop="1" x14ac:dyDescent="0.2">
      <c r="B12" s="365" t="s">
        <v>605</v>
      </c>
      <c r="C12" s="1065">
        <f>'Non-Salary Expense FY26'!E14</f>
        <v>1766.2389753369646</v>
      </c>
      <c r="D12" s="660" t="s">
        <v>779</v>
      </c>
      <c r="F12" s="709" t="s">
        <v>579</v>
      </c>
      <c r="G12" s="1008"/>
      <c r="H12" s="847"/>
      <c r="I12" s="1007"/>
      <c r="L12" s="709" t="s">
        <v>579</v>
      </c>
      <c r="M12" s="1008"/>
      <c r="N12" s="847"/>
      <c r="O12" s="1007"/>
      <c r="Q12" s="831"/>
      <c r="R12" s="477"/>
      <c r="AB12" s="1076"/>
      <c r="AC12" s="477" t="s">
        <v>626</v>
      </c>
      <c r="AF12" s="1004">
        <f>SUM(AF7:AF11)*0.1</f>
        <v>11218.900000000001</v>
      </c>
      <c r="AG12" s="1004">
        <f>+AF12/8</f>
        <v>1402.3625000000002</v>
      </c>
      <c r="AH12" s="1071">
        <f>+AG12/52</f>
        <v>26.968509615384619</v>
      </c>
      <c r="AI12" s="1042">
        <f>+AH12/7</f>
        <v>3.8526442307692315</v>
      </c>
      <c r="AJ12" s="1041" t="e">
        <f>AI12/AI$21</f>
        <v>#DIV/0!</v>
      </c>
    </row>
    <row r="13" spans="2:36" x14ac:dyDescent="0.2">
      <c r="B13" s="365" t="s">
        <v>625</v>
      </c>
      <c r="C13" s="466">
        <f>'M2024 BLS SALARY CHART (53_PCT)'!C40</f>
        <v>0.24970000000000001</v>
      </c>
      <c r="D13" s="1072" t="s">
        <v>270</v>
      </c>
      <c r="F13" s="365" t="s">
        <v>314</v>
      </c>
      <c r="G13" s="998"/>
      <c r="H13" s="997">
        <f>C10</f>
        <v>6392.9174203826224</v>
      </c>
      <c r="I13" s="996">
        <f>H13*$H$8</f>
        <v>7351.8550334400152</v>
      </c>
      <c r="L13" s="365" t="s">
        <v>314</v>
      </c>
      <c r="M13" s="998"/>
      <c r="N13" s="997">
        <f>C10</f>
        <v>6392.9174203826224</v>
      </c>
      <c r="O13" s="996">
        <f>N13*N11</f>
        <v>7032.2091624208851</v>
      </c>
      <c r="Q13" s="831"/>
      <c r="AC13" s="1019" t="s">
        <v>624</v>
      </c>
      <c r="AD13" s="1003"/>
      <c r="AE13" s="1003"/>
      <c r="AF13" s="1067"/>
      <c r="AG13" s="1067"/>
      <c r="AH13" s="1066"/>
      <c r="AI13" s="1042">
        <f>SUM(AI10:AI12)</f>
        <v>30.305769230769233</v>
      </c>
      <c r="AJ13" s="1073"/>
    </row>
    <row r="14" spans="2:36" ht="13.5" thickBot="1" x14ac:dyDescent="0.25">
      <c r="B14" s="365" t="s">
        <v>28</v>
      </c>
      <c r="C14" s="466">
        <f>'Master Lookup FY26'!C374</f>
        <v>0.12</v>
      </c>
      <c r="D14" s="1072" t="s">
        <v>270</v>
      </c>
      <c r="F14" s="365" t="s">
        <v>288</v>
      </c>
      <c r="G14" s="998"/>
      <c r="H14" s="997">
        <f>C11</f>
        <v>2947.5899663350119</v>
      </c>
      <c r="I14" s="996">
        <f>H14*$H$8</f>
        <v>3389.7284612852636</v>
      </c>
      <c r="L14" s="365" t="s">
        <v>288</v>
      </c>
      <c r="M14" s="998"/>
      <c r="N14" s="997">
        <f>C11</f>
        <v>2947.5899663350119</v>
      </c>
      <c r="O14" s="996">
        <f>N14*N11</f>
        <v>3242.3489629685132</v>
      </c>
      <c r="Q14" s="835"/>
      <c r="AB14" s="997"/>
      <c r="AC14" s="1044" t="s">
        <v>623</v>
      </c>
      <c r="AF14" s="1004">
        <f>SUM(AF10:AF12)*0.25</f>
        <v>11554.725</v>
      </c>
      <c r="AG14" s="1004">
        <f>SUM(AG10:AG12)*0.25</f>
        <v>2757.8249999999998</v>
      </c>
      <c r="AH14" s="1071">
        <f>SUM(AH10:AH12)*0.25</f>
        <v>53.035096153846155</v>
      </c>
      <c r="AI14" s="1042">
        <f>SUM(AI10:AI12)*0.25</f>
        <v>7.5764423076923082</v>
      </c>
      <c r="AJ14" s="1041" t="e">
        <f>AI14/AI$21</f>
        <v>#DIV/0!</v>
      </c>
    </row>
    <row r="15" spans="2:36" ht="13.5" thickBot="1" x14ac:dyDescent="0.25">
      <c r="B15" s="1070" t="s">
        <v>622</v>
      </c>
      <c r="C15" s="1069">
        <f>'CAF Spring 2025'!CT26</f>
        <v>2.5282070971092779E-2</v>
      </c>
      <c r="D15" s="1068" t="s">
        <v>716</v>
      </c>
      <c r="F15" s="365" t="s">
        <v>294</v>
      </c>
      <c r="G15" s="998"/>
      <c r="H15" s="997">
        <f>C12</f>
        <v>1766.2389753369646</v>
      </c>
      <c r="I15" s="996">
        <f>H15*$H$8</f>
        <v>2031.174821637509</v>
      </c>
      <c r="L15" s="365" t="s">
        <v>294</v>
      </c>
      <c r="M15" s="998"/>
      <c r="N15" s="997">
        <f>C12</f>
        <v>1766.2389753369646</v>
      </c>
      <c r="O15" s="996">
        <f>N15*N11</f>
        <v>1942.8628728706612</v>
      </c>
      <c r="Q15" s="835"/>
      <c r="AB15" s="997"/>
      <c r="AC15" s="1019" t="s">
        <v>621</v>
      </c>
      <c r="AD15" s="1003"/>
      <c r="AE15" s="1003"/>
      <c r="AF15" s="1067"/>
      <c r="AG15" s="1067"/>
      <c r="AH15" s="1066"/>
      <c r="AI15" s="1042">
        <f>SUM(AI13:AI14)</f>
        <v>37.88221153846154</v>
      </c>
      <c r="AJ15" s="1041">
        <f>AI15/AI26</f>
        <v>0.74420735234740054</v>
      </c>
    </row>
    <row r="16" spans="2:36" ht="26.25" thickBot="1" x14ac:dyDescent="0.25">
      <c r="F16" s="995" t="s">
        <v>491</v>
      </c>
      <c r="G16" s="994"/>
      <c r="H16" s="993"/>
      <c r="I16" s="992">
        <f>SUM(I11:I15)</f>
        <v>90276.013069962806</v>
      </c>
      <c r="L16" s="995" t="s">
        <v>491</v>
      </c>
      <c r="M16" s="994"/>
      <c r="N16" s="993"/>
      <c r="O16" s="992">
        <f>SUM(O11:O15)</f>
        <v>127593.16817170006</v>
      </c>
      <c r="Q16" s="835"/>
      <c r="AB16" s="997"/>
      <c r="AF16" s="1004"/>
      <c r="AG16" s="1004"/>
    </row>
    <row r="17" spans="6:38" ht="13.5" thickTop="1" x14ac:dyDescent="0.2">
      <c r="F17" s="365" t="s">
        <v>570</v>
      </c>
      <c r="G17" s="836">
        <f>C14</f>
        <v>0.12</v>
      </c>
      <c r="H17" s="836"/>
      <c r="I17" s="991">
        <f>(I16-I10)*G17</f>
        <v>10833.121568395536</v>
      </c>
      <c r="L17" s="365" t="s">
        <v>570</v>
      </c>
      <c r="M17" s="836">
        <f>C14</f>
        <v>0.12</v>
      </c>
      <c r="N17" s="836"/>
      <c r="O17" s="991">
        <f>(O16-O10)*M17</f>
        <v>15311.180180604008</v>
      </c>
      <c r="Q17" s="835"/>
      <c r="AB17" s="997"/>
      <c r="AC17" s="1060"/>
      <c r="AD17" s="1060"/>
      <c r="AE17" s="1060"/>
      <c r="AF17" s="1061"/>
      <c r="AG17" s="1061"/>
      <c r="AH17" s="1060"/>
      <c r="AI17" s="1046"/>
    </row>
    <row r="18" spans="6:38" x14ac:dyDescent="0.2">
      <c r="F18" s="990" t="s">
        <v>569</v>
      </c>
      <c r="G18" s="836">
        <f>C15</f>
        <v>2.5282070971092779E-2</v>
      </c>
      <c r="H18" s="836"/>
      <c r="I18" s="991">
        <f>(I17+I16)*G18</f>
        <v>2556.2483177527511</v>
      </c>
      <c r="L18" s="990" t="s">
        <v>569</v>
      </c>
      <c r="M18" s="836">
        <f>C15</f>
        <v>2.5282070971092779E-2</v>
      </c>
      <c r="N18" s="836"/>
      <c r="O18" s="989">
        <f>(O17+O16)*M18</f>
        <v>3612.9178771207171</v>
      </c>
      <c r="Q18" s="835"/>
      <c r="AB18" s="997"/>
      <c r="AC18" s="1060"/>
      <c r="AD18" s="1060"/>
      <c r="AE18" s="1060"/>
      <c r="AF18" s="1061"/>
      <c r="AG18" s="1061"/>
      <c r="AH18" s="1060"/>
      <c r="AI18" s="1046"/>
    </row>
    <row r="19" spans="6:38" ht="13.5" thickBot="1" x14ac:dyDescent="0.25">
      <c r="F19" s="988" t="s">
        <v>490</v>
      </c>
      <c r="G19" s="987"/>
      <c r="H19" s="986"/>
      <c r="I19" s="985">
        <f>SUM(I16:I18)</f>
        <v>103665.38295611109</v>
      </c>
      <c r="L19" s="988" t="s">
        <v>490</v>
      </c>
      <c r="M19" s="987"/>
      <c r="N19" s="986"/>
      <c r="O19" s="985">
        <f>SUM(O16:O18)</f>
        <v>146517.2662294248</v>
      </c>
      <c r="Q19" s="835"/>
      <c r="AB19" s="997"/>
      <c r="AC19" s="1060"/>
      <c r="AD19" s="1060"/>
      <c r="AE19" s="1060"/>
      <c r="AF19" s="1061"/>
      <c r="AG19" s="1061"/>
      <c r="AH19" s="1060"/>
      <c r="AI19" s="1046"/>
    </row>
    <row r="20" spans="6:38" ht="13.5" thickTop="1" x14ac:dyDescent="0.2">
      <c r="F20" s="484" t="s">
        <v>604</v>
      </c>
      <c r="H20" s="457"/>
      <c r="I20" s="984">
        <f>I19/I5+0.2</f>
        <v>76.201013897442152</v>
      </c>
      <c r="L20" s="484" t="s">
        <v>604</v>
      </c>
      <c r="N20" s="457"/>
      <c r="O20" s="984">
        <f>O19/O5+0.29</f>
        <v>107.70735060808271</v>
      </c>
      <c r="Q20" s="835"/>
      <c r="AB20" s="1049"/>
      <c r="AC20" s="230" t="s">
        <v>619</v>
      </c>
      <c r="AD20" s="230"/>
      <c r="AE20" s="230"/>
      <c r="AF20" s="1004"/>
      <c r="AG20" s="1047"/>
      <c r="AH20" s="230"/>
      <c r="AI20" s="1046">
        <f>0.2*AL26</f>
        <v>10.180552884615384</v>
      </c>
      <c r="AJ20" s="1041">
        <f>AI20/AI26</f>
        <v>0.19999999999999996</v>
      </c>
    </row>
    <row r="21" spans="6:38" ht="13.5" thickBot="1" x14ac:dyDescent="0.25">
      <c r="F21" s="983" t="s">
        <v>603</v>
      </c>
      <c r="G21" s="982"/>
      <c r="H21" s="982"/>
      <c r="I21" s="981">
        <f>I20/4</f>
        <v>19.050253474360538</v>
      </c>
      <c r="L21" s="983" t="s">
        <v>603</v>
      </c>
      <c r="M21" s="982"/>
      <c r="N21" s="982"/>
      <c r="O21" s="981">
        <f>O20/4</f>
        <v>26.926837652020676</v>
      </c>
      <c r="Q21" s="835"/>
      <c r="V21" s="1004"/>
      <c r="AA21" s="1004"/>
      <c r="AB21" s="997"/>
      <c r="AD21" s="230"/>
      <c r="AE21" s="230"/>
      <c r="AF21" s="1004"/>
      <c r="AG21" s="1047"/>
      <c r="AH21" s="230"/>
      <c r="AI21" s="1046"/>
      <c r="AJ21" s="1041"/>
    </row>
    <row r="22" spans="6:38" x14ac:dyDescent="0.2">
      <c r="I22" s="340">
        <v>68.84</v>
      </c>
      <c r="O22" s="340">
        <v>103.65</v>
      </c>
      <c r="Q22" s="835"/>
      <c r="R22" s="477"/>
      <c r="S22" s="477"/>
      <c r="T22" s="978"/>
      <c r="AB22" s="997"/>
      <c r="AD22" s="230"/>
      <c r="AE22" s="230"/>
      <c r="AF22" s="1004"/>
      <c r="AG22" s="1047"/>
      <c r="AH22" s="230"/>
      <c r="AI22" s="1046"/>
      <c r="AJ22" s="1041"/>
    </row>
    <row r="23" spans="6:38" x14ac:dyDescent="0.2">
      <c r="I23" s="344">
        <f>(I20-I22)/I22</f>
        <v>0.10692931286232057</v>
      </c>
      <c r="J23" s="344"/>
      <c r="K23" s="344"/>
      <c r="L23" s="344"/>
      <c r="M23" s="344"/>
      <c r="N23" s="344"/>
      <c r="O23" s="344">
        <f t="shared" ref="O23" si="0">(O20-O22)/O22</f>
        <v>3.9144723666982149E-2</v>
      </c>
      <c r="Q23" s="977"/>
      <c r="S23" s="477"/>
      <c r="T23" s="978"/>
      <c r="AB23" s="1049"/>
      <c r="AC23" s="1048" t="s">
        <v>616</v>
      </c>
      <c r="AD23" s="230"/>
      <c r="AE23" s="230"/>
      <c r="AF23" s="1022"/>
      <c r="AG23" s="1047"/>
      <c r="AH23" s="230"/>
      <c r="AI23" s="1046">
        <f>AI15+AI20</f>
        <v>48.062764423076928</v>
      </c>
      <c r="AJ23" s="1041"/>
    </row>
    <row r="24" spans="6:38" x14ac:dyDescent="0.2">
      <c r="Q24" s="977"/>
      <c r="S24" s="477"/>
      <c r="T24" s="978"/>
      <c r="AB24" s="997"/>
      <c r="AC24" s="1048"/>
      <c r="AD24" s="230"/>
      <c r="AE24" s="230"/>
      <c r="AF24" s="1022"/>
      <c r="AG24" s="1047"/>
      <c r="AH24" s="230"/>
      <c r="AI24" s="1046"/>
      <c r="AJ24" s="1041"/>
    </row>
    <row r="25" spans="6:38" ht="13.5" thickBot="1" x14ac:dyDescent="0.25">
      <c r="Q25" s="835"/>
      <c r="R25" s="477"/>
      <c r="S25" s="477"/>
      <c r="T25" s="978"/>
      <c r="AB25" s="997"/>
      <c r="AC25" s="1044" t="s">
        <v>614</v>
      </c>
      <c r="AD25" s="1019"/>
      <c r="AE25" s="1019"/>
      <c r="AF25" s="1022"/>
      <c r="AG25" s="1043"/>
      <c r="AH25" s="477"/>
      <c r="AI25" s="1042">
        <f>'[15]Unbundled background file'!$G$53</f>
        <v>2.84</v>
      </c>
      <c r="AJ25" s="832">
        <f>AI25/AI26</f>
        <v>5.579264765259933E-2</v>
      </c>
    </row>
    <row r="26" spans="6:38" x14ac:dyDescent="0.2">
      <c r="I26" s="1777" t="s">
        <v>796</v>
      </c>
      <c r="J26" s="1778"/>
      <c r="K26" s="1778"/>
      <c r="L26" s="1779"/>
      <c r="Q26" s="831"/>
      <c r="R26" s="477"/>
      <c r="AB26" s="1045"/>
      <c r="AC26" s="1044" t="s">
        <v>613</v>
      </c>
      <c r="AD26" s="1019"/>
      <c r="AE26" s="1019"/>
      <c r="AF26" s="1043"/>
      <c r="AG26" s="1043"/>
      <c r="AI26" s="1042">
        <f>SUM(AI23:AI25)</f>
        <v>50.902764423076931</v>
      </c>
      <c r="AJ26" s="1041">
        <f>SUM(AJ15:AJ25)</f>
        <v>0.99999999999999978</v>
      </c>
      <c r="AL26" s="457">
        <f>(AI15+AI25)/0.8</f>
        <v>50.902764423076917</v>
      </c>
    </row>
    <row r="27" spans="6:38" x14ac:dyDescent="0.2">
      <c r="I27" s="1780"/>
      <c r="J27" s="1781"/>
      <c r="K27" s="1781"/>
      <c r="L27" s="1782"/>
      <c r="Q27" s="477"/>
      <c r="S27" s="848"/>
      <c r="T27" s="848"/>
      <c r="AC27" s="1040" t="s">
        <v>537</v>
      </c>
      <c r="AD27" s="1037"/>
      <c r="AE27" s="1037"/>
      <c r="AF27" s="1039"/>
      <c r="AG27" s="1038"/>
      <c r="AH27" s="1037"/>
      <c r="AI27" s="1036" t="e">
        <f>SUM(#REF!)</f>
        <v>#REF!</v>
      </c>
      <c r="AJ27" s="1035"/>
    </row>
    <row r="28" spans="6:38" ht="13.5" thickBot="1" x14ac:dyDescent="0.25">
      <c r="I28" s="1783"/>
      <c r="J28" s="1784"/>
      <c r="K28" s="1784"/>
      <c r="L28" s="1785"/>
      <c r="R28" s="1024"/>
      <c r="S28" s="830"/>
      <c r="T28" s="830"/>
      <c r="AC28" s="832"/>
      <c r="AE28" s="1004"/>
      <c r="AF28" s="1004"/>
      <c r="AG28" s="1022"/>
    </row>
    <row r="29" spans="6:38" ht="12.75" customHeight="1" x14ac:dyDescent="0.2">
      <c r="R29" s="1024"/>
      <c r="S29" s="830"/>
      <c r="T29" s="830"/>
      <c r="AC29" s="832"/>
      <c r="AE29" s="1004"/>
      <c r="AF29" s="1004"/>
      <c r="AG29" s="1022"/>
    </row>
    <row r="30" spans="6:38" ht="13.5" customHeight="1" x14ac:dyDescent="0.2">
      <c r="R30" s="1024"/>
      <c r="S30" s="831"/>
      <c r="T30" s="831"/>
      <c r="AC30" s="832"/>
      <c r="AE30" s="1004"/>
      <c r="AF30" s="1004"/>
      <c r="AG30" s="1022"/>
    </row>
    <row r="31" spans="6:38" ht="13.5" thickBot="1" x14ac:dyDescent="0.25">
      <c r="Q31" s="1020"/>
      <c r="R31" s="1019"/>
      <c r="S31" s="831"/>
      <c r="T31" s="831"/>
      <c r="AC31" s="832"/>
      <c r="AE31" s="1004"/>
      <c r="AF31" s="1004"/>
      <c r="AG31" s="1022"/>
    </row>
    <row r="32" spans="6:38" x14ac:dyDescent="0.2">
      <c r="Q32" s="1020"/>
      <c r="R32" s="1019"/>
      <c r="S32" s="831"/>
      <c r="T32" s="831"/>
      <c r="AC32" s="832"/>
      <c r="AE32" s="1018" t="s">
        <v>610</v>
      </c>
      <c r="AF32" s="1017"/>
      <c r="AG32" s="1016"/>
      <c r="AH32" s="549"/>
      <c r="AI32" s="1015"/>
    </row>
    <row r="33" spans="9:35" x14ac:dyDescent="0.2">
      <c r="Q33" s="848"/>
      <c r="R33" s="848"/>
      <c r="S33" s="831"/>
      <c r="T33" s="831"/>
      <c r="AC33" s="836"/>
      <c r="AE33" s="1011" t="s">
        <v>121</v>
      </c>
      <c r="AF33" s="1010">
        <f>'[15]Unbundled background file'!$K$72</f>
        <v>1.0391381345926798</v>
      </c>
      <c r="AG33" s="1004"/>
      <c r="AI33" s="1009" t="e">
        <f>#REF!*AF33</f>
        <v>#REF!</v>
      </c>
    </row>
    <row r="34" spans="9:35" x14ac:dyDescent="0.2">
      <c r="Q34" s="830"/>
      <c r="R34" s="1006"/>
      <c r="S34" s="831"/>
      <c r="T34" s="831"/>
      <c r="AC34" s="836"/>
      <c r="AE34" s="1005" t="s">
        <v>608</v>
      </c>
      <c r="AF34" s="1004"/>
      <c r="AG34" s="1004"/>
      <c r="AI34" s="794">
        <v>2.84</v>
      </c>
    </row>
    <row r="35" spans="9:35" ht="13.5" thickBot="1" x14ac:dyDescent="0.25">
      <c r="Q35" s="830"/>
      <c r="R35" s="1003"/>
      <c r="S35" s="831"/>
      <c r="T35" s="831"/>
      <c r="AC35" s="836"/>
      <c r="AE35" s="1002" t="s">
        <v>606</v>
      </c>
      <c r="AF35" s="1001"/>
      <c r="AG35" s="1000"/>
      <c r="AH35" s="786"/>
      <c r="AI35" s="999" t="e">
        <f>AI33+AI34</f>
        <v>#REF!</v>
      </c>
    </row>
    <row r="36" spans="9:35" x14ac:dyDescent="0.2">
      <c r="Q36" s="830"/>
      <c r="R36" s="477"/>
      <c r="S36" s="831"/>
      <c r="T36" s="831"/>
    </row>
    <row r="37" spans="9:35" x14ac:dyDescent="0.2">
      <c r="Q37" s="831"/>
      <c r="R37" s="477"/>
      <c r="S37" s="979"/>
      <c r="T37" s="830"/>
    </row>
    <row r="38" spans="9:35" x14ac:dyDescent="0.2">
      <c r="Q38" s="831"/>
      <c r="R38" s="477"/>
      <c r="S38" s="835"/>
      <c r="T38" s="830"/>
    </row>
    <row r="39" spans="9:35" x14ac:dyDescent="0.2">
      <c r="Q39" s="831"/>
      <c r="S39" s="835"/>
      <c r="T39" s="830"/>
    </row>
    <row r="40" spans="9:35" x14ac:dyDescent="0.2">
      <c r="Q40" s="835"/>
      <c r="S40" s="835"/>
      <c r="T40" s="830"/>
    </row>
    <row r="41" spans="9:35" x14ac:dyDescent="0.2">
      <c r="Q41" s="835"/>
      <c r="S41" s="835"/>
      <c r="T41" s="830"/>
    </row>
    <row r="42" spans="9:35" x14ac:dyDescent="0.2">
      <c r="Q42" s="835"/>
      <c r="S42" s="835"/>
      <c r="T42" s="830"/>
    </row>
    <row r="43" spans="9:35" x14ac:dyDescent="0.2">
      <c r="Q43" s="835"/>
      <c r="S43" s="835"/>
      <c r="T43" s="830"/>
    </row>
    <row r="44" spans="9:35" x14ac:dyDescent="0.2">
      <c r="I44" s="457"/>
      <c r="Q44" s="835"/>
      <c r="S44" s="835"/>
      <c r="T44" s="830"/>
    </row>
    <row r="45" spans="9:35" x14ac:dyDescent="0.2">
      <c r="I45" s="344"/>
      <c r="O45" s="344"/>
      <c r="P45" s="346"/>
      <c r="Q45" s="835"/>
      <c r="S45" s="835"/>
      <c r="T45" s="830"/>
    </row>
    <row r="46" spans="9:35" x14ac:dyDescent="0.2">
      <c r="P46" s="336"/>
      <c r="Q46" s="835"/>
      <c r="S46" s="835"/>
      <c r="T46" s="830"/>
    </row>
    <row r="47" spans="9:35" x14ac:dyDescent="0.2">
      <c r="J47" s="346"/>
      <c r="P47" s="456"/>
      <c r="Q47" s="835"/>
      <c r="S47" s="835"/>
      <c r="T47" s="830"/>
    </row>
    <row r="48" spans="9:35" x14ac:dyDescent="0.2">
      <c r="J48" s="336"/>
      <c r="P48" s="456"/>
      <c r="Q48" s="835"/>
      <c r="S48" s="835"/>
      <c r="T48" s="830"/>
    </row>
    <row r="49" spans="6:21" x14ac:dyDescent="0.2">
      <c r="J49" s="456"/>
      <c r="P49" s="537"/>
      <c r="Q49" s="835"/>
      <c r="S49" s="835"/>
      <c r="T49" s="830"/>
    </row>
    <row r="50" spans="6:21" x14ac:dyDescent="0.2">
      <c r="J50" s="456"/>
      <c r="Q50" s="835"/>
      <c r="S50" s="835"/>
      <c r="T50" s="830"/>
    </row>
    <row r="51" spans="6:21" x14ac:dyDescent="0.2">
      <c r="F51" s="477"/>
      <c r="J51" s="832"/>
      <c r="L51" s="477"/>
      <c r="Q51" s="835"/>
      <c r="S51" s="835"/>
      <c r="T51" s="830"/>
    </row>
    <row r="52" spans="6:21" x14ac:dyDescent="0.2">
      <c r="F52" s="477"/>
      <c r="G52" s="477"/>
      <c r="H52" s="537"/>
      <c r="I52" s="980"/>
      <c r="J52" s="831"/>
      <c r="Q52" s="835"/>
      <c r="S52" s="977"/>
      <c r="T52" s="831"/>
    </row>
    <row r="53" spans="6:21" x14ac:dyDescent="0.2">
      <c r="F53" s="844"/>
      <c r="G53" s="844"/>
      <c r="H53" s="844"/>
      <c r="I53" s="844"/>
      <c r="J53" s="844"/>
      <c r="Q53" s="835"/>
      <c r="S53" s="979"/>
      <c r="T53" s="830"/>
    </row>
    <row r="54" spans="6:21" x14ac:dyDescent="0.2">
      <c r="F54" s="477"/>
      <c r="G54" s="477"/>
      <c r="H54" s="477"/>
      <c r="I54" s="833"/>
      <c r="J54" s="978"/>
      <c r="Q54" s="835"/>
      <c r="S54" s="831"/>
      <c r="T54" s="831"/>
    </row>
    <row r="55" spans="6:21" x14ac:dyDescent="0.2">
      <c r="Q55" s="835"/>
      <c r="S55" s="537"/>
      <c r="T55" s="831"/>
    </row>
    <row r="56" spans="6:21" x14ac:dyDescent="0.2">
      <c r="Q56" s="835"/>
      <c r="S56" s="844"/>
      <c r="T56" s="844"/>
    </row>
    <row r="57" spans="6:21" x14ac:dyDescent="0.2">
      <c r="Q57" s="835"/>
      <c r="S57" s="477"/>
      <c r="T57" s="978"/>
      <c r="U57" s="477"/>
    </row>
    <row r="58" spans="6:21" x14ac:dyDescent="0.2">
      <c r="Q58" s="835"/>
      <c r="R58" s="477"/>
    </row>
    <row r="59" spans="6:21" x14ac:dyDescent="0.2">
      <c r="Q59" s="977"/>
    </row>
    <row r="60" spans="6:21" x14ac:dyDescent="0.2">
      <c r="Q60" s="835"/>
      <c r="R60" s="477"/>
    </row>
    <row r="61" spans="6:21" x14ac:dyDescent="0.2">
      <c r="F61" s="477"/>
      <c r="Q61" s="831"/>
      <c r="R61" s="477"/>
    </row>
    <row r="62" spans="6:21" x14ac:dyDescent="0.2">
      <c r="Q62" s="537"/>
      <c r="R62" s="844"/>
    </row>
    <row r="63" spans="6:21" x14ac:dyDescent="0.2">
      <c r="Q63" s="844"/>
      <c r="R63" s="477"/>
    </row>
    <row r="73" spans="6:16" x14ac:dyDescent="0.2">
      <c r="F73" s="1734" t="s">
        <v>656</v>
      </c>
      <c r="G73" s="1735"/>
      <c r="H73" s="1735"/>
      <c r="I73" s="1735"/>
      <c r="J73" s="1735"/>
      <c r="K73" s="1735"/>
      <c r="L73" s="1735"/>
      <c r="M73" s="1735"/>
      <c r="N73" s="1735"/>
      <c r="O73" s="1735"/>
      <c r="P73" s="1735"/>
    </row>
    <row r="74" spans="6:16" ht="13.5" thickBot="1" x14ac:dyDescent="0.25">
      <c r="F74" s="1735"/>
      <c r="G74" s="1735"/>
      <c r="H74" s="1735"/>
      <c r="I74" s="1735"/>
      <c r="J74" s="1735"/>
      <c r="K74" s="1735"/>
      <c r="L74" s="1735"/>
      <c r="M74" s="1735"/>
      <c r="N74" s="1735"/>
      <c r="O74" s="1735"/>
      <c r="P74" s="1735"/>
    </row>
    <row r="75" spans="6:16" ht="15.75" thickBot="1" x14ac:dyDescent="0.3">
      <c r="F75" s="1737" t="s">
        <v>653</v>
      </c>
      <c r="G75" s="1738"/>
      <c r="H75" s="1738"/>
      <c r="I75" s="1738"/>
      <c r="J75" s="1739"/>
      <c r="L75" s="1737" t="s">
        <v>652</v>
      </c>
      <c r="M75" s="1738"/>
      <c r="N75" s="1738"/>
      <c r="O75" s="1738"/>
      <c r="P75" s="1739"/>
    </row>
    <row r="76" spans="6:16" ht="13.5" thickBot="1" x14ac:dyDescent="0.25">
      <c r="F76" s="1098" t="s">
        <v>650</v>
      </c>
      <c r="G76" s="1097">
        <v>13</v>
      </c>
      <c r="H76" s="1096" t="s">
        <v>649</v>
      </c>
      <c r="I76" s="1095">
        <f>AVERAGE('[15]After School_Dy Respt'!F4:F8)</f>
        <v>270.8</v>
      </c>
      <c r="J76" s="1094">
        <f>I76*G76</f>
        <v>3520.4</v>
      </c>
      <c r="K76" s="1055"/>
      <c r="L76" s="1098" t="s">
        <v>650</v>
      </c>
      <c r="M76" s="1097">
        <v>13</v>
      </c>
      <c r="N76" s="1096" t="s">
        <v>649</v>
      </c>
      <c r="O76" s="1095">
        <f>AVERAGE('[15]After School_Dy Respt'!F4:F8)</f>
        <v>270.8</v>
      </c>
      <c r="P76" s="1094">
        <f>O76*M76</f>
        <v>3520.4</v>
      </c>
    </row>
    <row r="77" spans="6:16" x14ac:dyDescent="0.2">
      <c r="F77" s="1092" t="s">
        <v>647</v>
      </c>
      <c r="G77" s="1091"/>
      <c r="H77" s="1090" t="s">
        <v>645</v>
      </c>
      <c r="I77" s="1089" t="s">
        <v>334</v>
      </c>
      <c r="J77" s="1093" t="s">
        <v>459</v>
      </c>
      <c r="K77" s="1055"/>
      <c r="L77" s="1092" t="s">
        <v>646</v>
      </c>
      <c r="M77" s="1091"/>
      <c r="N77" s="1090" t="s">
        <v>645</v>
      </c>
      <c r="O77" s="1089" t="s">
        <v>334</v>
      </c>
      <c r="P77" s="1088" t="s">
        <v>459</v>
      </c>
    </row>
    <row r="78" spans="6:16" x14ac:dyDescent="0.2">
      <c r="F78" s="1028" t="s">
        <v>637</v>
      </c>
      <c r="G78" s="1082"/>
      <c r="H78" s="830">
        <f>C6</f>
        <v>81486.911999999997</v>
      </c>
      <c r="I78" s="457">
        <v>0.6</v>
      </c>
      <c r="J78" s="650">
        <f>H78*I78</f>
        <v>48892.147199999999</v>
      </c>
      <c r="K78" s="1055"/>
      <c r="L78" s="1028" t="s">
        <v>637</v>
      </c>
      <c r="M78" s="1082"/>
      <c r="N78" s="830">
        <f>C6</f>
        <v>81486.911999999997</v>
      </c>
      <c r="O78" s="457">
        <v>0.7</v>
      </c>
      <c r="P78" s="650">
        <f>N78*O78</f>
        <v>57040.838399999993</v>
      </c>
    </row>
    <row r="79" spans="6:16" x14ac:dyDescent="0.2">
      <c r="F79" s="1027" t="s">
        <v>327</v>
      </c>
      <c r="G79" s="1082"/>
      <c r="H79" s="830">
        <f>C8</f>
        <v>46842.432000000008</v>
      </c>
      <c r="I79" s="457">
        <v>2.1</v>
      </c>
      <c r="J79" s="650">
        <f>H79*I79</f>
        <v>98369.107200000028</v>
      </c>
      <c r="K79" s="1055"/>
      <c r="L79" s="1027" t="s">
        <v>327</v>
      </c>
      <c r="M79" s="1082"/>
      <c r="N79" s="830">
        <f>C8</f>
        <v>46842.432000000008</v>
      </c>
      <c r="O79" s="457">
        <v>4.2</v>
      </c>
      <c r="P79" s="650">
        <f>N79*O79</f>
        <v>196738.21440000006</v>
      </c>
    </row>
    <row r="80" spans="6:16" x14ac:dyDescent="0.2">
      <c r="F80" s="730" t="s">
        <v>322</v>
      </c>
      <c r="G80" s="1082"/>
      <c r="H80" s="466">
        <f>C13</f>
        <v>0.24970000000000001</v>
      </c>
      <c r="I80" s="457"/>
      <c r="J80" s="650">
        <f>SUM(J78:J79)*H80</f>
        <v>36771.135223680008</v>
      </c>
      <c r="K80" s="1055"/>
      <c r="L80" s="730" t="s">
        <v>322</v>
      </c>
      <c r="M80" s="1082"/>
      <c r="N80" s="466">
        <f>H80</f>
        <v>0.24970000000000001</v>
      </c>
      <c r="O80" s="457"/>
      <c r="P80" s="650">
        <f>SUM(P78:P79)*N80</f>
        <v>63368.629484160017</v>
      </c>
    </row>
    <row r="81" spans="6:16" x14ac:dyDescent="0.2">
      <c r="F81" s="990" t="s">
        <v>611</v>
      </c>
      <c r="G81" s="477"/>
      <c r="H81" s="466">
        <f>C15</f>
        <v>2.5282070971092779E-2</v>
      </c>
      <c r="I81" s="980"/>
      <c r="J81" s="650">
        <f>SUM(J78:J80)*H81</f>
        <v>4652.719935445677</v>
      </c>
      <c r="K81" s="1055"/>
      <c r="L81" s="990" t="s">
        <v>611</v>
      </c>
      <c r="M81" s="477"/>
      <c r="N81" s="466">
        <f>H81</f>
        <v>2.5282070971092779E-2</v>
      </c>
      <c r="O81" s="980"/>
      <c r="P81" s="650">
        <f>SUM(P78:P80)*N81</f>
        <v>8018.1502118257185</v>
      </c>
    </row>
    <row r="82" spans="6:16" ht="13.5" thickBot="1" x14ac:dyDescent="0.25">
      <c r="F82" s="1014" t="s">
        <v>609</v>
      </c>
      <c r="G82" s="1080"/>
      <c r="H82" s="1079"/>
      <c r="I82" s="1078">
        <f>SUM(I78:I79)</f>
        <v>2.7</v>
      </c>
      <c r="J82" s="1063">
        <f>SUM(J78:J81)</f>
        <v>188685.1095591257</v>
      </c>
      <c r="K82" s="1055"/>
      <c r="L82" s="1014" t="s">
        <v>609</v>
      </c>
      <c r="M82" s="1080"/>
      <c r="N82" s="1079"/>
      <c r="O82" s="1078">
        <f>SUM(O78:O79)</f>
        <v>4.9000000000000004</v>
      </c>
      <c r="P82" s="1063">
        <f>SUM(P78:P81)</f>
        <v>325165.83249598579</v>
      </c>
    </row>
    <row r="83" spans="6:16" ht="13.5" thickTop="1" x14ac:dyDescent="0.2">
      <c r="F83" s="709" t="s">
        <v>579</v>
      </c>
      <c r="G83" s="477"/>
      <c r="H83" s="831"/>
      <c r="I83" s="1075" t="s">
        <v>627</v>
      </c>
      <c r="J83" s="1074"/>
      <c r="K83" s="1055"/>
      <c r="L83" s="709" t="s">
        <v>579</v>
      </c>
      <c r="M83" s="477"/>
      <c r="N83" s="831"/>
      <c r="O83" s="1075" t="s">
        <v>627</v>
      </c>
      <c r="P83" s="1074"/>
    </row>
    <row r="84" spans="6:16" x14ac:dyDescent="0.2">
      <c r="F84" s="709"/>
      <c r="G84" s="477"/>
      <c r="H84" s="831"/>
      <c r="I84" s="1075"/>
      <c r="J84" s="1074"/>
      <c r="K84" s="1055"/>
      <c r="L84" s="709"/>
      <c r="M84" s="477"/>
      <c r="N84" s="831"/>
      <c r="O84" s="457">
        <f>P82/P76</f>
        <v>92.366160804450004</v>
      </c>
      <c r="P84" s="1074"/>
    </row>
    <row r="85" spans="6:16" x14ac:dyDescent="0.2">
      <c r="F85" s="365" t="s">
        <v>607</v>
      </c>
      <c r="I85" s="1065">
        <f>C10</f>
        <v>6392.9174203826224</v>
      </c>
      <c r="J85" s="650">
        <f>I85*I82</f>
        <v>17260.877035033081</v>
      </c>
      <c r="K85" s="1055"/>
      <c r="L85" s="365" t="s">
        <v>607</v>
      </c>
      <c r="N85" s="835"/>
      <c r="O85" s="1065">
        <f>C10</f>
        <v>6392.9174203826224</v>
      </c>
      <c r="P85" s="650">
        <f>O85*O82</f>
        <v>31325.295359874854</v>
      </c>
    </row>
    <row r="86" spans="6:16" x14ac:dyDescent="0.2">
      <c r="F86" s="365" t="str">
        <f>B11</f>
        <v>Other Exp (Program Supplies &amp; Materials)</v>
      </c>
      <c r="H86" s="835"/>
      <c r="I86" s="1065">
        <f>C11</f>
        <v>2947.5899663350119</v>
      </c>
      <c r="J86" s="650">
        <f>I86*I82</f>
        <v>7958.4929091045324</v>
      </c>
      <c r="K86" s="1055"/>
      <c r="L86" s="365" t="str">
        <f>F86</f>
        <v>Other Exp (Program Supplies &amp; Materials)</v>
      </c>
      <c r="N86" s="835"/>
      <c r="O86" s="1065">
        <f>C11</f>
        <v>2947.5899663350119</v>
      </c>
      <c r="P86" s="650">
        <f>O86*O82</f>
        <v>14443.19083504156</v>
      </c>
    </row>
    <row r="87" spans="6:16" x14ac:dyDescent="0.2">
      <c r="F87" s="365" t="s">
        <v>605</v>
      </c>
      <c r="H87" s="835"/>
      <c r="I87" s="1065">
        <f>C12</f>
        <v>1766.2389753369646</v>
      </c>
      <c r="J87" s="650">
        <f>I87*I82</f>
        <v>4768.8452334098047</v>
      </c>
      <c r="K87" s="1055"/>
      <c r="L87" s="365" t="s">
        <v>605</v>
      </c>
      <c r="N87" s="835"/>
      <c r="O87" s="1065">
        <f>C12</f>
        <v>1766.2389753369646</v>
      </c>
      <c r="P87" s="650">
        <f>O87*O82</f>
        <v>8654.5709791511272</v>
      </c>
    </row>
    <row r="88" spans="6:16" ht="26.25" thickBot="1" x14ac:dyDescent="0.25">
      <c r="F88" s="995" t="s">
        <v>491</v>
      </c>
      <c r="G88" s="994"/>
      <c r="H88" s="1064"/>
      <c r="I88" s="994"/>
      <c r="J88" s="1063">
        <f>SUM(J82:J87)</f>
        <v>218673.32473667312</v>
      </c>
      <c r="K88" s="1055"/>
      <c r="L88" s="995" t="s">
        <v>491</v>
      </c>
      <c r="M88" s="994"/>
      <c r="N88" s="1064"/>
      <c r="O88" s="994"/>
      <c r="P88" s="1063">
        <f>SUM(P82:P87)</f>
        <v>379588.88967005332</v>
      </c>
    </row>
    <row r="89" spans="6:16" ht="13.5" thickTop="1" x14ac:dyDescent="0.2">
      <c r="F89" s="365" t="s">
        <v>570</v>
      </c>
      <c r="H89" s="836">
        <f>C14</f>
        <v>0.12</v>
      </c>
      <c r="I89" s="457"/>
      <c r="J89" s="650">
        <f>(J88-J81)*H89</f>
        <v>25682.472576147295</v>
      </c>
      <c r="K89" s="1055"/>
      <c r="L89" s="365" t="s">
        <v>570</v>
      </c>
      <c r="N89" s="836">
        <f>C14</f>
        <v>0.12</v>
      </c>
      <c r="O89" s="457"/>
      <c r="P89" s="650">
        <f>(P88-P81)*N89</f>
        <v>44588.48873498731</v>
      </c>
    </row>
    <row r="90" spans="6:16" x14ac:dyDescent="0.2">
      <c r="F90" s="990" t="s">
        <v>569</v>
      </c>
      <c r="H90" s="836">
        <f>C15</f>
        <v>2.5282070971092779E-2</v>
      </c>
      <c r="I90" s="1062"/>
      <c r="J90" s="650">
        <f>SUM(J85:J87)*H90</f>
        <v>758.16418441515555</v>
      </c>
      <c r="K90" s="1055"/>
      <c r="L90" s="990" t="s">
        <v>569</v>
      </c>
      <c r="N90" s="836">
        <f>C15</f>
        <v>2.5282070971092779E-2</v>
      </c>
      <c r="O90" s="1062"/>
      <c r="P90" s="650">
        <f>SUM(P85:P87)*N90</f>
        <v>1375.9275939386155</v>
      </c>
    </row>
    <row r="91" spans="6:16" ht="13.5" thickBot="1" x14ac:dyDescent="0.25">
      <c r="F91" s="482" t="s">
        <v>620</v>
      </c>
      <c r="G91" s="1059"/>
      <c r="H91" s="1058"/>
      <c r="I91" s="1057"/>
      <c r="J91" s="1056">
        <f>SUM(J88:J90)</f>
        <v>245113.96149723558</v>
      </c>
      <c r="K91" s="1055"/>
      <c r="L91" s="482" t="s">
        <v>620</v>
      </c>
      <c r="M91" s="1059"/>
      <c r="N91" s="1058"/>
      <c r="O91" s="1057"/>
      <c r="P91" s="1056">
        <f>SUM(P88:P90)</f>
        <v>425553.30599897925</v>
      </c>
    </row>
    <row r="92" spans="6:16" ht="14.25" thickTop="1" thickBot="1" x14ac:dyDescent="0.25">
      <c r="F92" s="1054" t="s">
        <v>618</v>
      </c>
      <c r="G92" s="1053"/>
      <c r="H92" s="1053"/>
      <c r="I92" s="1053"/>
      <c r="J92" s="1052">
        <f>J91/J76</f>
        <v>69.626736023530157</v>
      </c>
      <c r="K92" s="1055"/>
      <c r="L92" s="1054" t="s">
        <v>618</v>
      </c>
      <c r="M92" s="1053"/>
      <c r="N92" s="1053"/>
      <c r="O92" s="1053"/>
      <c r="P92" s="1052">
        <f>P91/P76</f>
        <v>120.88208896687287</v>
      </c>
    </row>
    <row r="93" spans="6:16" x14ac:dyDescent="0.2">
      <c r="F93" s="1019"/>
      <c r="G93" s="1051"/>
      <c r="H93" s="1020"/>
      <c r="I93" s="1050" t="s">
        <v>617</v>
      </c>
      <c r="J93" s="346">
        <v>53.52</v>
      </c>
      <c r="O93" s="340" t="s">
        <v>617</v>
      </c>
      <c r="P93" s="651">
        <v>91.8</v>
      </c>
    </row>
    <row r="94" spans="6:16" x14ac:dyDescent="0.2">
      <c r="I94" s="340" t="s">
        <v>602</v>
      </c>
      <c r="J94" s="336">
        <f>(J92-J93)/J93</f>
        <v>0.30094798250243188</v>
      </c>
      <c r="O94" s="340" t="s">
        <v>602</v>
      </c>
      <c r="P94" s="458">
        <f>(P92-P93)/P93</f>
        <v>0.31679835475896378</v>
      </c>
    </row>
  </sheetData>
  <mergeCells count="10">
    <mergeCell ref="G1:L2"/>
    <mergeCell ref="AC5:AJ5"/>
    <mergeCell ref="B9:D9"/>
    <mergeCell ref="F73:P74"/>
    <mergeCell ref="F75:J75"/>
    <mergeCell ref="L75:P75"/>
    <mergeCell ref="F3:O4"/>
    <mergeCell ref="B4:D4"/>
    <mergeCell ref="B5:D5"/>
    <mergeCell ref="I26:L28"/>
  </mergeCells>
  <pageMargins left="0.25" right="0.25" top="0.75" bottom="0.75" header="0.3" footer="0.3"/>
  <pageSetup scale="35" orientation="landscape" r:id="rId1"/>
  <colBreaks count="1" manualBreakCount="1">
    <brk id="3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FED48-8C47-433D-8AED-AAAA729C0456}">
  <sheetPr>
    <pageSetUpPr fitToPage="1"/>
  </sheetPr>
  <dimension ref="B1:AU202"/>
  <sheetViews>
    <sheetView zoomScale="90" zoomScaleNormal="90" workbookViewId="0">
      <selection activeCell="I50" sqref="I50"/>
    </sheetView>
  </sheetViews>
  <sheetFormatPr defaultRowHeight="12.75" x14ac:dyDescent="0.2"/>
  <cols>
    <col min="1" max="1" width="4.5703125" style="340" customWidth="1"/>
    <col min="2" max="2" width="10.140625" style="340" bestFit="1" customWidth="1"/>
    <col min="3" max="3" width="12.140625" style="340" customWidth="1"/>
    <col min="4" max="4" width="13.42578125" style="340" customWidth="1"/>
    <col min="5" max="5" width="9.140625" style="340" customWidth="1"/>
    <col min="6" max="6" width="9.140625" style="340"/>
    <col min="7" max="7" width="4.5703125" style="340" customWidth="1"/>
    <col min="8" max="8" width="33.140625" style="340" customWidth="1"/>
    <col min="9" max="9" width="12.140625" style="340" bestFit="1" customWidth="1"/>
    <col min="10" max="10" width="10.28515625" style="340" bestFit="1" customWidth="1"/>
    <col min="11" max="11" width="10.5703125" style="340" customWidth="1"/>
    <col min="12" max="12" width="9.140625" style="340"/>
    <col min="13" max="13" width="33.140625" style="340" customWidth="1"/>
    <col min="14" max="14" width="12.140625" style="340" bestFit="1" customWidth="1"/>
    <col min="15" max="15" width="10.28515625" style="340" bestFit="1" customWidth="1"/>
    <col min="16" max="16" width="11" style="340" customWidth="1"/>
    <col min="17" max="17" width="9.28515625" style="340" customWidth="1"/>
    <col min="18" max="18" width="34.7109375" style="340" customWidth="1"/>
    <col min="19" max="19" width="12.140625" style="340" bestFit="1" customWidth="1"/>
    <col min="20" max="22" width="11" style="340" customWidth="1"/>
    <col min="23" max="23" width="33" style="340" customWidth="1"/>
    <col min="24" max="27" width="11" style="340" customWidth="1"/>
    <col min="28" max="28" width="34.140625" style="340" customWidth="1"/>
    <col min="29" max="29" width="12.140625" style="340" bestFit="1" customWidth="1"/>
    <col min="30" max="32" width="11" style="340" customWidth="1"/>
    <col min="33" max="33" width="32.7109375" style="340" customWidth="1"/>
    <col min="34" max="37" width="11" style="340" customWidth="1"/>
    <col min="38" max="38" width="32.5703125" style="340" customWidth="1"/>
    <col min="39" max="42" width="11" style="340" customWidth="1"/>
    <col min="43" max="43" width="32.5703125" style="340" customWidth="1"/>
    <col min="44" max="46" width="11" style="340" customWidth="1"/>
    <col min="47" max="47" width="9.85546875" style="340" customWidth="1"/>
    <col min="48" max="48" width="11.5703125" style="340" customWidth="1"/>
    <col min="49" max="267" width="9.140625" style="340"/>
    <col min="268" max="268" width="22.140625" style="340" bestFit="1" customWidth="1"/>
    <col min="269" max="269" width="6.85546875" style="340" customWidth="1"/>
    <col min="270" max="270" width="7.140625" style="340" customWidth="1"/>
    <col min="271" max="271" width="10.42578125" style="340" customWidth="1"/>
    <col min="272" max="276" width="9.140625" style="340"/>
    <col min="277" max="277" width="22.140625" style="340" bestFit="1" customWidth="1"/>
    <col min="278" max="278" width="5.140625" style="340" bestFit="1" customWidth="1"/>
    <col min="279" max="279" width="7.140625" style="340" customWidth="1"/>
    <col min="280" max="280" width="11.42578125" style="340" customWidth="1"/>
    <col min="281" max="283" width="9.140625" style="340"/>
    <col min="284" max="284" width="9.85546875" style="340" customWidth="1"/>
    <col min="285" max="285" width="9.140625" style="340"/>
    <col min="286" max="286" width="22.28515625" style="340" customWidth="1"/>
    <col min="287" max="287" width="5.140625" style="340" bestFit="1" customWidth="1"/>
    <col min="288" max="288" width="6.85546875" style="340" customWidth="1"/>
    <col min="289" max="289" width="8.140625" style="340" bestFit="1" customWidth="1"/>
    <col min="290" max="290" width="9.140625" style="340"/>
    <col min="291" max="291" width="9.42578125" style="340" bestFit="1" customWidth="1"/>
    <col min="292" max="292" width="9.140625" style="340"/>
    <col min="293" max="293" width="10.5703125" style="340" customWidth="1"/>
    <col min="294" max="294" width="9.140625" style="340"/>
    <col min="295" max="295" width="22.140625" style="340" bestFit="1" customWidth="1"/>
    <col min="296" max="301" width="9.140625" style="340"/>
    <col min="302" max="302" width="38.7109375" style="340" customWidth="1"/>
    <col min="303" max="303" width="28" style="340" bestFit="1" customWidth="1"/>
    <col min="304" max="304" width="11.5703125" style="340" customWidth="1"/>
    <col min="305" max="523" width="9.140625" style="340"/>
    <col min="524" max="524" width="22.140625" style="340" bestFit="1" customWidth="1"/>
    <col min="525" max="525" width="6.85546875" style="340" customWidth="1"/>
    <col min="526" max="526" width="7.140625" style="340" customWidth="1"/>
    <col min="527" max="527" width="10.42578125" style="340" customWidth="1"/>
    <col min="528" max="532" width="9.140625" style="340"/>
    <col min="533" max="533" width="22.140625" style="340" bestFit="1" customWidth="1"/>
    <col min="534" max="534" width="5.140625" style="340" bestFit="1" customWidth="1"/>
    <col min="535" max="535" width="7.140625" style="340" customWidth="1"/>
    <col min="536" max="536" width="11.42578125" style="340" customWidth="1"/>
    <col min="537" max="539" width="9.140625" style="340"/>
    <col min="540" max="540" width="9.85546875" style="340" customWidth="1"/>
    <col min="541" max="541" width="9.140625" style="340"/>
    <col min="542" max="542" width="22.28515625" style="340" customWidth="1"/>
    <col min="543" max="543" width="5.140625" style="340" bestFit="1" customWidth="1"/>
    <col min="544" max="544" width="6.85546875" style="340" customWidth="1"/>
    <col min="545" max="545" width="8.140625" style="340" bestFit="1" customWidth="1"/>
    <col min="546" max="546" width="9.140625" style="340"/>
    <col min="547" max="547" width="9.42578125" style="340" bestFit="1" customWidth="1"/>
    <col min="548" max="548" width="9.140625" style="340"/>
    <col min="549" max="549" width="10.5703125" style="340" customWidth="1"/>
    <col min="550" max="550" width="9.140625" style="340"/>
    <col min="551" max="551" width="22.140625" style="340" bestFit="1" customWidth="1"/>
    <col min="552" max="557" width="9.140625" style="340"/>
    <col min="558" max="558" width="38.7109375" style="340" customWidth="1"/>
    <col min="559" max="559" width="28" style="340" bestFit="1" customWidth="1"/>
    <col min="560" max="560" width="11.5703125" style="340" customWidth="1"/>
    <col min="561" max="779" width="9.140625" style="340"/>
    <col min="780" max="780" width="22.140625" style="340" bestFit="1" customWidth="1"/>
    <col min="781" max="781" width="6.85546875" style="340" customWidth="1"/>
    <col min="782" max="782" width="7.140625" style="340" customWidth="1"/>
    <col min="783" max="783" width="10.42578125" style="340" customWidth="1"/>
    <col min="784" max="788" width="9.140625" style="340"/>
    <col min="789" max="789" width="22.140625" style="340" bestFit="1" customWidth="1"/>
    <col min="790" max="790" width="5.140625" style="340" bestFit="1" customWidth="1"/>
    <col min="791" max="791" width="7.140625" style="340" customWidth="1"/>
    <col min="792" max="792" width="11.42578125" style="340" customWidth="1"/>
    <col min="793" max="795" width="9.140625" style="340"/>
    <col min="796" max="796" width="9.85546875" style="340" customWidth="1"/>
    <col min="797" max="797" width="9.140625" style="340"/>
    <col min="798" max="798" width="22.28515625" style="340" customWidth="1"/>
    <col min="799" max="799" width="5.140625" style="340" bestFit="1" customWidth="1"/>
    <col min="800" max="800" width="6.85546875" style="340" customWidth="1"/>
    <col min="801" max="801" width="8.140625" style="340" bestFit="1" customWidth="1"/>
    <col min="802" max="802" width="9.140625" style="340"/>
    <col min="803" max="803" width="9.42578125" style="340" bestFit="1" customWidth="1"/>
    <col min="804" max="804" width="9.140625" style="340"/>
    <col min="805" max="805" width="10.5703125" style="340" customWidth="1"/>
    <col min="806" max="806" width="9.140625" style="340"/>
    <col min="807" max="807" width="22.140625" style="340" bestFit="1" customWidth="1"/>
    <col min="808" max="813" width="9.140625" style="340"/>
    <col min="814" max="814" width="38.7109375" style="340" customWidth="1"/>
    <col min="815" max="815" width="28" style="340" bestFit="1" customWidth="1"/>
    <col min="816" max="816" width="11.5703125" style="340" customWidth="1"/>
    <col min="817" max="1035" width="9.140625" style="340"/>
    <col min="1036" max="1036" width="22.140625" style="340" bestFit="1" customWidth="1"/>
    <col min="1037" max="1037" width="6.85546875" style="340" customWidth="1"/>
    <col min="1038" max="1038" width="7.140625" style="340" customWidth="1"/>
    <col min="1039" max="1039" width="10.42578125" style="340" customWidth="1"/>
    <col min="1040" max="1044" width="9.140625" style="340"/>
    <col min="1045" max="1045" width="22.140625" style="340" bestFit="1" customWidth="1"/>
    <col min="1046" max="1046" width="5.140625" style="340" bestFit="1" customWidth="1"/>
    <col min="1047" max="1047" width="7.140625" style="340" customWidth="1"/>
    <col min="1048" max="1048" width="11.42578125" style="340" customWidth="1"/>
    <col min="1049" max="1051" width="9.140625" style="340"/>
    <col min="1052" max="1052" width="9.85546875" style="340" customWidth="1"/>
    <col min="1053" max="1053" width="9.140625" style="340"/>
    <col min="1054" max="1054" width="22.28515625" style="340" customWidth="1"/>
    <col min="1055" max="1055" width="5.140625" style="340" bestFit="1" customWidth="1"/>
    <col min="1056" max="1056" width="6.85546875" style="340" customWidth="1"/>
    <col min="1057" max="1057" width="8.140625" style="340" bestFit="1" customWidth="1"/>
    <col min="1058" max="1058" width="9.140625" style="340"/>
    <col min="1059" max="1059" width="9.42578125" style="340" bestFit="1" customWidth="1"/>
    <col min="1060" max="1060" width="9.140625" style="340"/>
    <col min="1061" max="1061" width="10.5703125" style="340" customWidth="1"/>
    <col min="1062" max="1062" width="9.140625" style="340"/>
    <col min="1063" max="1063" width="22.140625" style="340" bestFit="1" customWidth="1"/>
    <col min="1064" max="1069" width="9.140625" style="340"/>
    <col min="1070" max="1070" width="38.7109375" style="340" customWidth="1"/>
    <col min="1071" max="1071" width="28" style="340" bestFit="1" customWidth="1"/>
    <col min="1072" max="1072" width="11.5703125" style="340" customWidth="1"/>
    <col min="1073" max="1291" width="9.140625" style="340"/>
    <col min="1292" max="1292" width="22.140625" style="340" bestFit="1" customWidth="1"/>
    <col min="1293" max="1293" width="6.85546875" style="340" customWidth="1"/>
    <col min="1294" max="1294" width="7.140625" style="340" customWidth="1"/>
    <col min="1295" max="1295" width="10.42578125" style="340" customWidth="1"/>
    <col min="1296" max="1300" width="9.140625" style="340"/>
    <col min="1301" max="1301" width="22.140625" style="340" bestFit="1" customWidth="1"/>
    <col min="1302" max="1302" width="5.140625" style="340" bestFit="1" customWidth="1"/>
    <col min="1303" max="1303" width="7.140625" style="340" customWidth="1"/>
    <col min="1304" max="1304" width="11.42578125" style="340" customWidth="1"/>
    <col min="1305" max="1307" width="9.140625" style="340"/>
    <col min="1308" max="1308" width="9.85546875" style="340" customWidth="1"/>
    <col min="1309" max="1309" width="9.140625" style="340"/>
    <col min="1310" max="1310" width="22.28515625" style="340" customWidth="1"/>
    <col min="1311" max="1311" width="5.140625" style="340" bestFit="1" customWidth="1"/>
    <col min="1312" max="1312" width="6.85546875" style="340" customWidth="1"/>
    <col min="1313" max="1313" width="8.140625" style="340" bestFit="1" customWidth="1"/>
    <col min="1314" max="1314" width="9.140625" style="340"/>
    <col min="1315" max="1315" width="9.42578125" style="340" bestFit="1" customWidth="1"/>
    <col min="1316" max="1316" width="9.140625" style="340"/>
    <col min="1317" max="1317" width="10.5703125" style="340" customWidth="1"/>
    <col min="1318" max="1318" width="9.140625" style="340"/>
    <col min="1319" max="1319" width="22.140625" style="340" bestFit="1" customWidth="1"/>
    <col min="1320" max="1325" width="9.140625" style="340"/>
    <col min="1326" max="1326" width="38.7109375" style="340" customWidth="1"/>
    <col min="1327" max="1327" width="28" style="340" bestFit="1" customWidth="1"/>
    <col min="1328" max="1328" width="11.5703125" style="340" customWidth="1"/>
    <col min="1329" max="1547" width="9.140625" style="340"/>
    <col min="1548" max="1548" width="22.140625" style="340" bestFit="1" customWidth="1"/>
    <col min="1549" max="1549" width="6.85546875" style="340" customWidth="1"/>
    <col min="1550" max="1550" width="7.140625" style="340" customWidth="1"/>
    <col min="1551" max="1551" width="10.42578125" style="340" customWidth="1"/>
    <col min="1552" max="1556" width="9.140625" style="340"/>
    <col min="1557" max="1557" width="22.140625" style="340" bestFit="1" customWidth="1"/>
    <col min="1558" max="1558" width="5.140625" style="340" bestFit="1" customWidth="1"/>
    <col min="1559" max="1559" width="7.140625" style="340" customWidth="1"/>
    <col min="1560" max="1560" width="11.42578125" style="340" customWidth="1"/>
    <col min="1561" max="1563" width="9.140625" style="340"/>
    <col min="1564" max="1564" width="9.85546875" style="340" customWidth="1"/>
    <col min="1565" max="1565" width="9.140625" style="340"/>
    <col min="1566" max="1566" width="22.28515625" style="340" customWidth="1"/>
    <col min="1567" max="1567" width="5.140625" style="340" bestFit="1" customWidth="1"/>
    <col min="1568" max="1568" width="6.85546875" style="340" customWidth="1"/>
    <col min="1569" max="1569" width="8.140625" style="340" bestFit="1" customWidth="1"/>
    <col min="1570" max="1570" width="9.140625" style="340"/>
    <col min="1571" max="1571" width="9.42578125" style="340" bestFit="1" customWidth="1"/>
    <col min="1572" max="1572" width="9.140625" style="340"/>
    <col min="1573" max="1573" width="10.5703125" style="340" customWidth="1"/>
    <col min="1574" max="1574" width="9.140625" style="340"/>
    <col min="1575" max="1575" width="22.140625" style="340" bestFit="1" customWidth="1"/>
    <col min="1576" max="1581" width="9.140625" style="340"/>
    <col min="1582" max="1582" width="38.7109375" style="340" customWidth="1"/>
    <col min="1583" max="1583" width="28" style="340" bestFit="1" customWidth="1"/>
    <col min="1584" max="1584" width="11.5703125" style="340" customWidth="1"/>
    <col min="1585" max="1803" width="9.140625" style="340"/>
    <col min="1804" max="1804" width="22.140625" style="340" bestFit="1" customWidth="1"/>
    <col min="1805" max="1805" width="6.85546875" style="340" customWidth="1"/>
    <col min="1806" max="1806" width="7.140625" style="340" customWidth="1"/>
    <col min="1807" max="1807" width="10.42578125" style="340" customWidth="1"/>
    <col min="1808" max="1812" width="9.140625" style="340"/>
    <col min="1813" max="1813" width="22.140625" style="340" bestFit="1" customWidth="1"/>
    <col min="1814" max="1814" width="5.140625" style="340" bestFit="1" customWidth="1"/>
    <col min="1815" max="1815" width="7.140625" style="340" customWidth="1"/>
    <col min="1816" max="1816" width="11.42578125" style="340" customWidth="1"/>
    <col min="1817" max="1819" width="9.140625" style="340"/>
    <col min="1820" max="1820" width="9.85546875" style="340" customWidth="1"/>
    <col min="1821" max="1821" width="9.140625" style="340"/>
    <col min="1822" max="1822" width="22.28515625" style="340" customWidth="1"/>
    <col min="1823" max="1823" width="5.140625" style="340" bestFit="1" customWidth="1"/>
    <col min="1824" max="1824" width="6.85546875" style="340" customWidth="1"/>
    <col min="1825" max="1825" width="8.140625" style="340" bestFit="1" customWidth="1"/>
    <col min="1826" max="1826" width="9.140625" style="340"/>
    <col min="1827" max="1827" width="9.42578125" style="340" bestFit="1" customWidth="1"/>
    <col min="1828" max="1828" width="9.140625" style="340"/>
    <col min="1829" max="1829" width="10.5703125" style="340" customWidth="1"/>
    <col min="1830" max="1830" width="9.140625" style="340"/>
    <col min="1831" max="1831" width="22.140625" style="340" bestFit="1" customWidth="1"/>
    <col min="1832" max="1837" width="9.140625" style="340"/>
    <col min="1838" max="1838" width="38.7109375" style="340" customWidth="1"/>
    <col min="1839" max="1839" width="28" style="340" bestFit="1" customWidth="1"/>
    <col min="1840" max="1840" width="11.5703125" style="340" customWidth="1"/>
    <col min="1841" max="2059" width="9.140625" style="340"/>
    <col min="2060" max="2060" width="22.140625" style="340" bestFit="1" customWidth="1"/>
    <col min="2061" max="2061" width="6.85546875" style="340" customWidth="1"/>
    <col min="2062" max="2062" width="7.140625" style="340" customWidth="1"/>
    <col min="2063" max="2063" width="10.42578125" style="340" customWidth="1"/>
    <col min="2064" max="2068" width="9.140625" style="340"/>
    <col min="2069" max="2069" width="22.140625" style="340" bestFit="1" customWidth="1"/>
    <col min="2070" max="2070" width="5.140625" style="340" bestFit="1" customWidth="1"/>
    <col min="2071" max="2071" width="7.140625" style="340" customWidth="1"/>
    <col min="2072" max="2072" width="11.42578125" style="340" customWidth="1"/>
    <col min="2073" max="2075" width="9.140625" style="340"/>
    <col min="2076" max="2076" width="9.85546875" style="340" customWidth="1"/>
    <col min="2077" max="2077" width="9.140625" style="340"/>
    <col min="2078" max="2078" width="22.28515625" style="340" customWidth="1"/>
    <col min="2079" max="2079" width="5.140625" style="340" bestFit="1" customWidth="1"/>
    <col min="2080" max="2080" width="6.85546875" style="340" customWidth="1"/>
    <col min="2081" max="2081" width="8.140625" style="340" bestFit="1" customWidth="1"/>
    <col min="2082" max="2082" width="9.140625" style="340"/>
    <col min="2083" max="2083" width="9.42578125" style="340" bestFit="1" customWidth="1"/>
    <col min="2084" max="2084" width="9.140625" style="340"/>
    <col min="2085" max="2085" width="10.5703125" style="340" customWidth="1"/>
    <col min="2086" max="2086" width="9.140625" style="340"/>
    <col min="2087" max="2087" width="22.140625" style="340" bestFit="1" customWidth="1"/>
    <col min="2088" max="2093" width="9.140625" style="340"/>
    <col min="2094" max="2094" width="38.7109375" style="340" customWidth="1"/>
    <col min="2095" max="2095" width="28" style="340" bestFit="1" customWidth="1"/>
    <col min="2096" max="2096" width="11.5703125" style="340" customWidth="1"/>
    <col min="2097" max="2315" width="9.140625" style="340"/>
    <col min="2316" max="2316" width="22.140625" style="340" bestFit="1" customWidth="1"/>
    <col min="2317" max="2317" width="6.85546875" style="340" customWidth="1"/>
    <col min="2318" max="2318" width="7.140625" style="340" customWidth="1"/>
    <col min="2319" max="2319" width="10.42578125" style="340" customWidth="1"/>
    <col min="2320" max="2324" width="9.140625" style="340"/>
    <col min="2325" max="2325" width="22.140625" style="340" bestFit="1" customWidth="1"/>
    <col min="2326" max="2326" width="5.140625" style="340" bestFit="1" customWidth="1"/>
    <col min="2327" max="2327" width="7.140625" style="340" customWidth="1"/>
    <col min="2328" max="2328" width="11.42578125" style="340" customWidth="1"/>
    <col min="2329" max="2331" width="9.140625" style="340"/>
    <col min="2332" max="2332" width="9.85546875" style="340" customWidth="1"/>
    <col min="2333" max="2333" width="9.140625" style="340"/>
    <col min="2334" max="2334" width="22.28515625" style="340" customWidth="1"/>
    <col min="2335" max="2335" width="5.140625" style="340" bestFit="1" customWidth="1"/>
    <col min="2336" max="2336" width="6.85546875" style="340" customWidth="1"/>
    <col min="2337" max="2337" width="8.140625" style="340" bestFit="1" customWidth="1"/>
    <col min="2338" max="2338" width="9.140625" style="340"/>
    <col min="2339" max="2339" width="9.42578125" style="340" bestFit="1" customWidth="1"/>
    <col min="2340" max="2340" width="9.140625" style="340"/>
    <col min="2341" max="2341" width="10.5703125" style="340" customWidth="1"/>
    <col min="2342" max="2342" width="9.140625" style="340"/>
    <col min="2343" max="2343" width="22.140625" style="340" bestFit="1" customWidth="1"/>
    <col min="2344" max="2349" width="9.140625" style="340"/>
    <col min="2350" max="2350" width="38.7109375" style="340" customWidth="1"/>
    <col min="2351" max="2351" width="28" style="340" bestFit="1" customWidth="1"/>
    <col min="2352" max="2352" width="11.5703125" style="340" customWidth="1"/>
    <col min="2353" max="2571" width="9.140625" style="340"/>
    <col min="2572" max="2572" width="22.140625" style="340" bestFit="1" customWidth="1"/>
    <col min="2573" max="2573" width="6.85546875" style="340" customWidth="1"/>
    <col min="2574" max="2574" width="7.140625" style="340" customWidth="1"/>
    <col min="2575" max="2575" width="10.42578125" style="340" customWidth="1"/>
    <col min="2576" max="2580" width="9.140625" style="340"/>
    <col min="2581" max="2581" width="22.140625" style="340" bestFit="1" customWidth="1"/>
    <col min="2582" max="2582" width="5.140625" style="340" bestFit="1" customWidth="1"/>
    <col min="2583" max="2583" width="7.140625" style="340" customWidth="1"/>
    <col min="2584" max="2584" width="11.42578125" style="340" customWidth="1"/>
    <col min="2585" max="2587" width="9.140625" style="340"/>
    <col min="2588" max="2588" width="9.85546875" style="340" customWidth="1"/>
    <col min="2589" max="2589" width="9.140625" style="340"/>
    <col min="2590" max="2590" width="22.28515625" style="340" customWidth="1"/>
    <col min="2591" max="2591" width="5.140625" style="340" bestFit="1" customWidth="1"/>
    <col min="2592" max="2592" width="6.85546875" style="340" customWidth="1"/>
    <col min="2593" max="2593" width="8.140625" style="340" bestFit="1" customWidth="1"/>
    <col min="2594" max="2594" width="9.140625" style="340"/>
    <col min="2595" max="2595" width="9.42578125" style="340" bestFit="1" customWidth="1"/>
    <col min="2596" max="2596" width="9.140625" style="340"/>
    <col min="2597" max="2597" width="10.5703125" style="340" customWidth="1"/>
    <col min="2598" max="2598" width="9.140625" style="340"/>
    <col min="2599" max="2599" width="22.140625" style="340" bestFit="1" customWidth="1"/>
    <col min="2600" max="2605" width="9.140625" style="340"/>
    <col min="2606" max="2606" width="38.7109375" style="340" customWidth="1"/>
    <col min="2607" max="2607" width="28" style="340" bestFit="1" customWidth="1"/>
    <col min="2608" max="2608" width="11.5703125" style="340" customWidth="1"/>
    <col min="2609" max="2827" width="9.140625" style="340"/>
    <col min="2828" max="2828" width="22.140625" style="340" bestFit="1" customWidth="1"/>
    <col min="2829" max="2829" width="6.85546875" style="340" customWidth="1"/>
    <col min="2830" max="2830" width="7.140625" style="340" customWidth="1"/>
    <col min="2831" max="2831" width="10.42578125" style="340" customWidth="1"/>
    <col min="2832" max="2836" width="9.140625" style="340"/>
    <col min="2837" max="2837" width="22.140625" style="340" bestFit="1" customWidth="1"/>
    <col min="2838" max="2838" width="5.140625" style="340" bestFit="1" customWidth="1"/>
    <col min="2839" max="2839" width="7.140625" style="340" customWidth="1"/>
    <col min="2840" max="2840" width="11.42578125" style="340" customWidth="1"/>
    <col min="2841" max="2843" width="9.140625" style="340"/>
    <col min="2844" max="2844" width="9.85546875" style="340" customWidth="1"/>
    <col min="2845" max="2845" width="9.140625" style="340"/>
    <col min="2846" max="2846" width="22.28515625" style="340" customWidth="1"/>
    <col min="2847" max="2847" width="5.140625" style="340" bestFit="1" customWidth="1"/>
    <col min="2848" max="2848" width="6.85546875" style="340" customWidth="1"/>
    <col min="2849" max="2849" width="8.140625" style="340" bestFit="1" customWidth="1"/>
    <col min="2850" max="2850" width="9.140625" style="340"/>
    <col min="2851" max="2851" width="9.42578125" style="340" bestFit="1" customWidth="1"/>
    <col min="2852" max="2852" width="9.140625" style="340"/>
    <col min="2853" max="2853" width="10.5703125" style="340" customWidth="1"/>
    <col min="2854" max="2854" width="9.140625" style="340"/>
    <col min="2855" max="2855" width="22.140625" style="340" bestFit="1" customWidth="1"/>
    <col min="2856" max="2861" width="9.140625" style="340"/>
    <col min="2862" max="2862" width="38.7109375" style="340" customWidth="1"/>
    <col min="2863" max="2863" width="28" style="340" bestFit="1" customWidth="1"/>
    <col min="2864" max="2864" width="11.5703125" style="340" customWidth="1"/>
    <col min="2865" max="3083" width="9.140625" style="340"/>
    <col min="3084" max="3084" width="22.140625" style="340" bestFit="1" customWidth="1"/>
    <col min="3085" max="3085" width="6.85546875" style="340" customWidth="1"/>
    <col min="3086" max="3086" width="7.140625" style="340" customWidth="1"/>
    <col min="3087" max="3087" width="10.42578125" style="340" customWidth="1"/>
    <col min="3088" max="3092" width="9.140625" style="340"/>
    <col min="3093" max="3093" width="22.140625" style="340" bestFit="1" customWidth="1"/>
    <col min="3094" max="3094" width="5.140625" style="340" bestFit="1" customWidth="1"/>
    <col min="3095" max="3095" width="7.140625" style="340" customWidth="1"/>
    <col min="3096" max="3096" width="11.42578125" style="340" customWidth="1"/>
    <col min="3097" max="3099" width="9.140625" style="340"/>
    <col min="3100" max="3100" width="9.85546875" style="340" customWidth="1"/>
    <col min="3101" max="3101" width="9.140625" style="340"/>
    <col min="3102" max="3102" width="22.28515625" style="340" customWidth="1"/>
    <col min="3103" max="3103" width="5.140625" style="340" bestFit="1" customWidth="1"/>
    <col min="3104" max="3104" width="6.85546875" style="340" customWidth="1"/>
    <col min="3105" max="3105" width="8.140625" style="340" bestFit="1" customWidth="1"/>
    <col min="3106" max="3106" width="9.140625" style="340"/>
    <col min="3107" max="3107" width="9.42578125" style="340" bestFit="1" customWidth="1"/>
    <col min="3108" max="3108" width="9.140625" style="340"/>
    <col min="3109" max="3109" width="10.5703125" style="340" customWidth="1"/>
    <col min="3110" max="3110" width="9.140625" style="340"/>
    <col min="3111" max="3111" width="22.140625" style="340" bestFit="1" customWidth="1"/>
    <col min="3112" max="3117" width="9.140625" style="340"/>
    <col min="3118" max="3118" width="38.7109375" style="340" customWidth="1"/>
    <col min="3119" max="3119" width="28" style="340" bestFit="1" customWidth="1"/>
    <col min="3120" max="3120" width="11.5703125" style="340" customWidth="1"/>
    <col min="3121" max="3339" width="9.140625" style="340"/>
    <col min="3340" max="3340" width="22.140625" style="340" bestFit="1" customWidth="1"/>
    <col min="3341" max="3341" width="6.85546875" style="340" customWidth="1"/>
    <col min="3342" max="3342" width="7.140625" style="340" customWidth="1"/>
    <col min="3343" max="3343" width="10.42578125" style="340" customWidth="1"/>
    <col min="3344" max="3348" width="9.140625" style="340"/>
    <col min="3349" max="3349" width="22.140625" style="340" bestFit="1" customWidth="1"/>
    <col min="3350" max="3350" width="5.140625" style="340" bestFit="1" customWidth="1"/>
    <col min="3351" max="3351" width="7.140625" style="340" customWidth="1"/>
    <col min="3352" max="3352" width="11.42578125" style="340" customWidth="1"/>
    <col min="3353" max="3355" width="9.140625" style="340"/>
    <col min="3356" max="3356" width="9.85546875" style="340" customWidth="1"/>
    <col min="3357" max="3357" width="9.140625" style="340"/>
    <col min="3358" max="3358" width="22.28515625" style="340" customWidth="1"/>
    <col min="3359" max="3359" width="5.140625" style="340" bestFit="1" customWidth="1"/>
    <col min="3360" max="3360" width="6.85546875" style="340" customWidth="1"/>
    <col min="3361" max="3361" width="8.140625" style="340" bestFit="1" customWidth="1"/>
    <col min="3362" max="3362" width="9.140625" style="340"/>
    <col min="3363" max="3363" width="9.42578125" style="340" bestFit="1" customWidth="1"/>
    <col min="3364" max="3364" width="9.140625" style="340"/>
    <col min="3365" max="3365" width="10.5703125" style="340" customWidth="1"/>
    <col min="3366" max="3366" width="9.140625" style="340"/>
    <col min="3367" max="3367" width="22.140625" style="340" bestFit="1" customWidth="1"/>
    <col min="3368" max="3373" width="9.140625" style="340"/>
    <col min="3374" max="3374" width="38.7109375" style="340" customWidth="1"/>
    <col min="3375" max="3375" width="28" style="340" bestFit="1" customWidth="1"/>
    <col min="3376" max="3376" width="11.5703125" style="340" customWidth="1"/>
    <col min="3377" max="3595" width="9.140625" style="340"/>
    <col min="3596" max="3596" width="22.140625" style="340" bestFit="1" customWidth="1"/>
    <col min="3597" max="3597" width="6.85546875" style="340" customWidth="1"/>
    <col min="3598" max="3598" width="7.140625" style="340" customWidth="1"/>
    <col min="3599" max="3599" width="10.42578125" style="340" customWidth="1"/>
    <col min="3600" max="3604" width="9.140625" style="340"/>
    <col min="3605" max="3605" width="22.140625" style="340" bestFit="1" customWidth="1"/>
    <col min="3606" max="3606" width="5.140625" style="340" bestFit="1" customWidth="1"/>
    <col min="3607" max="3607" width="7.140625" style="340" customWidth="1"/>
    <col min="3608" max="3608" width="11.42578125" style="340" customWidth="1"/>
    <col min="3609" max="3611" width="9.140625" style="340"/>
    <col min="3612" max="3612" width="9.85546875" style="340" customWidth="1"/>
    <col min="3613" max="3613" width="9.140625" style="340"/>
    <col min="3614" max="3614" width="22.28515625" style="340" customWidth="1"/>
    <col min="3615" max="3615" width="5.140625" style="340" bestFit="1" customWidth="1"/>
    <col min="3616" max="3616" width="6.85546875" style="340" customWidth="1"/>
    <col min="3617" max="3617" width="8.140625" style="340" bestFit="1" customWidth="1"/>
    <col min="3618" max="3618" width="9.140625" style="340"/>
    <col min="3619" max="3619" width="9.42578125" style="340" bestFit="1" customWidth="1"/>
    <col min="3620" max="3620" width="9.140625" style="340"/>
    <col min="3621" max="3621" width="10.5703125" style="340" customWidth="1"/>
    <col min="3622" max="3622" width="9.140625" style="340"/>
    <col min="3623" max="3623" width="22.140625" style="340" bestFit="1" customWidth="1"/>
    <col min="3624" max="3629" width="9.140625" style="340"/>
    <col min="3630" max="3630" width="38.7109375" style="340" customWidth="1"/>
    <col min="3631" max="3631" width="28" style="340" bestFit="1" customWidth="1"/>
    <col min="3632" max="3632" width="11.5703125" style="340" customWidth="1"/>
    <col min="3633" max="3851" width="9.140625" style="340"/>
    <col min="3852" max="3852" width="22.140625" style="340" bestFit="1" customWidth="1"/>
    <col min="3853" max="3853" width="6.85546875" style="340" customWidth="1"/>
    <col min="3854" max="3854" width="7.140625" style="340" customWidth="1"/>
    <col min="3855" max="3855" width="10.42578125" style="340" customWidth="1"/>
    <col min="3856" max="3860" width="9.140625" style="340"/>
    <col min="3861" max="3861" width="22.140625" style="340" bestFit="1" customWidth="1"/>
    <col min="3862" max="3862" width="5.140625" style="340" bestFit="1" customWidth="1"/>
    <col min="3863" max="3863" width="7.140625" style="340" customWidth="1"/>
    <col min="3864" max="3864" width="11.42578125" style="340" customWidth="1"/>
    <col min="3865" max="3867" width="9.140625" style="340"/>
    <col min="3868" max="3868" width="9.85546875" style="340" customWidth="1"/>
    <col min="3869" max="3869" width="9.140625" style="340"/>
    <col min="3870" max="3870" width="22.28515625" style="340" customWidth="1"/>
    <col min="3871" max="3871" width="5.140625" style="340" bestFit="1" customWidth="1"/>
    <col min="3872" max="3872" width="6.85546875" style="340" customWidth="1"/>
    <col min="3873" max="3873" width="8.140625" style="340" bestFit="1" customWidth="1"/>
    <col min="3874" max="3874" width="9.140625" style="340"/>
    <col min="3875" max="3875" width="9.42578125" style="340" bestFit="1" customWidth="1"/>
    <col min="3876" max="3876" width="9.140625" style="340"/>
    <col min="3877" max="3877" width="10.5703125" style="340" customWidth="1"/>
    <col min="3878" max="3878" width="9.140625" style="340"/>
    <col min="3879" max="3879" width="22.140625" style="340" bestFit="1" customWidth="1"/>
    <col min="3880" max="3885" width="9.140625" style="340"/>
    <col min="3886" max="3886" width="38.7109375" style="340" customWidth="1"/>
    <col min="3887" max="3887" width="28" style="340" bestFit="1" customWidth="1"/>
    <col min="3888" max="3888" width="11.5703125" style="340" customWidth="1"/>
    <col min="3889" max="4107" width="9.140625" style="340"/>
    <col min="4108" max="4108" width="22.140625" style="340" bestFit="1" customWidth="1"/>
    <col min="4109" max="4109" width="6.85546875" style="340" customWidth="1"/>
    <col min="4110" max="4110" width="7.140625" style="340" customWidth="1"/>
    <col min="4111" max="4111" width="10.42578125" style="340" customWidth="1"/>
    <col min="4112" max="4116" width="9.140625" style="340"/>
    <col min="4117" max="4117" width="22.140625" style="340" bestFit="1" customWidth="1"/>
    <col min="4118" max="4118" width="5.140625" style="340" bestFit="1" customWidth="1"/>
    <col min="4119" max="4119" width="7.140625" style="340" customWidth="1"/>
    <col min="4120" max="4120" width="11.42578125" style="340" customWidth="1"/>
    <col min="4121" max="4123" width="9.140625" style="340"/>
    <col min="4124" max="4124" width="9.85546875" style="340" customWidth="1"/>
    <col min="4125" max="4125" width="9.140625" style="340"/>
    <col min="4126" max="4126" width="22.28515625" style="340" customWidth="1"/>
    <col min="4127" max="4127" width="5.140625" style="340" bestFit="1" customWidth="1"/>
    <col min="4128" max="4128" width="6.85546875" style="340" customWidth="1"/>
    <col min="4129" max="4129" width="8.140625" style="340" bestFit="1" customWidth="1"/>
    <col min="4130" max="4130" width="9.140625" style="340"/>
    <col min="4131" max="4131" width="9.42578125" style="340" bestFit="1" customWidth="1"/>
    <col min="4132" max="4132" width="9.140625" style="340"/>
    <col min="4133" max="4133" width="10.5703125" style="340" customWidth="1"/>
    <col min="4134" max="4134" width="9.140625" style="340"/>
    <col min="4135" max="4135" width="22.140625" style="340" bestFit="1" customWidth="1"/>
    <col min="4136" max="4141" width="9.140625" style="340"/>
    <col min="4142" max="4142" width="38.7109375" style="340" customWidth="1"/>
    <col min="4143" max="4143" width="28" style="340" bestFit="1" customWidth="1"/>
    <col min="4144" max="4144" width="11.5703125" style="340" customWidth="1"/>
    <col min="4145" max="4363" width="9.140625" style="340"/>
    <col min="4364" max="4364" width="22.140625" style="340" bestFit="1" customWidth="1"/>
    <col min="4365" max="4365" width="6.85546875" style="340" customWidth="1"/>
    <col min="4366" max="4366" width="7.140625" style="340" customWidth="1"/>
    <col min="4367" max="4367" width="10.42578125" style="340" customWidth="1"/>
    <col min="4368" max="4372" width="9.140625" style="340"/>
    <col min="4373" max="4373" width="22.140625" style="340" bestFit="1" customWidth="1"/>
    <col min="4374" max="4374" width="5.140625" style="340" bestFit="1" customWidth="1"/>
    <col min="4375" max="4375" width="7.140625" style="340" customWidth="1"/>
    <col min="4376" max="4376" width="11.42578125" style="340" customWidth="1"/>
    <col min="4377" max="4379" width="9.140625" style="340"/>
    <col min="4380" max="4380" width="9.85546875" style="340" customWidth="1"/>
    <col min="4381" max="4381" width="9.140625" style="340"/>
    <col min="4382" max="4382" width="22.28515625" style="340" customWidth="1"/>
    <col min="4383" max="4383" width="5.140625" style="340" bestFit="1" customWidth="1"/>
    <col min="4384" max="4384" width="6.85546875" style="340" customWidth="1"/>
    <col min="4385" max="4385" width="8.140625" style="340" bestFit="1" customWidth="1"/>
    <col min="4386" max="4386" width="9.140625" style="340"/>
    <col min="4387" max="4387" width="9.42578125" style="340" bestFit="1" customWidth="1"/>
    <col min="4388" max="4388" width="9.140625" style="340"/>
    <col min="4389" max="4389" width="10.5703125" style="340" customWidth="1"/>
    <col min="4390" max="4390" width="9.140625" style="340"/>
    <col min="4391" max="4391" width="22.140625" style="340" bestFit="1" customWidth="1"/>
    <col min="4392" max="4397" width="9.140625" style="340"/>
    <col min="4398" max="4398" width="38.7109375" style="340" customWidth="1"/>
    <col min="4399" max="4399" width="28" style="340" bestFit="1" customWidth="1"/>
    <col min="4400" max="4400" width="11.5703125" style="340" customWidth="1"/>
    <col min="4401" max="4619" width="9.140625" style="340"/>
    <col min="4620" max="4620" width="22.140625" style="340" bestFit="1" customWidth="1"/>
    <col min="4621" max="4621" width="6.85546875" style="340" customWidth="1"/>
    <col min="4622" max="4622" width="7.140625" style="340" customWidth="1"/>
    <col min="4623" max="4623" width="10.42578125" style="340" customWidth="1"/>
    <col min="4624" max="4628" width="9.140625" style="340"/>
    <col min="4629" max="4629" width="22.140625" style="340" bestFit="1" customWidth="1"/>
    <col min="4630" max="4630" width="5.140625" style="340" bestFit="1" customWidth="1"/>
    <col min="4631" max="4631" width="7.140625" style="340" customWidth="1"/>
    <col min="4632" max="4632" width="11.42578125" style="340" customWidth="1"/>
    <col min="4633" max="4635" width="9.140625" style="340"/>
    <col min="4636" max="4636" width="9.85546875" style="340" customWidth="1"/>
    <col min="4637" max="4637" width="9.140625" style="340"/>
    <col min="4638" max="4638" width="22.28515625" style="340" customWidth="1"/>
    <col min="4639" max="4639" width="5.140625" style="340" bestFit="1" customWidth="1"/>
    <col min="4640" max="4640" width="6.85546875" style="340" customWidth="1"/>
    <col min="4641" max="4641" width="8.140625" style="340" bestFit="1" customWidth="1"/>
    <col min="4642" max="4642" width="9.140625" style="340"/>
    <col min="4643" max="4643" width="9.42578125" style="340" bestFit="1" customWidth="1"/>
    <col min="4644" max="4644" width="9.140625" style="340"/>
    <col min="4645" max="4645" width="10.5703125" style="340" customWidth="1"/>
    <col min="4646" max="4646" width="9.140625" style="340"/>
    <col min="4647" max="4647" width="22.140625" style="340" bestFit="1" customWidth="1"/>
    <col min="4648" max="4653" width="9.140625" style="340"/>
    <col min="4654" max="4654" width="38.7109375" style="340" customWidth="1"/>
    <col min="4655" max="4655" width="28" style="340" bestFit="1" customWidth="1"/>
    <col min="4656" max="4656" width="11.5703125" style="340" customWidth="1"/>
    <col min="4657" max="4875" width="9.140625" style="340"/>
    <col min="4876" max="4876" width="22.140625" style="340" bestFit="1" customWidth="1"/>
    <col min="4877" max="4877" width="6.85546875" style="340" customWidth="1"/>
    <col min="4878" max="4878" width="7.140625" style="340" customWidth="1"/>
    <col min="4879" max="4879" width="10.42578125" style="340" customWidth="1"/>
    <col min="4880" max="4884" width="9.140625" style="340"/>
    <col min="4885" max="4885" width="22.140625" style="340" bestFit="1" customWidth="1"/>
    <col min="4886" max="4886" width="5.140625" style="340" bestFit="1" customWidth="1"/>
    <col min="4887" max="4887" width="7.140625" style="340" customWidth="1"/>
    <col min="4888" max="4888" width="11.42578125" style="340" customWidth="1"/>
    <col min="4889" max="4891" width="9.140625" style="340"/>
    <col min="4892" max="4892" width="9.85546875" style="340" customWidth="1"/>
    <col min="4893" max="4893" width="9.140625" style="340"/>
    <col min="4894" max="4894" width="22.28515625" style="340" customWidth="1"/>
    <col min="4895" max="4895" width="5.140625" style="340" bestFit="1" customWidth="1"/>
    <col min="4896" max="4896" width="6.85546875" style="340" customWidth="1"/>
    <col min="4897" max="4897" width="8.140625" style="340" bestFit="1" customWidth="1"/>
    <col min="4898" max="4898" width="9.140625" style="340"/>
    <col min="4899" max="4899" width="9.42578125" style="340" bestFit="1" customWidth="1"/>
    <col min="4900" max="4900" width="9.140625" style="340"/>
    <col min="4901" max="4901" width="10.5703125" style="340" customWidth="1"/>
    <col min="4902" max="4902" width="9.140625" style="340"/>
    <col min="4903" max="4903" width="22.140625" style="340" bestFit="1" customWidth="1"/>
    <col min="4904" max="4909" width="9.140625" style="340"/>
    <col min="4910" max="4910" width="38.7109375" style="340" customWidth="1"/>
    <col min="4911" max="4911" width="28" style="340" bestFit="1" customWidth="1"/>
    <col min="4912" max="4912" width="11.5703125" style="340" customWidth="1"/>
    <col min="4913" max="5131" width="9.140625" style="340"/>
    <col min="5132" max="5132" width="22.140625" style="340" bestFit="1" customWidth="1"/>
    <col min="5133" max="5133" width="6.85546875" style="340" customWidth="1"/>
    <col min="5134" max="5134" width="7.140625" style="340" customWidth="1"/>
    <col min="5135" max="5135" width="10.42578125" style="340" customWidth="1"/>
    <col min="5136" max="5140" width="9.140625" style="340"/>
    <col min="5141" max="5141" width="22.140625" style="340" bestFit="1" customWidth="1"/>
    <col min="5142" max="5142" width="5.140625" style="340" bestFit="1" customWidth="1"/>
    <col min="5143" max="5143" width="7.140625" style="340" customWidth="1"/>
    <col min="5144" max="5144" width="11.42578125" style="340" customWidth="1"/>
    <col min="5145" max="5147" width="9.140625" style="340"/>
    <col min="5148" max="5148" width="9.85546875" style="340" customWidth="1"/>
    <col min="5149" max="5149" width="9.140625" style="340"/>
    <col min="5150" max="5150" width="22.28515625" style="340" customWidth="1"/>
    <col min="5151" max="5151" width="5.140625" style="340" bestFit="1" customWidth="1"/>
    <col min="5152" max="5152" width="6.85546875" style="340" customWidth="1"/>
    <col min="5153" max="5153" width="8.140625" style="340" bestFit="1" customWidth="1"/>
    <col min="5154" max="5154" width="9.140625" style="340"/>
    <col min="5155" max="5155" width="9.42578125" style="340" bestFit="1" customWidth="1"/>
    <col min="5156" max="5156" width="9.140625" style="340"/>
    <col min="5157" max="5157" width="10.5703125" style="340" customWidth="1"/>
    <col min="5158" max="5158" width="9.140625" style="340"/>
    <col min="5159" max="5159" width="22.140625" style="340" bestFit="1" customWidth="1"/>
    <col min="5160" max="5165" width="9.140625" style="340"/>
    <col min="5166" max="5166" width="38.7109375" style="340" customWidth="1"/>
    <col min="5167" max="5167" width="28" style="340" bestFit="1" customWidth="1"/>
    <col min="5168" max="5168" width="11.5703125" style="340" customWidth="1"/>
    <col min="5169" max="5387" width="9.140625" style="340"/>
    <col min="5388" max="5388" width="22.140625" style="340" bestFit="1" customWidth="1"/>
    <col min="5389" max="5389" width="6.85546875" style="340" customWidth="1"/>
    <col min="5390" max="5390" width="7.140625" style="340" customWidth="1"/>
    <col min="5391" max="5391" width="10.42578125" style="340" customWidth="1"/>
    <col min="5392" max="5396" width="9.140625" style="340"/>
    <col min="5397" max="5397" width="22.140625" style="340" bestFit="1" customWidth="1"/>
    <col min="5398" max="5398" width="5.140625" style="340" bestFit="1" customWidth="1"/>
    <col min="5399" max="5399" width="7.140625" style="340" customWidth="1"/>
    <col min="5400" max="5400" width="11.42578125" style="340" customWidth="1"/>
    <col min="5401" max="5403" width="9.140625" style="340"/>
    <col min="5404" max="5404" width="9.85546875" style="340" customWidth="1"/>
    <col min="5405" max="5405" width="9.140625" style="340"/>
    <col min="5406" max="5406" width="22.28515625" style="340" customWidth="1"/>
    <col min="5407" max="5407" width="5.140625" style="340" bestFit="1" customWidth="1"/>
    <col min="5408" max="5408" width="6.85546875" style="340" customWidth="1"/>
    <col min="5409" max="5409" width="8.140625" style="340" bestFit="1" customWidth="1"/>
    <col min="5410" max="5410" width="9.140625" style="340"/>
    <col min="5411" max="5411" width="9.42578125" style="340" bestFit="1" customWidth="1"/>
    <col min="5412" max="5412" width="9.140625" style="340"/>
    <col min="5413" max="5413" width="10.5703125" style="340" customWidth="1"/>
    <col min="5414" max="5414" width="9.140625" style="340"/>
    <col min="5415" max="5415" width="22.140625" style="340" bestFit="1" customWidth="1"/>
    <col min="5416" max="5421" width="9.140625" style="340"/>
    <col min="5422" max="5422" width="38.7109375" style="340" customWidth="1"/>
    <col min="5423" max="5423" width="28" style="340" bestFit="1" customWidth="1"/>
    <col min="5424" max="5424" width="11.5703125" style="340" customWidth="1"/>
    <col min="5425" max="5643" width="9.140625" style="340"/>
    <col min="5644" max="5644" width="22.140625" style="340" bestFit="1" customWidth="1"/>
    <col min="5645" max="5645" width="6.85546875" style="340" customWidth="1"/>
    <col min="5646" max="5646" width="7.140625" style="340" customWidth="1"/>
    <col min="5647" max="5647" width="10.42578125" style="340" customWidth="1"/>
    <col min="5648" max="5652" width="9.140625" style="340"/>
    <col min="5653" max="5653" width="22.140625" style="340" bestFit="1" customWidth="1"/>
    <col min="5654" max="5654" width="5.140625" style="340" bestFit="1" customWidth="1"/>
    <col min="5655" max="5655" width="7.140625" style="340" customWidth="1"/>
    <col min="5656" max="5656" width="11.42578125" style="340" customWidth="1"/>
    <col min="5657" max="5659" width="9.140625" style="340"/>
    <col min="5660" max="5660" width="9.85546875" style="340" customWidth="1"/>
    <col min="5661" max="5661" width="9.140625" style="340"/>
    <col min="5662" max="5662" width="22.28515625" style="340" customWidth="1"/>
    <col min="5663" max="5663" width="5.140625" style="340" bestFit="1" customWidth="1"/>
    <col min="5664" max="5664" width="6.85546875" style="340" customWidth="1"/>
    <col min="5665" max="5665" width="8.140625" style="340" bestFit="1" customWidth="1"/>
    <col min="5666" max="5666" width="9.140625" style="340"/>
    <col min="5667" max="5667" width="9.42578125" style="340" bestFit="1" customWidth="1"/>
    <col min="5668" max="5668" width="9.140625" style="340"/>
    <col min="5669" max="5669" width="10.5703125" style="340" customWidth="1"/>
    <col min="5670" max="5670" width="9.140625" style="340"/>
    <col min="5671" max="5671" width="22.140625" style="340" bestFit="1" customWidth="1"/>
    <col min="5672" max="5677" width="9.140625" style="340"/>
    <col min="5678" max="5678" width="38.7109375" style="340" customWidth="1"/>
    <col min="5679" max="5679" width="28" style="340" bestFit="1" customWidth="1"/>
    <col min="5680" max="5680" width="11.5703125" style="340" customWidth="1"/>
    <col min="5681" max="5899" width="9.140625" style="340"/>
    <col min="5900" max="5900" width="22.140625" style="340" bestFit="1" customWidth="1"/>
    <col min="5901" max="5901" width="6.85546875" style="340" customWidth="1"/>
    <col min="5902" max="5902" width="7.140625" style="340" customWidth="1"/>
    <col min="5903" max="5903" width="10.42578125" style="340" customWidth="1"/>
    <col min="5904" max="5908" width="9.140625" style="340"/>
    <col min="5909" max="5909" width="22.140625" style="340" bestFit="1" customWidth="1"/>
    <col min="5910" max="5910" width="5.140625" style="340" bestFit="1" customWidth="1"/>
    <col min="5911" max="5911" width="7.140625" style="340" customWidth="1"/>
    <col min="5912" max="5912" width="11.42578125" style="340" customWidth="1"/>
    <col min="5913" max="5915" width="9.140625" style="340"/>
    <col min="5916" max="5916" width="9.85546875" style="340" customWidth="1"/>
    <col min="5917" max="5917" width="9.140625" style="340"/>
    <col min="5918" max="5918" width="22.28515625" style="340" customWidth="1"/>
    <col min="5919" max="5919" width="5.140625" style="340" bestFit="1" customWidth="1"/>
    <col min="5920" max="5920" width="6.85546875" style="340" customWidth="1"/>
    <col min="5921" max="5921" width="8.140625" style="340" bestFit="1" customWidth="1"/>
    <col min="5922" max="5922" width="9.140625" style="340"/>
    <col min="5923" max="5923" width="9.42578125" style="340" bestFit="1" customWidth="1"/>
    <col min="5924" max="5924" width="9.140625" style="340"/>
    <col min="5925" max="5925" width="10.5703125" style="340" customWidth="1"/>
    <col min="5926" max="5926" width="9.140625" style="340"/>
    <col min="5927" max="5927" width="22.140625" style="340" bestFit="1" customWidth="1"/>
    <col min="5928" max="5933" width="9.140625" style="340"/>
    <col min="5934" max="5934" width="38.7109375" style="340" customWidth="1"/>
    <col min="5935" max="5935" width="28" style="340" bestFit="1" customWidth="1"/>
    <col min="5936" max="5936" width="11.5703125" style="340" customWidth="1"/>
    <col min="5937" max="6155" width="9.140625" style="340"/>
    <col min="6156" max="6156" width="22.140625" style="340" bestFit="1" customWidth="1"/>
    <col min="6157" max="6157" width="6.85546875" style="340" customWidth="1"/>
    <col min="6158" max="6158" width="7.140625" style="340" customWidth="1"/>
    <col min="6159" max="6159" width="10.42578125" style="340" customWidth="1"/>
    <col min="6160" max="6164" width="9.140625" style="340"/>
    <col min="6165" max="6165" width="22.140625" style="340" bestFit="1" customWidth="1"/>
    <col min="6166" max="6166" width="5.140625" style="340" bestFit="1" customWidth="1"/>
    <col min="6167" max="6167" width="7.140625" style="340" customWidth="1"/>
    <col min="6168" max="6168" width="11.42578125" style="340" customWidth="1"/>
    <col min="6169" max="6171" width="9.140625" style="340"/>
    <col min="6172" max="6172" width="9.85546875" style="340" customWidth="1"/>
    <col min="6173" max="6173" width="9.140625" style="340"/>
    <col min="6174" max="6174" width="22.28515625" style="340" customWidth="1"/>
    <col min="6175" max="6175" width="5.140625" style="340" bestFit="1" customWidth="1"/>
    <col min="6176" max="6176" width="6.85546875" style="340" customWidth="1"/>
    <col min="6177" max="6177" width="8.140625" style="340" bestFit="1" customWidth="1"/>
    <col min="6178" max="6178" width="9.140625" style="340"/>
    <col min="6179" max="6179" width="9.42578125" style="340" bestFit="1" customWidth="1"/>
    <col min="6180" max="6180" width="9.140625" style="340"/>
    <col min="6181" max="6181" width="10.5703125" style="340" customWidth="1"/>
    <col min="6182" max="6182" width="9.140625" style="340"/>
    <col min="6183" max="6183" width="22.140625" style="340" bestFit="1" customWidth="1"/>
    <col min="6184" max="6189" width="9.140625" style="340"/>
    <col min="6190" max="6190" width="38.7109375" style="340" customWidth="1"/>
    <col min="6191" max="6191" width="28" style="340" bestFit="1" customWidth="1"/>
    <col min="6192" max="6192" width="11.5703125" style="340" customWidth="1"/>
    <col min="6193" max="6411" width="9.140625" style="340"/>
    <col min="6412" max="6412" width="22.140625" style="340" bestFit="1" customWidth="1"/>
    <col min="6413" max="6413" width="6.85546875" style="340" customWidth="1"/>
    <col min="6414" max="6414" width="7.140625" style="340" customWidth="1"/>
    <col min="6415" max="6415" width="10.42578125" style="340" customWidth="1"/>
    <col min="6416" max="6420" width="9.140625" style="340"/>
    <col min="6421" max="6421" width="22.140625" style="340" bestFit="1" customWidth="1"/>
    <col min="6422" max="6422" width="5.140625" style="340" bestFit="1" customWidth="1"/>
    <col min="6423" max="6423" width="7.140625" style="340" customWidth="1"/>
    <col min="6424" max="6424" width="11.42578125" style="340" customWidth="1"/>
    <col min="6425" max="6427" width="9.140625" style="340"/>
    <col min="6428" max="6428" width="9.85546875" style="340" customWidth="1"/>
    <col min="6429" max="6429" width="9.140625" style="340"/>
    <col min="6430" max="6430" width="22.28515625" style="340" customWidth="1"/>
    <col min="6431" max="6431" width="5.140625" style="340" bestFit="1" customWidth="1"/>
    <col min="6432" max="6432" width="6.85546875" style="340" customWidth="1"/>
    <col min="6433" max="6433" width="8.140625" style="340" bestFit="1" customWidth="1"/>
    <col min="6434" max="6434" width="9.140625" style="340"/>
    <col min="6435" max="6435" width="9.42578125" style="340" bestFit="1" customWidth="1"/>
    <col min="6436" max="6436" width="9.140625" style="340"/>
    <col min="6437" max="6437" width="10.5703125" style="340" customWidth="1"/>
    <col min="6438" max="6438" width="9.140625" style="340"/>
    <col min="6439" max="6439" width="22.140625" style="340" bestFit="1" customWidth="1"/>
    <col min="6440" max="6445" width="9.140625" style="340"/>
    <col min="6446" max="6446" width="38.7109375" style="340" customWidth="1"/>
    <col min="6447" max="6447" width="28" style="340" bestFit="1" customWidth="1"/>
    <col min="6448" max="6448" width="11.5703125" style="340" customWidth="1"/>
    <col min="6449" max="6667" width="9.140625" style="340"/>
    <col min="6668" max="6668" width="22.140625" style="340" bestFit="1" customWidth="1"/>
    <col min="6669" max="6669" width="6.85546875" style="340" customWidth="1"/>
    <col min="6670" max="6670" width="7.140625" style="340" customWidth="1"/>
    <col min="6671" max="6671" width="10.42578125" style="340" customWidth="1"/>
    <col min="6672" max="6676" width="9.140625" style="340"/>
    <col min="6677" max="6677" width="22.140625" style="340" bestFit="1" customWidth="1"/>
    <col min="6678" max="6678" width="5.140625" style="340" bestFit="1" customWidth="1"/>
    <col min="6679" max="6679" width="7.140625" style="340" customWidth="1"/>
    <col min="6680" max="6680" width="11.42578125" style="340" customWidth="1"/>
    <col min="6681" max="6683" width="9.140625" style="340"/>
    <col min="6684" max="6684" width="9.85546875" style="340" customWidth="1"/>
    <col min="6685" max="6685" width="9.140625" style="340"/>
    <col min="6686" max="6686" width="22.28515625" style="340" customWidth="1"/>
    <col min="6687" max="6687" width="5.140625" style="340" bestFit="1" customWidth="1"/>
    <col min="6688" max="6688" width="6.85546875" style="340" customWidth="1"/>
    <col min="6689" max="6689" width="8.140625" style="340" bestFit="1" customWidth="1"/>
    <col min="6690" max="6690" width="9.140625" style="340"/>
    <col min="6691" max="6691" width="9.42578125" style="340" bestFit="1" customWidth="1"/>
    <col min="6692" max="6692" width="9.140625" style="340"/>
    <col min="6693" max="6693" width="10.5703125" style="340" customWidth="1"/>
    <col min="6694" max="6694" width="9.140625" style="340"/>
    <col min="6695" max="6695" width="22.140625" style="340" bestFit="1" customWidth="1"/>
    <col min="6696" max="6701" width="9.140625" style="340"/>
    <col min="6702" max="6702" width="38.7109375" style="340" customWidth="1"/>
    <col min="6703" max="6703" width="28" style="340" bestFit="1" customWidth="1"/>
    <col min="6704" max="6704" width="11.5703125" style="340" customWidth="1"/>
    <col min="6705" max="6923" width="9.140625" style="340"/>
    <col min="6924" max="6924" width="22.140625" style="340" bestFit="1" customWidth="1"/>
    <col min="6925" max="6925" width="6.85546875" style="340" customWidth="1"/>
    <col min="6926" max="6926" width="7.140625" style="340" customWidth="1"/>
    <col min="6927" max="6927" width="10.42578125" style="340" customWidth="1"/>
    <col min="6928" max="6932" width="9.140625" style="340"/>
    <col min="6933" max="6933" width="22.140625" style="340" bestFit="1" customWidth="1"/>
    <col min="6934" max="6934" width="5.140625" style="340" bestFit="1" customWidth="1"/>
    <col min="6935" max="6935" width="7.140625" style="340" customWidth="1"/>
    <col min="6936" max="6936" width="11.42578125" style="340" customWidth="1"/>
    <col min="6937" max="6939" width="9.140625" style="340"/>
    <col min="6940" max="6940" width="9.85546875" style="340" customWidth="1"/>
    <col min="6941" max="6941" width="9.140625" style="340"/>
    <col min="6942" max="6942" width="22.28515625" style="340" customWidth="1"/>
    <col min="6943" max="6943" width="5.140625" style="340" bestFit="1" customWidth="1"/>
    <col min="6944" max="6944" width="6.85546875" style="340" customWidth="1"/>
    <col min="6945" max="6945" width="8.140625" style="340" bestFit="1" customWidth="1"/>
    <col min="6946" max="6946" width="9.140625" style="340"/>
    <col min="6947" max="6947" width="9.42578125" style="340" bestFit="1" customWidth="1"/>
    <col min="6948" max="6948" width="9.140625" style="340"/>
    <col min="6949" max="6949" width="10.5703125" style="340" customWidth="1"/>
    <col min="6950" max="6950" width="9.140625" style="340"/>
    <col min="6951" max="6951" width="22.140625" style="340" bestFit="1" customWidth="1"/>
    <col min="6952" max="6957" width="9.140625" style="340"/>
    <col min="6958" max="6958" width="38.7109375" style="340" customWidth="1"/>
    <col min="6959" max="6959" width="28" style="340" bestFit="1" customWidth="1"/>
    <col min="6960" max="6960" width="11.5703125" style="340" customWidth="1"/>
    <col min="6961" max="7179" width="9.140625" style="340"/>
    <col min="7180" max="7180" width="22.140625" style="340" bestFit="1" customWidth="1"/>
    <col min="7181" max="7181" width="6.85546875" style="340" customWidth="1"/>
    <col min="7182" max="7182" width="7.140625" style="340" customWidth="1"/>
    <col min="7183" max="7183" width="10.42578125" style="340" customWidth="1"/>
    <col min="7184" max="7188" width="9.140625" style="340"/>
    <col min="7189" max="7189" width="22.140625" style="340" bestFit="1" customWidth="1"/>
    <col min="7190" max="7190" width="5.140625" style="340" bestFit="1" customWidth="1"/>
    <col min="7191" max="7191" width="7.140625" style="340" customWidth="1"/>
    <col min="7192" max="7192" width="11.42578125" style="340" customWidth="1"/>
    <col min="7193" max="7195" width="9.140625" style="340"/>
    <col min="7196" max="7196" width="9.85546875" style="340" customWidth="1"/>
    <col min="7197" max="7197" width="9.140625" style="340"/>
    <col min="7198" max="7198" width="22.28515625" style="340" customWidth="1"/>
    <col min="7199" max="7199" width="5.140625" style="340" bestFit="1" customWidth="1"/>
    <col min="7200" max="7200" width="6.85546875" style="340" customWidth="1"/>
    <col min="7201" max="7201" width="8.140625" style="340" bestFit="1" customWidth="1"/>
    <col min="7202" max="7202" width="9.140625" style="340"/>
    <col min="7203" max="7203" width="9.42578125" style="340" bestFit="1" customWidth="1"/>
    <col min="7204" max="7204" width="9.140625" style="340"/>
    <col min="7205" max="7205" width="10.5703125" style="340" customWidth="1"/>
    <col min="7206" max="7206" width="9.140625" style="340"/>
    <col min="7207" max="7207" width="22.140625" style="340" bestFit="1" customWidth="1"/>
    <col min="7208" max="7213" width="9.140625" style="340"/>
    <col min="7214" max="7214" width="38.7109375" style="340" customWidth="1"/>
    <col min="7215" max="7215" width="28" style="340" bestFit="1" customWidth="1"/>
    <col min="7216" max="7216" width="11.5703125" style="340" customWidth="1"/>
    <col min="7217" max="7435" width="9.140625" style="340"/>
    <col min="7436" max="7436" width="22.140625" style="340" bestFit="1" customWidth="1"/>
    <col min="7437" max="7437" width="6.85546875" style="340" customWidth="1"/>
    <col min="7438" max="7438" width="7.140625" style="340" customWidth="1"/>
    <col min="7439" max="7439" width="10.42578125" style="340" customWidth="1"/>
    <col min="7440" max="7444" width="9.140625" style="340"/>
    <col min="7445" max="7445" width="22.140625" style="340" bestFit="1" customWidth="1"/>
    <col min="7446" max="7446" width="5.140625" style="340" bestFit="1" customWidth="1"/>
    <col min="7447" max="7447" width="7.140625" style="340" customWidth="1"/>
    <col min="7448" max="7448" width="11.42578125" style="340" customWidth="1"/>
    <col min="7449" max="7451" width="9.140625" style="340"/>
    <col min="7452" max="7452" width="9.85546875" style="340" customWidth="1"/>
    <col min="7453" max="7453" width="9.140625" style="340"/>
    <col min="7454" max="7454" width="22.28515625" style="340" customWidth="1"/>
    <col min="7455" max="7455" width="5.140625" style="340" bestFit="1" customWidth="1"/>
    <col min="7456" max="7456" width="6.85546875" style="340" customWidth="1"/>
    <col min="7457" max="7457" width="8.140625" style="340" bestFit="1" customWidth="1"/>
    <col min="7458" max="7458" width="9.140625" style="340"/>
    <col min="7459" max="7459" width="9.42578125" style="340" bestFit="1" customWidth="1"/>
    <col min="7460" max="7460" width="9.140625" style="340"/>
    <col min="7461" max="7461" width="10.5703125" style="340" customWidth="1"/>
    <col min="7462" max="7462" width="9.140625" style="340"/>
    <col min="7463" max="7463" width="22.140625" style="340" bestFit="1" customWidth="1"/>
    <col min="7464" max="7469" width="9.140625" style="340"/>
    <col min="7470" max="7470" width="38.7109375" style="340" customWidth="1"/>
    <col min="7471" max="7471" width="28" style="340" bestFit="1" customWidth="1"/>
    <col min="7472" max="7472" width="11.5703125" style="340" customWidth="1"/>
    <col min="7473" max="7691" width="9.140625" style="340"/>
    <col min="7692" max="7692" width="22.140625" style="340" bestFit="1" customWidth="1"/>
    <col min="7693" max="7693" width="6.85546875" style="340" customWidth="1"/>
    <col min="7694" max="7694" width="7.140625" style="340" customWidth="1"/>
    <col min="7695" max="7695" width="10.42578125" style="340" customWidth="1"/>
    <col min="7696" max="7700" width="9.140625" style="340"/>
    <col min="7701" max="7701" width="22.140625" style="340" bestFit="1" customWidth="1"/>
    <col min="7702" max="7702" width="5.140625" style="340" bestFit="1" customWidth="1"/>
    <col min="7703" max="7703" width="7.140625" style="340" customWidth="1"/>
    <col min="7704" max="7704" width="11.42578125" style="340" customWidth="1"/>
    <col min="7705" max="7707" width="9.140625" style="340"/>
    <col min="7708" max="7708" width="9.85546875" style="340" customWidth="1"/>
    <col min="7709" max="7709" width="9.140625" style="340"/>
    <col min="7710" max="7710" width="22.28515625" style="340" customWidth="1"/>
    <col min="7711" max="7711" width="5.140625" style="340" bestFit="1" customWidth="1"/>
    <col min="7712" max="7712" width="6.85546875" style="340" customWidth="1"/>
    <col min="7713" max="7713" width="8.140625" style="340" bestFit="1" customWidth="1"/>
    <col min="7714" max="7714" width="9.140625" style="340"/>
    <col min="7715" max="7715" width="9.42578125" style="340" bestFit="1" customWidth="1"/>
    <col min="7716" max="7716" width="9.140625" style="340"/>
    <col min="7717" max="7717" width="10.5703125" style="340" customWidth="1"/>
    <col min="7718" max="7718" width="9.140625" style="340"/>
    <col min="7719" max="7719" width="22.140625" style="340" bestFit="1" customWidth="1"/>
    <col min="7720" max="7725" width="9.140625" style="340"/>
    <col min="7726" max="7726" width="38.7109375" style="340" customWidth="1"/>
    <col min="7727" max="7727" width="28" style="340" bestFit="1" customWidth="1"/>
    <col min="7728" max="7728" width="11.5703125" style="340" customWidth="1"/>
    <col min="7729" max="7947" width="9.140625" style="340"/>
    <col min="7948" max="7948" width="22.140625" style="340" bestFit="1" customWidth="1"/>
    <col min="7949" max="7949" width="6.85546875" style="340" customWidth="1"/>
    <col min="7950" max="7950" width="7.140625" style="340" customWidth="1"/>
    <col min="7951" max="7951" width="10.42578125" style="340" customWidth="1"/>
    <col min="7952" max="7956" width="9.140625" style="340"/>
    <col min="7957" max="7957" width="22.140625" style="340" bestFit="1" customWidth="1"/>
    <col min="7958" max="7958" width="5.140625" style="340" bestFit="1" customWidth="1"/>
    <col min="7959" max="7959" width="7.140625" style="340" customWidth="1"/>
    <col min="7960" max="7960" width="11.42578125" style="340" customWidth="1"/>
    <col min="7961" max="7963" width="9.140625" style="340"/>
    <col min="7964" max="7964" width="9.85546875" style="340" customWidth="1"/>
    <col min="7965" max="7965" width="9.140625" style="340"/>
    <col min="7966" max="7966" width="22.28515625" style="340" customWidth="1"/>
    <col min="7967" max="7967" width="5.140625" style="340" bestFit="1" customWidth="1"/>
    <col min="7968" max="7968" width="6.85546875" style="340" customWidth="1"/>
    <col min="7969" max="7969" width="8.140625" style="340" bestFit="1" customWidth="1"/>
    <col min="7970" max="7970" width="9.140625" style="340"/>
    <col min="7971" max="7971" width="9.42578125" style="340" bestFit="1" customWidth="1"/>
    <col min="7972" max="7972" width="9.140625" style="340"/>
    <col min="7973" max="7973" width="10.5703125" style="340" customWidth="1"/>
    <col min="7974" max="7974" width="9.140625" style="340"/>
    <col min="7975" max="7975" width="22.140625" style="340" bestFit="1" customWidth="1"/>
    <col min="7976" max="7981" width="9.140625" style="340"/>
    <col min="7982" max="7982" width="38.7109375" style="340" customWidth="1"/>
    <col min="7983" max="7983" width="28" style="340" bestFit="1" customWidth="1"/>
    <col min="7984" max="7984" width="11.5703125" style="340" customWidth="1"/>
    <col min="7985" max="8203" width="9.140625" style="340"/>
    <col min="8204" max="8204" width="22.140625" style="340" bestFit="1" customWidth="1"/>
    <col min="8205" max="8205" width="6.85546875" style="340" customWidth="1"/>
    <col min="8206" max="8206" width="7.140625" style="340" customWidth="1"/>
    <col min="8207" max="8207" width="10.42578125" style="340" customWidth="1"/>
    <col min="8208" max="8212" width="9.140625" style="340"/>
    <col min="8213" max="8213" width="22.140625" style="340" bestFit="1" customWidth="1"/>
    <col min="8214" max="8214" width="5.140625" style="340" bestFit="1" customWidth="1"/>
    <col min="8215" max="8215" width="7.140625" style="340" customWidth="1"/>
    <col min="8216" max="8216" width="11.42578125" style="340" customWidth="1"/>
    <col min="8217" max="8219" width="9.140625" style="340"/>
    <col min="8220" max="8220" width="9.85546875" style="340" customWidth="1"/>
    <col min="8221" max="8221" width="9.140625" style="340"/>
    <col min="8222" max="8222" width="22.28515625" style="340" customWidth="1"/>
    <col min="8223" max="8223" width="5.140625" style="340" bestFit="1" customWidth="1"/>
    <col min="8224" max="8224" width="6.85546875" style="340" customWidth="1"/>
    <col min="8225" max="8225" width="8.140625" style="340" bestFit="1" customWidth="1"/>
    <col min="8226" max="8226" width="9.140625" style="340"/>
    <col min="8227" max="8227" width="9.42578125" style="340" bestFit="1" customWidth="1"/>
    <col min="8228" max="8228" width="9.140625" style="340"/>
    <col min="8229" max="8229" width="10.5703125" style="340" customWidth="1"/>
    <col min="8230" max="8230" width="9.140625" style="340"/>
    <col min="8231" max="8231" width="22.140625" style="340" bestFit="1" customWidth="1"/>
    <col min="8232" max="8237" width="9.140625" style="340"/>
    <col min="8238" max="8238" width="38.7109375" style="340" customWidth="1"/>
    <col min="8239" max="8239" width="28" style="340" bestFit="1" customWidth="1"/>
    <col min="8240" max="8240" width="11.5703125" style="340" customWidth="1"/>
    <col min="8241" max="8459" width="9.140625" style="340"/>
    <col min="8460" max="8460" width="22.140625" style="340" bestFit="1" customWidth="1"/>
    <col min="8461" max="8461" width="6.85546875" style="340" customWidth="1"/>
    <col min="8462" max="8462" width="7.140625" style="340" customWidth="1"/>
    <col min="8463" max="8463" width="10.42578125" style="340" customWidth="1"/>
    <col min="8464" max="8468" width="9.140625" style="340"/>
    <col min="8469" max="8469" width="22.140625" style="340" bestFit="1" customWidth="1"/>
    <col min="8470" max="8470" width="5.140625" style="340" bestFit="1" customWidth="1"/>
    <col min="8471" max="8471" width="7.140625" style="340" customWidth="1"/>
    <col min="8472" max="8472" width="11.42578125" style="340" customWidth="1"/>
    <col min="8473" max="8475" width="9.140625" style="340"/>
    <col min="8476" max="8476" width="9.85546875" style="340" customWidth="1"/>
    <col min="8477" max="8477" width="9.140625" style="340"/>
    <col min="8478" max="8478" width="22.28515625" style="340" customWidth="1"/>
    <col min="8479" max="8479" width="5.140625" style="340" bestFit="1" customWidth="1"/>
    <col min="8480" max="8480" width="6.85546875" style="340" customWidth="1"/>
    <col min="8481" max="8481" width="8.140625" style="340" bestFit="1" customWidth="1"/>
    <col min="8482" max="8482" width="9.140625" style="340"/>
    <col min="8483" max="8483" width="9.42578125" style="340" bestFit="1" customWidth="1"/>
    <col min="8484" max="8484" width="9.140625" style="340"/>
    <col min="8485" max="8485" width="10.5703125" style="340" customWidth="1"/>
    <col min="8486" max="8486" width="9.140625" style="340"/>
    <col min="8487" max="8487" width="22.140625" style="340" bestFit="1" customWidth="1"/>
    <col min="8488" max="8493" width="9.140625" style="340"/>
    <col min="8494" max="8494" width="38.7109375" style="340" customWidth="1"/>
    <col min="8495" max="8495" width="28" style="340" bestFit="1" customWidth="1"/>
    <col min="8496" max="8496" width="11.5703125" style="340" customWidth="1"/>
    <col min="8497" max="8715" width="9.140625" style="340"/>
    <col min="8716" max="8716" width="22.140625" style="340" bestFit="1" customWidth="1"/>
    <col min="8717" max="8717" width="6.85546875" style="340" customWidth="1"/>
    <col min="8718" max="8718" width="7.140625" style="340" customWidth="1"/>
    <col min="8719" max="8719" width="10.42578125" style="340" customWidth="1"/>
    <col min="8720" max="8724" width="9.140625" style="340"/>
    <col min="8725" max="8725" width="22.140625" style="340" bestFit="1" customWidth="1"/>
    <col min="8726" max="8726" width="5.140625" style="340" bestFit="1" customWidth="1"/>
    <col min="8727" max="8727" width="7.140625" style="340" customWidth="1"/>
    <col min="8728" max="8728" width="11.42578125" style="340" customWidth="1"/>
    <col min="8729" max="8731" width="9.140625" style="340"/>
    <col min="8732" max="8732" width="9.85546875" style="340" customWidth="1"/>
    <col min="8733" max="8733" width="9.140625" style="340"/>
    <col min="8734" max="8734" width="22.28515625" style="340" customWidth="1"/>
    <col min="8735" max="8735" width="5.140625" style="340" bestFit="1" customWidth="1"/>
    <col min="8736" max="8736" width="6.85546875" style="340" customWidth="1"/>
    <col min="8737" max="8737" width="8.140625" style="340" bestFit="1" customWidth="1"/>
    <col min="8738" max="8738" width="9.140625" style="340"/>
    <col min="8739" max="8739" width="9.42578125" style="340" bestFit="1" customWidth="1"/>
    <col min="8740" max="8740" width="9.140625" style="340"/>
    <col min="8741" max="8741" width="10.5703125" style="340" customWidth="1"/>
    <col min="8742" max="8742" width="9.140625" style="340"/>
    <col min="8743" max="8743" width="22.140625" style="340" bestFit="1" customWidth="1"/>
    <col min="8744" max="8749" width="9.140625" style="340"/>
    <col min="8750" max="8750" width="38.7109375" style="340" customWidth="1"/>
    <col min="8751" max="8751" width="28" style="340" bestFit="1" customWidth="1"/>
    <col min="8752" max="8752" width="11.5703125" style="340" customWidth="1"/>
    <col min="8753" max="8971" width="9.140625" style="340"/>
    <col min="8972" max="8972" width="22.140625" style="340" bestFit="1" customWidth="1"/>
    <col min="8973" max="8973" width="6.85546875" style="340" customWidth="1"/>
    <col min="8974" max="8974" width="7.140625" style="340" customWidth="1"/>
    <col min="8975" max="8975" width="10.42578125" style="340" customWidth="1"/>
    <col min="8976" max="8980" width="9.140625" style="340"/>
    <col min="8981" max="8981" width="22.140625" style="340" bestFit="1" customWidth="1"/>
    <col min="8982" max="8982" width="5.140625" style="340" bestFit="1" customWidth="1"/>
    <col min="8983" max="8983" width="7.140625" style="340" customWidth="1"/>
    <col min="8984" max="8984" width="11.42578125" style="340" customWidth="1"/>
    <col min="8985" max="8987" width="9.140625" style="340"/>
    <col min="8988" max="8988" width="9.85546875" style="340" customWidth="1"/>
    <col min="8989" max="8989" width="9.140625" style="340"/>
    <col min="8990" max="8990" width="22.28515625" style="340" customWidth="1"/>
    <col min="8991" max="8991" width="5.140625" style="340" bestFit="1" customWidth="1"/>
    <col min="8992" max="8992" width="6.85546875" style="340" customWidth="1"/>
    <col min="8993" max="8993" width="8.140625" style="340" bestFit="1" customWidth="1"/>
    <col min="8994" max="8994" width="9.140625" style="340"/>
    <col min="8995" max="8995" width="9.42578125" style="340" bestFit="1" customWidth="1"/>
    <col min="8996" max="8996" width="9.140625" style="340"/>
    <col min="8997" max="8997" width="10.5703125" style="340" customWidth="1"/>
    <col min="8998" max="8998" width="9.140625" style="340"/>
    <col min="8999" max="8999" width="22.140625" style="340" bestFit="1" customWidth="1"/>
    <col min="9000" max="9005" width="9.140625" style="340"/>
    <col min="9006" max="9006" width="38.7109375" style="340" customWidth="1"/>
    <col min="9007" max="9007" width="28" style="340" bestFit="1" customWidth="1"/>
    <col min="9008" max="9008" width="11.5703125" style="340" customWidth="1"/>
    <col min="9009" max="9227" width="9.140625" style="340"/>
    <col min="9228" max="9228" width="22.140625" style="340" bestFit="1" customWidth="1"/>
    <col min="9229" max="9229" width="6.85546875" style="340" customWidth="1"/>
    <col min="9230" max="9230" width="7.140625" style="340" customWidth="1"/>
    <col min="9231" max="9231" width="10.42578125" style="340" customWidth="1"/>
    <col min="9232" max="9236" width="9.140625" style="340"/>
    <col min="9237" max="9237" width="22.140625" style="340" bestFit="1" customWidth="1"/>
    <col min="9238" max="9238" width="5.140625" style="340" bestFit="1" customWidth="1"/>
    <col min="9239" max="9239" width="7.140625" style="340" customWidth="1"/>
    <col min="9240" max="9240" width="11.42578125" style="340" customWidth="1"/>
    <col min="9241" max="9243" width="9.140625" style="340"/>
    <col min="9244" max="9244" width="9.85546875" style="340" customWidth="1"/>
    <col min="9245" max="9245" width="9.140625" style="340"/>
    <col min="9246" max="9246" width="22.28515625" style="340" customWidth="1"/>
    <col min="9247" max="9247" width="5.140625" style="340" bestFit="1" customWidth="1"/>
    <col min="9248" max="9248" width="6.85546875" style="340" customWidth="1"/>
    <col min="9249" max="9249" width="8.140625" style="340" bestFit="1" customWidth="1"/>
    <col min="9250" max="9250" width="9.140625" style="340"/>
    <col min="9251" max="9251" width="9.42578125" style="340" bestFit="1" customWidth="1"/>
    <col min="9252" max="9252" width="9.140625" style="340"/>
    <col min="9253" max="9253" width="10.5703125" style="340" customWidth="1"/>
    <col min="9254" max="9254" width="9.140625" style="340"/>
    <col min="9255" max="9255" width="22.140625" style="340" bestFit="1" customWidth="1"/>
    <col min="9256" max="9261" width="9.140625" style="340"/>
    <col min="9262" max="9262" width="38.7109375" style="340" customWidth="1"/>
    <col min="9263" max="9263" width="28" style="340" bestFit="1" customWidth="1"/>
    <col min="9264" max="9264" width="11.5703125" style="340" customWidth="1"/>
    <col min="9265" max="9483" width="9.140625" style="340"/>
    <col min="9484" max="9484" width="22.140625" style="340" bestFit="1" customWidth="1"/>
    <col min="9485" max="9485" width="6.85546875" style="340" customWidth="1"/>
    <col min="9486" max="9486" width="7.140625" style="340" customWidth="1"/>
    <col min="9487" max="9487" width="10.42578125" style="340" customWidth="1"/>
    <col min="9488" max="9492" width="9.140625" style="340"/>
    <col min="9493" max="9493" width="22.140625" style="340" bestFit="1" customWidth="1"/>
    <col min="9494" max="9494" width="5.140625" style="340" bestFit="1" customWidth="1"/>
    <col min="9495" max="9495" width="7.140625" style="340" customWidth="1"/>
    <col min="9496" max="9496" width="11.42578125" style="340" customWidth="1"/>
    <col min="9497" max="9499" width="9.140625" style="340"/>
    <col min="9500" max="9500" width="9.85546875" style="340" customWidth="1"/>
    <col min="9501" max="9501" width="9.140625" style="340"/>
    <col min="9502" max="9502" width="22.28515625" style="340" customWidth="1"/>
    <col min="9503" max="9503" width="5.140625" style="340" bestFit="1" customWidth="1"/>
    <col min="9504" max="9504" width="6.85546875" style="340" customWidth="1"/>
    <col min="9505" max="9505" width="8.140625" style="340" bestFit="1" customWidth="1"/>
    <col min="9506" max="9506" width="9.140625" style="340"/>
    <col min="9507" max="9507" width="9.42578125" style="340" bestFit="1" customWidth="1"/>
    <col min="9508" max="9508" width="9.140625" style="340"/>
    <col min="9509" max="9509" width="10.5703125" style="340" customWidth="1"/>
    <col min="9510" max="9510" width="9.140625" style="340"/>
    <col min="9511" max="9511" width="22.140625" style="340" bestFit="1" customWidth="1"/>
    <col min="9512" max="9517" width="9.140625" style="340"/>
    <col min="9518" max="9518" width="38.7109375" style="340" customWidth="1"/>
    <col min="9519" max="9519" width="28" style="340" bestFit="1" customWidth="1"/>
    <col min="9520" max="9520" width="11.5703125" style="340" customWidth="1"/>
    <col min="9521" max="9739" width="9.140625" style="340"/>
    <col min="9740" max="9740" width="22.140625" style="340" bestFit="1" customWidth="1"/>
    <col min="9741" max="9741" width="6.85546875" style="340" customWidth="1"/>
    <col min="9742" max="9742" width="7.140625" style="340" customWidth="1"/>
    <col min="9743" max="9743" width="10.42578125" style="340" customWidth="1"/>
    <col min="9744" max="9748" width="9.140625" style="340"/>
    <col min="9749" max="9749" width="22.140625" style="340" bestFit="1" customWidth="1"/>
    <col min="9750" max="9750" width="5.140625" style="340" bestFit="1" customWidth="1"/>
    <col min="9751" max="9751" width="7.140625" style="340" customWidth="1"/>
    <col min="9752" max="9752" width="11.42578125" style="340" customWidth="1"/>
    <col min="9753" max="9755" width="9.140625" style="340"/>
    <col min="9756" max="9756" width="9.85546875" style="340" customWidth="1"/>
    <col min="9757" max="9757" width="9.140625" style="340"/>
    <col min="9758" max="9758" width="22.28515625" style="340" customWidth="1"/>
    <col min="9759" max="9759" width="5.140625" style="340" bestFit="1" customWidth="1"/>
    <col min="9760" max="9760" width="6.85546875" style="340" customWidth="1"/>
    <col min="9761" max="9761" width="8.140625" style="340" bestFit="1" customWidth="1"/>
    <col min="9762" max="9762" width="9.140625" style="340"/>
    <col min="9763" max="9763" width="9.42578125" style="340" bestFit="1" customWidth="1"/>
    <col min="9764" max="9764" width="9.140625" style="340"/>
    <col min="9765" max="9765" width="10.5703125" style="340" customWidth="1"/>
    <col min="9766" max="9766" width="9.140625" style="340"/>
    <col min="9767" max="9767" width="22.140625" style="340" bestFit="1" customWidth="1"/>
    <col min="9768" max="9773" width="9.140625" style="340"/>
    <col min="9774" max="9774" width="38.7109375" style="340" customWidth="1"/>
    <col min="9775" max="9775" width="28" style="340" bestFit="1" customWidth="1"/>
    <col min="9776" max="9776" width="11.5703125" style="340" customWidth="1"/>
    <col min="9777" max="9995" width="9.140625" style="340"/>
    <col min="9996" max="9996" width="22.140625" style="340" bestFit="1" customWidth="1"/>
    <col min="9997" max="9997" width="6.85546875" style="340" customWidth="1"/>
    <col min="9998" max="9998" width="7.140625" style="340" customWidth="1"/>
    <col min="9999" max="9999" width="10.42578125" style="340" customWidth="1"/>
    <col min="10000" max="10004" width="9.140625" style="340"/>
    <col min="10005" max="10005" width="22.140625" style="340" bestFit="1" customWidth="1"/>
    <col min="10006" max="10006" width="5.140625" style="340" bestFit="1" customWidth="1"/>
    <col min="10007" max="10007" width="7.140625" style="340" customWidth="1"/>
    <col min="10008" max="10008" width="11.42578125" style="340" customWidth="1"/>
    <col min="10009" max="10011" width="9.140625" style="340"/>
    <col min="10012" max="10012" width="9.85546875" style="340" customWidth="1"/>
    <col min="10013" max="10013" width="9.140625" style="340"/>
    <col min="10014" max="10014" width="22.28515625" style="340" customWidth="1"/>
    <col min="10015" max="10015" width="5.140625" style="340" bestFit="1" customWidth="1"/>
    <col min="10016" max="10016" width="6.85546875" style="340" customWidth="1"/>
    <col min="10017" max="10017" width="8.140625" style="340" bestFit="1" customWidth="1"/>
    <col min="10018" max="10018" width="9.140625" style="340"/>
    <col min="10019" max="10019" width="9.42578125" style="340" bestFit="1" customWidth="1"/>
    <col min="10020" max="10020" width="9.140625" style="340"/>
    <col min="10021" max="10021" width="10.5703125" style="340" customWidth="1"/>
    <col min="10022" max="10022" width="9.140625" style="340"/>
    <col min="10023" max="10023" width="22.140625" style="340" bestFit="1" customWidth="1"/>
    <col min="10024" max="10029" width="9.140625" style="340"/>
    <col min="10030" max="10030" width="38.7109375" style="340" customWidth="1"/>
    <col min="10031" max="10031" width="28" style="340" bestFit="1" customWidth="1"/>
    <col min="10032" max="10032" width="11.5703125" style="340" customWidth="1"/>
    <col min="10033" max="10251" width="9.140625" style="340"/>
    <col min="10252" max="10252" width="22.140625" style="340" bestFit="1" customWidth="1"/>
    <col min="10253" max="10253" width="6.85546875" style="340" customWidth="1"/>
    <col min="10254" max="10254" width="7.140625" style="340" customWidth="1"/>
    <col min="10255" max="10255" width="10.42578125" style="340" customWidth="1"/>
    <col min="10256" max="10260" width="9.140625" style="340"/>
    <col min="10261" max="10261" width="22.140625" style="340" bestFit="1" customWidth="1"/>
    <col min="10262" max="10262" width="5.140625" style="340" bestFit="1" customWidth="1"/>
    <col min="10263" max="10263" width="7.140625" style="340" customWidth="1"/>
    <col min="10264" max="10264" width="11.42578125" style="340" customWidth="1"/>
    <col min="10265" max="10267" width="9.140625" style="340"/>
    <col min="10268" max="10268" width="9.85546875" style="340" customWidth="1"/>
    <col min="10269" max="10269" width="9.140625" style="340"/>
    <col min="10270" max="10270" width="22.28515625" style="340" customWidth="1"/>
    <col min="10271" max="10271" width="5.140625" style="340" bestFit="1" customWidth="1"/>
    <col min="10272" max="10272" width="6.85546875" style="340" customWidth="1"/>
    <col min="10273" max="10273" width="8.140625" style="340" bestFit="1" customWidth="1"/>
    <col min="10274" max="10274" width="9.140625" style="340"/>
    <col min="10275" max="10275" width="9.42578125" style="340" bestFit="1" customWidth="1"/>
    <col min="10276" max="10276" width="9.140625" style="340"/>
    <col min="10277" max="10277" width="10.5703125" style="340" customWidth="1"/>
    <col min="10278" max="10278" width="9.140625" style="340"/>
    <col min="10279" max="10279" width="22.140625" style="340" bestFit="1" customWidth="1"/>
    <col min="10280" max="10285" width="9.140625" style="340"/>
    <col min="10286" max="10286" width="38.7109375" style="340" customWidth="1"/>
    <col min="10287" max="10287" width="28" style="340" bestFit="1" customWidth="1"/>
    <col min="10288" max="10288" width="11.5703125" style="340" customWidth="1"/>
    <col min="10289" max="10507" width="9.140625" style="340"/>
    <col min="10508" max="10508" width="22.140625" style="340" bestFit="1" customWidth="1"/>
    <col min="10509" max="10509" width="6.85546875" style="340" customWidth="1"/>
    <col min="10510" max="10510" width="7.140625" style="340" customWidth="1"/>
    <col min="10511" max="10511" width="10.42578125" style="340" customWidth="1"/>
    <col min="10512" max="10516" width="9.140625" style="340"/>
    <col min="10517" max="10517" width="22.140625" style="340" bestFit="1" customWidth="1"/>
    <col min="10518" max="10518" width="5.140625" style="340" bestFit="1" customWidth="1"/>
    <col min="10519" max="10519" width="7.140625" style="340" customWidth="1"/>
    <col min="10520" max="10520" width="11.42578125" style="340" customWidth="1"/>
    <col min="10521" max="10523" width="9.140625" style="340"/>
    <col min="10524" max="10524" width="9.85546875" style="340" customWidth="1"/>
    <col min="10525" max="10525" width="9.140625" style="340"/>
    <col min="10526" max="10526" width="22.28515625" style="340" customWidth="1"/>
    <col min="10527" max="10527" width="5.140625" style="340" bestFit="1" customWidth="1"/>
    <col min="10528" max="10528" width="6.85546875" style="340" customWidth="1"/>
    <col min="10529" max="10529" width="8.140625" style="340" bestFit="1" customWidth="1"/>
    <col min="10530" max="10530" width="9.140625" style="340"/>
    <col min="10531" max="10531" width="9.42578125" style="340" bestFit="1" customWidth="1"/>
    <col min="10532" max="10532" width="9.140625" style="340"/>
    <col min="10533" max="10533" width="10.5703125" style="340" customWidth="1"/>
    <col min="10534" max="10534" width="9.140625" style="340"/>
    <col min="10535" max="10535" width="22.140625" style="340" bestFit="1" customWidth="1"/>
    <col min="10536" max="10541" width="9.140625" style="340"/>
    <col min="10542" max="10542" width="38.7109375" style="340" customWidth="1"/>
    <col min="10543" max="10543" width="28" style="340" bestFit="1" customWidth="1"/>
    <col min="10544" max="10544" width="11.5703125" style="340" customWidth="1"/>
    <col min="10545" max="10763" width="9.140625" style="340"/>
    <col min="10764" max="10764" width="22.140625" style="340" bestFit="1" customWidth="1"/>
    <col min="10765" max="10765" width="6.85546875" style="340" customWidth="1"/>
    <col min="10766" max="10766" width="7.140625" style="340" customWidth="1"/>
    <col min="10767" max="10767" width="10.42578125" style="340" customWidth="1"/>
    <col min="10768" max="10772" width="9.140625" style="340"/>
    <col min="10773" max="10773" width="22.140625" style="340" bestFit="1" customWidth="1"/>
    <col min="10774" max="10774" width="5.140625" style="340" bestFit="1" customWidth="1"/>
    <col min="10775" max="10775" width="7.140625" style="340" customWidth="1"/>
    <col min="10776" max="10776" width="11.42578125" style="340" customWidth="1"/>
    <col min="10777" max="10779" width="9.140625" style="340"/>
    <col min="10780" max="10780" width="9.85546875" style="340" customWidth="1"/>
    <col min="10781" max="10781" width="9.140625" style="340"/>
    <col min="10782" max="10782" width="22.28515625" style="340" customWidth="1"/>
    <col min="10783" max="10783" width="5.140625" style="340" bestFit="1" customWidth="1"/>
    <col min="10784" max="10784" width="6.85546875" style="340" customWidth="1"/>
    <col min="10785" max="10785" width="8.140625" style="340" bestFit="1" customWidth="1"/>
    <col min="10786" max="10786" width="9.140625" style="340"/>
    <col min="10787" max="10787" width="9.42578125" style="340" bestFit="1" customWidth="1"/>
    <col min="10788" max="10788" width="9.140625" style="340"/>
    <col min="10789" max="10789" width="10.5703125" style="340" customWidth="1"/>
    <col min="10790" max="10790" width="9.140625" style="340"/>
    <col min="10791" max="10791" width="22.140625" style="340" bestFit="1" customWidth="1"/>
    <col min="10792" max="10797" width="9.140625" style="340"/>
    <col min="10798" max="10798" width="38.7109375" style="340" customWidth="1"/>
    <col min="10799" max="10799" width="28" style="340" bestFit="1" customWidth="1"/>
    <col min="10800" max="10800" width="11.5703125" style="340" customWidth="1"/>
    <col min="10801" max="11019" width="9.140625" style="340"/>
    <col min="11020" max="11020" width="22.140625" style="340" bestFit="1" customWidth="1"/>
    <col min="11021" max="11021" width="6.85546875" style="340" customWidth="1"/>
    <col min="11022" max="11022" width="7.140625" style="340" customWidth="1"/>
    <col min="11023" max="11023" width="10.42578125" style="340" customWidth="1"/>
    <col min="11024" max="11028" width="9.140625" style="340"/>
    <col min="11029" max="11029" width="22.140625" style="340" bestFit="1" customWidth="1"/>
    <col min="11030" max="11030" width="5.140625" style="340" bestFit="1" customWidth="1"/>
    <col min="11031" max="11031" width="7.140625" style="340" customWidth="1"/>
    <col min="11032" max="11032" width="11.42578125" style="340" customWidth="1"/>
    <col min="11033" max="11035" width="9.140625" style="340"/>
    <col min="11036" max="11036" width="9.85546875" style="340" customWidth="1"/>
    <col min="11037" max="11037" width="9.140625" style="340"/>
    <col min="11038" max="11038" width="22.28515625" style="340" customWidth="1"/>
    <col min="11039" max="11039" width="5.140625" style="340" bestFit="1" customWidth="1"/>
    <col min="11040" max="11040" width="6.85546875" style="340" customWidth="1"/>
    <col min="11041" max="11041" width="8.140625" style="340" bestFit="1" customWidth="1"/>
    <col min="11042" max="11042" width="9.140625" style="340"/>
    <col min="11043" max="11043" width="9.42578125" style="340" bestFit="1" customWidth="1"/>
    <col min="11044" max="11044" width="9.140625" style="340"/>
    <col min="11045" max="11045" width="10.5703125" style="340" customWidth="1"/>
    <col min="11046" max="11046" width="9.140625" style="340"/>
    <col min="11047" max="11047" width="22.140625" style="340" bestFit="1" customWidth="1"/>
    <col min="11048" max="11053" width="9.140625" style="340"/>
    <col min="11054" max="11054" width="38.7109375" style="340" customWidth="1"/>
    <col min="11055" max="11055" width="28" style="340" bestFit="1" customWidth="1"/>
    <col min="11056" max="11056" width="11.5703125" style="340" customWidth="1"/>
    <col min="11057" max="11275" width="9.140625" style="340"/>
    <col min="11276" max="11276" width="22.140625" style="340" bestFit="1" customWidth="1"/>
    <col min="11277" max="11277" width="6.85546875" style="340" customWidth="1"/>
    <col min="11278" max="11278" width="7.140625" style="340" customWidth="1"/>
    <col min="11279" max="11279" width="10.42578125" style="340" customWidth="1"/>
    <col min="11280" max="11284" width="9.140625" style="340"/>
    <col min="11285" max="11285" width="22.140625" style="340" bestFit="1" customWidth="1"/>
    <col min="11286" max="11286" width="5.140625" style="340" bestFit="1" customWidth="1"/>
    <col min="11287" max="11287" width="7.140625" style="340" customWidth="1"/>
    <col min="11288" max="11288" width="11.42578125" style="340" customWidth="1"/>
    <col min="11289" max="11291" width="9.140625" style="340"/>
    <col min="11292" max="11292" width="9.85546875" style="340" customWidth="1"/>
    <col min="11293" max="11293" width="9.140625" style="340"/>
    <col min="11294" max="11294" width="22.28515625" style="340" customWidth="1"/>
    <col min="11295" max="11295" width="5.140625" style="340" bestFit="1" customWidth="1"/>
    <col min="11296" max="11296" width="6.85546875" style="340" customWidth="1"/>
    <col min="11297" max="11297" width="8.140625" style="340" bestFit="1" customWidth="1"/>
    <col min="11298" max="11298" width="9.140625" style="340"/>
    <col min="11299" max="11299" width="9.42578125" style="340" bestFit="1" customWidth="1"/>
    <col min="11300" max="11300" width="9.140625" style="340"/>
    <col min="11301" max="11301" width="10.5703125" style="340" customWidth="1"/>
    <col min="11302" max="11302" width="9.140625" style="340"/>
    <col min="11303" max="11303" width="22.140625" style="340" bestFit="1" customWidth="1"/>
    <col min="11304" max="11309" width="9.140625" style="340"/>
    <col min="11310" max="11310" width="38.7109375" style="340" customWidth="1"/>
    <col min="11311" max="11311" width="28" style="340" bestFit="1" customWidth="1"/>
    <col min="11312" max="11312" width="11.5703125" style="340" customWidth="1"/>
    <col min="11313" max="11531" width="9.140625" style="340"/>
    <col min="11532" max="11532" width="22.140625" style="340" bestFit="1" customWidth="1"/>
    <col min="11533" max="11533" width="6.85546875" style="340" customWidth="1"/>
    <col min="11534" max="11534" width="7.140625" style="340" customWidth="1"/>
    <col min="11535" max="11535" width="10.42578125" style="340" customWidth="1"/>
    <col min="11536" max="11540" width="9.140625" style="340"/>
    <col min="11541" max="11541" width="22.140625" style="340" bestFit="1" customWidth="1"/>
    <col min="11542" max="11542" width="5.140625" style="340" bestFit="1" customWidth="1"/>
    <col min="11543" max="11543" width="7.140625" style="340" customWidth="1"/>
    <col min="11544" max="11544" width="11.42578125" style="340" customWidth="1"/>
    <col min="11545" max="11547" width="9.140625" style="340"/>
    <col min="11548" max="11548" width="9.85546875" style="340" customWidth="1"/>
    <col min="11549" max="11549" width="9.140625" style="340"/>
    <col min="11550" max="11550" width="22.28515625" style="340" customWidth="1"/>
    <col min="11551" max="11551" width="5.140625" style="340" bestFit="1" customWidth="1"/>
    <col min="11552" max="11552" width="6.85546875" style="340" customWidth="1"/>
    <col min="11553" max="11553" width="8.140625" style="340" bestFit="1" customWidth="1"/>
    <col min="11554" max="11554" width="9.140625" style="340"/>
    <col min="11555" max="11555" width="9.42578125" style="340" bestFit="1" customWidth="1"/>
    <col min="11556" max="11556" width="9.140625" style="340"/>
    <col min="11557" max="11557" width="10.5703125" style="340" customWidth="1"/>
    <col min="11558" max="11558" width="9.140625" style="340"/>
    <col min="11559" max="11559" width="22.140625" style="340" bestFit="1" customWidth="1"/>
    <col min="11560" max="11565" width="9.140625" style="340"/>
    <col min="11566" max="11566" width="38.7109375" style="340" customWidth="1"/>
    <col min="11567" max="11567" width="28" style="340" bestFit="1" customWidth="1"/>
    <col min="11568" max="11568" width="11.5703125" style="340" customWidth="1"/>
    <col min="11569" max="11787" width="9.140625" style="340"/>
    <col min="11788" max="11788" width="22.140625" style="340" bestFit="1" customWidth="1"/>
    <col min="11789" max="11789" width="6.85546875" style="340" customWidth="1"/>
    <col min="11790" max="11790" width="7.140625" style="340" customWidth="1"/>
    <col min="11791" max="11791" width="10.42578125" style="340" customWidth="1"/>
    <col min="11792" max="11796" width="9.140625" style="340"/>
    <col min="11797" max="11797" width="22.140625" style="340" bestFit="1" customWidth="1"/>
    <col min="11798" max="11798" width="5.140625" style="340" bestFit="1" customWidth="1"/>
    <col min="11799" max="11799" width="7.140625" style="340" customWidth="1"/>
    <col min="11800" max="11800" width="11.42578125" style="340" customWidth="1"/>
    <col min="11801" max="11803" width="9.140625" style="340"/>
    <col min="11804" max="11804" width="9.85546875" style="340" customWidth="1"/>
    <col min="11805" max="11805" width="9.140625" style="340"/>
    <col min="11806" max="11806" width="22.28515625" style="340" customWidth="1"/>
    <col min="11807" max="11807" width="5.140625" style="340" bestFit="1" customWidth="1"/>
    <col min="11808" max="11808" width="6.85546875" style="340" customWidth="1"/>
    <col min="11809" max="11809" width="8.140625" style="340" bestFit="1" customWidth="1"/>
    <col min="11810" max="11810" width="9.140625" style="340"/>
    <col min="11811" max="11811" width="9.42578125" style="340" bestFit="1" customWidth="1"/>
    <col min="11812" max="11812" width="9.140625" style="340"/>
    <col min="11813" max="11813" width="10.5703125" style="340" customWidth="1"/>
    <col min="11814" max="11814" width="9.140625" style="340"/>
    <col min="11815" max="11815" width="22.140625" style="340" bestFit="1" customWidth="1"/>
    <col min="11816" max="11821" width="9.140625" style="340"/>
    <col min="11822" max="11822" width="38.7109375" style="340" customWidth="1"/>
    <col min="11823" max="11823" width="28" style="340" bestFit="1" customWidth="1"/>
    <col min="11824" max="11824" width="11.5703125" style="340" customWidth="1"/>
    <col min="11825" max="12043" width="9.140625" style="340"/>
    <col min="12044" max="12044" width="22.140625" style="340" bestFit="1" customWidth="1"/>
    <col min="12045" max="12045" width="6.85546875" style="340" customWidth="1"/>
    <col min="12046" max="12046" width="7.140625" style="340" customWidth="1"/>
    <col min="12047" max="12047" width="10.42578125" style="340" customWidth="1"/>
    <col min="12048" max="12052" width="9.140625" style="340"/>
    <col min="12053" max="12053" width="22.140625" style="340" bestFit="1" customWidth="1"/>
    <col min="12054" max="12054" width="5.140625" style="340" bestFit="1" customWidth="1"/>
    <col min="12055" max="12055" width="7.140625" style="340" customWidth="1"/>
    <col min="12056" max="12056" width="11.42578125" style="340" customWidth="1"/>
    <col min="12057" max="12059" width="9.140625" style="340"/>
    <col min="12060" max="12060" width="9.85546875" style="340" customWidth="1"/>
    <col min="12061" max="12061" width="9.140625" style="340"/>
    <col min="12062" max="12062" width="22.28515625" style="340" customWidth="1"/>
    <col min="12063" max="12063" width="5.140625" style="340" bestFit="1" customWidth="1"/>
    <col min="12064" max="12064" width="6.85546875" style="340" customWidth="1"/>
    <col min="12065" max="12065" width="8.140625" style="340" bestFit="1" customWidth="1"/>
    <col min="12066" max="12066" width="9.140625" style="340"/>
    <col min="12067" max="12067" width="9.42578125" style="340" bestFit="1" customWidth="1"/>
    <col min="12068" max="12068" width="9.140625" style="340"/>
    <col min="12069" max="12069" width="10.5703125" style="340" customWidth="1"/>
    <col min="12070" max="12070" width="9.140625" style="340"/>
    <col min="12071" max="12071" width="22.140625" style="340" bestFit="1" customWidth="1"/>
    <col min="12072" max="12077" width="9.140625" style="340"/>
    <col min="12078" max="12078" width="38.7109375" style="340" customWidth="1"/>
    <col min="12079" max="12079" width="28" style="340" bestFit="1" customWidth="1"/>
    <col min="12080" max="12080" width="11.5703125" style="340" customWidth="1"/>
    <col min="12081" max="12299" width="9.140625" style="340"/>
    <col min="12300" max="12300" width="22.140625" style="340" bestFit="1" customWidth="1"/>
    <col min="12301" max="12301" width="6.85546875" style="340" customWidth="1"/>
    <col min="12302" max="12302" width="7.140625" style="340" customWidth="1"/>
    <col min="12303" max="12303" width="10.42578125" style="340" customWidth="1"/>
    <col min="12304" max="12308" width="9.140625" style="340"/>
    <col min="12309" max="12309" width="22.140625" style="340" bestFit="1" customWidth="1"/>
    <col min="12310" max="12310" width="5.140625" style="340" bestFit="1" customWidth="1"/>
    <col min="12311" max="12311" width="7.140625" style="340" customWidth="1"/>
    <col min="12312" max="12312" width="11.42578125" style="340" customWidth="1"/>
    <col min="12313" max="12315" width="9.140625" style="340"/>
    <col min="12316" max="12316" width="9.85546875" style="340" customWidth="1"/>
    <col min="12317" max="12317" width="9.140625" style="340"/>
    <col min="12318" max="12318" width="22.28515625" style="340" customWidth="1"/>
    <col min="12319" max="12319" width="5.140625" style="340" bestFit="1" customWidth="1"/>
    <col min="12320" max="12320" width="6.85546875" style="340" customWidth="1"/>
    <col min="12321" max="12321" width="8.140625" style="340" bestFit="1" customWidth="1"/>
    <col min="12322" max="12322" width="9.140625" style="340"/>
    <col min="12323" max="12323" width="9.42578125" style="340" bestFit="1" customWidth="1"/>
    <col min="12324" max="12324" width="9.140625" style="340"/>
    <col min="12325" max="12325" width="10.5703125" style="340" customWidth="1"/>
    <col min="12326" max="12326" width="9.140625" style="340"/>
    <col min="12327" max="12327" width="22.140625" style="340" bestFit="1" customWidth="1"/>
    <col min="12328" max="12333" width="9.140625" style="340"/>
    <col min="12334" max="12334" width="38.7109375" style="340" customWidth="1"/>
    <col min="12335" max="12335" width="28" style="340" bestFit="1" customWidth="1"/>
    <col min="12336" max="12336" width="11.5703125" style="340" customWidth="1"/>
    <col min="12337" max="12555" width="9.140625" style="340"/>
    <col min="12556" max="12556" width="22.140625" style="340" bestFit="1" customWidth="1"/>
    <col min="12557" max="12557" width="6.85546875" style="340" customWidth="1"/>
    <col min="12558" max="12558" width="7.140625" style="340" customWidth="1"/>
    <col min="12559" max="12559" width="10.42578125" style="340" customWidth="1"/>
    <col min="12560" max="12564" width="9.140625" style="340"/>
    <col min="12565" max="12565" width="22.140625" style="340" bestFit="1" customWidth="1"/>
    <col min="12566" max="12566" width="5.140625" style="340" bestFit="1" customWidth="1"/>
    <col min="12567" max="12567" width="7.140625" style="340" customWidth="1"/>
    <col min="12568" max="12568" width="11.42578125" style="340" customWidth="1"/>
    <col min="12569" max="12571" width="9.140625" style="340"/>
    <col min="12572" max="12572" width="9.85546875" style="340" customWidth="1"/>
    <col min="12573" max="12573" width="9.140625" style="340"/>
    <col min="12574" max="12574" width="22.28515625" style="340" customWidth="1"/>
    <col min="12575" max="12575" width="5.140625" style="340" bestFit="1" customWidth="1"/>
    <col min="12576" max="12576" width="6.85546875" style="340" customWidth="1"/>
    <col min="12577" max="12577" width="8.140625" style="340" bestFit="1" customWidth="1"/>
    <col min="12578" max="12578" width="9.140625" style="340"/>
    <col min="12579" max="12579" width="9.42578125" style="340" bestFit="1" customWidth="1"/>
    <col min="12580" max="12580" width="9.140625" style="340"/>
    <col min="12581" max="12581" width="10.5703125" style="340" customWidth="1"/>
    <col min="12582" max="12582" width="9.140625" style="340"/>
    <col min="12583" max="12583" width="22.140625" style="340" bestFit="1" customWidth="1"/>
    <col min="12584" max="12589" width="9.140625" style="340"/>
    <col min="12590" max="12590" width="38.7109375" style="340" customWidth="1"/>
    <col min="12591" max="12591" width="28" style="340" bestFit="1" customWidth="1"/>
    <col min="12592" max="12592" width="11.5703125" style="340" customWidth="1"/>
    <col min="12593" max="12811" width="9.140625" style="340"/>
    <col min="12812" max="12812" width="22.140625" style="340" bestFit="1" customWidth="1"/>
    <col min="12813" max="12813" width="6.85546875" style="340" customWidth="1"/>
    <col min="12814" max="12814" width="7.140625" style="340" customWidth="1"/>
    <col min="12815" max="12815" width="10.42578125" style="340" customWidth="1"/>
    <col min="12816" max="12820" width="9.140625" style="340"/>
    <col min="12821" max="12821" width="22.140625" style="340" bestFit="1" customWidth="1"/>
    <col min="12822" max="12822" width="5.140625" style="340" bestFit="1" customWidth="1"/>
    <col min="12823" max="12823" width="7.140625" style="340" customWidth="1"/>
    <col min="12824" max="12824" width="11.42578125" style="340" customWidth="1"/>
    <col min="12825" max="12827" width="9.140625" style="340"/>
    <col min="12828" max="12828" width="9.85546875" style="340" customWidth="1"/>
    <col min="12829" max="12829" width="9.140625" style="340"/>
    <col min="12830" max="12830" width="22.28515625" style="340" customWidth="1"/>
    <col min="12831" max="12831" width="5.140625" style="340" bestFit="1" customWidth="1"/>
    <col min="12832" max="12832" width="6.85546875" style="340" customWidth="1"/>
    <col min="12833" max="12833" width="8.140625" style="340" bestFit="1" customWidth="1"/>
    <col min="12834" max="12834" width="9.140625" style="340"/>
    <col min="12835" max="12835" width="9.42578125" style="340" bestFit="1" customWidth="1"/>
    <col min="12836" max="12836" width="9.140625" style="340"/>
    <col min="12837" max="12837" width="10.5703125" style="340" customWidth="1"/>
    <col min="12838" max="12838" width="9.140625" style="340"/>
    <col min="12839" max="12839" width="22.140625" style="340" bestFit="1" customWidth="1"/>
    <col min="12840" max="12845" width="9.140625" style="340"/>
    <col min="12846" max="12846" width="38.7109375" style="340" customWidth="1"/>
    <col min="12847" max="12847" width="28" style="340" bestFit="1" customWidth="1"/>
    <col min="12848" max="12848" width="11.5703125" style="340" customWidth="1"/>
    <col min="12849" max="13067" width="9.140625" style="340"/>
    <col min="13068" max="13068" width="22.140625" style="340" bestFit="1" customWidth="1"/>
    <col min="13069" max="13069" width="6.85546875" style="340" customWidth="1"/>
    <col min="13070" max="13070" width="7.140625" style="340" customWidth="1"/>
    <col min="13071" max="13071" width="10.42578125" style="340" customWidth="1"/>
    <col min="13072" max="13076" width="9.140625" style="340"/>
    <col min="13077" max="13077" width="22.140625" style="340" bestFit="1" customWidth="1"/>
    <col min="13078" max="13078" width="5.140625" style="340" bestFit="1" customWidth="1"/>
    <col min="13079" max="13079" width="7.140625" style="340" customWidth="1"/>
    <col min="13080" max="13080" width="11.42578125" style="340" customWidth="1"/>
    <col min="13081" max="13083" width="9.140625" style="340"/>
    <col min="13084" max="13084" width="9.85546875" style="340" customWidth="1"/>
    <col min="13085" max="13085" width="9.140625" style="340"/>
    <col min="13086" max="13086" width="22.28515625" style="340" customWidth="1"/>
    <col min="13087" max="13087" width="5.140625" style="340" bestFit="1" customWidth="1"/>
    <col min="13088" max="13088" width="6.85546875" style="340" customWidth="1"/>
    <col min="13089" max="13089" width="8.140625" style="340" bestFit="1" customWidth="1"/>
    <col min="13090" max="13090" width="9.140625" style="340"/>
    <col min="13091" max="13091" width="9.42578125" style="340" bestFit="1" customWidth="1"/>
    <col min="13092" max="13092" width="9.140625" style="340"/>
    <col min="13093" max="13093" width="10.5703125" style="340" customWidth="1"/>
    <col min="13094" max="13094" width="9.140625" style="340"/>
    <col min="13095" max="13095" width="22.140625" style="340" bestFit="1" customWidth="1"/>
    <col min="13096" max="13101" width="9.140625" style="340"/>
    <col min="13102" max="13102" width="38.7109375" style="340" customWidth="1"/>
    <col min="13103" max="13103" width="28" style="340" bestFit="1" customWidth="1"/>
    <col min="13104" max="13104" width="11.5703125" style="340" customWidth="1"/>
    <col min="13105" max="13323" width="9.140625" style="340"/>
    <col min="13324" max="13324" width="22.140625" style="340" bestFit="1" customWidth="1"/>
    <col min="13325" max="13325" width="6.85546875" style="340" customWidth="1"/>
    <col min="13326" max="13326" width="7.140625" style="340" customWidth="1"/>
    <col min="13327" max="13327" width="10.42578125" style="340" customWidth="1"/>
    <col min="13328" max="13332" width="9.140625" style="340"/>
    <col min="13333" max="13333" width="22.140625" style="340" bestFit="1" customWidth="1"/>
    <col min="13334" max="13334" width="5.140625" style="340" bestFit="1" customWidth="1"/>
    <col min="13335" max="13335" width="7.140625" style="340" customWidth="1"/>
    <col min="13336" max="13336" width="11.42578125" style="340" customWidth="1"/>
    <col min="13337" max="13339" width="9.140625" style="340"/>
    <col min="13340" max="13340" width="9.85546875" style="340" customWidth="1"/>
    <col min="13341" max="13341" width="9.140625" style="340"/>
    <col min="13342" max="13342" width="22.28515625" style="340" customWidth="1"/>
    <col min="13343" max="13343" width="5.140625" style="340" bestFit="1" customWidth="1"/>
    <col min="13344" max="13344" width="6.85546875" style="340" customWidth="1"/>
    <col min="13345" max="13345" width="8.140625" style="340" bestFit="1" customWidth="1"/>
    <col min="13346" max="13346" width="9.140625" style="340"/>
    <col min="13347" max="13347" width="9.42578125" style="340" bestFit="1" customWidth="1"/>
    <col min="13348" max="13348" width="9.140625" style="340"/>
    <col min="13349" max="13349" width="10.5703125" style="340" customWidth="1"/>
    <col min="13350" max="13350" width="9.140625" style="340"/>
    <col min="13351" max="13351" width="22.140625" style="340" bestFit="1" customWidth="1"/>
    <col min="13352" max="13357" width="9.140625" style="340"/>
    <col min="13358" max="13358" width="38.7109375" style="340" customWidth="1"/>
    <col min="13359" max="13359" width="28" style="340" bestFit="1" customWidth="1"/>
    <col min="13360" max="13360" width="11.5703125" style="340" customWidth="1"/>
    <col min="13361" max="13579" width="9.140625" style="340"/>
    <col min="13580" max="13580" width="22.140625" style="340" bestFit="1" customWidth="1"/>
    <col min="13581" max="13581" width="6.85546875" style="340" customWidth="1"/>
    <col min="13582" max="13582" width="7.140625" style="340" customWidth="1"/>
    <col min="13583" max="13583" width="10.42578125" style="340" customWidth="1"/>
    <col min="13584" max="13588" width="9.140625" style="340"/>
    <col min="13589" max="13589" width="22.140625" style="340" bestFit="1" customWidth="1"/>
    <col min="13590" max="13590" width="5.140625" style="340" bestFit="1" customWidth="1"/>
    <col min="13591" max="13591" width="7.140625" style="340" customWidth="1"/>
    <col min="13592" max="13592" width="11.42578125" style="340" customWidth="1"/>
    <col min="13593" max="13595" width="9.140625" style="340"/>
    <col min="13596" max="13596" width="9.85546875" style="340" customWidth="1"/>
    <col min="13597" max="13597" width="9.140625" style="340"/>
    <col min="13598" max="13598" width="22.28515625" style="340" customWidth="1"/>
    <col min="13599" max="13599" width="5.140625" style="340" bestFit="1" customWidth="1"/>
    <col min="13600" max="13600" width="6.85546875" style="340" customWidth="1"/>
    <col min="13601" max="13601" width="8.140625" style="340" bestFit="1" customWidth="1"/>
    <col min="13602" max="13602" width="9.140625" style="340"/>
    <col min="13603" max="13603" width="9.42578125" style="340" bestFit="1" customWidth="1"/>
    <col min="13604" max="13604" width="9.140625" style="340"/>
    <col min="13605" max="13605" width="10.5703125" style="340" customWidth="1"/>
    <col min="13606" max="13606" width="9.140625" style="340"/>
    <col min="13607" max="13607" width="22.140625" style="340" bestFit="1" customWidth="1"/>
    <col min="13608" max="13613" width="9.140625" style="340"/>
    <col min="13614" max="13614" width="38.7109375" style="340" customWidth="1"/>
    <col min="13615" max="13615" width="28" style="340" bestFit="1" customWidth="1"/>
    <col min="13616" max="13616" width="11.5703125" style="340" customWidth="1"/>
    <col min="13617" max="13835" width="9.140625" style="340"/>
    <col min="13836" max="13836" width="22.140625" style="340" bestFit="1" customWidth="1"/>
    <col min="13837" max="13837" width="6.85546875" style="340" customWidth="1"/>
    <col min="13838" max="13838" width="7.140625" style="340" customWidth="1"/>
    <col min="13839" max="13839" width="10.42578125" style="340" customWidth="1"/>
    <col min="13840" max="13844" width="9.140625" style="340"/>
    <col min="13845" max="13845" width="22.140625" style="340" bestFit="1" customWidth="1"/>
    <col min="13846" max="13846" width="5.140625" style="340" bestFit="1" customWidth="1"/>
    <col min="13847" max="13847" width="7.140625" style="340" customWidth="1"/>
    <col min="13848" max="13848" width="11.42578125" style="340" customWidth="1"/>
    <col min="13849" max="13851" width="9.140625" style="340"/>
    <col min="13852" max="13852" width="9.85546875" style="340" customWidth="1"/>
    <col min="13853" max="13853" width="9.140625" style="340"/>
    <col min="13854" max="13854" width="22.28515625" style="340" customWidth="1"/>
    <col min="13855" max="13855" width="5.140625" style="340" bestFit="1" customWidth="1"/>
    <col min="13856" max="13856" width="6.85546875" style="340" customWidth="1"/>
    <col min="13857" max="13857" width="8.140625" style="340" bestFit="1" customWidth="1"/>
    <col min="13858" max="13858" width="9.140625" style="340"/>
    <col min="13859" max="13859" width="9.42578125" style="340" bestFit="1" customWidth="1"/>
    <col min="13860" max="13860" width="9.140625" style="340"/>
    <col min="13861" max="13861" width="10.5703125" style="340" customWidth="1"/>
    <col min="13862" max="13862" width="9.140625" style="340"/>
    <col min="13863" max="13863" width="22.140625" style="340" bestFit="1" customWidth="1"/>
    <col min="13864" max="13869" width="9.140625" style="340"/>
    <col min="13870" max="13870" width="38.7109375" style="340" customWidth="1"/>
    <col min="13871" max="13871" width="28" style="340" bestFit="1" customWidth="1"/>
    <col min="13872" max="13872" width="11.5703125" style="340" customWidth="1"/>
    <col min="13873" max="14091" width="9.140625" style="340"/>
    <col min="14092" max="14092" width="22.140625" style="340" bestFit="1" customWidth="1"/>
    <col min="14093" max="14093" width="6.85546875" style="340" customWidth="1"/>
    <col min="14094" max="14094" width="7.140625" style="340" customWidth="1"/>
    <col min="14095" max="14095" width="10.42578125" style="340" customWidth="1"/>
    <col min="14096" max="14100" width="9.140625" style="340"/>
    <col min="14101" max="14101" width="22.140625" style="340" bestFit="1" customWidth="1"/>
    <col min="14102" max="14102" width="5.140625" style="340" bestFit="1" customWidth="1"/>
    <col min="14103" max="14103" width="7.140625" style="340" customWidth="1"/>
    <col min="14104" max="14104" width="11.42578125" style="340" customWidth="1"/>
    <col min="14105" max="14107" width="9.140625" style="340"/>
    <col min="14108" max="14108" width="9.85546875" style="340" customWidth="1"/>
    <col min="14109" max="14109" width="9.140625" style="340"/>
    <col min="14110" max="14110" width="22.28515625" style="340" customWidth="1"/>
    <col min="14111" max="14111" width="5.140625" style="340" bestFit="1" customWidth="1"/>
    <col min="14112" max="14112" width="6.85546875" style="340" customWidth="1"/>
    <col min="14113" max="14113" width="8.140625" style="340" bestFit="1" customWidth="1"/>
    <col min="14114" max="14114" width="9.140625" style="340"/>
    <col min="14115" max="14115" width="9.42578125" style="340" bestFit="1" customWidth="1"/>
    <col min="14116" max="14116" width="9.140625" style="340"/>
    <col min="14117" max="14117" width="10.5703125" style="340" customWidth="1"/>
    <col min="14118" max="14118" width="9.140625" style="340"/>
    <col min="14119" max="14119" width="22.140625" style="340" bestFit="1" customWidth="1"/>
    <col min="14120" max="14125" width="9.140625" style="340"/>
    <col min="14126" max="14126" width="38.7109375" style="340" customWidth="1"/>
    <col min="14127" max="14127" width="28" style="340" bestFit="1" customWidth="1"/>
    <col min="14128" max="14128" width="11.5703125" style="340" customWidth="1"/>
    <col min="14129" max="14347" width="9.140625" style="340"/>
    <col min="14348" max="14348" width="22.140625" style="340" bestFit="1" customWidth="1"/>
    <col min="14349" max="14349" width="6.85546875" style="340" customWidth="1"/>
    <col min="14350" max="14350" width="7.140625" style="340" customWidth="1"/>
    <col min="14351" max="14351" width="10.42578125" style="340" customWidth="1"/>
    <col min="14352" max="14356" width="9.140625" style="340"/>
    <col min="14357" max="14357" width="22.140625" style="340" bestFit="1" customWidth="1"/>
    <col min="14358" max="14358" width="5.140625" style="340" bestFit="1" customWidth="1"/>
    <col min="14359" max="14359" width="7.140625" style="340" customWidth="1"/>
    <col min="14360" max="14360" width="11.42578125" style="340" customWidth="1"/>
    <col min="14361" max="14363" width="9.140625" style="340"/>
    <col min="14364" max="14364" width="9.85546875" style="340" customWidth="1"/>
    <col min="14365" max="14365" width="9.140625" style="340"/>
    <col min="14366" max="14366" width="22.28515625" style="340" customWidth="1"/>
    <col min="14367" max="14367" width="5.140625" style="340" bestFit="1" customWidth="1"/>
    <col min="14368" max="14368" width="6.85546875" style="340" customWidth="1"/>
    <col min="14369" max="14369" width="8.140625" style="340" bestFit="1" customWidth="1"/>
    <col min="14370" max="14370" width="9.140625" style="340"/>
    <col min="14371" max="14371" width="9.42578125" style="340" bestFit="1" customWidth="1"/>
    <col min="14372" max="14372" width="9.140625" style="340"/>
    <col min="14373" max="14373" width="10.5703125" style="340" customWidth="1"/>
    <col min="14374" max="14374" width="9.140625" style="340"/>
    <col min="14375" max="14375" width="22.140625" style="340" bestFit="1" customWidth="1"/>
    <col min="14376" max="14381" width="9.140625" style="340"/>
    <col min="14382" max="14382" width="38.7109375" style="340" customWidth="1"/>
    <col min="14383" max="14383" width="28" style="340" bestFit="1" customWidth="1"/>
    <col min="14384" max="14384" width="11.5703125" style="340" customWidth="1"/>
    <col min="14385" max="14603" width="9.140625" style="340"/>
    <col min="14604" max="14604" width="22.140625" style="340" bestFit="1" customWidth="1"/>
    <col min="14605" max="14605" width="6.85546875" style="340" customWidth="1"/>
    <col min="14606" max="14606" width="7.140625" style="340" customWidth="1"/>
    <col min="14607" max="14607" width="10.42578125" style="340" customWidth="1"/>
    <col min="14608" max="14612" width="9.140625" style="340"/>
    <col min="14613" max="14613" width="22.140625" style="340" bestFit="1" customWidth="1"/>
    <col min="14614" max="14614" width="5.140625" style="340" bestFit="1" customWidth="1"/>
    <col min="14615" max="14615" width="7.140625" style="340" customWidth="1"/>
    <col min="14616" max="14616" width="11.42578125" style="340" customWidth="1"/>
    <col min="14617" max="14619" width="9.140625" style="340"/>
    <col min="14620" max="14620" width="9.85546875" style="340" customWidth="1"/>
    <col min="14621" max="14621" width="9.140625" style="340"/>
    <col min="14622" max="14622" width="22.28515625" style="340" customWidth="1"/>
    <col min="14623" max="14623" width="5.140625" style="340" bestFit="1" customWidth="1"/>
    <col min="14624" max="14624" width="6.85546875" style="340" customWidth="1"/>
    <col min="14625" max="14625" width="8.140625" style="340" bestFit="1" customWidth="1"/>
    <col min="14626" max="14626" width="9.140625" style="340"/>
    <col min="14627" max="14627" width="9.42578125" style="340" bestFit="1" customWidth="1"/>
    <col min="14628" max="14628" width="9.140625" style="340"/>
    <col min="14629" max="14629" width="10.5703125" style="340" customWidth="1"/>
    <col min="14630" max="14630" width="9.140625" style="340"/>
    <col min="14631" max="14631" width="22.140625" style="340" bestFit="1" customWidth="1"/>
    <col min="14632" max="14637" width="9.140625" style="340"/>
    <col min="14638" max="14638" width="38.7109375" style="340" customWidth="1"/>
    <col min="14639" max="14639" width="28" style="340" bestFit="1" customWidth="1"/>
    <col min="14640" max="14640" width="11.5703125" style="340" customWidth="1"/>
    <col min="14641" max="14859" width="9.140625" style="340"/>
    <col min="14860" max="14860" width="22.140625" style="340" bestFit="1" customWidth="1"/>
    <col min="14861" max="14861" width="6.85546875" style="340" customWidth="1"/>
    <col min="14862" max="14862" width="7.140625" style="340" customWidth="1"/>
    <col min="14863" max="14863" width="10.42578125" style="340" customWidth="1"/>
    <col min="14864" max="14868" width="9.140625" style="340"/>
    <col min="14869" max="14869" width="22.140625" style="340" bestFit="1" customWidth="1"/>
    <col min="14870" max="14870" width="5.140625" style="340" bestFit="1" customWidth="1"/>
    <col min="14871" max="14871" width="7.140625" style="340" customWidth="1"/>
    <col min="14872" max="14872" width="11.42578125" style="340" customWidth="1"/>
    <col min="14873" max="14875" width="9.140625" style="340"/>
    <col min="14876" max="14876" width="9.85546875" style="340" customWidth="1"/>
    <col min="14877" max="14877" width="9.140625" style="340"/>
    <col min="14878" max="14878" width="22.28515625" style="340" customWidth="1"/>
    <col min="14879" max="14879" width="5.140625" style="340" bestFit="1" customWidth="1"/>
    <col min="14880" max="14880" width="6.85546875" style="340" customWidth="1"/>
    <col min="14881" max="14881" width="8.140625" style="340" bestFit="1" customWidth="1"/>
    <col min="14882" max="14882" width="9.140625" style="340"/>
    <col min="14883" max="14883" width="9.42578125" style="340" bestFit="1" customWidth="1"/>
    <col min="14884" max="14884" width="9.140625" style="340"/>
    <col min="14885" max="14885" width="10.5703125" style="340" customWidth="1"/>
    <col min="14886" max="14886" width="9.140625" style="340"/>
    <col min="14887" max="14887" width="22.140625" style="340" bestFit="1" customWidth="1"/>
    <col min="14888" max="14893" width="9.140625" style="340"/>
    <col min="14894" max="14894" width="38.7109375" style="340" customWidth="1"/>
    <col min="14895" max="14895" width="28" style="340" bestFit="1" customWidth="1"/>
    <col min="14896" max="14896" width="11.5703125" style="340" customWidth="1"/>
    <col min="14897" max="15115" width="9.140625" style="340"/>
    <col min="15116" max="15116" width="22.140625" style="340" bestFit="1" customWidth="1"/>
    <col min="15117" max="15117" width="6.85546875" style="340" customWidth="1"/>
    <col min="15118" max="15118" width="7.140625" style="340" customWidth="1"/>
    <col min="15119" max="15119" width="10.42578125" style="340" customWidth="1"/>
    <col min="15120" max="15124" width="9.140625" style="340"/>
    <col min="15125" max="15125" width="22.140625" style="340" bestFit="1" customWidth="1"/>
    <col min="15126" max="15126" width="5.140625" style="340" bestFit="1" customWidth="1"/>
    <col min="15127" max="15127" width="7.140625" style="340" customWidth="1"/>
    <col min="15128" max="15128" width="11.42578125" style="340" customWidth="1"/>
    <col min="15129" max="15131" width="9.140625" style="340"/>
    <col min="15132" max="15132" width="9.85546875" style="340" customWidth="1"/>
    <col min="15133" max="15133" width="9.140625" style="340"/>
    <col min="15134" max="15134" width="22.28515625" style="340" customWidth="1"/>
    <col min="15135" max="15135" width="5.140625" style="340" bestFit="1" customWidth="1"/>
    <col min="15136" max="15136" width="6.85546875" style="340" customWidth="1"/>
    <col min="15137" max="15137" width="8.140625" style="340" bestFit="1" customWidth="1"/>
    <col min="15138" max="15138" width="9.140625" style="340"/>
    <col min="15139" max="15139" width="9.42578125" style="340" bestFit="1" customWidth="1"/>
    <col min="15140" max="15140" width="9.140625" style="340"/>
    <col min="15141" max="15141" width="10.5703125" style="340" customWidth="1"/>
    <col min="15142" max="15142" width="9.140625" style="340"/>
    <col min="15143" max="15143" width="22.140625" style="340" bestFit="1" customWidth="1"/>
    <col min="15144" max="15149" width="9.140625" style="340"/>
    <col min="15150" max="15150" width="38.7109375" style="340" customWidth="1"/>
    <col min="15151" max="15151" width="28" style="340" bestFit="1" customWidth="1"/>
    <col min="15152" max="15152" width="11.5703125" style="340" customWidth="1"/>
    <col min="15153" max="15371" width="9.140625" style="340"/>
    <col min="15372" max="15372" width="22.140625" style="340" bestFit="1" customWidth="1"/>
    <col min="15373" max="15373" width="6.85546875" style="340" customWidth="1"/>
    <col min="15374" max="15374" width="7.140625" style="340" customWidth="1"/>
    <col min="15375" max="15375" width="10.42578125" style="340" customWidth="1"/>
    <col min="15376" max="15380" width="9.140625" style="340"/>
    <col min="15381" max="15381" width="22.140625" style="340" bestFit="1" customWidth="1"/>
    <col min="15382" max="15382" width="5.140625" style="340" bestFit="1" customWidth="1"/>
    <col min="15383" max="15383" width="7.140625" style="340" customWidth="1"/>
    <col min="15384" max="15384" width="11.42578125" style="340" customWidth="1"/>
    <col min="15385" max="15387" width="9.140625" style="340"/>
    <col min="15388" max="15388" width="9.85546875" style="340" customWidth="1"/>
    <col min="15389" max="15389" width="9.140625" style="340"/>
    <col min="15390" max="15390" width="22.28515625" style="340" customWidth="1"/>
    <col min="15391" max="15391" width="5.140625" style="340" bestFit="1" customWidth="1"/>
    <col min="15392" max="15392" width="6.85546875" style="340" customWidth="1"/>
    <col min="15393" max="15393" width="8.140625" style="340" bestFit="1" customWidth="1"/>
    <col min="15394" max="15394" width="9.140625" style="340"/>
    <col min="15395" max="15395" width="9.42578125" style="340" bestFit="1" customWidth="1"/>
    <col min="15396" max="15396" width="9.140625" style="340"/>
    <col min="15397" max="15397" width="10.5703125" style="340" customWidth="1"/>
    <col min="15398" max="15398" width="9.140625" style="340"/>
    <col min="15399" max="15399" width="22.140625" style="340" bestFit="1" customWidth="1"/>
    <col min="15400" max="15405" width="9.140625" style="340"/>
    <col min="15406" max="15406" width="38.7109375" style="340" customWidth="1"/>
    <col min="15407" max="15407" width="28" style="340" bestFit="1" customWidth="1"/>
    <col min="15408" max="15408" width="11.5703125" style="340" customWidth="1"/>
    <col min="15409" max="15627" width="9.140625" style="340"/>
    <col min="15628" max="15628" width="22.140625" style="340" bestFit="1" customWidth="1"/>
    <col min="15629" max="15629" width="6.85546875" style="340" customWidth="1"/>
    <col min="15630" max="15630" width="7.140625" style="340" customWidth="1"/>
    <col min="15631" max="15631" width="10.42578125" style="340" customWidth="1"/>
    <col min="15632" max="15636" width="9.140625" style="340"/>
    <col min="15637" max="15637" width="22.140625" style="340" bestFit="1" customWidth="1"/>
    <col min="15638" max="15638" width="5.140625" style="340" bestFit="1" customWidth="1"/>
    <col min="15639" max="15639" width="7.140625" style="340" customWidth="1"/>
    <col min="15640" max="15640" width="11.42578125" style="340" customWidth="1"/>
    <col min="15641" max="15643" width="9.140625" style="340"/>
    <col min="15644" max="15644" width="9.85546875" style="340" customWidth="1"/>
    <col min="15645" max="15645" width="9.140625" style="340"/>
    <col min="15646" max="15646" width="22.28515625" style="340" customWidth="1"/>
    <col min="15647" max="15647" width="5.140625" style="340" bestFit="1" customWidth="1"/>
    <col min="15648" max="15648" width="6.85546875" style="340" customWidth="1"/>
    <col min="15649" max="15649" width="8.140625" style="340" bestFit="1" customWidth="1"/>
    <col min="15650" max="15650" width="9.140625" style="340"/>
    <col min="15651" max="15651" width="9.42578125" style="340" bestFit="1" customWidth="1"/>
    <col min="15652" max="15652" width="9.140625" style="340"/>
    <col min="15653" max="15653" width="10.5703125" style="340" customWidth="1"/>
    <col min="15654" max="15654" width="9.140625" style="340"/>
    <col min="15655" max="15655" width="22.140625" style="340" bestFit="1" customWidth="1"/>
    <col min="15656" max="15661" width="9.140625" style="340"/>
    <col min="15662" max="15662" width="38.7109375" style="340" customWidth="1"/>
    <col min="15663" max="15663" width="28" style="340" bestFit="1" customWidth="1"/>
    <col min="15664" max="15664" width="11.5703125" style="340" customWidth="1"/>
    <col min="15665" max="15883" width="9.140625" style="340"/>
    <col min="15884" max="15884" width="22.140625" style="340" bestFit="1" customWidth="1"/>
    <col min="15885" max="15885" width="6.85546875" style="340" customWidth="1"/>
    <col min="15886" max="15886" width="7.140625" style="340" customWidth="1"/>
    <col min="15887" max="15887" width="10.42578125" style="340" customWidth="1"/>
    <col min="15888" max="15892" width="9.140625" style="340"/>
    <col min="15893" max="15893" width="22.140625" style="340" bestFit="1" customWidth="1"/>
    <col min="15894" max="15894" width="5.140625" style="340" bestFit="1" customWidth="1"/>
    <col min="15895" max="15895" width="7.140625" style="340" customWidth="1"/>
    <col min="15896" max="15896" width="11.42578125" style="340" customWidth="1"/>
    <col min="15897" max="15899" width="9.140625" style="340"/>
    <col min="15900" max="15900" width="9.85546875" style="340" customWidth="1"/>
    <col min="15901" max="15901" width="9.140625" style="340"/>
    <col min="15902" max="15902" width="22.28515625" style="340" customWidth="1"/>
    <col min="15903" max="15903" width="5.140625" style="340" bestFit="1" customWidth="1"/>
    <col min="15904" max="15904" width="6.85546875" style="340" customWidth="1"/>
    <col min="15905" max="15905" width="8.140625" style="340" bestFit="1" customWidth="1"/>
    <col min="15906" max="15906" width="9.140625" style="340"/>
    <col min="15907" max="15907" width="9.42578125" style="340" bestFit="1" customWidth="1"/>
    <col min="15908" max="15908" width="9.140625" style="340"/>
    <col min="15909" max="15909" width="10.5703125" style="340" customWidth="1"/>
    <col min="15910" max="15910" width="9.140625" style="340"/>
    <col min="15911" max="15911" width="22.140625" style="340" bestFit="1" customWidth="1"/>
    <col min="15912" max="15917" width="9.140625" style="340"/>
    <col min="15918" max="15918" width="38.7109375" style="340" customWidth="1"/>
    <col min="15919" max="15919" width="28" style="340" bestFit="1" customWidth="1"/>
    <col min="15920" max="15920" width="11.5703125" style="340" customWidth="1"/>
    <col min="15921" max="16139" width="9.140625" style="340"/>
    <col min="16140" max="16140" width="22.140625" style="340" bestFit="1" customWidth="1"/>
    <col min="16141" max="16141" width="6.85546875" style="340" customWidth="1"/>
    <col min="16142" max="16142" width="7.140625" style="340" customWidth="1"/>
    <col min="16143" max="16143" width="10.42578125" style="340" customWidth="1"/>
    <col min="16144" max="16148" width="9.140625" style="340"/>
    <col min="16149" max="16149" width="22.140625" style="340" bestFit="1" customWidth="1"/>
    <col min="16150" max="16150" width="5.140625" style="340" bestFit="1" customWidth="1"/>
    <col min="16151" max="16151" width="7.140625" style="340" customWidth="1"/>
    <col min="16152" max="16152" width="11.42578125" style="340" customWidth="1"/>
    <col min="16153" max="16155" width="9.140625" style="340"/>
    <col min="16156" max="16156" width="9.85546875" style="340" customWidth="1"/>
    <col min="16157" max="16157" width="9.140625" style="340"/>
    <col min="16158" max="16158" width="22.28515625" style="340" customWidth="1"/>
    <col min="16159" max="16159" width="5.140625" style="340" bestFit="1" customWidth="1"/>
    <col min="16160" max="16160" width="6.85546875" style="340" customWidth="1"/>
    <col min="16161" max="16161" width="8.140625" style="340" bestFit="1" customWidth="1"/>
    <col min="16162" max="16162" width="9.140625" style="340"/>
    <col min="16163" max="16163" width="9.42578125" style="340" bestFit="1" customWidth="1"/>
    <col min="16164" max="16164" width="9.140625" style="340"/>
    <col min="16165" max="16165" width="10.5703125" style="340" customWidth="1"/>
    <col min="16166" max="16166" width="9.140625" style="340"/>
    <col min="16167" max="16167" width="22.140625" style="340" bestFit="1" customWidth="1"/>
    <col min="16168" max="16173" width="9.140625" style="340"/>
    <col min="16174" max="16174" width="38.7109375" style="340" customWidth="1"/>
    <col min="16175" max="16175" width="28" style="340" bestFit="1" customWidth="1"/>
    <col min="16176" max="16176" width="11.5703125" style="340" customWidth="1"/>
    <col min="16177" max="16384" width="9.140625" style="340"/>
  </cols>
  <sheetData>
    <row r="1" spans="2:46" ht="12.75" customHeight="1" x14ac:dyDescent="0.2">
      <c r="L1" s="1493"/>
      <c r="M1" s="1494"/>
      <c r="N1" s="1494"/>
      <c r="O1" s="1494"/>
      <c r="P1" s="1494"/>
      <c r="Q1" s="1494"/>
      <c r="R1" s="1495"/>
    </row>
    <row r="2" spans="2:46" ht="12.75" customHeight="1" x14ac:dyDescent="0.2">
      <c r="L2" s="1496"/>
      <c r="M2" s="1497"/>
      <c r="N2" s="1497"/>
      <c r="O2" s="1497"/>
      <c r="P2" s="1497"/>
      <c r="Q2" s="1497"/>
      <c r="R2" s="1498"/>
    </row>
    <row r="4" spans="2:46" ht="13.5" thickBot="1" x14ac:dyDescent="0.25"/>
    <row r="5" spans="2:46" ht="15.75" customHeight="1" thickBot="1" x14ac:dyDescent="0.3">
      <c r="H5" s="1795" t="s">
        <v>365</v>
      </c>
      <c r="I5" s="1796"/>
      <c r="J5" s="1796"/>
      <c r="K5" s="1797"/>
      <c r="L5" s="319"/>
      <c r="M5" s="1795" t="s">
        <v>364</v>
      </c>
      <c r="N5" s="1796"/>
      <c r="O5" s="1796"/>
      <c r="P5" s="1797"/>
      <c r="Q5" s="319"/>
      <c r="R5" s="1795" t="s">
        <v>363</v>
      </c>
      <c r="S5" s="1796"/>
      <c r="T5" s="1796"/>
      <c r="U5" s="1797"/>
      <c r="V5" s="319"/>
      <c r="W5" s="1795" t="s">
        <v>362</v>
      </c>
      <c r="X5" s="1796"/>
      <c r="Y5" s="1796"/>
      <c r="Z5" s="1797"/>
      <c r="AA5" s="319"/>
      <c r="AB5" s="1795" t="s">
        <v>361</v>
      </c>
      <c r="AC5" s="1796"/>
      <c r="AD5" s="1796"/>
      <c r="AE5" s="1797"/>
      <c r="AF5" s="319"/>
      <c r="AG5" s="1795" t="s">
        <v>360</v>
      </c>
      <c r="AH5" s="1798"/>
      <c r="AI5" s="1798"/>
      <c r="AJ5" s="1799"/>
      <c r="AK5" s="319"/>
      <c r="AL5" s="1795" t="s">
        <v>359</v>
      </c>
      <c r="AM5" s="1796"/>
      <c r="AN5" s="1796"/>
      <c r="AO5" s="1797"/>
      <c r="AP5" s="319"/>
      <c r="AQ5" s="1795" t="s">
        <v>358</v>
      </c>
      <c r="AR5" s="1796"/>
      <c r="AS5" s="1796"/>
      <c r="AT5" s="1797"/>
    </row>
    <row r="6" spans="2:46" ht="15.75" customHeight="1" x14ac:dyDescent="0.25">
      <c r="H6" s="298"/>
      <c r="I6" s="319" t="s">
        <v>331</v>
      </c>
      <c r="J6" s="308" t="s">
        <v>334</v>
      </c>
      <c r="K6" s="918" t="s">
        <v>579</v>
      </c>
      <c r="L6" s="856"/>
      <c r="M6" s="298"/>
      <c r="N6" s="319" t="s">
        <v>331</v>
      </c>
      <c r="O6" s="308" t="s">
        <v>334</v>
      </c>
      <c r="P6" s="918" t="s">
        <v>579</v>
      </c>
      <c r="Q6" s="309"/>
      <c r="R6" s="298"/>
      <c r="S6" s="319" t="s">
        <v>331</v>
      </c>
      <c r="T6" s="308" t="s">
        <v>334</v>
      </c>
      <c r="U6" s="918" t="s">
        <v>579</v>
      </c>
      <c r="V6" s="309"/>
      <c r="W6" s="298"/>
      <c r="X6" s="319" t="s">
        <v>331</v>
      </c>
      <c r="Y6" s="308" t="s">
        <v>334</v>
      </c>
      <c r="Z6" s="918" t="s">
        <v>579</v>
      </c>
      <c r="AA6" s="309"/>
      <c r="AB6" s="298"/>
      <c r="AC6" s="319" t="s">
        <v>331</v>
      </c>
      <c r="AD6" s="308" t="s">
        <v>334</v>
      </c>
      <c r="AE6" s="918" t="s">
        <v>579</v>
      </c>
      <c r="AF6" s="309"/>
      <c r="AG6" s="298"/>
      <c r="AH6" s="319" t="s">
        <v>331</v>
      </c>
      <c r="AI6" s="308" t="s">
        <v>334</v>
      </c>
      <c r="AJ6" s="918" t="s">
        <v>579</v>
      </c>
      <c r="AK6" s="309"/>
      <c r="AL6" s="298"/>
      <c r="AM6" s="319" t="s">
        <v>331</v>
      </c>
      <c r="AN6" s="308" t="s">
        <v>334</v>
      </c>
      <c r="AO6" s="918" t="s">
        <v>579</v>
      </c>
      <c r="AP6" s="309"/>
      <c r="AQ6" s="127"/>
      <c r="AR6" s="319" t="s">
        <v>331</v>
      </c>
      <c r="AS6" s="308" t="s">
        <v>334</v>
      </c>
      <c r="AT6" s="918" t="s">
        <v>579</v>
      </c>
    </row>
    <row r="7" spans="2:46" ht="15.75" thickBot="1" x14ac:dyDescent="0.3">
      <c r="G7" s="340">
        <v>1</v>
      </c>
      <c r="H7" s="879" t="str">
        <f>IF(INDEX('Master Lookup'!$B$300:$B$307,G7)=0,"",INDEX('Master Lookup'!$B$300:$B$307,G7))</f>
        <v>Management</v>
      </c>
      <c r="I7" s="1136">
        <f>'M2024 BLS SALARY CHART (53_PCT)'!C22</f>
        <v>81486.911999999997</v>
      </c>
      <c r="J7" s="913">
        <f>IFERROR(INDEX('Master Lookup'!$E$354:$E$358,MATCH(H7,'Master Lookup'!$B$354:$B$358,0)),"")</f>
        <v>0.20793500000000001</v>
      </c>
      <c r="K7" s="614">
        <f>I7*J7</f>
        <v>16943.98104672</v>
      </c>
      <c r="L7" s="616"/>
      <c r="M7" s="879" t="str">
        <f>IF(INDEX('Master Lookup'!$B$300:$B$307,G7)=0,"",INDEX('Master Lookup'!$B$300:$B$307,G7))</f>
        <v>Management</v>
      </c>
      <c r="N7" s="1136">
        <f>I7</f>
        <v>81486.911999999997</v>
      </c>
      <c r="O7" s="913">
        <f>IFERROR(INDEX('Master Lookup'!$F$354:$F$358,MATCH(M7,'Master Lookup'!$B$354:$B$358,0)),"")</f>
        <v>0.20793500000000001</v>
      </c>
      <c r="P7" s="614">
        <f>N7*O7</f>
        <v>16943.98104672</v>
      </c>
      <c r="Q7" s="616"/>
      <c r="R7" s="879" t="str">
        <f>IF(INDEX('Master Lookup'!$B$300:$B$307,G7)=0,"",INDEX('Master Lookup'!$B$300:$B$307,G7))</f>
        <v>Management</v>
      </c>
      <c r="S7" s="1136">
        <f>N7</f>
        <v>81486.911999999997</v>
      </c>
      <c r="T7" s="1601">
        <f>IFERROR(INDEX('Master Lookup'!$G$354:$G$358,MATCH(R7,'Master Lookup'!$B$354:$B$358,0)),"")</f>
        <v>0.45454499999999998</v>
      </c>
      <c r="U7" s="614">
        <f>S7*T7</f>
        <v>37039.468415039999</v>
      </c>
      <c r="V7" s="616"/>
      <c r="W7" s="916" t="s">
        <v>330</v>
      </c>
      <c r="X7" s="1318">
        <f>S7</f>
        <v>81486.911999999997</v>
      </c>
      <c r="Y7" s="913">
        <f>IFERROR(INDEX('Master Lookup'!$H$354:$H$358,MATCH(W7,'Master Lookup'!$B$354:$B$358,0)),"")</f>
        <v>0.17141010000000001</v>
      </c>
      <c r="Z7" s="614">
        <f>X7*Y7</f>
        <v>13967.6797346112</v>
      </c>
      <c r="AA7" s="616"/>
      <c r="AB7" s="916" t="s">
        <v>330</v>
      </c>
      <c r="AC7" s="1318">
        <f>X7</f>
        <v>81486.911999999997</v>
      </c>
      <c r="AD7" s="913">
        <f>IFERROR(INDEX('Master Lookup'!$I$354:$I$358,MATCH(AB7,'Master Lookup'!$B$354:$B$358,0)),"")</f>
        <v>0.57834859999999999</v>
      </c>
      <c r="AE7" s="614">
        <f>AC7*AD7</f>
        <v>47127.8414735232</v>
      </c>
      <c r="AF7" s="616"/>
      <c r="AG7" s="916" t="s">
        <v>330</v>
      </c>
      <c r="AH7" s="1318">
        <f>AC7</f>
        <v>81486.911999999997</v>
      </c>
      <c r="AI7" s="913">
        <f>IFERROR(INDEX('Master Lookup'!$J$354:$J$358,MATCH(AG7,'Master Lookup'!$B$354:$B$358,0)),"")</f>
        <v>0.69090910000000005</v>
      </c>
      <c r="AJ7" s="614">
        <f>AH7*AI7</f>
        <v>56300.0490316992</v>
      </c>
      <c r="AK7" s="616"/>
      <c r="AL7" s="916" t="s">
        <v>330</v>
      </c>
      <c r="AM7" s="1318">
        <f>AH7</f>
        <v>81486.911999999997</v>
      </c>
      <c r="AN7" s="913">
        <f>IFERROR(INDEX('Master Lookup'!$K$354:$K$358,MATCH(AL7,'Master Lookup'!$B$354:$B$358,0)),"")</f>
        <v>0.54186582999999999</v>
      </c>
      <c r="AO7" s="614">
        <f>AM7*AN7</f>
        <v>44154.973205016955</v>
      </c>
      <c r="AP7" s="616"/>
      <c r="AQ7" s="916" t="s">
        <v>330</v>
      </c>
      <c r="AR7" s="1318">
        <f>AM7</f>
        <v>81486.911999999997</v>
      </c>
      <c r="AS7" s="913">
        <f>IFERROR(INDEX('Master Lookup'!$L$354:$L$358,MATCH(AQ7,'Master Lookup'!$B$354:$B$358,0)),"")</f>
        <v>0.56619470000000005</v>
      </c>
      <c r="AT7" s="614">
        <f>AR7*AS7</f>
        <v>46137.457693766402</v>
      </c>
    </row>
    <row r="8" spans="2:46" ht="15" x14ac:dyDescent="0.25">
      <c r="B8" s="1786" t="s">
        <v>796</v>
      </c>
      <c r="C8" s="1787"/>
      <c r="D8" s="1787"/>
      <c r="E8" s="1788"/>
      <c r="G8" s="340">
        <v>2</v>
      </c>
      <c r="H8" s="916" t="s">
        <v>345</v>
      </c>
      <c r="I8" s="1136">
        <f>'M2024 BLS SALARY CHART (53_PCT)'!C14</f>
        <v>75175.152000000002</v>
      </c>
      <c r="J8" s="913">
        <f>IFERROR(INDEX('Master Lookup'!$E$354:$E$358,MATCH(H8,'Master Lookup'!$B$354:$B$358,0)),"")</f>
        <v>0.45</v>
      </c>
      <c r="K8" s="614">
        <f>I8*J8</f>
        <v>33828.818400000004</v>
      </c>
      <c r="L8" s="616"/>
      <c r="M8" s="916" t="s">
        <v>345</v>
      </c>
      <c r="N8" s="1136">
        <f t="shared" ref="N8:N10" si="0">I8</f>
        <v>75175.152000000002</v>
      </c>
      <c r="O8" s="913">
        <f>IFERROR(INDEX('Master Lookup'!$F$354:$F$358,MATCH(M8,'Master Lookup'!$B$354:$B$358,0)),"")</f>
        <v>0.7</v>
      </c>
      <c r="P8" s="614">
        <f>N8*O8</f>
        <v>52622.606399999997</v>
      </c>
      <c r="Q8" s="616"/>
      <c r="R8" s="879" t="s">
        <v>357</v>
      </c>
      <c r="S8" s="1136">
        <f>'M2024 BLS SALARY CHART (53_PCT)'!C18</f>
        <v>84174.063999999998</v>
      </c>
      <c r="T8" s="913">
        <f>IFERROR(INDEX('Master Lookup'!$G$354:$G$358,MATCH(R8,'Master Lookup'!$B$354:$B$358,0)),"")</f>
        <v>0.65</v>
      </c>
      <c r="U8" s="614">
        <f>S8*T8</f>
        <v>54713.141600000003</v>
      </c>
      <c r="V8" s="616"/>
      <c r="W8" s="916" t="s">
        <v>357</v>
      </c>
      <c r="X8" s="1318">
        <f t="shared" ref="X8:X10" si="1">S8</f>
        <v>84174.063999999998</v>
      </c>
      <c r="Y8" s="913">
        <f>IFERROR(INDEX('Master Lookup'!$H$354:$H$358,MATCH(W8,'Master Lookup'!$B$354:$B$358,0)),"")</f>
        <v>0.52</v>
      </c>
      <c r="Z8" s="614">
        <f>X8*Y8</f>
        <v>43770.513279999999</v>
      </c>
      <c r="AA8" s="616"/>
      <c r="AB8" s="916" t="s">
        <v>357</v>
      </c>
      <c r="AC8" s="1318">
        <f>X8</f>
        <v>84174.063999999998</v>
      </c>
      <c r="AD8" s="913">
        <f>IFERROR(INDEX('Master Lookup'!$I$354:$I$358,MATCH(AB8,'Master Lookup'!$B$354:$B$358,0)),"")</f>
        <v>1.02</v>
      </c>
      <c r="AE8" s="614">
        <f>AC8*AD8</f>
        <v>85857.545280000006</v>
      </c>
      <c r="AF8" s="616"/>
      <c r="AG8" s="916" t="s">
        <v>357</v>
      </c>
      <c r="AH8" s="1318">
        <f t="shared" ref="AH8:AH9" si="2">AC8</f>
        <v>84174.063999999998</v>
      </c>
      <c r="AI8" s="913">
        <f>IFERROR(INDEX('Master Lookup'!$J$354:$J$358,MATCH(AG8,'Master Lookup'!$B$354:$B$358,0)),"")</f>
        <v>1.0900000000000001</v>
      </c>
      <c r="AJ8" s="614">
        <f>AH8*AI8</f>
        <v>91749.729760000002</v>
      </c>
      <c r="AK8" s="616"/>
      <c r="AL8" s="916" t="s">
        <v>357</v>
      </c>
      <c r="AM8" s="1318">
        <f t="shared" ref="AM8:AM10" si="3">AH8</f>
        <v>84174.063999999998</v>
      </c>
      <c r="AN8" s="913">
        <f>IFERROR(INDEX('Master Lookup'!$K$354:$K$358,MATCH(AL8,'Master Lookup'!$B$354:$B$358,0)),"")</f>
        <v>1.47</v>
      </c>
      <c r="AO8" s="614">
        <f>AM8*AN8</f>
        <v>123735.87407999999</v>
      </c>
      <c r="AP8" s="616"/>
      <c r="AQ8" s="916" t="s">
        <v>357</v>
      </c>
      <c r="AR8" s="1318">
        <f t="shared" ref="AR8:AR10" si="4">AM8</f>
        <v>84174.063999999998</v>
      </c>
      <c r="AS8" s="913">
        <f>IFERROR(INDEX('Master Lookup'!$L$354:$L$358,MATCH(AQ8,'Master Lookup'!$B$354:$B$358,0)),"")</f>
        <v>1.0900000000000001</v>
      </c>
      <c r="AT8" s="614">
        <f>AR8*AS8</f>
        <v>91749.729760000002</v>
      </c>
    </row>
    <row r="9" spans="2:46" ht="15" x14ac:dyDescent="0.25">
      <c r="B9" s="1789"/>
      <c r="C9" s="1790"/>
      <c r="D9" s="1790"/>
      <c r="E9" s="1791"/>
      <c r="G9" s="340">
        <v>3</v>
      </c>
      <c r="H9" s="915" t="s">
        <v>344</v>
      </c>
      <c r="I9" s="1136">
        <f>'M2024 BLS SALARY CHART (53_PCT)'!C8</f>
        <v>56388.633600000001</v>
      </c>
      <c r="J9" s="913">
        <f>IFERROR(INDEX('Master Lookup'!$E$354:$E$358,MATCH(H9,'Master Lookup'!$B$354:$B$358,0)),"")</f>
        <v>0.95</v>
      </c>
      <c r="K9" s="614">
        <f>I9*J9</f>
        <v>53569.20192</v>
      </c>
      <c r="L9" s="616"/>
      <c r="M9" s="915" t="s">
        <v>344</v>
      </c>
      <c r="N9" s="1136">
        <f t="shared" si="0"/>
        <v>56388.633600000001</v>
      </c>
      <c r="O9" s="913">
        <f>IFERROR(INDEX('Master Lookup'!$F$354:$F$358,MATCH(M9,'Master Lookup'!$B$354:$B$358,0)),"")</f>
        <v>1.62</v>
      </c>
      <c r="P9" s="614">
        <f>N9*O9</f>
        <v>91349.586432000011</v>
      </c>
      <c r="Q9" s="616"/>
      <c r="R9" s="916" t="s">
        <v>345</v>
      </c>
      <c r="S9" s="1136">
        <f>N8</f>
        <v>75175.152000000002</v>
      </c>
      <c r="T9" s="913">
        <f>IFERROR(INDEX('Master Lookup'!$G$354:$G$358,MATCH(R9,'Master Lookup'!$B$354:$B$358,0)),"")</f>
        <v>0.64</v>
      </c>
      <c r="U9" s="614">
        <f>S9*T9</f>
        <v>48112.097280000002</v>
      </c>
      <c r="V9" s="616"/>
      <c r="W9" s="916" t="s">
        <v>345</v>
      </c>
      <c r="X9" s="1318">
        <f t="shared" si="1"/>
        <v>75175.152000000002</v>
      </c>
      <c r="Y9" s="913">
        <f>IFERROR(INDEX('Master Lookup'!$H$354:$H$358,MATCH(W9,'Master Lookup'!$B$354:$B$358,0)),"")</f>
        <v>0.51</v>
      </c>
      <c r="Z9" s="614">
        <f>X9*Y9</f>
        <v>38339.327519999999</v>
      </c>
      <c r="AA9" s="616"/>
      <c r="AB9" s="916" t="s">
        <v>345</v>
      </c>
      <c r="AC9" s="1318">
        <f>X9</f>
        <v>75175.152000000002</v>
      </c>
      <c r="AD9" s="913">
        <f>IFERROR(INDEX('Master Lookup'!$I$354:$I$358,MATCH(AB9,'Master Lookup'!$B$354:$B$358,0)),"")</f>
        <v>1.02</v>
      </c>
      <c r="AE9" s="614">
        <f>AC9*AD9</f>
        <v>76678.655039999998</v>
      </c>
      <c r="AF9" s="616"/>
      <c r="AG9" s="916" t="s">
        <v>345</v>
      </c>
      <c r="AH9" s="1318">
        <f t="shared" si="2"/>
        <v>75175.152000000002</v>
      </c>
      <c r="AI9" s="913">
        <f>IFERROR(INDEX('Master Lookup'!$J$354:$J$358,MATCH(AG9,'Master Lookup'!$B$354:$B$358,0)),"")</f>
        <v>1.0900000000000001</v>
      </c>
      <c r="AJ9" s="614">
        <f>AH9*AI9</f>
        <v>81940.915680000006</v>
      </c>
      <c r="AK9" s="616"/>
      <c r="AL9" s="916" t="s">
        <v>345</v>
      </c>
      <c r="AM9" s="1318">
        <f t="shared" si="3"/>
        <v>75175.152000000002</v>
      </c>
      <c r="AN9" s="913">
        <f>IFERROR(INDEX('Master Lookup'!$K$354:$K$358,MATCH(AL9,'Master Lookup'!$B$354:$B$358,0)),"")</f>
        <v>1.48</v>
      </c>
      <c r="AO9" s="614">
        <f>AM9*AN9</f>
        <v>111259.22496000001</v>
      </c>
      <c r="AP9" s="616"/>
      <c r="AQ9" s="916" t="s">
        <v>345</v>
      </c>
      <c r="AR9" s="1318">
        <f t="shared" si="4"/>
        <v>75175.152000000002</v>
      </c>
      <c r="AS9" s="913">
        <f>IFERROR(INDEX('Master Lookup'!$L$354:$L$358,MATCH(AQ9,'Master Lookup'!$B$354:$B$358,0)),"")</f>
        <v>1.0900000000000001</v>
      </c>
      <c r="AT9" s="614">
        <f>AR9*AS9</f>
        <v>81940.915680000006</v>
      </c>
    </row>
    <row r="10" spans="2:46" ht="15.75" thickBot="1" x14ac:dyDescent="0.3">
      <c r="B10" s="1792"/>
      <c r="C10" s="1793"/>
      <c r="D10" s="1793"/>
      <c r="E10" s="1794"/>
      <c r="G10" s="340">
        <v>4</v>
      </c>
      <c r="H10" s="915" t="s">
        <v>355</v>
      </c>
      <c r="I10" s="1136">
        <f>'M2024 BLS SALARY CHART (53_PCT)'!C6</f>
        <v>46842.432000000008</v>
      </c>
      <c r="J10" s="913">
        <f>IFERROR(INDEX('Master Lookup'!$E$354:$E$358,MATCH(H10,'Master Lookup'!$B$354:$B$358,0)),"")</f>
        <v>0.13539999999999999</v>
      </c>
      <c r="K10" s="614">
        <f>I10*J10</f>
        <v>6342.4652928000005</v>
      </c>
      <c r="L10" s="616"/>
      <c r="M10" s="915" t="s">
        <v>355</v>
      </c>
      <c r="N10" s="1136">
        <f t="shared" si="0"/>
        <v>46842.432000000008</v>
      </c>
      <c r="O10" s="913">
        <f>IFERROR(INDEX('Master Lookup'!$F$354:$F$358,MATCH(M10,'Master Lookup'!$B$354:$B$358,0)),"")</f>
        <v>0.13539999999999999</v>
      </c>
      <c r="P10" s="614">
        <f>N10*O10</f>
        <v>6342.4652928000005</v>
      </c>
      <c r="Q10" s="616"/>
      <c r="R10" s="915" t="s">
        <v>344</v>
      </c>
      <c r="S10" s="1136">
        <f>N9</f>
        <v>56388.633600000001</v>
      </c>
      <c r="T10" s="913">
        <f>IFERROR(INDEX('Master Lookup'!$G$354:$G$358,MATCH(R10,'Master Lookup'!$B$354:$B$358,0)),"")</f>
        <v>1.05</v>
      </c>
      <c r="U10" s="614">
        <f>S10*T10</f>
        <v>59208.065280000003</v>
      </c>
      <c r="V10" s="616"/>
      <c r="W10" s="915" t="s">
        <v>344</v>
      </c>
      <c r="X10" s="1318">
        <f t="shared" si="1"/>
        <v>56388.633600000001</v>
      </c>
      <c r="Y10" s="913">
        <f>IFERROR(INDEX('Master Lookup'!$H$354:$H$358,MATCH(W10,'Master Lookup'!$B$354:$B$358,0)),"")</f>
        <v>1.91</v>
      </c>
      <c r="Z10" s="614">
        <f>X10*Y10</f>
        <v>107702.29017599999</v>
      </c>
      <c r="AA10" s="616"/>
      <c r="AB10" s="915" t="s">
        <v>344</v>
      </c>
      <c r="AC10" s="914"/>
      <c r="AD10" s="913"/>
      <c r="AE10" s="614"/>
      <c r="AF10" s="616"/>
      <c r="AG10" s="915" t="s">
        <v>344</v>
      </c>
      <c r="AH10" s="1318">
        <f>X10</f>
        <v>56388.633600000001</v>
      </c>
      <c r="AI10" s="913">
        <f>IFERROR(INDEX('Master Lookup'!$J$354:$J$358,MATCH(AG10,'Master Lookup'!$B$354:$B$358,0)),"")</f>
        <v>1.21</v>
      </c>
      <c r="AJ10" s="614">
        <f>AH10*AI10</f>
        <v>68230.246656000003</v>
      </c>
      <c r="AK10" s="616"/>
      <c r="AL10" s="915" t="s">
        <v>344</v>
      </c>
      <c r="AM10" s="1318">
        <f t="shared" si="3"/>
        <v>56388.633600000001</v>
      </c>
      <c r="AN10" s="913">
        <f>IFERROR(INDEX('Master Lookup'!$K$354:$K$358,MATCH(AL10,'Master Lookup'!$B$354:$B$358,0)),"")</f>
        <v>3.79</v>
      </c>
      <c r="AO10" s="614">
        <f>AM10*AN10</f>
        <v>213712.921344</v>
      </c>
      <c r="AP10" s="616"/>
      <c r="AQ10" s="915" t="s">
        <v>344</v>
      </c>
      <c r="AR10" s="1318">
        <f t="shared" si="4"/>
        <v>56388.633600000001</v>
      </c>
      <c r="AS10" s="913">
        <f>IFERROR(INDEX('Master Lookup'!$L$354:$L$358,MATCH(AQ10,'Master Lookup'!$B$354:$B$358,0)),"")</f>
        <v>2.39</v>
      </c>
      <c r="AT10" s="614">
        <f>AR10*AS10</f>
        <v>134768.83430400002</v>
      </c>
    </row>
    <row r="11" spans="2:46" ht="15" hidden="1" x14ac:dyDescent="0.25">
      <c r="G11" s="340">
        <v>5</v>
      </c>
      <c r="H11" s="909"/>
      <c r="I11" s="912"/>
      <c r="J11" s="907"/>
      <c r="K11" s="906"/>
      <c r="L11" s="616"/>
      <c r="M11" s="909"/>
      <c r="N11" s="908"/>
      <c r="O11" s="907"/>
      <c r="P11" s="906"/>
      <c r="Q11" s="616"/>
      <c r="R11" s="915" t="s">
        <v>355</v>
      </c>
      <c r="S11" s="914">
        <f>IFERROR(INDEX('Master Lookup'!$D$354:$D$358,MATCH(R11,'Master Lookup'!$B$354:$B$358,0)),"")</f>
        <v>41600</v>
      </c>
      <c r="T11" s="913">
        <f>IFERROR(INDEX('Master Lookup'!$G$354:$G$358,MATCH(R11,'Master Lookup'!$B$354:$B$358,0)),"")</f>
        <v>0.25</v>
      </c>
      <c r="U11" s="614">
        <f>S11*T11</f>
        <v>10400</v>
      </c>
      <c r="V11" s="616"/>
      <c r="W11" s="915" t="s">
        <v>355</v>
      </c>
      <c r="X11" s="914">
        <f>IFERROR(INDEX('Master Lookup'!$D$354:$D$358,MATCH(W11,'Master Lookup'!$B$354:$B$358,0)),"")</f>
        <v>41600</v>
      </c>
      <c r="Y11" s="913">
        <f>IFERROR(INDEX('Master Lookup'!$H$354:$H$358,MATCH(W11,'Master Lookup'!$B$354:$B$358,0)),"")</f>
        <v>0.1656</v>
      </c>
      <c r="Z11" s="614">
        <f>X11*Y11</f>
        <v>6888.96</v>
      </c>
      <c r="AA11" s="616"/>
      <c r="AB11" s="915" t="s">
        <v>355</v>
      </c>
      <c r="AC11" s="914">
        <f>IFERROR(INDEX('Master Lookup'!$D$354:$D$358,MATCH(AB11,'Master Lookup'!$B$354:$B$358,0)),"")</f>
        <v>41600</v>
      </c>
      <c r="AD11" s="913">
        <f>IFERROR(INDEX('Master Lookup'!$I$354:$I$358,MATCH(AB11,'Master Lookup'!$B$354:$B$358,0)),"")</f>
        <v>0.13059999999999999</v>
      </c>
      <c r="AE11" s="614">
        <f>AC11*AD11</f>
        <v>5432.96</v>
      </c>
      <c r="AF11" s="616"/>
      <c r="AG11" s="915" t="s">
        <v>355</v>
      </c>
      <c r="AH11" s="914">
        <f>IFERROR(INDEX('Master Lookup'!$D$354:$D$358,MATCH(AG11,'Master Lookup'!$B$354:$B$358,0)),"")</f>
        <v>41600</v>
      </c>
      <c r="AI11" s="913">
        <f>IFERROR(INDEX('Master Lookup'!$J$354:$J$358,MATCH(AG11,'Master Lookup'!$B$354:$B$358,0)),"")</f>
        <v>0.2049</v>
      </c>
      <c r="AJ11" s="614">
        <f>AI11*AH11</f>
        <v>8523.84</v>
      </c>
      <c r="AK11" s="616"/>
      <c r="AL11" s="915" t="s">
        <v>355</v>
      </c>
      <c r="AM11" s="914">
        <f>IFERROR(INDEX('Master Lookup'!$D$354:$D$358,MATCH(AL11,'Master Lookup'!$B$354:$B$358,0)),"")</f>
        <v>41600</v>
      </c>
      <c r="AN11" s="913">
        <f>IFERROR(INDEX('Master Lookup'!$K$354:$K$358,MATCH(AL11,'Master Lookup'!$B$354:$B$358,0)),"")</f>
        <v>0.33460000000000001</v>
      </c>
      <c r="AO11" s="614">
        <f>AN11*AM11</f>
        <v>13919.36</v>
      </c>
      <c r="AP11" s="616"/>
      <c r="AQ11" s="915" t="s">
        <v>355</v>
      </c>
      <c r="AR11" s="914">
        <f>IFERROR(INDEX('Master Lookup'!$D$354:$D$358,MATCH(AQ11,'Master Lookup'!$B$354:$B$358,0)),"")</f>
        <v>41600</v>
      </c>
      <c r="AS11" s="913">
        <f>IFERROR(INDEX('Master Lookup'!$L$354:$L$358,MATCH(AQ11,'Master Lookup'!$B$354:$B$358,0)),"")</f>
        <v>0.47349999999999998</v>
      </c>
      <c r="AT11" s="614">
        <f>AS11*AR11</f>
        <v>19697.599999999999</v>
      </c>
    </row>
    <row r="12" spans="2:46" ht="15" hidden="1" x14ac:dyDescent="0.25">
      <c r="G12" s="340">
        <v>6</v>
      </c>
      <c r="H12" s="909"/>
      <c r="I12" s="912"/>
      <c r="J12" s="907"/>
      <c r="K12" s="906"/>
      <c r="L12" s="616"/>
      <c r="M12" s="909"/>
      <c r="N12" s="908"/>
      <c r="O12" s="907"/>
      <c r="P12" s="906"/>
      <c r="Q12" s="616"/>
      <c r="R12" s="909"/>
      <c r="S12" s="908"/>
      <c r="T12" s="907"/>
      <c r="U12" s="906"/>
      <c r="V12" s="616"/>
      <c r="W12" s="909"/>
      <c r="X12" s="908"/>
      <c r="Y12" s="907"/>
      <c r="Z12" s="906"/>
      <c r="AA12" s="616"/>
      <c r="AB12" s="909"/>
      <c r="AC12" s="908"/>
      <c r="AD12" s="907"/>
      <c r="AE12" s="906"/>
      <c r="AF12" s="616"/>
      <c r="AG12" s="909"/>
      <c r="AH12" s="908"/>
      <c r="AI12" s="907"/>
      <c r="AJ12" s="906"/>
      <c r="AK12" s="616"/>
      <c r="AL12" s="909"/>
      <c r="AM12" s="908"/>
      <c r="AN12" s="907"/>
      <c r="AO12" s="906"/>
      <c r="AP12" s="616"/>
      <c r="AQ12" s="909"/>
      <c r="AR12" s="908"/>
      <c r="AS12" s="907"/>
      <c r="AT12" s="906"/>
    </row>
    <row r="13" spans="2:46" ht="15" x14ac:dyDescent="0.25">
      <c r="H13" s="898" t="s">
        <v>457</v>
      </c>
      <c r="I13" s="889"/>
      <c r="J13" s="910">
        <f>SUM(J7:J10)</f>
        <v>1.7433349999999999</v>
      </c>
      <c r="K13" s="911">
        <f>SUM(K7:K12)</f>
        <v>110684.46665952001</v>
      </c>
      <c r="L13" s="881"/>
      <c r="M13" s="898" t="s">
        <v>457</v>
      </c>
      <c r="N13" s="889"/>
      <c r="O13" s="910">
        <f>SUM(O7:O10)</f>
        <v>2.6633350000000005</v>
      </c>
      <c r="P13" s="891">
        <f>SUM(P7:P12)</f>
        <v>167258.63917152002</v>
      </c>
      <c r="Q13" s="255"/>
      <c r="R13" s="909"/>
      <c r="S13" s="908"/>
      <c r="T13" s="907"/>
      <c r="U13" s="906"/>
      <c r="V13" s="255"/>
      <c r="W13" s="909"/>
      <c r="X13" s="908"/>
      <c r="Y13" s="907"/>
      <c r="Z13" s="906"/>
      <c r="AA13" s="616"/>
      <c r="AB13" s="909"/>
      <c r="AC13" s="908"/>
      <c r="AD13" s="907"/>
      <c r="AE13" s="906"/>
      <c r="AF13" s="616"/>
      <c r="AG13" s="909"/>
      <c r="AH13" s="908"/>
      <c r="AI13" s="907"/>
      <c r="AJ13" s="906"/>
      <c r="AK13" s="616"/>
      <c r="AL13" s="909"/>
      <c r="AM13" s="908"/>
      <c r="AN13" s="907"/>
      <c r="AO13" s="906"/>
      <c r="AP13" s="616"/>
      <c r="AQ13" s="909"/>
      <c r="AR13" s="908"/>
      <c r="AS13" s="907"/>
      <c r="AT13" s="906"/>
    </row>
    <row r="14" spans="2:46" ht="15" x14ac:dyDescent="0.25">
      <c r="H14" s="904" t="s">
        <v>322</v>
      </c>
      <c r="I14" s="903"/>
      <c r="J14" s="426">
        <f>'M2024 BLS SALARY CHART (53_PCT)'!C40</f>
        <v>0.24970000000000001</v>
      </c>
      <c r="K14" s="902">
        <f>K13*J14</f>
        <v>27637.911324882149</v>
      </c>
      <c r="L14" s="881"/>
      <c r="M14" s="901" t="s">
        <v>322</v>
      </c>
      <c r="N14" s="900"/>
      <c r="O14" s="491">
        <f>J14</f>
        <v>0.24970000000000001</v>
      </c>
      <c r="P14" s="899">
        <f>P13*O14</f>
        <v>41764.482201128551</v>
      </c>
      <c r="Q14" s="255"/>
      <c r="R14" s="898" t="s">
        <v>457</v>
      </c>
      <c r="S14" s="889"/>
      <c r="T14" s="896">
        <f>SUM(T7:T11)</f>
        <v>3.0445450000000003</v>
      </c>
      <c r="U14" s="891">
        <f>SUM(U7:U13)</f>
        <v>209472.77257504003</v>
      </c>
      <c r="V14" s="255"/>
      <c r="W14" s="897" t="s">
        <v>457</v>
      </c>
      <c r="X14" s="889"/>
      <c r="Y14" s="896">
        <f>SUM(Y7:Y11)</f>
        <v>3.2770100999999996</v>
      </c>
      <c r="Z14" s="888">
        <f>SUM(Z7:Z13)</f>
        <v>210668.77071061116</v>
      </c>
      <c r="AA14" s="255"/>
      <c r="AB14" s="897" t="s">
        <v>457</v>
      </c>
      <c r="AC14" s="889"/>
      <c r="AD14" s="896">
        <f>SUM(AD7:AD11)</f>
        <v>2.7489485999999999</v>
      </c>
      <c r="AE14" s="888">
        <f>SUM(AE7:AE13)</f>
        <v>215097.00179352317</v>
      </c>
      <c r="AF14" s="616"/>
      <c r="AG14" s="897" t="s">
        <v>457</v>
      </c>
      <c r="AH14" s="889"/>
      <c r="AI14" s="896">
        <f>SUM(AI7:AI13)</f>
        <v>4.2858091000000007</v>
      </c>
      <c r="AJ14" s="888">
        <f>SUM(AJ7:AJ13)</f>
        <v>306744.78112769924</v>
      </c>
      <c r="AK14" s="616"/>
      <c r="AL14" s="897" t="s">
        <v>457</v>
      </c>
      <c r="AM14" s="889"/>
      <c r="AN14" s="896">
        <f>SUM(AN7:AN13)</f>
        <v>7.6164658300000001</v>
      </c>
      <c r="AO14" s="287">
        <f>SUM(AO7:AO13)</f>
        <v>506782.35358901694</v>
      </c>
      <c r="AP14" s="616"/>
      <c r="AQ14" s="897" t="s">
        <v>457</v>
      </c>
      <c r="AR14" s="889"/>
      <c r="AS14" s="896">
        <f>SUM(AS7:AS13)</f>
        <v>5.6096947000000004</v>
      </c>
      <c r="AT14" s="888">
        <f>SUM(AT7:AT13)</f>
        <v>374294.53743776644</v>
      </c>
    </row>
    <row r="15" spans="2:46" ht="15.75" thickBot="1" x14ac:dyDescent="0.3">
      <c r="H15" s="877" t="s">
        <v>550</v>
      </c>
      <c r="I15" s="884"/>
      <c r="J15" s="883"/>
      <c r="K15" s="861">
        <f>SUM(K13:K14)</f>
        <v>138322.37798440215</v>
      </c>
      <c r="L15" s="887"/>
      <c r="M15" s="877" t="s">
        <v>550</v>
      </c>
      <c r="N15" s="895"/>
      <c r="O15" s="894"/>
      <c r="P15" s="893">
        <f>SUM(P13:P14)</f>
        <v>209023.12137264857</v>
      </c>
      <c r="Q15" s="256"/>
      <c r="R15" s="892" t="s">
        <v>322</v>
      </c>
      <c r="S15" s="889"/>
      <c r="T15" s="491">
        <f>O14</f>
        <v>0.24970000000000001</v>
      </c>
      <c r="U15" s="891">
        <f>U14*T15</f>
        <v>52305.351311987499</v>
      </c>
      <c r="V15" s="256"/>
      <c r="W15" s="890" t="s">
        <v>322</v>
      </c>
      <c r="X15" s="889"/>
      <c r="Y15" s="491">
        <f>T15</f>
        <v>0.24970000000000001</v>
      </c>
      <c r="Z15" s="888">
        <f>Z14*Y15</f>
        <v>52603.992046439605</v>
      </c>
      <c r="AA15" s="255"/>
      <c r="AB15" s="890" t="s">
        <v>322</v>
      </c>
      <c r="AC15" s="889"/>
      <c r="AD15" s="491">
        <f>Y15</f>
        <v>0.24970000000000001</v>
      </c>
      <c r="AE15" s="888">
        <f>AE14*AD15</f>
        <v>53709.721347842737</v>
      </c>
      <c r="AF15" s="255"/>
      <c r="AG15" s="890" t="s">
        <v>322</v>
      </c>
      <c r="AH15" s="889"/>
      <c r="AI15" s="491">
        <f>AD15</f>
        <v>0.24970000000000001</v>
      </c>
      <c r="AJ15" s="888">
        <f>AJ14*AI15</f>
        <v>76594.171847586505</v>
      </c>
      <c r="AK15" s="255"/>
      <c r="AL15" s="890" t="s">
        <v>322</v>
      </c>
      <c r="AM15" s="889"/>
      <c r="AN15" s="491">
        <f>AI15</f>
        <v>0.24970000000000001</v>
      </c>
      <c r="AO15" s="287">
        <f>AO14*AN15</f>
        <v>126543.55369117753</v>
      </c>
      <c r="AP15" s="255"/>
      <c r="AQ15" s="890" t="s">
        <v>322</v>
      </c>
      <c r="AR15" s="889"/>
      <c r="AS15" s="491">
        <f>AN15</f>
        <v>0.24970000000000001</v>
      </c>
      <c r="AT15" s="888">
        <f>AT14*AS15</f>
        <v>93461.34599821028</v>
      </c>
    </row>
    <row r="16" spans="2:46" ht="16.5" thickTop="1" thickBot="1" x14ac:dyDescent="0.3">
      <c r="B16" s="573"/>
      <c r="C16" s="1325" t="s">
        <v>265</v>
      </c>
      <c r="D16" s="1325" t="s">
        <v>537</v>
      </c>
      <c r="E16" s="1326" t="s">
        <v>536</v>
      </c>
      <c r="H16" s="667"/>
      <c r="I16" s="301"/>
      <c r="J16" s="885"/>
      <c r="K16" s="299"/>
      <c r="L16" s="887"/>
      <c r="M16" s="886"/>
      <c r="N16" s="301"/>
      <c r="O16" s="885"/>
      <c r="P16" s="299"/>
      <c r="Q16" s="256"/>
      <c r="R16" s="877" t="s">
        <v>550</v>
      </c>
      <c r="S16" s="884"/>
      <c r="T16" s="883"/>
      <c r="U16" s="861">
        <f>SUM(U14:U15)</f>
        <v>261778.12388702753</v>
      </c>
      <c r="V16" s="256"/>
      <c r="W16" s="877" t="s">
        <v>550</v>
      </c>
      <c r="X16" s="884"/>
      <c r="Y16" s="883"/>
      <c r="Z16" s="861">
        <f>SUM(Z14:Z15)</f>
        <v>263272.76275705075</v>
      </c>
      <c r="AA16" s="255"/>
      <c r="AB16" s="877" t="s">
        <v>550</v>
      </c>
      <c r="AC16" s="884"/>
      <c r="AD16" s="883"/>
      <c r="AE16" s="861">
        <f>SUM(AE14:AE15)</f>
        <v>268806.72314136592</v>
      </c>
      <c r="AF16" s="255"/>
      <c r="AG16" s="877" t="s">
        <v>550</v>
      </c>
      <c r="AH16" s="884"/>
      <c r="AI16" s="883"/>
      <c r="AJ16" s="861">
        <f>SUM(AJ14:AJ15)</f>
        <v>383338.95297528576</v>
      </c>
      <c r="AK16" s="255"/>
      <c r="AL16" s="877" t="s">
        <v>550</v>
      </c>
      <c r="AM16" s="884"/>
      <c r="AN16" s="883"/>
      <c r="AO16" s="861">
        <f>SUM(AO14:AO15)</f>
        <v>633325.90728019446</v>
      </c>
      <c r="AP16" s="255"/>
      <c r="AQ16" s="877" t="s">
        <v>550</v>
      </c>
      <c r="AR16" s="884"/>
      <c r="AS16" s="883"/>
      <c r="AT16" s="861">
        <f>SUM(AT14:AT15)</f>
        <v>467755.88343597669</v>
      </c>
    </row>
    <row r="17" spans="2:46" ht="15" x14ac:dyDescent="0.25">
      <c r="B17" s="744" t="s">
        <v>578</v>
      </c>
      <c r="C17" s="917">
        <v>47.98</v>
      </c>
      <c r="D17" s="1322">
        <f>K32</f>
        <v>52.062806430584189</v>
      </c>
      <c r="E17" s="1323">
        <f t="shared" ref="E17:E24" si="5">(D17-C17)/C17</f>
        <v>8.5093923105131142E-2</v>
      </c>
      <c r="H17" s="667" t="s">
        <v>326</v>
      </c>
      <c r="I17" s="254"/>
      <c r="J17" s="254"/>
      <c r="K17" s="882"/>
      <c r="L17" s="881"/>
      <c r="M17" s="667" t="s">
        <v>326</v>
      </c>
      <c r="N17" s="856"/>
      <c r="O17" s="880"/>
      <c r="P17" s="742"/>
      <c r="Q17" s="856"/>
      <c r="R17" s="870"/>
      <c r="S17" s="869"/>
      <c r="T17" s="869"/>
      <c r="U17" s="287"/>
      <c r="V17" s="856"/>
      <c r="W17" s="870"/>
      <c r="X17" s="869"/>
      <c r="Y17" s="869"/>
      <c r="Z17" s="287"/>
      <c r="AA17" s="256"/>
      <c r="AB17" s="870"/>
      <c r="AC17" s="869"/>
      <c r="AD17" s="869"/>
      <c r="AE17" s="287"/>
      <c r="AF17" s="255"/>
      <c r="AG17" s="870"/>
      <c r="AH17" s="869"/>
      <c r="AI17" s="869"/>
      <c r="AJ17" s="287"/>
      <c r="AK17" s="255"/>
      <c r="AL17" s="870"/>
      <c r="AM17" s="869"/>
      <c r="AN17" s="869"/>
      <c r="AO17" s="287"/>
      <c r="AP17" s="255"/>
      <c r="AQ17" s="870"/>
      <c r="AR17" s="869"/>
      <c r="AS17" s="869"/>
      <c r="AT17" s="287"/>
    </row>
    <row r="18" spans="2:46" ht="15" x14ac:dyDescent="0.25">
      <c r="B18" s="744" t="s">
        <v>577</v>
      </c>
      <c r="C18" s="917">
        <v>72.540000000000006</v>
      </c>
      <c r="D18" s="1322">
        <f>P32</f>
        <v>78.815484093276936</v>
      </c>
      <c r="E18" s="1323">
        <f t="shared" si="5"/>
        <v>8.6510671261054994E-2</v>
      </c>
      <c r="G18" s="340">
        <v>1</v>
      </c>
      <c r="H18" s="879" t="str">
        <f>IF(INDEX('Master Lookup'!$B$364:$B$373,G18)=0,"",INDEX('Master Lookup'!$B$364:$B$373,G18))</f>
        <v>Total Occupancy</v>
      </c>
      <c r="I18" s="616"/>
      <c r="J18" s="1319">
        <f>'Non-Salary Expense FY26'!E4</f>
        <v>6392.9174203826224</v>
      </c>
      <c r="K18" s="614">
        <f>J13*J18</f>
        <v>11144.996691062737</v>
      </c>
      <c r="L18" s="856"/>
      <c r="M18" s="879" t="str">
        <f>IF(INDEX('Master Lookup'!$B$311:$B$316,G18)=0,"",INDEX('Master Lookup'!$B$311:$B$316,G18))</f>
        <v>Total Occupancy</v>
      </c>
      <c r="N18" s="616"/>
      <c r="O18" s="1319">
        <f>J18</f>
        <v>6392.9174203826224</v>
      </c>
      <c r="P18" s="614">
        <f>O18*O13</f>
        <v>17026.480717814753</v>
      </c>
      <c r="Q18" s="616"/>
      <c r="R18" s="667" t="s">
        <v>326</v>
      </c>
      <c r="S18" s="856"/>
      <c r="T18" s="880"/>
      <c r="U18" s="742"/>
      <c r="V18" s="616"/>
      <c r="W18" s="667" t="s">
        <v>326</v>
      </c>
      <c r="X18" s="856"/>
      <c r="Y18" s="880"/>
      <c r="Z18" s="742"/>
      <c r="AA18" s="856"/>
      <c r="AB18" s="667" t="s">
        <v>326</v>
      </c>
      <c r="AC18" s="856"/>
      <c r="AD18" s="880"/>
      <c r="AE18" s="742"/>
      <c r="AF18" s="256"/>
      <c r="AG18" s="667" t="s">
        <v>326</v>
      </c>
      <c r="AH18" s="856"/>
      <c r="AI18" s="880"/>
      <c r="AJ18" s="742"/>
      <c r="AK18" s="256"/>
      <c r="AL18" s="667" t="s">
        <v>326</v>
      </c>
      <c r="AM18" s="856"/>
      <c r="AN18" s="880"/>
      <c r="AO18" s="742"/>
      <c r="AP18" s="256"/>
      <c r="AQ18" s="667" t="s">
        <v>326</v>
      </c>
      <c r="AR18" s="856"/>
      <c r="AS18" s="880"/>
      <c r="AT18" s="742"/>
    </row>
    <row r="19" spans="2:46" ht="15" x14ac:dyDescent="0.25">
      <c r="B19" s="744" t="s">
        <v>576</v>
      </c>
      <c r="C19" s="917">
        <v>91.2</v>
      </c>
      <c r="D19" s="1322">
        <f>U33</f>
        <v>97.281224923703562</v>
      </c>
      <c r="E19" s="1323">
        <f t="shared" si="5"/>
        <v>6.668009784762674E-2</v>
      </c>
      <c r="G19" s="340">
        <v>2</v>
      </c>
      <c r="H19" s="879" t="str">
        <f>IF(INDEX('Master Lookup'!$B$364:$B$373,G19)=0,"",INDEX('Master Lookup'!$B$364:$B$373,G19))</f>
        <v>Staff Training 204</v>
      </c>
      <c r="I19" s="616"/>
      <c r="J19" s="1319">
        <f>'Non-Salary Expense FY26'!E6</f>
        <v>364.52871302241937</v>
      </c>
      <c r="K19" s="614">
        <f>J13*J19</f>
        <v>635.49566391693941</v>
      </c>
      <c r="L19" s="856"/>
      <c r="M19" s="879" t="str">
        <f>IF(INDEX('Master Lookup'!$B$364:$B$370,G19)=0,"",INDEX('Master Lookup'!$B$364:$B$370,G19))</f>
        <v>Staff Training 204</v>
      </c>
      <c r="N19" s="616"/>
      <c r="O19" s="1319">
        <f t="shared" ref="O19:O24" si="6">J19</f>
        <v>364.52871302241937</v>
      </c>
      <c r="P19" s="614">
        <f>O13*O19</f>
        <v>970.86207989756542</v>
      </c>
      <c r="Q19" s="616"/>
      <c r="R19" s="879" t="str">
        <f>IF(INDEX('Master Lookup'!$B$311:$B$316,G18)=0,"",INDEX('Master Lookup'!$B$311:$B$316,G18))</f>
        <v>Total Occupancy</v>
      </c>
      <c r="S19" s="856"/>
      <c r="T19" s="1319">
        <f>O18</f>
        <v>6392.9174203826224</v>
      </c>
      <c r="U19" s="614">
        <f>T14*T19</f>
        <v>19463.524767638814</v>
      </c>
      <c r="V19" s="616"/>
      <c r="W19" s="127" t="s">
        <v>314</v>
      </c>
      <c r="X19" s="616"/>
      <c r="Y19" s="1319">
        <f>T19</f>
        <v>6392.9174203826224</v>
      </c>
      <c r="Z19" s="614">
        <f>Y19*Y14</f>
        <v>20949.654955059796</v>
      </c>
      <c r="AA19" s="616"/>
      <c r="AB19" s="127" t="s">
        <v>314</v>
      </c>
      <c r="AC19" s="616"/>
      <c r="AD19" s="1319">
        <f>Y19</f>
        <v>6392.9174203826224</v>
      </c>
      <c r="AE19" s="614">
        <f>AD19*AD14</f>
        <v>17573.801392676422</v>
      </c>
      <c r="AF19" s="616"/>
      <c r="AG19" s="127" t="s">
        <v>314</v>
      </c>
      <c r="AH19" s="616"/>
      <c r="AI19" s="1319">
        <f>AD19</f>
        <v>6392.9174203826224</v>
      </c>
      <c r="AJ19" s="614">
        <f>AI19*AI14</f>
        <v>27398.823655824373</v>
      </c>
      <c r="AK19" s="616"/>
      <c r="AL19" s="127" t="s">
        <v>314</v>
      </c>
      <c r="AM19" s="616"/>
      <c r="AN19" s="1319">
        <f>AI19</f>
        <v>6392.9174203826224</v>
      </c>
      <c r="AO19" s="614">
        <f>AN19*AN14</f>
        <v>48691.437086355989</v>
      </c>
      <c r="AP19" s="616"/>
      <c r="AQ19" s="127" t="s">
        <v>314</v>
      </c>
      <c r="AR19" s="616"/>
      <c r="AS19" s="1319">
        <f>AN19</f>
        <v>6392.9174203826224</v>
      </c>
      <c r="AT19" s="614">
        <f>AS19*AS14</f>
        <v>35862.314970658073</v>
      </c>
    </row>
    <row r="20" spans="2:46" ht="15.75" customHeight="1" x14ac:dyDescent="0.25">
      <c r="B20" s="744" t="s">
        <v>575</v>
      </c>
      <c r="C20" s="917">
        <v>92.52</v>
      </c>
      <c r="D20" s="1322">
        <f>Z33</f>
        <v>98.890962961925339</v>
      </c>
      <c r="E20" s="1323">
        <f t="shared" si="5"/>
        <v>6.8860386531834669E-2</v>
      </c>
      <c r="G20" s="340">
        <v>3</v>
      </c>
      <c r="H20" s="879" t="str">
        <f>IF(INDEX('Master Lookup'!$B$364:$B$373,G20)=0,"",INDEX('Master Lookup'!$B$364:$B$373,G20))</f>
        <v>Staff Mileage / Travel 205</v>
      </c>
      <c r="I20" s="616"/>
      <c r="J20" s="1319">
        <f>'Non-Salary Expense FY26'!E7</f>
        <v>1059.8793475070393</v>
      </c>
      <c r="K20" s="614">
        <f>J13*J20</f>
        <v>1847.7247622861842</v>
      </c>
      <c r="L20" s="856"/>
      <c r="M20" s="879" t="str">
        <f>IF(INDEX('Master Lookup'!$B$364:$B$370,G20)=0,"",INDEX('Master Lookup'!$B$364:$B$370,G20))</f>
        <v>Staff Mileage / Travel 205</v>
      </c>
      <c r="N20" s="616"/>
      <c r="O20" s="1319">
        <f t="shared" si="6"/>
        <v>1059.8793475070393</v>
      </c>
      <c r="P20" s="614">
        <f>O20*O13</f>
        <v>2822.8137619926611</v>
      </c>
      <c r="Q20" s="616"/>
      <c r="R20" s="879" t="str">
        <f>IF(INDEX('Master Lookup'!$B$364:$B$370,G19)=0,"",INDEX('Master Lookup'!$B$364:$B$370,G19))</f>
        <v>Staff Training 204</v>
      </c>
      <c r="S20" s="616"/>
      <c r="T20" s="1319">
        <f t="shared" ref="T20:T25" si="7">O19</f>
        <v>364.52871302241937</v>
      </c>
      <c r="U20" s="614">
        <f>T14*T20</f>
        <v>1109.8240705888418</v>
      </c>
      <c r="V20" s="616"/>
      <c r="W20" s="127" t="s">
        <v>310</v>
      </c>
      <c r="X20" s="616"/>
      <c r="Y20" s="1319">
        <f t="shared" ref="Y20:Y25" si="8">T20</f>
        <v>364.52871302241937</v>
      </c>
      <c r="Z20" s="614">
        <f>Y20*Y14</f>
        <v>1194.5642743144697</v>
      </c>
      <c r="AA20" s="616"/>
      <c r="AB20" s="127" t="s">
        <v>310</v>
      </c>
      <c r="AC20" s="616"/>
      <c r="AD20" s="1319">
        <f t="shared" ref="AD20:AD25" si="9">Y20</f>
        <v>364.52871302241937</v>
      </c>
      <c r="AE20" s="614">
        <f>AD20*AD14</f>
        <v>1002.0706953227815</v>
      </c>
      <c r="AF20" s="616"/>
      <c r="AG20" s="127" t="s">
        <v>310</v>
      </c>
      <c r="AH20" s="616"/>
      <c r="AI20" s="1319">
        <f t="shared" ref="AI20:AI25" si="10">AD20</f>
        <v>364.52871302241937</v>
      </c>
      <c r="AJ20" s="614">
        <f>AI20*AI14</f>
        <v>1562.3004754827737</v>
      </c>
      <c r="AK20" s="616"/>
      <c r="AL20" s="127" t="s">
        <v>310</v>
      </c>
      <c r="AM20" s="616"/>
      <c r="AN20" s="1319">
        <f t="shared" ref="AN20:AN25" si="11">AI20</f>
        <v>364.52871302241937</v>
      </c>
      <c r="AO20" s="614">
        <f>AN20*AN14</f>
        <v>2776.4204867891331</v>
      </c>
      <c r="AP20" s="616"/>
      <c r="AQ20" s="127" t="s">
        <v>310</v>
      </c>
      <c r="AR20" s="616"/>
      <c r="AS20" s="1319">
        <f t="shared" ref="AS20:AS25" si="12">AN20</f>
        <v>364.52871302241937</v>
      </c>
      <c r="AT20" s="614">
        <f>AS20*AS14</f>
        <v>2044.894789439687</v>
      </c>
    </row>
    <row r="21" spans="2:46" ht="15" x14ac:dyDescent="0.25">
      <c r="B21" s="365" t="s">
        <v>574</v>
      </c>
      <c r="C21" s="917">
        <v>91.29</v>
      </c>
      <c r="D21" s="1320">
        <f>AE33</f>
        <v>98.043496608041423</v>
      </c>
      <c r="E21" s="1323">
        <f t="shared" si="5"/>
        <v>7.397849280360845E-2</v>
      </c>
      <c r="G21" s="340">
        <v>4</v>
      </c>
      <c r="H21" s="879" t="str">
        <f>IF(INDEX('Master Lookup'!$B$364:$B$373,G21)=0,"",INDEX('Master Lookup'!$B$364:$B$373,G21))</f>
        <v>Meals 207</v>
      </c>
      <c r="I21" s="616"/>
      <c r="J21" s="1319">
        <f>'Non-Salary Expense FY26'!F8</f>
        <v>745.95008429529196</v>
      </c>
      <c r="K21" s="614">
        <f>J13*J21</f>
        <v>1300.4408902049327</v>
      </c>
      <c r="L21" s="856"/>
      <c r="M21" s="879" t="str">
        <f>IF(INDEX('Master Lookup'!$B$364:$B$370,G21)=0,"",INDEX('Master Lookup'!$B$364:$B$370,G21))</f>
        <v>Meals 207</v>
      </c>
      <c r="N21" s="616"/>
      <c r="O21" s="1319">
        <f t="shared" si="6"/>
        <v>745.95008429529196</v>
      </c>
      <c r="P21" s="614">
        <f>O13*O21</f>
        <v>1986.7149677566017</v>
      </c>
      <c r="Q21" s="616"/>
      <c r="R21" s="879" t="str">
        <f>IF(INDEX('Master Lookup'!$B$364:$B$370,G20)=0,"",INDEX('Master Lookup'!$B$364:$B$370,G20))</f>
        <v>Staff Mileage / Travel 205</v>
      </c>
      <c r="S21" s="616"/>
      <c r="T21" s="1319">
        <f t="shared" si="7"/>
        <v>1059.8793475070393</v>
      </c>
      <c r="U21" s="614">
        <f>T14*T21</f>
        <v>3226.8503680558192</v>
      </c>
      <c r="V21" s="616"/>
      <c r="W21" s="127" t="s">
        <v>308</v>
      </c>
      <c r="X21" s="616"/>
      <c r="Y21" s="1319">
        <f t="shared" si="8"/>
        <v>1059.8793475070393</v>
      </c>
      <c r="Z21" s="614">
        <f>Y21*Y14</f>
        <v>3473.2353265619772</v>
      </c>
      <c r="AA21" s="616"/>
      <c r="AB21" s="127" t="s">
        <v>308</v>
      </c>
      <c r="AC21" s="616"/>
      <c r="AD21" s="1319">
        <f t="shared" si="9"/>
        <v>1059.8793475070393</v>
      </c>
      <c r="AE21" s="614">
        <f>AD21*AD14</f>
        <v>2913.553848498389</v>
      </c>
      <c r="AF21" s="616"/>
      <c r="AG21" s="127" t="s">
        <v>308</v>
      </c>
      <c r="AH21" s="616"/>
      <c r="AI21" s="1319">
        <f t="shared" si="10"/>
        <v>1059.8793475070393</v>
      </c>
      <c r="AJ21" s="614">
        <f>AI21*AI14</f>
        <v>4542.4405524477315</v>
      </c>
      <c r="AK21" s="616"/>
      <c r="AL21" s="127" t="s">
        <v>308</v>
      </c>
      <c r="AM21" s="616"/>
      <c r="AN21" s="1319">
        <f t="shared" si="11"/>
        <v>1059.8793475070393</v>
      </c>
      <c r="AO21" s="614">
        <f>AN21*AN14</f>
        <v>8072.5348342100606</v>
      </c>
      <c r="AP21" s="616"/>
      <c r="AQ21" s="127" t="s">
        <v>308</v>
      </c>
      <c r="AR21" s="616"/>
      <c r="AS21" s="1319">
        <f t="shared" si="12"/>
        <v>1059.8793475070393</v>
      </c>
      <c r="AT21" s="614">
        <f>AS21*AS14</f>
        <v>5945.599558349697</v>
      </c>
    </row>
    <row r="22" spans="2:46" ht="15" x14ac:dyDescent="0.25">
      <c r="B22" s="365" t="s">
        <v>573</v>
      </c>
      <c r="C22" s="917">
        <v>132.37</v>
      </c>
      <c r="D22" s="1320">
        <f>AJ33</f>
        <v>141.60964203525438</v>
      </c>
      <c r="E22" s="1323">
        <f t="shared" si="5"/>
        <v>6.9801632056012516E-2</v>
      </c>
      <c r="G22" s="340">
        <v>5</v>
      </c>
      <c r="H22" s="879" t="str">
        <f>IF(INDEX('Master Lookup'!$B$364:$B$373,G22)=0,"",INDEX('Master Lookup'!$B$364:$B$373,G22))</f>
        <v>Client Transportation 208</v>
      </c>
      <c r="I22" s="616"/>
      <c r="J22" s="1319">
        <f>'Non-Salary Expense FY26'!E9</f>
        <v>1788.8934173999289</v>
      </c>
      <c r="K22" s="614">
        <f>J13*J22</f>
        <v>3118.6405058229047</v>
      </c>
      <c r="L22" s="856"/>
      <c r="M22" s="879" t="str">
        <f>IF(INDEX('Master Lookup'!$B$364:$B$370,G22)=0,"",INDEX('Master Lookup'!$B$364:$B$370,G22))</f>
        <v>Client Transportation 208</v>
      </c>
      <c r="N22" s="616"/>
      <c r="O22" s="1319">
        <f t="shared" si="6"/>
        <v>1788.8934173999289</v>
      </c>
      <c r="P22" s="614">
        <f>O13*O22</f>
        <v>4764.4224498308404</v>
      </c>
      <c r="Q22" s="616"/>
      <c r="R22" s="879" t="str">
        <f>IF(INDEX('Master Lookup'!$B$364:$B$370,G21)=0,"",INDEX('Master Lookup'!$B$364:$B$370,G21))</f>
        <v>Meals 207</v>
      </c>
      <c r="S22" s="616"/>
      <c r="T22" s="1319">
        <f t="shared" si="7"/>
        <v>745.95008429529196</v>
      </c>
      <c r="U22" s="614">
        <f>T14*T22</f>
        <v>2271.0785993908098</v>
      </c>
      <c r="V22" s="616"/>
      <c r="W22" s="127" t="s">
        <v>306</v>
      </c>
      <c r="X22" s="616"/>
      <c r="Y22" s="1319">
        <f t="shared" si="8"/>
        <v>745.95008429529196</v>
      </c>
      <c r="Z22" s="614">
        <f>Y22*Y14</f>
        <v>2444.4859603315226</v>
      </c>
      <c r="AA22" s="616"/>
      <c r="AB22" s="127" t="s">
        <v>306</v>
      </c>
      <c r="AC22" s="616"/>
      <c r="AD22" s="1319">
        <f t="shared" si="9"/>
        <v>745.95008429529196</v>
      </c>
      <c r="AE22" s="614">
        <f>AD22*AD14</f>
        <v>2050.5784398934247</v>
      </c>
      <c r="AF22" s="616"/>
      <c r="AG22" s="127" t="s">
        <v>306</v>
      </c>
      <c r="AH22" s="616"/>
      <c r="AI22" s="1319">
        <f t="shared" si="10"/>
        <v>745.95008429529196</v>
      </c>
      <c r="AJ22" s="614">
        <f>AI22*AI14</f>
        <v>3196.99965941853</v>
      </c>
      <c r="AK22" s="616"/>
      <c r="AL22" s="127" t="s">
        <v>306</v>
      </c>
      <c r="AM22" s="616"/>
      <c r="AN22" s="1319">
        <f t="shared" si="11"/>
        <v>745.95008429529196</v>
      </c>
      <c r="AO22" s="614">
        <f>AN22*AN14</f>
        <v>5681.5033279207109</v>
      </c>
      <c r="AP22" s="616"/>
      <c r="AQ22" s="127" t="s">
        <v>306</v>
      </c>
      <c r="AR22" s="616"/>
      <c r="AS22" s="1319">
        <f t="shared" si="12"/>
        <v>745.95008429529196</v>
      </c>
      <c r="AT22" s="614">
        <f>AS22*AS14</f>
        <v>4184.5522343358525</v>
      </c>
    </row>
    <row r="23" spans="2:46" ht="15" x14ac:dyDescent="0.25">
      <c r="B23" s="365" t="s">
        <v>572</v>
      </c>
      <c r="C23" s="917">
        <v>220.98</v>
      </c>
      <c r="D23" s="1320">
        <f>AO33</f>
        <v>236.58376419634541</v>
      </c>
      <c r="E23" s="1323">
        <f t="shared" si="5"/>
        <v>7.0611658052065457E-2</v>
      </c>
      <c r="G23" s="340">
        <v>6</v>
      </c>
      <c r="H23" s="879" t="str">
        <f>IF(INDEX('Master Lookup'!$B$364:$B$373,G23)=0,"",INDEX('Master Lookup'!$B$364:$B$373,G23))</f>
        <v>Client Personal Allowances 211</v>
      </c>
      <c r="I23" s="616"/>
      <c r="J23" s="1319">
        <f>'Non-Salary Expense FY26'!E13</f>
        <v>2281.1717646047468</v>
      </c>
      <c r="K23" s="614">
        <f>J13*J23</f>
        <v>3976.8465782472158</v>
      </c>
      <c r="L23" s="856"/>
      <c r="M23" s="879" t="str">
        <f>IF(INDEX('Master Lookup'!$B$364:$B$370,G23)=0,"",INDEX('Master Lookup'!$B$364:$B$370,G23))</f>
        <v>Client Personal Allowances 211</v>
      </c>
      <c r="N23" s="616"/>
      <c r="O23" s="1319">
        <f t="shared" si="6"/>
        <v>2281.1717646047468</v>
      </c>
      <c r="P23" s="614">
        <f>O13*O23</f>
        <v>6075.5246016835845</v>
      </c>
      <c r="Q23" s="616"/>
      <c r="R23" s="879" t="str">
        <f>IF(INDEX('Master Lookup'!$B$364:$B$370,G22)=0,"",INDEX('Master Lookup'!$B$364:$B$370,G22))</f>
        <v>Client Transportation 208</v>
      </c>
      <c r="S23" s="616"/>
      <c r="T23" s="1319">
        <f t="shared" si="7"/>
        <v>1788.8934173999289</v>
      </c>
      <c r="U23" s="614">
        <f>T14*T23</f>
        <v>5446.3665094778671</v>
      </c>
      <c r="V23" s="616"/>
      <c r="W23" s="127" t="s">
        <v>304</v>
      </c>
      <c r="X23" s="616"/>
      <c r="Y23" s="1319">
        <f t="shared" si="8"/>
        <v>1788.8934173999289</v>
      </c>
      <c r="Z23" s="614">
        <f>Y23*Y14</f>
        <v>5862.2217966430817</v>
      </c>
      <c r="AA23" s="616"/>
      <c r="AB23" s="127" t="s">
        <v>304</v>
      </c>
      <c r="AC23" s="616"/>
      <c r="AD23" s="1319">
        <f t="shared" si="9"/>
        <v>1788.8934173999289</v>
      </c>
      <c r="AE23" s="614">
        <f>AD23*AD14</f>
        <v>4917.5760553107502</v>
      </c>
      <c r="AF23" s="616"/>
      <c r="AG23" s="127" t="s">
        <v>304</v>
      </c>
      <c r="AH23" s="616"/>
      <c r="AI23" s="1319">
        <f t="shared" si="10"/>
        <v>1788.8934173999289</v>
      </c>
      <c r="AJ23" s="614">
        <f>AI23*AI14</f>
        <v>7666.8556872227146</v>
      </c>
      <c r="AK23" s="616"/>
      <c r="AL23" s="127" t="s">
        <v>304</v>
      </c>
      <c r="AM23" s="616"/>
      <c r="AN23" s="1319">
        <f t="shared" si="11"/>
        <v>1788.8934173999289</v>
      </c>
      <c r="AO23" s="614">
        <f>AN23*AN14</f>
        <v>13625.045587138486</v>
      </c>
      <c r="AP23" s="616"/>
      <c r="AQ23" s="127" t="s">
        <v>304</v>
      </c>
      <c r="AR23" s="616"/>
      <c r="AS23" s="1319">
        <f t="shared" si="12"/>
        <v>1788.8934173999289</v>
      </c>
      <c r="AT23" s="614">
        <f>AS23*AS14</f>
        <v>10035.14592245327</v>
      </c>
    </row>
    <row r="24" spans="2:46" ht="15.75" thickBot="1" x14ac:dyDescent="0.3">
      <c r="B24" s="905" t="s">
        <v>571</v>
      </c>
      <c r="C24" s="952">
        <v>163.54</v>
      </c>
      <c r="D24" s="1321">
        <f>AT33</f>
        <v>174.6573248429203</v>
      </c>
      <c r="E24" s="1324">
        <f t="shared" si="5"/>
        <v>6.7979239592272908E-2</v>
      </c>
      <c r="G24" s="340">
        <v>7</v>
      </c>
      <c r="H24" s="879" t="str">
        <f>IF(INDEX('Master Lookup'!$B$364:$B$373,G24)=0,"",INDEX('Master Lookup'!$B$364:$B$373,G24))</f>
        <v>Program Supplies &amp; Materials 215</v>
      </c>
      <c r="I24" s="616"/>
      <c r="J24" s="1319">
        <f>'Non-Salary Expense FY26'!E17</f>
        <v>2947.5899663350119</v>
      </c>
      <c r="K24" s="614">
        <f>J13*J24</f>
        <v>5138.6367539606472</v>
      </c>
      <c r="L24" s="856"/>
      <c r="M24" s="879" t="str">
        <f>IF(INDEX('Master Lookup'!$B$364:$B$370,G24)=0,"",INDEX('Master Lookup'!$B$364:$B$370,G24))</f>
        <v>Program Supplies &amp; Materials 215</v>
      </c>
      <c r="N24" s="616"/>
      <c r="O24" s="1319">
        <f t="shared" si="6"/>
        <v>2947.5899663350119</v>
      </c>
      <c r="P24" s="614">
        <f>O24*O13</f>
        <v>7850.4195229888601</v>
      </c>
      <c r="Q24" s="616"/>
      <c r="R24" s="879" t="str">
        <f>IF(INDEX('Master Lookup'!$B$364:$B$370,G23)=0,"",INDEX('Master Lookup'!$B$364:$B$370,G23))</f>
        <v>Client Personal Allowances 211</v>
      </c>
      <c r="S24" s="616"/>
      <c r="T24" s="1319">
        <f t="shared" si="7"/>
        <v>2281.1717646047468</v>
      </c>
      <c r="U24" s="614">
        <f>T14*T24</f>
        <v>6945.1300900685592</v>
      </c>
      <c r="V24" s="616"/>
      <c r="W24" s="127" t="s">
        <v>296</v>
      </c>
      <c r="X24" s="616"/>
      <c r="Y24" s="1319">
        <f t="shared" si="8"/>
        <v>2281.1717646047468</v>
      </c>
      <c r="Z24" s="614">
        <f>Y24*Y14</f>
        <v>7475.4229124445774</v>
      </c>
      <c r="AA24" s="616"/>
      <c r="AB24" s="127" t="s">
        <v>296</v>
      </c>
      <c r="AC24" s="616"/>
      <c r="AD24" s="1319">
        <f t="shared" si="9"/>
        <v>2281.1717646047468</v>
      </c>
      <c r="AE24" s="614">
        <f>AD24*AD14</f>
        <v>6270.8239286697481</v>
      </c>
      <c r="AF24" s="616"/>
      <c r="AG24" s="127" t="s">
        <v>296</v>
      </c>
      <c r="AH24" s="616"/>
      <c r="AI24" s="1319">
        <f t="shared" si="10"/>
        <v>2281.1717646047468</v>
      </c>
      <c r="AJ24" s="614">
        <f>AI24*AI14</f>
        <v>9776.6667074060842</v>
      </c>
      <c r="AK24" s="616"/>
      <c r="AL24" s="127" t="s">
        <v>296</v>
      </c>
      <c r="AM24" s="616"/>
      <c r="AN24" s="1319">
        <f t="shared" si="11"/>
        <v>2281.1717646047468</v>
      </c>
      <c r="AO24" s="614">
        <f>AN24*AN14</f>
        <v>17374.466797472858</v>
      </c>
      <c r="AP24" s="616"/>
      <c r="AQ24" s="127" t="s">
        <v>296</v>
      </c>
      <c r="AR24" s="616"/>
      <c r="AS24" s="1319">
        <f t="shared" si="12"/>
        <v>2281.1717646047468</v>
      </c>
      <c r="AT24" s="614">
        <f>AS24*AS14</f>
        <v>12796.677157692897</v>
      </c>
    </row>
    <row r="25" spans="2:46" ht="15.75" thickBot="1" x14ac:dyDescent="0.3">
      <c r="H25" s="877" t="s">
        <v>492</v>
      </c>
      <c r="I25" s="876"/>
      <c r="J25" s="876"/>
      <c r="K25" s="861">
        <f>SUM(K18:K24)</f>
        <v>27162.781845501559</v>
      </c>
      <c r="L25" s="856"/>
      <c r="M25" s="877" t="s">
        <v>492</v>
      </c>
      <c r="N25" s="876"/>
      <c r="O25" s="876"/>
      <c r="P25" s="861">
        <f>SUM(P18:P24)</f>
        <v>41497.23810196486</v>
      </c>
      <c r="Q25" s="256"/>
      <c r="R25" s="879" t="str">
        <f>IF(INDEX('Master Lookup'!$B$364:$B$370,G24)=0,"",INDEX('Master Lookup'!$B$364:$B$370,G24))</f>
        <v>Program Supplies &amp; Materials 215</v>
      </c>
      <c r="S25" s="616"/>
      <c r="T25" s="1319">
        <f t="shared" si="7"/>
        <v>2947.5899663350119</v>
      </c>
      <c r="U25" s="614">
        <f>T14*T25</f>
        <v>8974.0702940554293</v>
      </c>
      <c r="V25" s="256"/>
      <c r="W25" s="879" t="str">
        <f>IF(INDEX('Master Lookup'!$B$364:$B$370,G24)=0,"",INDEX('Master Lookup'!$B$364:$B$370,G24))</f>
        <v>Program Supplies &amp; Materials 215</v>
      </c>
      <c r="X25" s="616"/>
      <c r="Y25" s="1319">
        <f t="shared" si="8"/>
        <v>2947.5899663350119</v>
      </c>
      <c r="Z25" s="614">
        <f>Y25*Y14</f>
        <v>9659.2820903384927</v>
      </c>
      <c r="AA25" s="616"/>
      <c r="AB25" s="879" t="str">
        <f>IF(INDEX('Master Lookup'!$B$364:$B$370,G24)=0,"",INDEX('Master Lookup'!$B$364:$B$370,G24))</f>
        <v>Program Supplies &amp; Materials 215</v>
      </c>
      <c r="AC25" s="616"/>
      <c r="AD25" s="1319">
        <f t="shared" si="9"/>
        <v>2947.5899663350119</v>
      </c>
      <c r="AE25" s="614">
        <f>AD25*AD14</f>
        <v>8102.7733113306776</v>
      </c>
      <c r="AF25" s="616"/>
      <c r="AG25" s="879" t="str">
        <f>IF(INDEX('Master Lookup'!$B$364:$B$370,G24)=0,"",INDEX('Master Lookup'!$B$364:$B$370,G24))</f>
        <v>Program Supplies &amp; Materials 215</v>
      </c>
      <c r="AH25" s="616"/>
      <c r="AI25" s="1319">
        <f t="shared" si="10"/>
        <v>2947.5899663350119</v>
      </c>
      <c r="AJ25" s="614">
        <f>AI25*AI14</f>
        <v>12632.807900787289</v>
      </c>
      <c r="AK25" s="616"/>
      <c r="AL25" s="879" t="str">
        <f>IF(INDEX('Master Lookup'!$B$364:$B$370,G24)=0,"",INDEX('Master Lookup'!$B$364:$B$370,G24))</f>
        <v>Program Supplies &amp; Materials 215</v>
      </c>
      <c r="AM25" s="616"/>
      <c r="AN25" s="1319">
        <f t="shared" si="11"/>
        <v>2947.5899663350119</v>
      </c>
      <c r="AO25" s="614">
        <f>AN25*AN14</f>
        <v>22450.21825944147</v>
      </c>
      <c r="AP25" s="616"/>
      <c r="AQ25" s="879" t="str">
        <f>IF(INDEX('Master Lookup'!$B$364:$B$370,G24)=0,"",INDEX('Master Lookup'!$B$364:$B$370,G24))</f>
        <v>Program Supplies &amp; Materials 215</v>
      </c>
      <c r="AR25" s="616"/>
      <c r="AS25" s="1319">
        <f t="shared" si="12"/>
        <v>2947.5899663350119</v>
      </c>
      <c r="AT25" s="614">
        <f>AS25*AS14</f>
        <v>16535.079811922697</v>
      </c>
    </row>
    <row r="26" spans="2:46" ht="16.5" thickTop="1" thickBot="1" x14ac:dyDescent="0.3">
      <c r="H26" s="667"/>
      <c r="I26" s="254"/>
      <c r="J26" s="254"/>
      <c r="K26" s="299"/>
      <c r="L26" s="856"/>
      <c r="M26" s="667"/>
      <c r="N26" s="254"/>
      <c r="O26" s="254"/>
      <c r="P26" s="299"/>
      <c r="Q26" s="256"/>
      <c r="R26" s="877" t="s">
        <v>492</v>
      </c>
      <c r="S26" s="876"/>
      <c r="T26" s="878" t="str">
        <f>IFERROR(INDEX('Master Lookup'!$C$364:$C$370,MATCH(R26,'Master Lookup'!$B$364:$B$370,0)),"")</f>
        <v/>
      </c>
      <c r="U26" s="861">
        <f>SUM(U19:U25)</f>
        <v>47436.844699276146</v>
      </c>
      <c r="V26" s="256"/>
      <c r="W26" s="877" t="s">
        <v>492</v>
      </c>
      <c r="X26" s="876"/>
      <c r="Y26" s="878" t="str">
        <f>IFERROR(INDEX('Master Lookup'!$C$364:$C$370,MATCH(W26,'Master Lookup'!$B$364:$B$370,0)),"")</f>
        <v/>
      </c>
      <c r="Z26" s="861">
        <f>SUM(Z19:Z25)</f>
        <v>51058.867315693918</v>
      </c>
      <c r="AA26" s="616"/>
      <c r="AB26" s="877" t="s">
        <v>492</v>
      </c>
      <c r="AC26" s="876"/>
      <c r="AD26" s="878" t="str">
        <f>IFERROR(INDEX('Master Lookup'!$C$364:$C$370,MATCH(AB26,'Master Lookup'!$B$364:$B$370,0)),"")</f>
        <v/>
      </c>
      <c r="AE26" s="861">
        <f>SUM(AE19:AE25)</f>
        <v>42831.177671702186</v>
      </c>
      <c r="AF26" s="616"/>
      <c r="AG26" s="877" t="s">
        <v>492</v>
      </c>
      <c r="AH26" s="876"/>
      <c r="AI26" s="876"/>
      <c r="AJ26" s="861">
        <f>SUM(AJ19:AJ25)</f>
        <v>66776.894638589496</v>
      </c>
      <c r="AK26" s="616"/>
      <c r="AL26" s="877" t="s">
        <v>492</v>
      </c>
      <c r="AM26" s="876"/>
      <c r="AN26" s="876"/>
      <c r="AO26" s="861">
        <f>SUM(AO19:AO25)</f>
        <v>118671.62637932869</v>
      </c>
      <c r="AP26" s="616"/>
      <c r="AQ26" s="877" t="s">
        <v>492</v>
      </c>
      <c r="AR26" s="876"/>
      <c r="AS26" s="876"/>
      <c r="AT26" s="861">
        <f>SUM(AT19:AT25)</f>
        <v>87404.264444852175</v>
      </c>
    </row>
    <row r="27" spans="2:46" ht="15" customHeight="1" thickTop="1" x14ac:dyDescent="0.25">
      <c r="H27" s="372" t="s">
        <v>491</v>
      </c>
      <c r="I27" s="289"/>
      <c r="J27" s="289"/>
      <c r="K27" s="288">
        <f>K15+K25</f>
        <v>165485.15982990371</v>
      </c>
      <c r="L27" s="856"/>
      <c r="M27" s="372" t="s">
        <v>491</v>
      </c>
      <c r="N27" s="289"/>
      <c r="O27" s="289"/>
      <c r="P27" s="288">
        <f>P25+P15</f>
        <v>250520.35947461345</v>
      </c>
      <c r="Q27" s="256"/>
      <c r="R27" s="667"/>
      <c r="S27" s="254"/>
      <c r="T27" s="254"/>
      <c r="U27" s="299"/>
      <c r="V27" s="256"/>
      <c r="W27" s="667"/>
      <c r="X27" s="254"/>
      <c r="Y27" s="254"/>
      <c r="Z27" s="299"/>
      <c r="AA27" s="616"/>
      <c r="AB27" s="667"/>
      <c r="AC27" s="254"/>
      <c r="AD27" s="254"/>
      <c r="AE27" s="299"/>
      <c r="AF27" s="616"/>
      <c r="AG27" s="667"/>
      <c r="AH27" s="254"/>
      <c r="AI27" s="254"/>
      <c r="AJ27" s="299"/>
      <c r="AK27" s="616"/>
      <c r="AL27" s="667"/>
      <c r="AM27" s="874"/>
      <c r="AN27" s="874"/>
      <c r="AO27" s="873"/>
      <c r="AP27" s="616"/>
      <c r="AQ27" s="875"/>
      <c r="AR27" s="874"/>
      <c r="AS27" s="874"/>
      <c r="AT27" s="873"/>
    </row>
    <row r="28" spans="2:46" ht="21" customHeight="1" x14ac:dyDescent="0.25">
      <c r="H28" s="127" t="s">
        <v>570</v>
      </c>
      <c r="I28" s="869"/>
      <c r="J28" s="426">
        <f>'Master Lookup'!C374</f>
        <v>0.12</v>
      </c>
      <c r="K28" s="287">
        <f>J28*K27</f>
        <v>19858.219179588446</v>
      </c>
      <c r="L28" s="856"/>
      <c r="M28" s="127" t="s">
        <v>570</v>
      </c>
      <c r="N28" s="869"/>
      <c r="O28" s="869">
        <f>'Master Lookup'!C374</f>
        <v>0.12</v>
      </c>
      <c r="P28" s="287">
        <f>P27*O28</f>
        <v>30062.443136953614</v>
      </c>
      <c r="Q28" s="255"/>
      <c r="R28" s="372" t="s">
        <v>491</v>
      </c>
      <c r="S28" s="289"/>
      <c r="T28" s="289"/>
      <c r="U28" s="288">
        <f>U26+U16</f>
        <v>309214.96858630364</v>
      </c>
      <c r="V28" s="255"/>
      <c r="W28" s="872" t="s">
        <v>491</v>
      </c>
      <c r="X28" s="289"/>
      <c r="Y28" s="289"/>
      <c r="Z28" s="871">
        <f>Z26+Z16</f>
        <v>314331.63007274468</v>
      </c>
      <c r="AA28" s="256"/>
      <c r="AB28" s="872" t="s">
        <v>491</v>
      </c>
      <c r="AC28" s="289"/>
      <c r="AD28" s="289"/>
      <c r="AE28" s="871">
        <f>AE26+AE16</f>
        <v>311637.90081306809</v>
      </c>
      <c r="AF28" s="616"/>
      <c r="AG28" s="872" t="s">
        <v>491</v>
      </c>
      <c r="AH28" s="289"/>
      <c r="AI28" s="289"/>
      <c r="AJ28" s="871">
        <f>AJ26+AJ16</f>
        <v>450115.84761387529</v>
      </c>
      <c r="AK28" s="616"/>
      <c r="AL28" s="872" t="s">
        <v>491</v>
      </c>
      <c r="AM28" s="289"/>
      <c r="AN28" s="289"/>
      <c r="AO28" s="871">
        <f>AO26+AO16</f>
        <v>751997.53365952312</v>
      </c>
      <c r="AP28" s="616"/>
      <c r="AQ28" s="872" t="s">
        <v>491</v>
      </c>
      <c r="AR28" s="289"/>
      <c r="AS28" s="289"/>
      <c r="AT28" s="871">
        <f>AT16+AT26</f>
        <v>555160.14788082882</v>
      </c>
    </row>
    <row r="29" spans="2:46" ht="15" x14ac:dyDescent="0.25">
      <c r="H29" s="870" t="s">
        <v>569</v>
      </c>
      <c r="I29" s="869"/>
      <c r="J29" s="426">
        <f>'CAF Spring 2025'!CT26</f>
        <v>2.5282070971092779E-2</v>
      </c>
      <c r="K29" s="287">
        <f>J29*(K27+K28)</f>
        <v>4685.864462140129</v>
      </c>
      <c r="L29" s="856"/>
      <c r="M29" s="870" t="s">
        <v>569</v>
      </c>
      <c r="N29" s="869"/>
      <c r="O29" s="869">
        <f>J29</f>
        <v>2.5282070971092779E-2</v>
      </c>
      <c r="P29" s="287">
        <f>O29*(P27+P28)</f>
        <v>7093.714328893755</v>
      </c>
      <c r="Q29" s="255"/>
      <c r="R29" s="127" t="s">
        <v>570</v>
      </c>
      <c r="T29" s="869">
        <f>'Master Lookup'!C374</f>
        <v>0.12</v>
      </c>
      <c r="U29" s="287">
        <f>U28*T29</f>
        <v>37105.796230356435</v>
      </c>
      <c r="V29" s="255"/>
      <c r="W29" s="127" t="s">
        <v>570</v>
      </c>
      <c r="X29" s="869"/>
      <c r="Y29" s="869">
        <f>'Master Lookup'!C374</f>
        <v>0.12</v>
      </c>
      <c r="Z29" s="287">
        <f>Z28*Y29</f>
        <v>37719.795608729357</v>
      </c>
      <c r="AA29" s="255"/>
      <c r="AB29" s="127" t="s">
        <v>570</v>
      </c>
      <c r="AC29" s="869"/>
      <c r="AD29" s="869">
        <f>'Master Lookup'!C374</f>
        <v>0.12</v>
      </c>
      <c r="AE29" s="287">
        <f>AE28*AD29</f>
        <v>37396.548097568171</v>
      </c>
      <c r="AF29" s="256"/>
      <c r="AG29" s="127" t="s">
        <v>570</v>
      </c>
      <c r="AH29" s="869"/>
      <c r="AI29" s="869">
        <f>'Master Lookup'!C374</f>
        <v>0.12</v>
      </c>
      <c r="AJ29" s="287">
        <f>AJ28*AI29</f>
        <v>54013.901713665029</v>
      </c>
      <c r="AK29" s="256"/>
      <c r="AL29" s="127" t="s">
        <v>570</v>
      </c>
      <c r="AM29" s="869"/>
      <c r="AN29" s="869">
        <f>'Master Lookup'!C374</f>
        <v>0.12</v>
      </c>
      <c r="AO29" s="287">
        <f>AO28*AN29</f>
        <v>90239.704039142773</v>
      </c>
      <c r="AP29" s="256"/>
      <c r="AQ29" s="127" t="s">
        <v>570</v>
      </c>
      <c r="AR29" s="869"/>
      <c r="AS29" s="869">
        <f>'Master Lookup'!C374</f>
        <v>0.12</v>
      </c>
      <c r="AT29" s="287">
        <f>AT28*AS29</f>
        <v>66619.217745699454</v>
      </c>
    </row>
    <row r="30" spans="2:46" ht="15.75" thickBot="1" x14ac:dyDescent="0.3">
      <c r="H30" s="864" t="s">
        <v>568</v>
      </c>
      <c r="I30" s="863"/>
      <c r="J30" s="862"/>
      <c r="K30" s="861">
        <f>SUM(K27:K29)</f>
        <v>190029.2434716323</v>
      </c>
      <c r="L30" s="856"/>
      <c r="M30" s="864" t="s">
        <v>568</v>
      </c>
      <c r="N30" s="863"/>
      <c r="O30" s="862"/>
      <c r="P30" s="861">
        <f>SUM(P27:P29)</f>
        <v>287676.51694046083</v>
      </c>
      <c r="Q30" s="256"/>
      <c r="R30" s="870" t="s">
        <v>569</v>
      </c>
      <c r="T30" s="869">
        <f>O29</f>
        <v>2.5282070971092779E-2</v>
      </c>
      <c r="U30" s="287">
        <f>T30*(U28+U29)</f>
        <v>8755.7061548579313</v>
      </c>
      <c r="V30" s="256"/>
      <c r="W30" s="870" t="s">
        <v>569</v>
      </c>
      <c r="X30" s="869"/>
      <c r="Y30" s="869">
        <f>T30</f>
        <v>2.5282070971092779E-2</v>
      </c>
      <c r="Z30" s="287">
        <f>Y30*(Z28+Z29)</f>
        <v>8900.589129553422</v>
      </c>
      <c r="AA30" s="255"/>
      <c r="AB30" s="870" t="s">
        <v>569</v>
      </c>
      <c r="AC30" s="869"/>
      <c r="AD30" s="869">
        <f>Y30</f>
        <v>2.5282070971092779E-2</v>
      </c>
      <c r="AE30" s="287">
        <f>AD30*(AE28+AE29)</f>
        <v>8824.3137087149626</v>
      </c>
      <c r="AF30" s="255"/>
      <c r="AG30" s="870" t="s">
        <v>569</v>
      </c>
      <c r="AH30" s="869"/>
      <c r="AI30" s="869">
        <f>AD30</f>
        <v>2.5282070971092779E-2</v>
      </c>
      <c r="AJ30" s="287">
        <f>AI30*(AJ28+AJ29)</f>
        <v>12745.444101138088</v>
      </c>
      <c r="AK30" s="255"/>
      <c r="AL30" s="870" t="s">
        <v>569</v>
      </c>
      <c r="AM30" s="869"/>
      <c r="AN30" s="869">
        <f>AI30</f>
        <v>2.5282070971092779E-2</v>
      </c>
      <c r="AO30" s="287">
        <f>AN30*(AO28+AO29)</f>
        <v>21293.501617994811</v>
      </c>
      <c r="AP30" s="255"/>
      <c r="AQ30" s="870" t="s">
        <v>569</v>
      </c>
      <c r="AR30" s="869"/>
      <c r="AS30" s="869">
        <f>AN30</f>
        <v>2.5282070971092779E-2</v>
      </c>
      <c r="AT30" s="287">
        <f>AS30*(AT28+AT29)</f>
        <v>15719.870050130934</v>
      </c>
    </row>
    <row r="31" spans="2:46" ht="15.75" customHeight="1" thickTop="1" thickBot="1" x14ac:dyDescent="0.3">
      <c r="H31" s="859" t="s">
        <v>348</v>
      </c>
      <c r="I31" s="262"/>
      <c r="J31" s="858"/>
      <c r="K31" s="857">
        <v>10</v>
      </c>
      <c r="L31" s="856"/>
      <c r="M31" s="868" t="s">
        <v>348</v>
      </c>
      <c r="N31" s="867"/>
      <c r="O31" s="866"/>
      <c r="P31" s="865">
        <v>10</v>
      </c>
      <c r="Q31" s="860"/>
      <c r="R31" s="864" t="s">
        <v>568</v>
      </c>
      <c r="S31" s="863"/>
      <c r="T31" s="862"/>
      <c r="U31" s="861">
        <f>SUM(U28:U30)</f>
        <v>355076.47097151802</v>
      </c>
      <c r="V31" s="853"/>
      <c r="W31" s="864" t="s">
        <v>568</v>
      </c>
      <c r="X31" s="863"/>
      <c r="Y31" s="862"/>
      <c r="Z31" s="861">
        <f>SUM(Z28:Z30)</f>
        <v>360952.01481102745</v>
      </c>
      <c r="AA31" s="860"/>
      <c r="AB31" s="864" t="s">
        <v>568</v>
      </c>
      <c r="AC31" s="863"/>
      <c r="AD31" s="862"/>
      <c r="AE31" s="861">
        <f>SUM(AE28:AE30)</f>
        <v>357858.76261935121</v>
      </c>
      <c r="AF31" s="255"/>
      <c r="AG31" s="864" t="s">
        <v>568</v>
      </c>
      <c r="AH31" s="863"/>
      <c r="AI31" s="862"/>
      <c r="AJ31" s="861">
        <f>SUM(AJ28:AJ30)</f>
        <v>516875.19342867844</v>
      </c>
      <c r="AK31" s="255"/>
      <c r="AL31" s="864" t="s">
        <v>568</v>
      </c>
      <c r="AM31" s="863"/>
      <c r="AN31" s="862"/>
      <c r="AO31" s="861">
        <f>SUM(AO28:AO30)</f>
        <v>863530.73931666079</v>
      </c>
      <c r="AP31" s="255"/>
      <c r="AQ31" s="864" t="s">
        <v>568</v>
      </c>
      <c r="AR31" s="863"/>
      <c r="AS31" s="862"/>
      <c r="AT31" s="861">
        <f>SUM(AT28:AT30)</f>
        <v>637499.23567665915</v>
      </c>
    </row>
    <row r="32" spans="2:46" ht="15.75" customHeight="1" thickBot="1" x14ac:dyDescent="0.3">
      <c r="H32" s="273" t="s">
        <v>551</v>
      </c>
      <c r="I32" s="852"/>
      <c r="J32" s="851"/>
      <c r="K32" s="850">
        <f>K30/K31/365</f>
        <v>52.062806430584189</v>
      </c>
      <c r="L32" s="264"/>
      <c r="M32" s="273" t="s">
        <v>551</v>
      </c>
      <c r="N32" s="852"/>
      <c r="O32" s="851"/>
      <c r="P32" s="850">
        <f>P30/P31/365</f>
        <v>78.815484093276936</v>
      </c>
      <c r="Q32" s="853"/>
      <c r="R32" s="859" t="s">
        <v>348</v>
      </c>
      <c r="S32" s="262"/>
      <c r="T32" s="858"/>
      <c r="U32" s="857">
        <v>10</v>
      </c>
      <c r="V32" s="853"/>
      <c r="W32" s="859" t="s">
        <v>348</v>
      </c>
      <c r="X32" s="262"/>
      <c r="Y32" s="858"/>
      <c r="Z32" s="857">
        <v>10</v>
      </c>
      <c r="AA32" s="853"/>
      <c r="AB32" s="859" t="s">
        <v>348</v>
      </c>
      <c r="AC32" s="262"/>
      <c r="AD32" s="858"/>
      <c r="AE32" s="857">
        <v>10</v>
      </c>
      <c r="AF32" s="860"/>
      <c r="AG32" s="859" t="s">
        <v>348</v>
      </c>
      <c r="AH32" s="262"/>
      <c r="AI32" s="858"/>
      <c r="AJ32" s="857">
        <v>10</v>
      </c>
      <c r="AK32" s="860"/>
      <c r="AL32" s="859" t="s">
        <v>348</v>
      </c>
      <c r="AM32" s="262"/>
      <c r="AN32" s="858"/>
      <c r="AO32" s="857">
        <v>10</v>
      </c>
      <c r="AP32" s="860"/>
      <c r="AQ32" s="859" t="s">
        <v>348</v>
      </c>
      <c r="AR32" s="262"/>
      <c r="AS32" s="858"/>
      <c r="AT32" s="857">
        <v>10</v>
      </c>
    </row>
    <row r="33" spans="8:47" ht="15.75" thickBot="1" x14ac:dyDescent="0.3">
      <c r="H33" s="301"/>
      <c r="I33" s="856"/>
      <c r="J33" s="854"/>
      <c r="K33" s="254"/>
      <c r="L33" s="855"/>
      <c r="M33" s="301"/>
      <c r="N33" s="301"/>
      <c r="O33" s="854"/>
      <c r="P33" s="853"/>
      <c r="Q33" s="853"/>
      <c r="R33" s="273" t="s">
        <v>551</v>
      </c>
      <c r="S33" s="852"/>
      <c r="T33" s="851"/>
      <c r="U33" s="850">
        <f>U31/U32/365</f>
        <v>97.281224923703562</v>
      </c>
      <c r="V33" s="469"/>
      <c r="W33" s="273" t="s">
        <v>551</v>
      </c>
      <c r="X33" s="852"/>
      <c r="Y33" s="851"/>
      <c r="Z33" s="850">
        <f>Z31/Z32/365</f>
        <v>98.890962961925339</v>
      </c>
      <c r="AA33" s="469"/>
      <c r="AB33" s="273" t="s">
        <v>551</v>
      </c>
      <c r="AC33" s="852"/>
      <c r="AD33" s="851"/>
      <c r="AE33" s="850">
        <f>AE31/AE32/365</f>
        <v>98.043496608041423</v>
      </c>
      <c r="AF33" s="853"/>
      <c r="AG33" s="273" t="s">
        <v>551</v>
      </c>
      <c r="AH33" s="852"/>
      <c r="AI33" s="851"/>
      <c r="AJ33" s="850">
        <f>AJ31/AJ32/365</f>
        <v>141.60964203525438</v>
      </c>
      <c r="AK33" s="853"/>
      <c r="AL33" s="273" t="s">
        <v>551</v>
      </c>
      <c r="AM33" s="852"/>
      <c r="AN33" s="851"/>
      <c r="AO33" s="850">
        <f>AO31/AO32/365</f>
        <v>236.58376419634541</v>
      </c>
      <c r="AP33" s="853"/>
      <c r="AQ33" s="273" t="s">
        <v>551</v>
      </c>
      <c r="AR33" s="852"/>
      <c r="AS33" s="851"/>
      <c r="AT33" s="850">
        <f>AT31/AT32/365</f>
        <v>174.6573248429203</v>
      </c>
    </row>
    <row r="34" spans="8:47" x14ac:dyDescent="0.2">
      <c r="Q34" s="469"/>
      <c r="R34" s="469"/>
      <c r="S34" s="469"/>
      <c r="T34" s="469"/>
      <c r="U34" s="469"/>
      <c r="V34" s="848"/>
      <c r="W34" s="469"/>
      <c r="X34" s="469"/>
      <c r="Y34" s="469"/>
      <c r="Z34" s="469"/>
      <c r="AA34" s="848"/>
      <c r="AB34" s="469"/>
      <c r="AC34" s="469"/>
      <c r="AD34" s="469"/>
      <c r="AE34" s="469"/>
      <c r="AF34" s="469"/>
      <c r="AG34" s="469"/>
      <c r="AH34" s="469"/>
      <c r="AI34" s="469"/>
      <c r="AJ34" s="469"/>
      <c r="AK34" s="469"/>
      <c r="AL34" s="469"/>
      <c r="AM34" s="469"/>
      <c r="AN34" s="469"/>
      <c r="AO34" s="469"/>
      <c r="AP34" s="469"/>
      <c r="AQ34" s="469"/>
      <c r="AR34" s="469"/>
      <c r="AS34" s="469"/>
      <c r="AT34" s="469"/>
    </row>
    <row r="35" spans="8:47" x14ac:dyDescent="0.2">
      <c r="Q35" s="848"/>
      <c r="R35" s="848"/>
      <c r="S35" s="848"/>
      <c r="T35" s="848"/>
      <c r="U35" s="848"/>
      <c r="V35" s="830"/>
      <c r="W35" s="848"/>
      <c r="X35" s="848"/>
      <c r="Y35" s="848"/>
      <c r="Z35" s="848"/>
      <c r="AA35" s="830"/>
      <c r="AB35" s="848"/>
      <c r="AC35" s="848"/>
      <c r="AD35" s="848"/>
      <c r="AE35" s="848"/>
      <c r="AF35" s="848"/>
      <c r="AG35" s="848"/>
      <c r="AH35" s="848"/>
      <c r="AI35" s="848"/>
      <c r="AJ35" s="848"/>
      <c r="AK35" s="848"/>
      <c r="AL35" s="848"/>
      <c r="AM35" s="848"/>
      <c r="AN35" s="848"/>
      <c r="AO35" s="848"/>
      <c r="AP35" s="848"/>
      <c r="AQ35" s="848"/>
      <c r="AR35" s="848"/>
      <c r="AS35" s="848"/>
      <c r="AT35" s="848"/>
    </row>
    <row r="36" spans="8:47" x14ac:dyDescent="0.2">
      <c r="Q36" s="830"/>
      <c r="R36" s="830"/>
      <c r="S36" s="830"/>
      <c r="T36" s="830"/>
      <c r="U36" s="830"/>
      <c r="V36" s="830"/>
      <c r="W36" s="830"/>
      <c r="X36" s="830"/>
      <c r="Y36" s="830"/>
      <c r="Z36" s="830"/>
      <c r="AA36" s="830"/>
      <c r="AB36" s="830"/>
      <c r="AC36" s="830"/>
      <c r="AD36" s="830"/>
      <c r="AE36" s="830"/>
      <c r="AF36" s="830"/>
      <c r="AG36" s="830"/>
      <c r="AH36" s="830"/>
      <c r="AI36" s="830"/>
      <c r="AJ36" s="830"/>
      <c r="AK36" s="830"/>
      <c r="AL36" s="830"/>
      <c r="AM36" s="830"/>
      <c r="AN36" s="830"/>
      <c r="AO36" s="830"/>
      <c r="AP36" s="830"/>
      <c r="AQ36" s="830"/>
      <c r="AR36" s="830"/>
      <c r="AS36" s="830"/>
      <c r="AT36" s="830"/>
    </row>
    <row r="37" spans="8:47" x14ac:dyDescent="0.2">
      <c r="Q37" s="830"/>
      <c r="R37" s="830"/>
      <c r="S37" s="830"/>
      <c r="T37" s="830"/>
      <c r="U37" s="830"/>
      <c r="V37" s="830"/>
      <c r="W37" s="830"/>
      <c r="X37" s="830"/>
      <c r="Y37" s="830"/>
      <c r="Z37" s="830"/>
      <c r="AA37" s="830"/>
      <c r="AB37" s="830"/>
      <c r="AC37" s="830"/>
      <c r="AD37" s="830"/>
      <c r="AE37" s="830"/>
      <c r="AF37" s="830"/>
      <c r="AG37" s="830"/>
      <c r="AH37" s="830"/>
      <c r="AI37" s="830"/>
      <c r="AJ37" s="830"/>
      <c r="AK37" s="830"/>
      <c r="AL37" s="830"/>
      <c r="AM37" s="830"/>
      <c r="AN37" s="830"/>
      <c r="AO37" s="830"/>
      <c r="AP37" s="830"/>
      <c r="AQ37" s="830"/>
      <c r="AR37" s="830"/>
      <c r="AS37" s="830"/>
      <c r="AT37" s="830"/>
    </row>
    <row r="38" spans="8:47" x14ac:dyDescent="0.2">
      <c r="Q38" s="830"/>
      <c r="R38" s="830"/>
      <c r="S38" s="830"/>
      <c r="T38" s="830"/>
      <c r="U38" s="830"/>
      <c r="V38" s="830"/>
      <c r="W38" s="830"/>
      <c r="X38" s="830"/>
      <c r="Y38" s="830"/>
      <c r="Z38" s="830"/>
      <c r="AA38" s="830"/>
      <c r="AB38" s="830"/>
      <c r="AC38" s="830"/>
      <c r="AD38" s="830"/>
      <c r="AE38" s="830"/>
      <c r="AF38" s="830"/>
      <c r="AG38" s="830"/>
      <c r="AH38" s="830"/>
      <c r="AI38" s="830"/>
      <c r="AJ38" s="830"/>
      <c r="AK38" s="830"/>
      <c r="AL38" s="830"/>
      <c r="AM38" s="830"/>
      <c r="AN38" s="830"/>
      <c r="AO38" s="830"/>
      <c r="AP38" s="830"/>
      <c r="AQ38" s="830"/>
      <c r="AR38" s="830"/>
      <c r="AS38" s="830"/>
      <c r="AT38" s="830"/>
    </row>
    <row r="39" spans="8:47" x14ac:dyDescent="0.2">
      <c r="Q39" s="830"/>
      <c r="R39" s="830"/>
      <c r="S39" s="830"/>
      <c r="T39" s="830"/>
      <c r="U39" s="830"/>
      <c r="V39" s="830"/>
      <c r="W39" s="830"/>
      <c r="X39" s="830"/>
      <c r="Y39" s="830"/>
      <c r="Z39" s="830"/>
      <c r="AA39" s="830"/>
      <c r="AB39" s="830"/>
      <c r="AC39" s="830"/>
      <c r="AD39" s="830"/>
      <c r="AE39" s="830"/>
      <c r="AF39" s="830"/>
      <c r="AG39" s="830"/>
      <c r="AH39" s="830"/>
      <c r="AI39" s="830"/>
      <c r="AJ39" s="830"/>
      <c r="AK39" s="830"/>
      <c r="AL39" s="830"/>
      <c r="AM39" s="830"/>
      <c r="AN39" s="830"/>
      <c r="AO39" s="830"/>
      <c r="AP39" s="830"/>
      <c r="AQ39" s="830"/>
      <c r="AR39" s="830"/>
      <c r="AS39" s="830"/>
      <c r="AT39" s="830"/>
    </row>
    <row r="40" spans="8:47" ht="16.5" customHeight="1" x14ac:dyDescent="0.2">
      <c r="Q40" s="830"/>
      <c r="R40" s="830"/>
      <c r="S40" s="830"/>
      <c r="T40" s="830"/>
      <c r="U40" s="830"/>
      <c r="V40" s="847"/>
      <c r="W40" s="830"/>
      <c r="X40" s="830"/>
      <c r="Y40" s="830"/>
      <c r="Z40" s="830"/>
      <c r="AA40" s="847"/>
      <c r="AB40" s="830"/>
      <c r="AC40" s="830"/>
      <c r="AD40" s="830"/>
      <c r="AE40" s="830"/>
      <c r="AF40" s="830"/>
      <c r="AG40" s="830"/>
      <c r="AH40" s="830"/>
      <c r="AI40" s="830"/>
      <c r="AJ40" s="830"/>
      <c r="AK40" s="830"/>
      <c r="AL40" s="830"/>
      <c r="AM40" s="830"/>
      <c r="AN40" s="830"/>
      <c r="AO40" s="830"/>
      <c r="AP40" s="830"/>
      <c r="AQ40" s="830"/>
      <c r="AR40" s="830"/>
      <c r="AS40" s="830"/>
      <c r="AT40" s="830"/>
      <c r="AU40" s="344"/>
    </row>
    <row r="41" spans="8:47" x14ac:dyDescent="0.2">
      <c r="Q41" s="847"/>
      <c r="R41" s="847"/>
      <c r="S41" s="847"/>
      <c r="T41" s="847"/>
      <c r="U41" s="847"/>
      <c r="V41" s="847"/>
      <c r="W41" s="847"/>
      <c r="X41" s="847"/>
      <c r="Y41" s="847"/>
      <c r="Z41" s="847"/>
      <c r="AA41" s="847"/>
      <c r="AB41" s="847"/>
      <c r="AC41" s="847"/>
      <c r="AD41" s="847"/>
      <c r="AE41" s="847"/>
      <c r="AF41" s="847"/>
      <c r="AG41" s="847"/>
      <c r="AH41" s="847"/>
      <c r="AI41" s="847"/>
      <c r="AJ41" s="847"/>
      <c r="AK41" s="847"/>
      <c r="AL41" s="847"/>
      <c r="AM41" s="847"/>
      <c r="AN41" s="847"/>
      <c r="AO41" s="847"/>
      <c r="AP41" s="847"/>
      <c r="AQ41" s="847"/>
      <c r="AR41" s="847"/>
      <c r="AS41" s="847"/>
      <c r="AT41" s="847"/>
      <c r="AU41" s="849"/>
    </row>
    <row r="42" spans="8:47" x14ac:dyDescent="0.2">
      <c r="Q42" s="847"/>
      <c r="R42" s="847"/>
      <c r="S42" s="847"/>
      <c r="T42" s="847"/>
      <c r="U42" s="847"/>
      <c r="V42" s="846"/>
      <c r="W42" s="847"/>
      <c r="X42" s="847"/>
      <c r="Y42" s="847"/>
      <c r="Z42" s="847"/>
      <c r="AA42" s="846"/>
      <c r="AB42" s="847"/>
      <c r="AC42" s="847"/>
      <c r="AD42" s="847"/>
      <c r="AE42" s="847"/>
      <c r="AF42" s="847"/>
      <c r="AG42" s="847"/>
      <c r="AH42" s="847"/>
      <c r="AI42" s="847"/>
      <c r="AJ42" s="847"/>
      <c r="AK42" s="847"/>
      <c r="AL42" s="847"/>
      <c r="AM42" s="847"/>
      <c r="AN42" s="847"/>
      <c r="AO42" s="847"/>
      <c r="AP42" s="847"/>
      <c r="AQ42" s="847"/>
      <c r="AR42" s="847"/>
      <c r="AS42" s="847"/>
      <c r="AT42" s="847"/>
    </row>
    <row r="43" spans="8:47" x14ac:dyDescent="0.2">
      <c r="Q43" s="846"/>
      <c r="R43" s="846"/>
      <c r="S43" s="846"/>
      <c r="T43" s="846"/>
      <c r="U43" s="846"/>
      <c r="V43" s="831"/>
      <c r="W43" s="846"/>
      <c r="X43" s="846"/>
      <c r="Y43" s="846"/>
      <c r="Z43" s="846"/>
      <c r="AA43" s="831"/>
      <c r="AB43" s="846"/>
      <c r="AC43" s="846"/>
      <c r="AD43" s="846"/>
      <c r="AE43" s="846"/>
      <c r="AF43" s="846"/>
      <c r="AG43" s="846"/>
      <c r="AH43" s="846"/>
      <c r="AI43" s="846"/>
      <c r="AJ43" s="846"/>
      <c r="AK43" s="846"/>
      <c r="AL43" s="846"/>
      <c r="AM43" s="846"/>
      <c r="AN43" s="846"/>
      <c r="AO43" s="846"/>
      <c r="AP43" s="846"/>
      <c r="AQ43" s="846"/>
      <c r="AR43" s="846"/>
      <c r="AS43" s="846"/>
      <c r="AT43" s="846"/>
    </row>
    <row r="44" spans="8:47" x14ac:dyDescent="0.2">
      <c r="Q44" s="831"/>
      <c r="R44" s="831"/>
      <c r="S44" s="831"/>
      <c r="T44" s="831"/>
      <c r="U44" s="831"/>
      <c r="V44" s="830"/>
      <c r="W44" s="831"/>
      <c r="X44" s="831"/>
      <c r="Y44" s="831"/>
      <c r="Z44" s="831"/>
      <c r="AA44" s="830"/>
      <c r="AB44" s="831"/>
      <c r="AC44" s="831"/>
      <c r="AD44" s="831"/>
      <c r="AE44" s="831"/>
      <c r="AF44" s="831"/>
      <c r="AG44" s="831"/>
      <c r="AH44" s="831"/>
      <c r="AI44" s="831"/>
      <c r="AJ44" s="831"/>
      <c r="AK44" s="831"/>
      <c r="AL44" s="831"/>
      <c r="AM44" s="831"/>
      <c r="AN44" s="831"/>
      <c r="AO44" s="831"/>
      <c r="AP44" s="831"/>
      <c r="AQ44" s="831"/>
      <c r="AR44" s="831"/>
      <c r="AS44" s="831"/>
      <c r="AT44" s="831"/>
    </row>
    <row r="45" spans="8:47" x14ac:dyDescent="0.2">
      <c r="Q45" s="830"/>
      <c r="R45" s="830"/>
      <c r="S45" s="830"/>
      <c r="T45" s="830"/>
      <c r="U45" s="830"/>
      <c r="V45" s="830"/>
      <c r="W45" s="830"/>
      <c r="X45" s="830"/>
      <c r="Y45" s="830"/>
      <c r="Z45" s="830"/>
      <c r="AA45" s="830"/>
      <c r="AB45" s="830"/>
      <c r="AC45" s="830"/>
      <c r="AD45" s="830"/>
      <c r="AE45" s="830"/>
      <c r="AF45" s="830"/>
      <c r="AG45" s="830"/>
      <c r="AH45" s="830"/>
      <c r="AI45" s="830"/>
      <c r="AJ45" s="830"/>
      <c r="AK45" s="830"/>
      <c r="AL45" s="830"/>
      <c r="AM45" s="830"/>
      <c r="AN45" s="830"/>
      <c r="AO45" s="830"/>
      <c r="AP45" s="830"/>
      <c r="AQ45" s="830"/>
      <c r="AR45" s="830"/>
      <c r="AS45" s="830"/>
      <c r="AT45" s="830"/>
    </row>
    <row r="46" spans="8:47" x14ac:dyDescent="0.2">
      <c r="Q46" s="830"/>
      <c r="R46" s="830"/>
      <c r="S46" s="830"/>
      <c r="T46" s="830"/>
      <c r="U46" s="830"/>
      <c r="V46" s="830"/>
      <c r="W46" s="830"/>
      <c r="X46" s="830"/>
      <c r="Y46" s="830"/>
      <c r="Z46" s="830"/>
      <c r="AA46" s="830"/>
      <c r="AB46" s="830"/>
      <c r="AC46" s="830"/>
      <c r="AD46" s="830"/>
      <c r="AE46" s="830"/>
      <c r="AF46" s="830"/>
      <c r="AG46" s="830"/>
      <c r="AH46" s="830"/>
      <c r="AI46" s="830"/>
      <c r="AJ46" s="830"/>
      <c r="AK46" s="830"/>
      <c r="AL46" s="830"/>
      <c r="AM46" s="830"/>
      <c r="AN46" s="830"/>
      <c r="AO46" s="830"/>
      <c r="AP46" s="830"/>
      <c r="AQ46" s="830"/>
      <c r="AR46" s="830"/>
      <c r="AS46" s="830"/>
      <c r="AT46" s="830"/>
    </row>
    <row r="47" spans="8:47" x14ac:dyDescent="0.2">
      <c r="Q47" s="830"/>
      <c r="R47" s="830"/>
      <c r="S47" s="830"/>
      <c r="T47" s="830"/>
      <c r="U47" s="830"/>
      <c r="V47" s="830"/>
      <c r="W47" s="830"/>
      <c r="X47" s="830"/>
      <c r="Y47" s="830"/>
      <c r="Z47" s="830"/>
      <c r="AA47" s="830"/>
      <c r="AB47" s="830"/>
      <c r="AC47" s="830"/>
      <c r="AD47" s="830"/>
      <c r="AE47" s="830"/>
      <c r="AF47" s="830"/>
      <c r="AG47" s="830"/>
      <c r="AH47" s="830"/>
      <c r="AI47" s="830"/>
      <c r="AJ47" s="830"/>
      <c r="AK47" s="830"/>
      <c r="AL47" s="830"/>
      <c r="AM47" s="830"/>
      <c r="AN47" s="830"/>
      <c r="AO47" s="830"/>
      <c r="AP47" s="830"/>
      <c r="AQ47" s="830"/>
      <c r="AR47" s="830"/>
      <c r="AS47" s="830"/>
      <c r="AT47" s="830"/>
    </row>
    <row r="48" spans="8:47" x14ac:dyDescent="0.2">
      <c r="Q48" s="830"/>
      <c r="R48" s="830"/>
      <c r="S48" s="830"/>
      <c r="T48" s="830"/>
      <c r="U48" s="830"/>
      <c r="V48" s="830"/>
      <c r="W48" s="830"/>
      <c r="X48" s="830"/>
      <c r="Y48" s="830"/>
      <c r="Z48" s="830"/>
      <c r="AA48" s="830"/>
      <c r="AB48" s="830"/>
      <c r="AC48" s="830"/>
      <c r="AD48" s="830"/>
      <c r="AE48" s="830"/>
      <c r="AF48" s="830"/>
      <c r="AG48" s="830"/>
      <c r="AH48" s="830"/>
      <c r="AI48" s="830"/>
      <c r="AJ48" s="830"/>
      <c r="AK48" s="830"/>
      <c r="AL48" s="830"/>
      <c r="AM48" s="830"/>
      <c r="AN48" s="830"/>
      <c r="AO48" s="830"/>
      <c r="AP48" s="830"/>
      <c r="AQ48" s="830"/>
      <c r="AR48" s="830"/>
      <c r="AS48" s="830"/>
      <c r="AT48" s="830"/>
    </row>
    <row r="49" spans="12:46" x14ac:dyDescent="0.2">
      <c r="Q49" s="830"/>
      <c r="R49" s="830"/>
      <c r="S49" s="830"/>
      <c r="T49" s="830"/>
      <c r="U49" s="830"/>
      <c r="V49" s="830"/>
      <c r="W49" s="830"/>
      <c r="X49" s="830"/>
      <c r="Y49" s="830"/>
      <c r="Z49" s="830"/>
      <c r="AA49" s="830"/>
      <c r="AB49" s="830"/>
      <c r="AC49" s="830"/>
      <c r="AD49" s="830"/>
      <c r="AE49" s="830"/>
      <c r="AF49" s="830"/>
      <c r="AG49" s="830"/>
      <c r="AH49" s="830"/>
      <c r="AI49" s="830"/>
      <c r="AJ49" s="830"/>
      <c r="AK49" s="830"/>
      <c r="AL49" s="830"/>
      <c r="AM49" s="830"/>
      <c r="AN49" s="830"/>
      <c r="AO49" s="830"/>
      <c r="AP49" s="830"/>
      <c r="AQ49" s="830"/>
      <c r="AR49" s="830"/>
      <c r="AS49" s="830"/>
      <c r="AT49" s="830"/>
    </row>
    <row r="50" spans="12:46" x14ac:dyDescent="0.2">
      <c r="Q50" s="830"/>
      <c r="R50" s="830"/>
      <c r="S50" s="830"/>
      <c r="T50" s="830"/>
      <c r="U50" s="830"/>
      <c r="V50" s="830"/>
      <c r="W50" s="830"/>
      <c r="X50" s="830"/>
      <c r="Y50" s="830"/>
      <c r="Z50" s="830"/>
      <c r="AA50" s="830"/>
      <c r="AB50" s="830"/>
      <c r="AC50" s="830"/>
      <c r="AD50" s="830"/>
      <c r="AE50" s="830"/>
      <c r="AF50" s="830"/>
      <c r="AG50" s="830"/>
      <c r="AH50" s="830"/>
      <c r="AI50" s="830"/>
      <c r="AJ50" s="830"/>
      <c r="AK50" s="830"/>
      <c r="AL50" s="830"/>
      <c r="AM50" s="830"/>
      <c r="AN50" s="830"/>
      <c r="AO50" s="830"/>
      <c r="AP50" s="830"/>
      <c r="AQ50" s="830"/>
      <c r="AR50" s="830"/>
      <c r="AS50" s="830"/>
      <c r="AT50" s="830"/>
    </row>
    <row r="51" spans="12:46" x14ac:dyDescent="0.2">
      <c r="Q51" s="830"/>
      <c r="R51" s="830"/>
      <c r="S51" s="830"/>
      <c r="T51" s="830"/>
      <c r="U51" s="830"/>
      <c r="V51" s="846"/>
      <c r="W51" s="830"/>
      <c r="X51" s="830"/>
      <c r="Y51" s="830"/>
      <c r="Z51" s="830"/>
      <c r="AA51" s="846"/>
      <c r="AB51" s="830"/>
      <c r="AC51" s="830"/>
      <c r="AD51" s="830"/>
      <c r="AE51" s="830"/>
      <c r="AF51" s="830"/>
      <c r="AG51" s="830"/>
      <c r="AH51" s="830"/>
      <c r="AI51" s="830"/>
      <c r="AJ51" s="830"/>
      <c r="AK51" s="830"/>
      <c r="AL51" s="830"/>
      <c r="AM51" s="830"/>
      <c r="AN51" s="830"/>
      <c r="AO51" s="830"/>
      <c r="AP51" s="830"/>
      <c r="AQ51" s="830"/>
      <c r="AR51" s="830"/>
      <c r="AS51" s="830"/>
      <c r="AT51" s="830"/>
    </row>
    <row r="52" spans="12:46" x14ac:dyDescent="0.2">
      <c r="Q52" s="846"/>
      <c r="R52" s="846"/>
      <c r="S52" s="846"/>
      <c r="T52" s="846"/>
      <c r="U52" s="846"/>
      <c r="V52" s="847"/>
      <c r="W52" s="846"/>
      <c r="X52" s="846"/>
      <c r="Y52" s="846"/>
      <c r="Z52" s="846"/>
      <c r="AA52" s="847"/>
      <c r="AB52" s="846"/>
      <c r="AC52" s="846"/>
      <c r="AD52" s="846"/>
      <c r="AE52" s="846"/>
      <c r="AF52" s="846"/>
      <c r="AG52" s="846"/>
      <c r="AH52" s="846"/>
      <c r="AI52" s="846"/>
      <c r="AJ52" s="846"/>
      <c r="AK52" s="846"/>
      <c r="AL52" s="846"/>
      <c r="AM52" s="846"/>
      <c r="AN52" s="846"/>
      <c r="AO52" s="846"/>
      <c r="AP52" s="846"/>
      <c r="AQ52" s="846"/>
      <c r="AR52" s="846"/>
      <c r="AS52" s="846"/>
      <c r="AT52" s="846"/>
    </row>
    <row r="53" spans="12:46" x14ac:dyDescent="0.2">
      <c r="Q53" s="847"/>
      <c r="R53" s="847"/>
      <c r="S53" s="847"/>
      <c r="T53" s="847"/>
      <c r="U53" s="847"/>
      <c r="V53" s="847"/>
      <c r="W53" s="847"/>
      <c r="X53" s="847"/>
      <c r="Y53" s="847"/>
      <c r="Z53" s="847"/>
      <c r="AA53" s="847"/>
      <c r="AB53" s="847"/>
      <c r="AC53" s="847"/>
      <c r="AD53" s="847"/>
      <c r="AE53" s="847"/>
      <c r="AF53" s="847"/>
      <c r="AG53" s="847"/>
      <c r="AH53" s="847"/>
      <c r="AI53" s="847"/>
      <c r="AJ53" s="847"/>
      <c r="AK53" s="847"/>
      <c r="AL53" s="847"/>
      <c r="AM53" s="847"/>
      <c r="AN53" s="847"/>
      <c r="AO53" s="847"/>
      <c r="AP53" s="847"/>
      <c r="AQ53" s="847"/>
      <c r="AR53" s="847"/>
      <c r="AS53" s="847"/>
      <c r="AT53" s="847"/>
    </row>
    <row r="54" spans="12:46" x14ac:dyDescent="0.2">
      <c r="Q54" s="847"/>
      <c r="R54" s="847"/>
      <c r="S54" s="847"/>
      <c r="T54" s="847"/>
      <c r="U54" s="847"/>
      <c r="V54" s="846"/>
      <c r="W54" s="847"/>
      <c r="X54" s="847"/>
      <c r="Y54" s="847"/>
      <c r="Z54" s="847"/>
      <c r="AA54" s="846"/>
      <c r="AB54" s="847"/>
      <c r="AC54" s="847"/>
      <c r="AD54" s="847"/>
      <c r="AE54" s="847"/>
      <c r="AF54" s="847"/>
      <c r="AG54" s="847"/>
      <c r="AH54" s="847"/>
      <c r="AI54" s="847"/>
      <c r="AJ54" s="847"/>
      <c r="AK54" s="847"/>
      <c r="AL54" s="847"/>
      <c r="AM54" s="847"/>
      <c r="AN54" s="847"/>
      <c r="AO54" s="847"/>
      <c r="AP54" s="847"/>
      <c r="AQ54" s="847"/>
      <c r="AR54" s="847"/>
      <c r="AS54" s="847"/>
      <c r="AT54" s="847"/>
    </row>
    <row r="55" spans="12:46" x14ac:dyDescent="0.2">
      <c r="Q55" s="846"/>
      <c r="R55" s="846"/>
      <c r="S55" s="846"/>
      <c r="T55" s="846"/>
      <c r="U55" s="846"/>
      <c r="V55" s="845"/>
      <c r="W55" s="846"/>
      <c r="X55" s="846"/>
      <c r="Y55" s="846"/>
      <c r="Z55" s="846"/>
      <c r="AA55" s="845"/>
      <c r="AB55" s="846"/>
      <c r="AC55" s="846"/>
      <c r="AD55" s="846"/>
      <c r="AE55" s="846"/>
      <c r="AF55" s="846"/>
      <c r="AG55" s="846"/>
      <c r="AH55" s="846"/>
      <c r="AI55" s="846"/>
      <c r="AJ55" s="846"/>
      <c r="AK55" s="846"/>
      <c r="AL55" s="846"/>
      <c r="AM55" s="846"/>
      <c r="AN55" s="846"/>
      <c r="AO55" s="846"/>
      <c r="AP55" s="846"/>
      <c r="AQ55" s="846"/>
      <c r="AR55" s="846"/>
      <c r="AS55" s="846"/>
      <c r="AT55" s="846"/>
    </row>
    <row r="56" spans="12:46" x14ac:dyDescent="0.2">
      <c r="Q56" s="845"/>
      <c r="R56" s="845"/>
      <c r="S56" s="845"/>
      <c r="T56" s="845"/>
      <c r="U56" s="845"/>
      <c r="V56" s="844"/>
      <c r="W56" s="845"/>
      <c r="X56" s="845"/>
      <c r="Y56" s="845"/>
      <c r="Z56" s="845"/>
      <c r="AA56" s="844"/>
      <c r="AB56" s="845"/>
      <c r="AC56" s="845"/>
      <c r="AD56" s="845"/>
      <c r="AE56" s="845"/>
      <c r="AF56" s="845"/>
      <c r="AG56" s="845"/>
      <c r="AH56" s="845"/>
      <c r="AI56" s="845"/>
      <c r="AJ56" s="845"/>
      <c r="AK56" s="845"/>
      <c r="AL56" s="845"/>
      <c r="AM56" s="845"/>
      <c r="AN56" s="845"/>
      <c r="AO56" s="845"/>
      <c r="AP56" s="845"/>
      <c r="AQ56" s="845"/>
      <c r="AR56" s="845"/>
      <c r="AS56" s="845"/>
      <c r="AT56" s="845"/>
    </row>
    <row r="57" spans="12:46" x14ac:dyDescent="0.2">
      <c r="Q57" s="844"/>
      <c r="R57" s="844"/>
      <c r="S57" s="844"/>
      <c r="T57" s="844"/>
      <c r="U57" s="844"/>
      <c r="W57" s="844"/>
      <c r="X57" s="844"/>
      <c r="Y57" s="844"/>
      <c r="Z57" s="844"/>
      <c r="AB57" s="844"/>
      <c r="AC57" s="844"/>
      <c r="AD57" s="844"/>
      <c r="AE57" s="844"/>
      <c r="AF57" s="844"/>
      <c r="AG57" s="844"/>
      <c r="AH57" s="844"/>
      <c r="AI57" s="844"/>
      <c r="AJ57" s="844"/>
      <c r="AK57" s="844"/>
      <c r="AL57" s="844"/>
      <c r="AM57" s="844"/>
      <c r="AN57" s="844"/>
      <c r="AO57" s="844"/>
      <c r="AP57" s="844"/>
      <c r="AQ57" s="844"/>
      <c r="AR57" s="844"/>
      <c r="AS57" s="844"/>
      <c r="AT57" s="844"/>
    </row>
    <row r="58" spans="12:46" x14ac:dyDescent="0.2">
      <c r="L58" s="458"/>
      <c r="V58" s="469"/>
      <c r="AA58" s="469"/>
    </row>
    <row r="59" spans="12:46" x14ac:dyDescent="0.2">
      <c r="Q59" s="469"/>
      <c r="R59" s="469"/>
      <c r="S59" s="469"/>
      <c r="T59" s="469"/>
      <c r="U59" s="469"/>
      <c r="V59" s="848"/>
      <c r="W59" s="469"/>
      <c r="X59" s="469"/>
      <c r="Y59" s="469"/>
      <c r="Z59" s="469"/>
      <c r="AA59" s="848"/>
      <c r="AB59" s="469"/>
      <c r="AC59" s="469"/>
      <c r="AD59" s="469"/>
      <c r="AE59" s="469"/>
      <c r="AF59" s="469"/>
      <c r="AG59" s="469"/>
      <c r="AH59" s="469"/>
      <c r="AI59" s="469"/>
      <c r="AJ59" s="469"/>
      <c r="AK59" s="469"/>
      <c r="AL59" s="469"/>
      <c r="AM59" s="469"/>
      <c r="AN59" s="469"/>
      <c r="AO59" s="469"/>
      <c r="AP59" s="469"/>
      <c r="AQ59" s="469"/>
      <c r="AR59" s="469"/>
      <c r="AS59" s="469"/>
      <c r="AT59" s="469"/>
    </row>
    <row r="60" spans="12:46" x14ac:dyDescent="0.2">
      <c r="Q60" s="848"/>
      <c r="R60" s="848"/>
      <c r="S60" s="848"/>
      <c r="T60" s="848"/>
      <c r="U60" s="848"/>
      <c r="V60" s="830"/>
      <c r="W60" s="848"/>
      <c r="X60" s="848"/>
      <c r="Y60" s="848"/>
      <c r="Z60" s="848"/>
      <c r="AA60" s="830"/>
      <c r="AB60" s="848"/>
      <c r="AC60" s="848"/>
      <c r="AD60" s="848"/>
      <c r="AE60" s="848"/>
      <c r="AF60" s="848"/>
      <c r="AG60" s="848"/>
      <c r="AH60" s="848"/>
      <c r="AI60" s="848"/>
      <c r="AJ60" s="848"/>
      <c r="AK60" s="848"/>
      <c r="AL60" s="848"/>
      <c r="AM60" s="848"/>
      <c r="AN60" s="848"/>
      <c r="AO60" s="848"/>
      <c r="AP60" s="848"/>
      <c r="AQ60" s="848"/>
      <c r="AR60" s="848"/>
      <c r="AS60" s="848"/>
      <c r="AT60" s="848"/>
    </row>
    <row r="61" spans="12:46" x14ac:dyDescent="0.2">
      <c r="Q61" s="830"/>
      <c r="R61" s="830"/>
      <c r="S61" s="830"/>
      <c r="T61" s="830"/>
      <c r="U61" s="830"/>
      <c r="V61" s="830"/>
      <c r="W61" s="830"/>
      <c r="X61" s="830"/>
      <c r="Y61" s="830"/>
      <c r="Z61" s="830"/>
      <c r="AA61" s="830"/>
      <c r="AB61" s="830"/>
      <c r="AC61" s="830"/>
      <c r="AD61" s="830"/>
      <c r="AE61" s="830"/>
      <c r="AF61" s="830"/>
      <c r="AG61" s="830"/>
      <c r="AH61" s="830"/>
      <c r="AI61" s="830"/>
      <c r="AJ61" s="830"/>
      <c r="AK61" s="830"/>
      <c r="AL61" s="830"/>
      <c r="AM61" s="830"/>
      <c r="AN61" s="830"/>
      <c r="AO61" s="830"/>
      <c r="AP61" s="830"/>
      <c r="AQ61" s="830"/>
      <c r="AR61" s="830"/>
      <c r="AS61" s="830"/>
      <c r="AT61" s="830"/>
    </row>
    <row r="62" spans="12:46" ht="15" customHeight="1" x14ac:dyDescent="0.2">
      <c r="Q62" s="830"/>
      <c r="R62" s="830"/>
      <c r="S62" s="830"/>
      <c r="T62" s="830"/>
      <c r="U62" s="830"/>
      <c r="V62" s="830"/>
      <c r="W62" s="830"/>
      <c r="X62" s="830"/>
      <c r="Y62" s="830"/>
      <c r="Z62" s="830"/>
      <c r="AA62" s="830"/>
      <c r="AB62" s="830"/>
      <c r="AC62" s="830"/>
      <c r="AD62" s="830"/>
      <c r="AE62" s="830"/>
      <c r="AF62" s="830"/>
      <c r="AG62" s="830"/>
      <c r="AH62" s="830"/>
      <c r="AI62" s="830"/>
      <c r="AJ62" s="830"/>
      <c r="AK62" s="830"/>
      <c r="AL62" s="830"/>
      <c r="AM62" s="830"/>
      <c r="AN62" s="830"/>
      <c r="AO62" s="830"/>
      <c r="AP62" s="830"/>
      <c r="AQ62" s="830"/>
      <c r="AR62" s="830"/>
      <c r="AS62" s="830"/>
      <c r="AT62" s="830"/>
    </row>
    <row r="63" spans="12:46" ht="15.75" customHeight="1" x14ac:dyDescent="0.2">
      <c r="Q63" s="830"/>
      <c r="R63" s="830"/>
      <c r="S63" s="830"/>
      <c r="T63" s="830"/>
      <c r="U63" s="830"/>
      <c r="V63" s="830"/>
      <c r="W63" s="830"/>
      <c r="X63" s="830"/>
      <c r="Y63" s="830"/>
      <c r="Z63" s="830"/>
      <c r="AA63" s="830"/>
      <c r="AB63" s="830"/>
      <c r="AC63" s="830"/>
      <c r="AD63" s="830"/>
      <c r="AE63" s="830"/>
      <c r="AF63" s="830"/>
      <c r="AG63" s="830"/>
      <c r="AH63" s="830"/>
      <c r="AI63" s="830"/>
      <c r="AJ63" s="830"/>
      <c r="AK63" s="830"/>
      <c r="AL63" s="830"/>
      <c r="AM63" s="830"/>
      <c r="AN63" s="830"/>
      <c r="AO63" s="830"/>
      <c r="AP63" s="830"/>
      <c r="AQ63" s="830"/>
      <c r="AR63" s="830"/>
      <c r="AS63" s="830"/>
      <c r="AT63" s="830"/>
    </row>
    <row r="64" spans="12:46" x14ac:dyDescent="0.2">
      <c r="Q64" s="830"/>
      <c r="R64" s="830"/>
      <c r="S64" s="830"/>
      <c r="T64" s="830"/>
      <c r="U64" s="830"/>
      <c r="V64" s="830"/>
      <c r="W64" s="830"/>
      <c r="X64" s="830"/>
      <c r="Y64" s="830"/>
      <c r="Z64" s="830"/>
      <c r="AA64" s="830"/>
      <c r="AB64" s="830"/>
      <c r="AC64" s="830"/>
      <c r="AD64" s="830"/>
      <c r="AE64" s="830"/>
      <c r="AF64" s="830"/>
      <c r="AG64" s="830"/>
      <c r="AH64" s="830"/>
      <c r="AI64" s="830"/>
      <c r="AJ64" s="830"/>
      <c r="AK64" s="830"/>
      <c r="AL64" s="830"/>
      <c r="AM64" s="830"/>
      <c r="AN64" s="830"/>
      <c r="AO64" s="830"/>
      <c r="AP64" s="830"/>
      <c r="AQ64" s="830"/>
      <c r="AR64" s="830"/>
      <c r="AS64" s="830"/>
      <c r="AT64" s="830"/>
    </row>
    <row r="65" spans="17:47" x14ac:dyDescent="0.2">
      <c r="Q65" s="830"/>
      <c r="R65" s="830"/>
      <c r="S65" s="830"/>
      <c r="T65" s="830"/>
      <c r="U65" s="830"/>
      <c r="V65" s="847"/>
      <c r="W65" s="830"/>
      <c r="X65" s="830"/>
      <c r="Y65" s="830"/>
      <c r="Z65" s="830"/>
      <c r="AA65" s="847"/>
      <c r="AB65" s="830"/>
      <c r="AC65" s="830"/>
      <c r="AD65" s="830"/>
      <c r="AE65" s="830"/>
      <c r="AF65" s="830"/>
      <c r="AG65" s="830"/>
      <c r="AH65" s="830"/>
      <c r="AI65" s="830"/>
      <c r="AJ65" s="830"/>
      <c r="AK65" s="830"/>
      <c r="AL65" s="830"/>
      <c r="AM65" s="830"/>
      <c r="AN65" s="830"/>
      <c r="AO65" s="830"/>
      <c r="AP65" s="830"/>
      <c r="AQ65" s="830"/>
      <c r="AR65" s="830"/>
      <c r="AS65" s="830"/>
      <c r="AT65" s="830"/>
    </row>
    <row r="66" spans="17:47" x14ac:dyDescent="0.2">
      <c r="Q66" s="847"/>
      <c r="R66" s="847"/>
      <c r="S66" s="847"/>
      <c r="T66" s="847"/>
      <c r="U66" s="847"/>
      <c r="V66" s="847"/>
      <c r="W66" s="847"/>
      <c r="X66" s="847"/>
      <c r="Y66" s="847"/>
      <c r="Z66" s="847"/>
      <c r="AA66" s="847"/>
      <c r="AB66" s="847"/>
      <c r="AC66" s="847"/>
      <c r="AD66" s="847"/>
      <c r="AE66" s="847"/>
      <c r="AF66" s="847"/>
      <c r="AG66" s="847"/>
      <c r="AH66" s="847"/>
      <c r="AI66" s="847"/>
      <c r="AJ66" s="847"/>
      <c r="AK66" s="847"/>
      <c r="AL66" s="847"/>
      <c r="AM66" s="847"/>
      <c r="AN66" s="847"/>
      <c r="AO66" s="847"/>
      <c r="AP66" s="847"/>
      <c r="AQ66" s="847"/>
      <c r="AR66" s="847"/>
      <c r="AS66" s="847"/>
      <c r="AT66" s="847"/>
    </row>
    <row r="67" spans="17:47" x14ac:dyDescent="0.2">
      <c r="Q67" s="847"/>
      <c r="R67" s="847"/>
      <c r="S67" s="847"/>
      <c r="T67" s="847"/>
      <c r="U67" s="847"/>
      <c r="V67" s="846"/>
      <c r="W67" s="847"/>
      <c r="X67" s="847"/>
      <c r="Y67" s="847"/>
      <c r="Z67" s="847"/>
      <c r="AA67" s="846"/>
      <c r="AB67" s="847"/>
      <c r="AC67" s="847"/>
      <c r="AD67" s="847"/>
      <c r="AE67" s="847"/>
      <c r="AF67" s="847"/>
      <c r="AG67" s="847"/>
      <c r="AH67" s="847"/>
      <c r="AI67" s="847"/>
      <c r="AJ67" s="847"/>
      <c r="AK67" s="847"/>
      <c r="AL67" s="847"/>
      <c r="AM67" s="847"/>
      <c r="AN67" s="847"/>
      <c r="AO67" s="847"/>
      <c r="AP67" s="847"/>
      <c r="AQ67" s="847"/>
      <c r="AR67" s="847"/>
      <c r="AS67" s="847"/>
      <c r="AT67" s="847"/>
    </row>
    <row r="68" spans="17:47" x14ac:dyDescent="0.2">
      <c r="Q68" s="846"/>
      <c r="R68" s="846"/>
      <c r="S68" s="846"/>
      <c r="T68" s="846"/>
      <c r="U68" s="846"/>
      <c r="V68" s="831"/>
      <c r="W68" s="846"/>
      <c r="X68" s="846"/>
      <c r="Y68" s="846"/>
      <c r="Z68" s="846"/>
      <c r="AA68" s="831"/>
      <c r="AB68" s="846"/>
      <c r="AC68" s="846"/>
      <c r="AD68" s="846"/>
      <c r="AE68" s="846"/>
      <c r="AF68" s="846"/>
      <c r="AG68" s="846"/>
      <c r="AH68" s="846"/>
      <c r="AI68" s="846"/>
      <c r="AJ68" s="846"/>
      <c r="AK68" s="846"/>
      <c r="AL68" s="846"/>
      <c r="AM68" s="846"/>
      <c r="AN68" s="846"/>
      <c r="AO68" s="846"/>
      <c r="AP68" s="846"/>
      <c r="AQ68" s="846"/>
      <c r="AR68" s="846"/>
      <c r="AS68" s="846"/>
      <c r="AT68" s="846"/>
    </row>
    <row r="69" spans="17:47" x14ac:dyDescent="0.2">
      <c r="Q69" s="831"/>
      <c r="R69" s="831"/>
      <c r="S69" s="831"/>
      <c r="T69" s="831"/>
      <c r="U69" s="831"/>
      <c r="V69" s="830"/>
      <c r="W69" s="831"/>
      <c r="X69" s="831"/>
      <c r="Y69" s="831"/>
      <c r="Z69" s="831"/>
      <c r="AA69" s="830"/>
      <c r="AB69" s="831"/>
      <c r="AC69" s="831"/>
      <c r="AD69" s="831"/>
      <c r="AE69" s="831"/>
      <c r="AF69" s="831"/>
      <c r="AG69" s="831"/>
      <c r="AH69" s="831"/>
      <c r="AI69" s="831"/>
      <c r="AJ69" s="831"/>
      <c r="AK69" s="831"/>
      <c r="AL69" s="831"/>
      <c r="AM69" s="831"/>
      <c r="AN69" s="831"/>
      <c r="AO69" s="831"/>
      <c r="AP69" s="831"/>
      <c r="AQ69" s="831"/>
      <c r="AR69" s="831"/>
      <c r="AS69" s="831"/>
      <c r="AT69" s="831"/>
    </row>
    <row r="70" spans="17:47" x14ac:dyDescent="0.2">
      <c r="Q70" s="830"/>
      <c r="R70" s="830"/>
      <c r="S70" s="830"/>
      <c r="T70" s="830"/>
      <c r="U70" s="830"/>
      <c r="V70" s="830"/>
      <c r="W70" s="830"/>
      <c r="X70" s="830"/>
      <c r="Y70" s="830"/>
      <c r="Z70" s="830"/>
      <c r="AA70" s="830"/>
      <c r="AB70" s="830"/>
      <c r="AC70" s="830"/>
      <c r="AD70" s="830"/>
      <c r="AE70" s="830"/>
      <c r="AF70" s="830"/>
      <c r="AG70" s="830"/>
      <c r="AH70" s="830"/>
      <c r="AI70" s="830"/>
      <c r="AJ70" s="830"/>
      <c r="AK70" s="830"/>
      <c r="AL70" s="830"/>
      <c r="AM70" s="830"/>
      <c r="AN70" s="830"/>
      <c r="AO70" s="830"/>
      <c r="AP70" s="830"/>
      <c r="AQ70" s="830"/>
      <c r="AR70" s="830"/>
      <c r="AS70" s="830"/>
      <c r="AT70" s="830"/>
      <c r="AU70" s="344"/>
    </row>
    <row r="71" spans="17:47" x14ac:dyDescent="0.2">
      <c r="Q71" s="830"/>
      <c r="R71" s="830"/>
      <c r="S71" s="830"/>
      <c r="T71" s="830"/>
      <c r="U71" s="830"/>
      <c r="V71" s="830"/>
      <c r="W71" s="830"/>
      <c r="X71" s="830"/>
      <c r="Y71" s="830"/>
      <c r="Z71" s="830"/>
      <c r="AA71" s="830"/>
      <c r="AB71" s="830"/>
      <c r="AC71" s="830"/>
      <c r="AD71" s="830"/>
      <c r="AE71" s="830"/>
      <c r="AF71" s="830"/>
      <c r="AG71" s="830"/>
      <c r="AH71" s="830"/>
      <c r="AI71" s="830"/>
      <c r="AJ71" s="830"/>
      <c r="AK71" s="830"/>
      <c r="AL71" s="830"/>
      <c r="AM71" s="830"/>
      <c r="AN71" s="830"/>
      <c r="AO71" s="830"/>
      <c r="AP71" s="830"/>
      <c r="AQ71" s="830"/>
      <c r="AR71" s="830"/>
      <c r="AS71" s="830"/>
      <c r="AT71" s="830"/>
    </row>
    <row r="72" spans="17:47" x14ac:dyDescent="0.2">
      <c r="Q72" s="830"/>
      <c r="R72" s="830"/>
      <c r="S72" s="830"/>
      <c r="T72" s="830"/>
      <c r="U72" s="830"/>
      <c r="V72" s="830"/>
      <c r="W72" s="830"/>
      <c r="X72" s="830"/>
      <c r="Y72" s="830"/>
      <c r="Z72" s="830"/>
      <c r="AA72" s="830"/>
      <c r="AB72" s="830"/>
      <c r="AC72" s="830"/>
      <c r="AD72" s="830"/>
      <c r="AE72" s="830"/>
      <c r="AF72" s="830"/>
      <c r="AG72" s="830"/>
      <c r="AH72" s="830"/>
      <c r="AI72" s="830"/>
      <c r="AJ72" s="830"/>
      <c r="AK72" s="830"/>
      <c r="AL72" s="830"/>
      <c r="AM72" s="830"/>
      <c r="AN72" s="830"/>
      <c r="AO72" s="830"/>
      <c r="AP72" s="830"/>
      <c r="AQ72" s="830"/>
      <c r="AR72" s="830"/>
      <c r="AS72" s="830"/>
      <c r="AT72" s="830"/>
    </row>
    <row r="73" spans="17:47" x14ac:dyDescent="0.2">
      <c r="Q73" s="830"/>
      <c r="R73" s="830"/>
      <c r="S73" s="830"/>
      <c r="T73" s="830"/>
      <c r="U73" s="830"/>
      <c r="V73" s="830"/>
      <c r="W73" s="830"/>
      <c r="X73" s="830"/>
      <c r="Y73" s="830"/>
      <c r="Z73" s="830"/>
      <c r="AA73" s="830"/>
      <c r="AB73" s="830"/>
      <c r="AC73" s="830"/>
      <c r="AD73" s="830"/>
      <c r="AE73" s="830"/>
      <c r="AF73" s="830"/>
      <c r="AG73" s="830"/>
      <c r="AH73" s="830"/>
      <c r="AI73" s="830"/>
      <c r="AJ73" s="830"/>
      <c r="AK73" s="830"/>
      <c r="AL73" s="830"/>
      <c r="AM73" s="830"/>
      <c r="AN73" s="830"/>
      <c r="AO73" s="830"/>
      <c r="AP73" s="830"/>
      <c r="AQ73" s="830"/>
      <c r="AR73" s="830"/>
      <c r="AS73" s="830"/>
      <c r="AT73" s="830"/>
    </row>
    <row r="74" spans="17:47" x14ac:dyDescent="0.2">
      <c r="Q74" s="830"/>
      <c r="R74" s="830"/>
      <c r="S74" s="830"/>
      <c r="T74" s="830"/>
      <c r="U74" s="830"/>
      <c r="V74" s="830"/>
      <c r="W74" s="830"/>
      <c r="X74" s="830"/>
      <c r="Y74" s="830"/>
      <c r="Z74" s="830"/>
      <c r="AA74" s="830"/>
      <c r="AB74" s="830"/>
      <c r="AC74" s="830"/>
      <c r="AD74" s="830"/>
      <c r="AE74" s="830"/>
      <c r="AF74" s="830"/>
      <c r="AG74" s="830"/>
      <c r="AH74" s="830"/>
      <c r="AI74" s="830"/>
      <c r="AJ74" s="830"/>
      <c r="AK74" s="830"/>
      <c r="AL74" s="830"/>
      <c r="AM74" s="830"/>
      <c r="AN74" s="830"/>
      <c r="AO74" s="830"/>
      <c r="AP74" s="830"/>
      <c r="AQ74" s="830"/>
      <c r="AR74" s="830"/>
      <c r="AS74" s="830"/>
      <c r="AT74" s="830"/>
    </row>
    <row r="75" spans="17:47" x14ac:dyDescent="0.2">
      <c r="Q75" s="830"/>
      <c r="R75" s="830"/>
      <c r="S75" s="830"/>
      <c r="T75" s="830"/>
      <c r="U75" s="830"/>
      <c r="V75" s="830"/>
      <c r="W75" s="830"/>
      <c r="X75" s="830"/>
      <c r="Y75" s="830"/>
      <c r="Z75" s="830"/>
      <c r="AA75" s="830"/>
      <c r="AB75" s="830"/>
      <c r="AC75" s="830"/>
      <c r="AD75" s="830"/>
      <c r="AE75" s="830"/>
      <c r="AF75" s="830"/>
      <c r="AG75" s="830"/>
      <c r="AH75" s="830"/>
      <c r="AI75" s="830"/>
      <c r="AJ75" s="830"/>
      <c r="AK75" s="830"/>
      <c r="AL75" s="830"/>
      <c r="AM75" s="830"/>
      <c r="AN75" s="830"/>
      <c r="AO75" s="830"/>
      <c r="AP75" s="830"/>
      <c r="AQ75" s="830"/>
      <c r="AR75" s="830"/>
      <c r="AS75" s="830"/>
      <c r="AT75" s="830"/>
    </row>
    <row r="76" spans="17:47" x14ac:dyDescent="0.2">
      <c r="Q76" s="830"/>
      <c r="R76" s="830"/>
      <c r="S76" s="830"/>
      <c r="T76" s="830"/>
      <c r="U76" s="830"/>
      <c r="V76" s="846"/>
      <c r="W76" s="830"/>
      <c r="X76" s="830"/>
      <c r="Y76" s="830"/>
      <c r="Z76" s="830"/>
      <c r="AA76" s="846"/>
      <c r="AB76" s="830"/>
      <c r="AC76" s="830"/>
      <c r="AD76" s="830"/>
      <c r="AE76" s="830"/>
      <c r="AF76" s="830"/>
      <c r="AG76" s="830"/>
      <c r="AH76" s="830"/>
      <c r="AI76" s="830"/>
      <c r="AJ76" s="830"/>
      <c r="AK76" s="830"/>
      <c r="AL76" s="830"/>
      <c r="AM76" s="830"/>
      <c r="AN76" s="830"/>
      <c r="AO76" s="830"/>
      <c r="AP76" s="830"/>
      <c r="AQ76" s="830"/>
      <c r="AR76" s="830"/>
      <c r="AS76" s="830"/>
      <c r="AT76" s="830"/>
    </row>
    <row r="77" spans="17:47" x14ac:dyDescent="0.2">
      <c r="Q77" s="846"/>
      <c r="R77" s="846"/>
      <c r="S77" s="846"/>
      <c r="T77" s="846"/>
      <c r="U77" s="846"/>
      <c r="V77" s="847"/>
      <c r="W77" s="846"/>
      <c r="X77" s="846"/>
      <c r="Y77" s="846"/>
      <c r="Z77" s="846"/>
      <c r="AA77" s="847"/>
      <c r="AB77" s="846"/>
      <c r="AC77" s="846"/>
      <c r="AD77" s="846"/>
      <c r="AE77" s="846"/>
      <c r="AF77" s="846"/>
      <c r="AG77" s="846"/>
      <c r="AH77" s="846"/>
      <c r="AI77" s="846"/>
      <c r="AJ77" s="846"/>
      <c r="AK77" s="846"/>
      <c r="AL77" s="846"/>
      <c r="AM77" s="846"/>
      <c r="AN77" s="846"/>
      <c r="AO77" s="846"/>
      <c r="AP77" s="846"/>
      <c r="AQ77" s="846"/>
      <c r="AR77" s="846"/>
      <c r="AS77" s="846"/>
      <c r="AT77" s="846"/>
    </row>
    <row r="78" spans="17:47" x14ac:dyDescent="0.2">
      <c r="Q78" s="847"/>
      <c r="R78" s="847"/>
      <c r="S78" s="847"/>
      <c r="T78" s="847"/>
      <c r="U78" s="847"/>
      <c r="V78" s="847"/>
      <c r="W78" s="847"/>
      <c r="X78" s="847"/>
      <c r="Y78" s="847"/>
      <c r="Z78" s="847"/>
      <c r="AA78" s="847"/>
      <c r="AB78" s="847"/>
      <c r="AC78" s="847"/>
      <c r="AD78" s="847"/>
      <c r="AE78" s="847"/>
      <c r="AF78" s="847"/>
      <c r="AG78" s="847"/>
      <c r="AH78" s="847"/>
      <c r="AI78" s="847"/>
      <c r="AJ78" s="847"/>
      <c r="AK78" s="847"/>
      <c r="AL78" s="847"/>
      <c r="AM78" s="847"/>
      <c r="AN78" s="847"/>
      <c r="AO78" s="847"/>
      <c r="AP78" s="847"/>
      <c r="AQ78" s="847"/>
      <c r="AR78" s="847"/>
      <c r="AS78" s="847"/>
      <c r="AT78" s="847"/>
    </row>
    <row r="79" spans="17:47" x14ac:dyDescent="0.2">
      <c r="Q79" s="847"/>
      <c r="R79" s="847"/>
      <c r="S79" s="847"/>
      <c r="T79" s="847"/>
      <c r="U79" s="847"/>
      <c r="V79" s="846"/>
      <c r="W79" s="847"/>
      <c r="X79" s="847"/>
      <c r="Y79" s="847"/>
      <c r="Z79" s="847"/>
      <c r="AA79" s="846"/>
      <c r="AB79" s="847"/>
      <c r="AC79" s="847"/>
      <c r="AD79" s="847"/>
      <c r="AE79" s="847"/>
      <c r="AF79" s="847"/>
      <c r="AG79" s="847"/>
      <c r="AH79" s="847"/>
      <c r="AI79" s="847"/>
      <c r="AJ79" s="847"/>
      <c r="AK79" s="847"/>
      <c r="AL79" s="847"/>
      <c r="AM79" s="847"/>
      <c r="AN79" s="847"/>
      <c r="AO79" s="847"/>
      <c r="AP79" s="847"/>
      <c r="AQ79" s="847"/>
      <c r="AR79" s="847"/>
      <c r="AS79" s="847"/>
      <c r="AT79" s="847"/>
    </row>
    <row r="80" spans="17:47" x14ac:dyDescent="0.2">
      <c r="Q80" s="846"/>
      <c r="R80" s="846"/>
      <c r="S80" s="846"/>
      <c r="T80" s="846"/>
      <c r="U80" s="846"/>
      <c r="V80" s="845"/>
      <c r="W80" s="846"/>
      <c r="X80" s="846"/>
      <c r="Y80" s="846"/>
      <c r="Z80" s="846"/>
      <c r="AA80" s="845"/>
      <c r="AB80" s="846"/>
      <c r="AC80" s="846"/>
      <c r="AD80" s="846"/>
      <c r="AE80" s="846"/>
      <c r="AF80" s="846"/>
      <c r="AG80" s="846"/>
      <c r="AH80" s="846"/>
      <c r="AI80" s="846"/>
      <c r="AJ80" s="846"/>
      <c r="AK80" s="846"/>
      <c r="AL80" s="846"/>
      <c r="AM80" s="846"/>
      <c r="AN80" s="846"/>
      <c r="AO80" s="846"/>
      <c r="AP80" s="846"/>
      <c r="AQ80" s="846"/>
      <c r="AR80" s="846"/>
      <c r="AS80" s="846"/>
      <c r="AT80" s="846"/>
    </row>
    <row r="81" spans="10:47" x14ac:dyDescent="0.2">
      <c r="Q81" s="845"/>
      <c r="R81" s="845"/>
      <c r="S81" s="845"/>
      <c r="T81" s="845"/>
      <c r="U81" s="845"/>
      <c r="V81" s="844"/>
      <c r="W81" s="845"/>
      <c r="X81" s="845"/>
      <c r="Y81" s="845"/>
      <c r="Z81" s="845"/>
      <c r="AA81" s="844"/>
      <c r="AB81" s="845"/>
      <c r="AC81" s="845"/>
      <c r="AD81" s="845"/>
      <c r="AE81" s="845"/>
      <c r="AF81" s="845"/>
      <c r="AG81" s="845"/>
      <c r="AH81" s="845"/>
      <c r="AI81" s="845"/>
      <c r="AJ81" s="845"/>
      <c r="AK81" s="845"/>
      <c r="AL81" s="845"/>
      <c r="AM81" s="845"/>
      <c r="AN81" s="845"/>
      <c r="AO81" s="845"/>
      <c r="AP81" s="845"/>
      <c r="AQ81" s="845"/>
      <c r="AR81" s="845"/>
      <c r="AS81" s="845"/>
      <c r="AT81" s="845"/>
    </row>
    <row r="82" spans="10:47" x14ac:dyDescent="0.2">
      <c r="Q82" s="844"/>
      <c r="R82" s="843"/>
      <c r="S82" s="843"/>
      <c r="T82" s="843"/>
      <c r="U82" s="843"/>
      <c r="W82" s="843"/>
      <c r="X82" s="843"/>
      <c r="Y82" s="843"/>
      <c r="Z82" s="843"/>
      <c r="AB82" s="843"/>
      <c r="AC82" s="843"/>
      <c r="AD82" s="843"/>
      <c r="AE82" s="843"/>
      <c r="AF82" s="844"/>
      <c r="AG82" s="843"/>
      <c r="AH82" s="843"/>
      <c r="AI82" s="843"/>
      <c r="AJ82" s="843"/>
      <c r="AK82" s="844"/>
      <c r="AL82" s="843"/>
      <c r="AM82" s="843"/>
      <c r="AN82" s="843"/>
      <c r="AO82" s="843"/>
      <c r="AP82" s="844"/>
      <c r="AQ82" s="843"/>
      <c r="AR82" s="843"/>
      <c r="AS82" s="843"/>
      <c r="AT82" s="843"/>
    </row>
    <row r="87" spans="10:47" x14ac:dyDescent="0.2">
      <c r="K87" s="830"/>
    </row>
    <row r="90" spans="10:47" x14ac:dyDescent="0.2">
      <c r="V90" s="830"/>
      <c r="AA90" s="830"/>
    </row>
    <row r="91" spans="10:47" x14ac:dyDescent="0.2">
      <c r="N91" s="836"/>
      <c r="O91" s="835"/>
      <c r="P91" s="830"/>
      <c r="Q91" s="830"/>
      <c r="R91" s="830"/>
      <c r="S91" s="830"/>
      <c r="T91" s="830"/>
      <c r="U91" s="830"/>
      <c r="V91" s="831"/>
      <c r="W91" s="830"/>
      <c r="X91" s="830"/>
      <c r="Y91" s="830"/>
      <c r="Z91" s="830"/>
      <c r="AA91" s="831"/>
      <c r="AB91" s="830"/>
      <c r="AC91" s="830"/>
      <c r="AD91" s="830"/>
      <c r="AE91" s="830"/>
      <c r="AF91" s="830"/>
      <c r="AG91" s="830"/>
      <c r="AH91" s="830"/>
      <c r="AI91" s="830"/>
      <c r="AJ91" s="830"/>
      <c r="AK91" s="830"/>
      <c r="AL91" s="830"/>
      <c r="AM91" s="830"/>
      <c r="AN91" s="830"/>
      <c r="AO91" s="830"/>
      <c r="AP91" s="830"/>
      <c r="AQ91" s="830"/>
      <c r="AR91" s="830"/>
      <c r="AS91" s="830"/>
      <c r="AT91" s="830"/>
    </row>
    <row r="92" spans="10:47" x14ac:dyDescent="0.2">
      <c r="M92" s="477"/>
      <c r="N92" s="477"/>
      <c r="O92" s="834"/>
      <c r="P92" s="831"/>
      <c r="Q92" s="831"/>
      <c r="R92" s="831"/>
      <c r="S92" s="831"/>
      <c r="T92" s="831"/>
      <c r="U92" s="831"/>
      <c r="V92" s="831"/>
      <c r="W92" s="831"/>
      <c r="X92" s="831"/>
      <c r="Y92" s="831"/>
      <c r="Z92" s="831"/>
      <c r="AA92" s="831"/>
      <c r="AB92" s="831"/>
      <c r="AC92" s="831"/>
      <c r="AD92" s="831"/>
      <c r="AE92" s="831"/>
      <c r="AF92" s="831"/>
      <c r="AG92" s="831"/>
      <c r="AH92" s="831"/>
      <c r="AI92" s="831"/>
      <c r="AJ92" s="831"/>
      <c r="AK92" s="831"/>
      <c r="AL92" s="831"/>
      <c r="AM92" s="831"/>
      <c r="AN92" s="831"/>
      <c r="AO92" s="831"/>
      <c r="AP92" s="831"/>
      <c r="AQ92" s="831"/>
      <c r="AR92" s="831"/>
      <c r="AS92" s="831"/>
      <c r="AT92" s="831"/>
    </row>
    <row r="93" spans="10:47" x14ac:dyDescent="0.2">
      <c r="J93" s="842"/>
      <c r="K93" s="230"/>
      <c r="M93" s="477"/>
      <c r="N93" s="477"/>
      <c r="O93" s="833"/>
      <c r="P93" s="831"/>
      <c r="Q93" s="831"/>
      <c r="R93" s="831"/>
      <c r="S93" s="831"/>
      <c r="T93" s="831"/>
      <c r="U93" s="831"/>
      <c r="V93" s="839"/>
      <c r="W93" s="831"/>
      <c r="X93" s="831"/>
      <c r="Y93" s="831"/>
      <c r="Z93" s="831"/>
      <c r="AA93" s="839"/>
      <c r="AB93" s="831"/>
      <c r="AC93" s="831"/>
      <c r="AD93" s="831"/>
      <c r="AE93" s="831"/>
      <c r="AF93" s="831"/>
      <c r="AG93" s="831"/>
      <c r="AH93" s="831"/>
      <c r="AI93" s="831"/>
      <c r="AJ93" s="831"/>
      <c r="AK93" s="831"/>
      <c r="AL93" s="831"/>
      <c r="AM93" s="831"/>
      <c r="AN93" s="831"/>
      <c r="AO93" s="831"/>
      <c r="AP93" s="831"/>
      <c r="AQ93" s="831"/>
      <c r="AR93" s="831"/>
      <c r="AS93" s="831"/>
      <c r="AT93" s="831"/>
    </row>
    <row r="94" spans="10:47" x14ac:dyDescent="0.2">
      <c r="M94" s="830"/>
      <c r="N94" s="830"/>
      <c r="O94" s="466"/>
      <c r="P94" s="839"/>
      <c r="Q94" s="839"/>
      <c r="R94" s="839"/>
      <c r="S94" s="839"/>
      <c r="T94" s="839"/>
      <c r="U94" s="839"/>
      <c r="V94" s="839"/>
      <c r="W94" s="839"/>
      <c r="X94" s="839"/>
      <c r="Y94" s="839"/>
      <c r="Z94" s="839"/>
      <c r="AA94" s="839"/>
      <c r="AB94" s="839"/>
      <c r="AC94" s="839"/>
      <c r="AD94" s="839"/>
      <c r="AE94" s="839"/>
      <c r="AF94" s="839"/>
      <c r="AG94" s="839"/>
      <c r="AH94" s="839"/>
      <c r="AI94" s="839"/>
      <c r="AJ94" s="839"/>
      <c r="AK94" s="839"/>
      <c r="AL94" s="839"/>
      <c r="AM94" s="839"/>
      <c r="AN94" s="839"/>
      <c r="AO94" s="839"/>
      <c r="AP94" s="839"/>
      <c r="AQ94" s="839"/>
      <c r="AR94" s="839"/>
      <c r="AS94" s="839"/>
      <c r="AT94" s="839"/>
      <c r="AU94" s="344"/>
    </row>
    <row r="95" spans="10:47" x14ac:dyDescent="0.2">
      <c r="M95" s="830"/>
      <c r="N95" s="830"/>
      <c r="O95" s="466"/>
      <c r="P95" s="839"/>
      <c r="Q95" s="839"/>
      <c r="R95" s="839"/>
      <c r="S95" s="839"/>
      <c r="T95" s="839"/>
      <c r="U95" s="839"/>
      <c r="V95" s="839"/>
      <c r="W95" s="839"/>
      <c r="X95" s="839"/>
      <c r="Y95" s="839"/>
      <c r="Z95" s="839"/>
      <c r="AA95" s="839"/>
      <c r="AB95" s="839"/>
      <c r="AC95" s="839"/>
      <c r="AD95" s="839"/>
      <c r="AE95" s="839"/>
      <c r="AF95" s="839"/>
      <c r="AG95" s="839"/>
      <c r="AH95" s="839"/>
      <c r="AI95" s="839"/>
      <c r="AJ95" s="839"/>
      <c r="AK95" s="839"/>
      <c r="AL95" s="839"/>
      <c r="AM95" s="839"/>
      <c r="AN95" s="839"/>
      <c r="AO95" s="839"/>
      <c r="AP95" s="839"/>
      <c r="AQ95" s="839"/>
      <c r="AR95" s="839"/>
      <c r="AS95" s="839"/>
      <c r="AT95" s="839"/>
    </row>
    <row r="96" spans="10:47" x14ac:dyDescent="0.2">
      <c r="M96" s="840"/>
      <c r="N96" s="840"/>
      <c r="O96" s="466"/>
      <c r="P96" s="839"/>
      <c r="Q96" s="839"/>
      <c r="R96" s="839"/>
      <c r="S96" s="839"/>
      <c r="T96" s="839"/>
      <c r="U96" s="839"/>
      <c r="V96" s="839"/>
      <c r="W96" s="839"/>
      <c r="X96" s="839"/>
      <c r="Y96" s="839"/>
      <c r="Z96" s="839"/>
      <c r="AA96" s="839"/>
      <c r="AB96" s="839"/>
      <c r="AC96" s="839"/>
      <c r="AD96" s="839"/>
      <c r="AE96" s="839"/>
      <c r="AF96" s="839"/>
      <c r="AG96" s="839"/>
      <c r="AH96" s="839"/>
      <c r="AI96" s="839"/>
      <c r="AJ96" s="839"/>
      <c r="AK96" s="839"/>
      <c r="AL96" s="839"/>
      <c r="AM96" s="839"/>
      <c r="AN96" s="839"/>
      <c r="AO96" s="839"/>
      <c r="AP96" s="839"/>
      <c r="AQ96" s="839"/>
      <c r="AR96" s="839"/>
      <c r="AS96" s="839"/>
      <c r="AT96" s="839"/>
    </row>
    <row r="97" spans="13:47" x14ac:dyDescent="0.2">
      <c r="M97" s="840"/>
      <c r="N97" s="840"/>
      <c r="O97" s="466"/>
      <c r="P97" s="839"/>
      <c r="Q97" s="839"/>
      <c r="R97" s="839"/>
      <c r="S97" s="839"/>
      <c r="T97" s="839"/>
      <c r="U97" s="839"/>
      <c r="V97" s="831"/>
      <c r="W97" s="839"/>
      <c r="X97" s="839"/>
      <c r="Y97" s="839"/>
      <c r="Z97" s="839"/>
      <c r="AA97" s="831"/>
      <c r="AB97" s="839"/>
      <c r="AC97" s="839"/>
      <c r="AD97" s="839"/>
      <c r="AE97" s="839"/>
      <c r="AF97" s="839"/>
      <c r="AG97" s="839"/>
      <c r="AH97" s="839"/>
      <c r="AI97" s="839"/>
      <c r="AJ97" s="839"/>
      <c r="AK97" s="839"/>
      <c r="AL97" s="839"/>
      <c r="AM97" s="839"/>
      <c r="AN97" s="839"/>
      <c r="AO97" s="839"/>
      <c r="AP97" s="839"/>
      <c r="AQ97" s="839"/>
      <c r="AR97" s="839"/>
      <c r="AS97" s="839"/>
      <c r="AT97" s="839"/>
    </row>
    <row r="98" spans="13:47" x14ac:dyDescent="0.2">
      <c r="M98" s="477"/>
      <c r="N98" s="477"/>
      <c r="O98" s="466"/>
      <c r="P98" s="831"/>
      <c r="Q98" s="831"/>
      <c r="R98" s="831"/>
      <c r="S98" s="831"/>
      <c r="T98" s="831"/>
      <c r="U98" s="831"/>
      <c r="V98" s="831"/>
      <c r="W98" s="831"/>
      <c r="X98" s="831"/>
      <c r="Y98" s="831"/>
      <c r="Z98" s="831"/>
      <c r="AA98" s="831"/>
      <c r="AB98" s="831"/>
      <c r="AC98" s="831"/>
      <c r="AD98" s="831"/>
      <c r="AE98" s="831"/>
      <c r="AF98" s="831"/>
      <c r="AG98" s="831"/>
      <c r="AH98" s="831"/>
      <c r="AI98" s="831"/>
      <c r="AJ98" s="831"/>
      <c r="AK98" s="831"/>
      <c r="AL98" s="831"/>
      <c r="AM98" s="831"/>
      <c r="AN98" s="831"/>
      <c r="AO98" s="831"/>
      <c r="AP98" s="831"/>
      <c r="AQ98" s="831"/>
      <c r="AR98" s="831"/>
      <c r="AS98" s="831"/>
      <c r="AT98" s="831"/>
    </row>
    <row r="99" spans="13:47" x14ac:dyDescent="0.2">
      <c r="M99" s="477"/>
      <c r="N99" s="477"/>
      <c r="O99" s="477"/>
      <c r="P99" s="831"/>
      <c r="Q99" s="831"/>
      <c r="R99" s="831"/>
      <c r="S99" s="831"/>
      <c r="T99" s="831"/>
      <c r="U99" s="831"/>
      <c r="V99" s="831"/>
      <c r="W99" s="831"/>
      <c r="X99" s="831"/>
      <c r="Y99" s="831"/>
      <c r="Z99" s="831"/>
      <c r="AA99" s="831"/>
      <c r="AB99" s="831"/>
      <c r="AC99" s="831"/>
      <c r="AD99" s="831"/>
      <c r="AE99" s="831"/>
      <c r="AF99" s="831"/>
      <c r="AG99" s="831"/>
      <c r="AH99" s="831"/>
      <c r="AI99" s="831"/>
      <c r="AJ99" s="831"/>
      <c r="AK99" s="831"/>
      <c r="AL99" s="831"/>
      <c r="AM99" s="831"/>
      <c r="AN99" s="831"/>
      <c r="AO99" s="831"/>
      <c r="AP99" s="831"/>
      <c r="AQ99" s="831"/>
      <c r="AR99" s="831"/>
      <c r="AS99" s="831"/>
      <c r="AT99" s="831"/>
    </row>
    <row r="100" spans="13:47" x14ac:dyDescent="0.2">
      <c r="M100" s="477"/>
      <c r="N100" s="477"/>
      <c r="O100" s="477"/>
      <c r="P100" s="831"/>
      <c r="Q100" s="831"/>
      <c r="R100" s="831"/>
      <c r="S100" s="831"/>
      <c r="T100" s="831"/>
      <c r="U100" s="831"/>
      <c r="W100" s="831"/>
      <c r="X100" s="831"/>
      <c r="Y100" s="831"/>
      <c r="Z100" s="831"/>
      <c r="AB100" s="831"/>
      <c r="AC100" s="831"/>
      <c r="AD100" s="831"/>
      <c r="AE100" s="831"/>
      <c r="AF100" s="831"/>
      <c r="AG100" s="831"/>
      <c r="AH100" s="831"/>
      <c r="AI100" s="831"/>
      <c r="AJ100" s="831"/>
      <c r="AK100" s="831"/>
      <c r="AL100" s="831"/>
      <c r="AM100" s="831"/>
      <c r="AN100" s="831"/>
      <c r="AO100" s="831"/>
      <c r="AP100" s="831"/>
      <c r="AQ100" s="831"/>
      <c r="AR100" s="831"/>
      <c r="AS100" s="831"/>
      <c r="AT100" s="831"/>
    </row>
    <row r="101" spans="13:47" x14ac:dyDescent="0.2">
      <c r="N101" s="838"/>
      <c r="V101" s="830"/>
      <c r="AA101" s="830"/>
    </row>
    <row r="102" spans="13:47" x14ac:dyDescent="0.2">
      <c r="O102" s="835"/>
      <c r="P102" s="830"/>
      <c r="Q102" s="830"/>
      <c r="R102" s="830"/>
      <c r="S102" s="830"/>
      <c r="T102" s="830"/>
      <c r="U102" s="830"/>
      <c r="V102" s="830"/>
      <c r="W102" s="830"/>
      <c r="X102" s="830"/>
      <c r="Y102" s="830"/>
      <c r="Z102" s="830"/>
      <c r="AA102" s="830"/>
      <c r="AB102" s="830"/>
      <c r="AC102" s="830"/>
      <c r="AD102" s="830"/>
      <c r="AE102" s="830"/>
      <c r="AF102" s="830"/>
      <c r="AG102" s="830"/>
      <c r="AH102" s="830"/>
      <c r="AI102" s="830"/>
      <c r="AJ102" s="830"/>
      <c r="AK102" s="830"/>
      <c r="AL102" s="830"/>
      <c r="AM102" s="830"/>
      <c r="AN102" s="830"/>
      <c r="AO102" s="830"/>
      <c r="AP102" s="830"/>
      <c r="AQ102" s="830"/>
      <c r="AR102" s="830"/>
      <c r="AS102" s="830"/>
      <c r="AT102" s="830"/>
    </row>
    <row r="103" spans="13:47" x14ac:dyDescent="0.2">
      <c r="O103" s="837"/>
      <c r="P103" s="830"/>
      <c r="Q103" s="830"/>
      <c r="R103" s="830"/>
      <c r="S103" s="830"/>
      <c r="T103" s="830"/>
      <c r="U103" s="830"/>
      <c r="V103" s="830"/>
      <c r="W103" s="830"/>
      <c r="X103" s="830"/>
      <c r="Y103" s="830"/>
      <c r="Z103" s="830"/>
      <c r="AA103" s="830"/>
      <c r="AB103" s="830"/>
      <c r="AC103" s="830"/>
      <c r="AD103" s="830"/>
      <c r="AE103" s="830"/>
      <c r="AF103" s="830"/>
      <c r="AG103" s="830"/>
      <c r="AH103" s="830"/>
      <c r="AI103" s="830"/>
      <c r="AJ103" s="830"/>
      <c r="AK103" s="830"/>
      <c r="AL103" s="830"/>
      <c r="AM103" s="830"/>
      <c r="AN103" s="830"/>
      <c r="AO103" s="830"/>
      <c r="AP103" s="830"/>
      <c r="AQ103" s="830"/>
      <c r="AR103" s="830"/>
      <c r="AS103" s="830"/>
      <c r="AT103" s="830"/>
    </row>
    <row r="104" spans="13:47" x14ac:dyDescent="0.2">
      <c r="O104" s="835"/>
      <c r="P104" s="830"/>
      <c r="Q104" s="830"/>
      <c r="R104" s="830"/>
      <c r="S104" s="830"/>
      <c r="T104" s="830"/>
      <c r="U104" s="830"/>
      <c r="V104" s="830"/>
      <c r="W104" s="830"/>
      <c r="X104" s="830"/>
      <c r="Y104" s="830"/>
      <c r="Z104" s="830"/>
      <c r="AA104" s="830"/>
      <c r="AB104" s="830"/>
      <c r="AC104" s="830"/>
      <c r="AD104" s="830"/>
      <c r="AE104" s="830"/>
      <c r="AF104" s="830"/>
      <c r="AG104" s="830"/>
      <c r="AH104" s="830"/>
      <c r="AI104" s="830"/>
      <c r="AJ104" s="830"/>
      <c r="AK104" s="830"/>
      <c r="AL104" s="830"/>
      <c r="AM104" s="830"/>
      <c r="AN104" s="830"/>
      <c r="AO104" s="830"/>
      <c r="AP104" s="830"/>
      <c r="AQ104" s="830"/>
      <c r="AR104" s="830"/>
      <c r="AS104" s="830"/>
      <c r="AT104" s="830"/>
      <c r="AU104" s="830"/>
    </row>
    <row r="105" spans="13:47" x14ac:dyDescent="0.2">
      <c r="O105" s="835"/>
      <c r="P105" s="830"/>
      <c r="Q105" s="830"/>
      <c r="R105" s="830"/>
      <c r="S105" s="830"/>
      <c r="T105" s="830"/>
      <c r="U105" s="830"/>
      <c r="V105" s="830"/>
      <c r="W105" s="830"/>
      <c r="X105" s="830"/>
      <c r="Y105" s="830"/>
      <c r="Z105" s="830"/>
      <c r="AA105" s="830"/>
      <c r="AB105" s="830"/>
      <c r="AC105" s="830"/>
      <c r="AD105" s="830"/>
      <c r="AE105" s="830"/>
      <c r="AF105" s="830"/>
      <c r="AG105" s="830"/>
      <c r="AH105" s="830"/>
      <c r="AI105" s="830"/>
      <c r="AJ105" s="830"/>
      <c r="AK105" s="830"/>
      <c r="AL105" s="830"/>
      <c r="AM105" s="830"/>
      <c r="AN105" s="830"/>
      <c r="AO105" s="830"/>
      <c r="AP105" s="830"/>
      <c r="AQ105" s="830"/>
      <c r="AR105" s="830"/>
      <c r="AS105" s="830"/>
      <c r="AT105" s="830"/>
      <c r="AU105" s="830"/>
    </row>
    <row r="106" spans="13:47" x14ac:dyDescent="0.2">
      <c r="N106" s="836"/>
      <c r="O106" s="835"/>
      <c r="P106" s="830"/>
      <c r="Q106" s="830"/>
      <c r="R106" s="830"/>
      <c r="S106" s="830"/>
      <c r="T106" s="830"/>
      <c r="U106" s="830"/>
      <c r="V106" s="831"/>
      <c r="W106" s="830"/>
      <c r="X106" s="830"/>
      <c r="Y106" s="830"/>
      <c r="Z106" s="830"/>
      <c r="AA106" s="831"/>
      <c r="AB106" s="830"/>
      <c r="AC106" s="830"/>
      <c r="AD106" s="830"/>
      <c r="AE106" s="830"/>
      <c r="AF106" s="830"/>
      <c r="AG106" s="830"/>
      <c r="AH106" s="830"/>
      <c r="AI106" s="830"/>
      <c r="AJ106" s="830"/>
      <c r="AK106" s="830"/>
      <c r="AL106" s="830"/>
      <c r="AM106" s="830"/>
      <c r="AN106" s="830"/>
      <c r="AO106" s="830"/>
      <c r="AP106" s="830"/>
      <c r="AQ106" s="830"/>
      <c r="AR106" s="830"/>
      <c r="AS106" s="830"/>
      <c r="AT106" s="830"/>
      <c r="AU106" s="831"/>
    </row>
    <row r="107" spans="13:47" x14ac:dyDescent="0.2">
      <c r="M107" s="477"/>
      <c r="N107" s="477"/>
      <c r="O107" s="834"/>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1"/>
      <c r="AL107" s="831"/>
      <c r="AM107" s="831"/>
      <c r="AN107" s="831"/>
      <c r="AO107" s="831"/>
      <c r="AP107" s="831"/>
      <c r="AQ107" s="831"/>
      <c r="AR107" s="831"/>
      <c r="AS107" s="831"/>
      <c r="AT107" s="831"/>
      <c r="AU107" s="830"/>
    </row>
    <row r="108" spans="13:47" x14ac:dyDescent="0.2">
      <c r="M108" s="477"/>
      <c r="N108" s="477"/>
      <c r="O108" s="833"/>
      <c r="P108" s="831"/>
      <c r="Q108" s="831"/>
      <c r="R108" s="831"/>
      <c r="S108" s="831"/>
      <c r="T108" s="831"/>
      <c r="U108" s="831"/>
      <c r="W108" s="831"/>
      <c r="X108" s="831"/>
      <c r="Y108" s="831"/>
      <c r="Z108" s="831"/>
      <c r="AB108" s="831"/>
      <c r="AC108" s="831"/>
      <c r="AD108" s="831"/>
      <c r="AE108" s="831"/>
      <c r="AF108" s="831"/>
      <c r="AG108" s="831"/>
      <c r="AH108" s="831"/>
      <c r="AI108" s="831"/>
      <c r="AJ108" s="831"/>
      <c r="AK108" s="831"/>
      <c r="AL108" s="831"/>
      <c r="AM108" s="831"/>
      <c r="AN108" s="831"/>
      <c r="AO108" s="831"/>
      <c r="AP108" s="831"/>
      <c r="AQ108" s="831"/>
      <c r="AR108" s="831"/>
      <c r="AS108" s="831"/>
      <c r="AT108" s="831"/>
      <c r="AU108" s="830"/>
    </row>
    <row r="109" spans="13:47" x14ac:dyDescent="0.2">
      <c r="V109" s="831"/>
      <c r="AA109" s="831"/>
      <c r="AU109" s="830"/>
    </row>
    <row r="110" spans="13:47" x14ac:dyDescent="0.2">
      <c r="O110" s="477"/>
      <c r="P110" s="831"/>
      <c r="Q110" s="831"/>
      <c r="R110" s="831"/>
      <c r="S110" s="831"/>
      <c r="T110" s="831"/>
      <c r="U110" s="831"/>
      <c r="V110" s="831"/>
      <c r="W110" s="831"/>
      <c r="X110" s="831"/>
      <c r="Y110" s="831"/>
      <c r="Z110" s="831"/>
      <c r="AA110" s="831"/>
      <c r="AB110" s="831"/>
      <c r="AC110" s="831"/>
      <c r="AD110" s="831"/>
      <c r="AE110" s="831"/>
      <c r="AF110" s="831"/>
      <c r="AG110" s="831"/>
      <c r="AH110" s="831"/>
      <c r="AI110" s="831"/>
      <c r="AJ110" s="831"/>
      <c r="AK110" s="831"/>
      <c r="AL110" s="831"/>
      <c r="AM110" s="831"/>
      <c r="AN110" s="831"/>
      <c r="AO110" s="831"/>
      <c r="AP110" s="831"/>
      <c r="AQ110" s="831"/>
      <c r="AR110" s="831"/>
      <c r="AS110" s="831"/>
      <c r="AT110" s="831"/>
      <c r="AU110" s="830"/>
    </row>
    <row r="111" spans="13:47" x14ac:dyDescent="0.2">
      <c r="M111" s="477"/>
      <c r="N111" s="477"/>
      <c r="O111" s="832"/>
      <c r="P111" s="831"/>
      <c r="Q111" s="831"/>
      <c r="R111" s="831"/>
      <c r="S111" s="831"/>
      <c r="T111" s="831"/>
      <c r="U111" s="831"/>
      <c r="W111" s="831"/>
      <c r="X111" s="831"/>
      <c r="Y111" s="831"/>
      <c r="Z111" s="831"/>
      <c r="AB111" s="831"/>
      <c r="AC111" s="831"/>
      <c r="AD111" s="831"/>
      <c r="AE111" s="831"/>
      <c r="AF111" s="831"/>
      <c r="AG111" s="831"/>
      <c r="AH111" s="831"/>
      <c r="AI111" s="831"/>
      <c r="AJ111" s="831"/>
      <c r="AK111" s="831"/>
      <c r="AL111" s="831"/>
      <c r="AM111" s="831"/>
      <c r="AN111" s="831"/>
      <c r="AO111" s="831"/>
      <c r="AP111" s="831"/>
      <c r="AQ111" s="831"/>
      <c r="AR111" s="831"/>
      <c r="AS111" s="831"/>
      <c r="AT111" s="831"/>
      <c r="AU111" s="831"/>
    </row>
    <row r="112" spans="13:47" x14ac:dyDescent="0.2">
      <c r="AU112" s="831"/>
    </row>
    <row r="113" spans="10:47" x14ac:dyDescent="0.2">
      <c r="AU113" s="831"/>
    </row>
    <row r="114" spans="10:47" x14ac:dyDescent="0.2">
      <c r="AU114" s="830"/>
    </row>
    <row r="115" spans="10:47" x14ac:dyDescent="0.2">
      <c r="AU115" s="831"/>
    </row>
    <row r="116" spans="10:47" x14ac:dyDescent="0.2">
      <c r="AU116" s="831"/>
    </row>
    <row r="117" spans="10:47" x14ac:dyDescent="0.2">
      <c r="AU117" s="830"/>
    </row>
    <row r="118" spans="10:47" x14ac:dyDescent="0.2">
      <c r="AU118" s="831"/>
    </row>
    <row r="119" spans="10:47" x14ac:dyDescent="0.2">
      <c r="AU119" s="830"/>
    </row>
    <row r="120" spans="10:47" x14ac:dyDescent="0.2">
      <c r="V120" s="831"/>
      <c r="AA120" s="831"/>
      <c r="AU120" s="830"/>
    </row>
    <row r="121" spans="10:47" x14ac:dyDescent="0.2">
      <c r="J121" s="842"/>
      <c r="K121" s="230"/>
      <c r="N121" s="477"/>
      <c r="O121" s="841"/>
      <c r="P121" s="831"/>
      <c r="Q121" s="831"/>
      <c r="R121" s="831"/>
      <c r="S121" s="831"/>
      <c r="T121" s="831"/>
      <c r="U121" s="831"/>
      <c r="V121" s="839"/>
      <c r="W121" s="831"/>
      <c r="X121" s="831"/>
      <c r="Y121" s="831"/>
      <c r="Z121" s="831"/>
      <c r="AA121" s="839"/>
      <c r="AB121" s="831"/>
      <c r="AC121" s="831"/>
      <c r="AD121" s="831"/>
      <c r="AE121" s="831"/>
      <c r="AF121" s="831"/>
      <c r="AG121" s="831"/>
      <c r="AH121" s="831"/>
      <c r="AI121" s="831"/>
      <c r="AJ121" s="831"/>
      <c r="AK121" s="831"/>
      <c r="AL121" s="831"/>
      <c r="AM121" s="831"/>
      <c r="AN121" s="831"/>
      <c r="AO121" s="831"/>
      <c r="AP121" s="831"/>
      <c r="AQ121" s="831"/>
      <c r="AR121" s="831"/>
      <c r="AS121" s="831"/>
      <c r="AT121" s="831"/>
      <c r="AU121" s="831"/>
    </row>
    <row r="122" spans="10:47" ht="25.5" customHeight="1" x14ac:dyDescent="0.2">
      <c r="N122" s="830"/>
      <c r="O122" s="466"/>
      <c r="P122" s="839"/>
      <c r="Q122" s="839"/>
      <c r="R122" s="839"/>
      <c r="S122" s="839"/>
      <c r="T122" s="839"/>
      <c r="U122" s="839"/>
      <c r="V122" s="839"/>
      <c r="W122" s="839"/>
      <c r="X122" s="839"/>
      <c r="Y122" s="839"/>
      <c r="Z122" s="839"/>
      <c r="AA122" s="839"/>
      <c r="AB122" s="839"/>
      <c r="AC122" s="839"/>
      <c r="AD122" s="839"/>
      <c r="AE122" s="839"/>
      <c r="AF122" s="839"/>
      <c r="AG122" s="839"/>
      <c r="AH122" s="839"/>
      <c r="AI122" s="839"/>
      <c r="AJ122" s="839"/>
      <c r="AK122" s="839"/>
      <c r="AL122" s="839"/>
      <c r="AM122" s="839"/>
      <c r="AN122" s="839"/>
      <c r="AO122" s="839"/>
      <c r="AP122" s="839"/>
      <c r="AQ122" s="839"/>
      <c r="AR122" s="839"/>
      <c r="AS122" s="839"/>
      <c r="AT122" s="839"/>
      <c r="AU122" s="457"/>
    </row>
    <row r="123" spans="10:47" x14ac:dyDescent="0.2">
      <c r="M123" s="830"/>
      <c r="N123" s="830"/>
      <c r="O123" s="466"/>
      <c r="P123" s="839"/>
      <c r="Q123" s="839"/>
      <c r="R123" s="839"/>
      <c r="S123" s="839"/>
      <c r="T123" s="839"/>
      <c r="U123" s="839"/>
      <c r="V123" s="839"/>
      <c r="W123" s="839"/>
      <c r="X123" s="839"/>
      <c r="Y123" s="839"/>
      <c r="Z123" s="839"/>
      <c r="AA123" s="839"/>
      <c r="AB123" s="839"/>
      <c r="AC123" s="839"/>
      <c r="AD123" s="839"/>
      <c r="AE123" s="839"/>
      <c r="AF123" s="839"/>
      <c r="AG123" s="839"/>
      <c r="AH123" s="839"/>
      <c r="AI123" s="839"/>
      <c r="AJ123" s="839"/>
      <c r="AK123" s="839"/>
      <c r="AL123" s="839"/>
      <c r="AM123" s="839"/>
      <c r="AN123" s="839"/>
      <c r="AO123" s="839"/>
      <c r="AP123" s="839"/>
      <c r="AQ123" s="839"/>
      <c r="AR123" s="839"/>
      <c r="AS123" s="839"/>
      <c r="AT123" s="839"/>
      <c r="AU123" s="830"/>
    </row>
    <row r="124" spans="10:47" x14ac:dyDescent="0.2">
      <c r="M124" s="840"/>
      <c r="N124" s="840"/>
      <c r="O124" s="466"/>
      <c r="P124" s="839"/>
      <c r="Q124" s="839"/>
      <c r="R124" s="839"/>
      <c r="S124" s="839"/>
      <c r="T124" s="839"/>
      <c r="U124" s="839"/>
      <c r="V124" s="839"/>
      <c r="W124" s="839"/>
      <c r="X124" s="839"/>
      <c r="Y124" s="839"/>
      <c r="Z124" s="839"/>
      <c r="AA124" s="839"/>
      <c r="AB124" s="839"/>
      <c r="AC124" s="839"/>
      <c r="AD124" s="839"/>
      <c r="AE124" s="839"/>
      <c r="AF124" s="839"/>
      <c r="AG124" s="839"/>
      <c r="AH124" s="839"/>
      <c r="AI124" s="839"/>
      <c r="AJ124" s="839"/>
      <c r="AK124" s="839"/>
      <c r="AL124" s="839"/>
      <c r="AM124" s="839"/>
      <c r="AN124" s="839"/>
      <c r="AO124" s="839"/>
      <c r="AP124" s="839"/>
      <c r="AQ124" s="839"/>
      <c r="AR124" s="839"/>
      <c r="AS124" s="839"/>
      <c r="AT124" s="839"/>
      <c r="AU124" s="829"/>
    </row>
    <row r="125" spans="10:47" x14ac:dyDescent="0.2">
      <c r="M125" s="840"/>
      <c r="N125" s="840"/>
      <c r="O125" s="466"/>
      <c r="P125" s="839"/>
      <c r="Q125" s="839"/>
      <c r="R125" s="839"/>
      <c r="S125" s="839"/>
      <c r="T125" s="839"/>
      <c r="U125" s="839"/>
      <c r="V125" s="831"/>
      <c r="W125" s="839"/>
      <c r="X125" s="839"/>
      <c r="Y125" s="839"/>
      <c r="Z125" s="839"/>
      <c r="AA125" s="831"/>
      <c r="AB125" s="839"/>
      <c r="AC125" s="839"/>
      <c r="AD125" s="839"/>
      <c r="AE125" s="839"/>
      <c r="AF125" s="839"/>
      <c r="AG125" s="839"/>
      <c r="AH125" s="839"/>
      <c r="AI125" s="839"/>
      <c r="AJ125" s="839"/>
      <c r="AK125" s="839"/>
      <c r="AL125" s="839"/>
      <c r="AM125" s="839"/>
      <c r="AN125" s="839"/>
      <c r="AO125" s="839"/>
      <c r="AP125" s="839"/>
      <c r="AQ125" s="839"/>
      <c r="AR125" s="839"/>
      <c r="AS125" s="839"/>
      <c r="AT125" s="839"/>
    </row>
    <row r="126" spans="10:47" x14ac:dyDescent="0.2">
      <c r="M126" s="477"/>
      <c r="N126" s="477"/>
      <c r="O126" s="466"/>
      <c r="P126" s="831"/>
      <c r="Q126" s="831"/>
      <c r="R126" s="831"/>
      <c r="S126" s="831"/>
      <c r="T126" s="831"/>
      <c r="U126" s="831"/>
      <c r="V126" s="831"/>
      <c r="W126" s="831"/>
      <c r="X126" s="831"/>
      <c r="Y126" s="831"/>
      <c r="Z126" s="831"/>
      <c r="AA126" s="831"/>
      <c r="AB126" s="831"/>
      <c r="AC126" s="831"/>
      <c r="AD126" s="831"/>
      <c r="AE126" s="831"/>
      <c r="AF126" s="831"/>
      <c r="AG126" s="831"/>
      <c r="AH126" s="831"/>
      <c r="AI126" s="831"/>
      <c r="AJ126" s="831"/>
      <c r="AK126" s="831"/>
      <c r="AL126" s="831"/>
      <c r="AM126" s="831"/>
      <c r="AN126" s="831"/>
      <c r="AO126" s="831"/>
      <c r="AP126" s="831"/>
      <c r="AQ126" s="831"/>
      <c r="AR126" s="831"/>
      <c r="AS126" s="831"/>
      <c r="AT126" s="831"/>
    </row>
    <row r="127" spans="10:47" x14ac:dyDescent="0.2">
      <c r="M127" s="477"/>
      <c r="N127" s="477"/>
      <c r="O127" s="477"/>
      <c r="P127" s="831"/>
      <c r="Q127" s="831"/>
      <c r="R127" s="831"/>
      <c r="S127" s="831"/>
      <c r="T127" s="831"/>
      <c r="U127" s="831"/>
      <c r="V127" s="831"/>
      <c r="W127" s="831"/>
      <c r="X127" s="831"/>
      <c r="Y127" s="831"/>
      <c r="Z127" s="831"/>
      <c r="AA127" s="831"/>
      <c r="AB127" s="831"/>
      <c r="AC127" s="831"/>
      <c r="AD127" s="831"/>
      <c r="AE127" s="831"/>
      <c r="AF127" s="831"/>
      <c r="AG127" s="831"/>
      <c r="AH127" s="831"/>
      <c r="AI127" s="831"/>
      <c r="AJ127" s="831"/>
      <c r="AK127" s="831"/>
      <c r="AL127" s="831"/>
      <c r="AM127" s="831"/>
      <c r="AN127" s="831"/>
      <c r="AO127" s="831"/>
      <c r="AP127" s="831"/>
      <c r="AQ127" s="831"/>
      <c r="AR127" s="831"/>
      <c r="AS127" s="831"/>
      <c r="AT127" s="831"/>
    </row>
    <row r="128" spans="10:47" x14ac:dyDescent="0.2">
      <c r="M128" s="477"/>
      <c r="N128" s="477"/>
      <c r="O128" s="477"/>
      <c r="P128" s="831"/>
      <c r="Q128" s="831"/>
      <c r="R128" s="831"/>
      <c r="S128" s="831"/>
      <c r="T128" s="831"/>
      <c r="U128" s="831"/>
      <c r="W128" s="831"/>
      <c r="X128" s="831"/>
      <c r="Y128" s="831"/>
      <c r="Z128" s="831"/>
      <c r="AB128" s="831"/>
      <c r="AC128" s="831"/>
      <c r="AD128" s="831"/>
      <c r="AE128" s="831"/>
      <c r="AF128" s="831"/>
      <c r="AG128" s="831"/>
      <c r="AH128" s="831"/>
      <c r="AI128" s="831"/>
      <c r="AJ128" s="831"/>
      <c r="AK128" s="831"/>
      <c r="AL128" s="831"/>
      <c r="AM128" s="831"/>
      <c r="AN128" s="831"/>
      <c r="AO128" s="831"/>
      <c r="AP128" s="831"/>
      <c r="AQ128" s="831"/>
      <c r="AR128" s="831"/>
      <c r="AS128" s="831"/>
      <c r="AT128" s="831"/>
    </row>
    <row r="129" spans="13:47" x14ac:dyDescent="0.2">
      <c r="N129" s="838"/>
      <c r="V129" s="830"/>
      <c r="AA129" s="830"/>
    </row>
    <row r="130" spans="13:47" x14ac:dyDescent="0.2">
      <c r="O130" s="835"/>
      <c r="P130" s="830"/>
      <c r="Q130" s="830"/>
      <c r="R130" s="830"/>
      <c r="S130" s="830"/>
      <c r="T130" s="830"/>
      <c r="U130" s="830"/>
      <c r="V130" s="830"/>
      <c r="W130" s="830"/>
      <c r="X130" s="830"/>
      <c r="Y130" s="830"/>
      <c r="Z130" s="830"/>
      <c r="AA130" s="830"/>
      <c r="AB130" s="830"/>
      <c r="AC130" s="830"/>
      <c r="AD130" s="830"/>
      <c r="AE130" s="830"/>
      <c r="AF130" s="830"/>
      <c r="AG130" s="830"/>
      <c r="AH130" s="830"/>
      <c r="AI130" s="830"/>
      <c r="AJ130" s="830"/>
      <c r="AK130" s="830"/>
      <c r="AL130" s="830"/>
      <c r="AM130" s="830"/>
      <c r="AN130" s="830"/>
      <c r="AO130" s="830"/>
      <c r="AP130" s="830"/>
      <c r="AQ130" s="830"/>
      <c r="AR130" s="830"/>
      <c r="AS130" s="830"/>
      <c r="AT130" s="830"/>
    </row>
    <row r="131" spans="13:47" x14ac:dyDescent="0.2">
      <c r="O131" s="837"/>
      <c r="P131" s="830"/>
      <c r="Q131" s="830"/>
      <c r="R131" s="830"/>
      <c r="S131" s="830"/>
      <c r="T131" s="830"/>
      <c r="U131" s="830"/>
      <c r="V131" s="830"/>
      <c r="W131" s="830"/>
      <c r="X131" s="830"/>
      <c r="Y131" s="830"/>
      <c r="Z131" s="830"/>
      <c r="AA131" s="830"/>
      <c r="AB131" s="830"/>
      <c r="AC131" s="830"/>
      <c r="AD131" s="830"/>
      <c r="AE131" s="830"/>
      <c r="AF131" s="830"/>
      <c r="AG131" s="830"/>
      <c r="AH131" s="830"/>
      <c r="AI131" s="830"/>
      <c r="AJ131" s="830"/>
      <c r="AK131" s="830"/>
      <c r="AL131" s="830"/>
      <c r="AM131" s="830"/>
      <c r="AN131" s="830"/>
      <c r="AO131" s="830"/>
      <c r="AP131" s="830"/>
      <c r="AQ131" s="830"/>
      <c r="AR131" s="830"/>
      <c r="AS131" s="830"/>
      <c r="AT131" s="830"/>
    </row>
    <row r="132" spans="13:47" x14ac:dyDescent="0.2">
      <c r="O132" s="835"/>
      <c r="P132" s="830"/>
      <c r="Q132" s="830"/>
      <c r="R132" s="830"/>
      <c r="S132" s="830"/>
      <c r="T132" s="830"/>
      <c r="U132" s="830"/>
      <c r="V132" s="830"/>
      <c r="W132" s="830"/>
      <c r="X132" s="830"/>
      <c r="Y132" s="830"/>
      <c r="Z132" s="830"/>
      <c r="AA132" s="830"/>
      <c r="AB132" s="830"/>
      <c r="AC132" s="830"/>
      <c r="AD132" s="830"/>
      <c r="AE132" s="830"/>
      <c r="AF132" s="830"/>
      <c r="AG132" s="830"/>
      <c r="AH132" s="830"/>
      <c r="AI132" s="830"/>
      <c r="AJ132" s="830"/>
      <c r="AK132" s="830"/>
      <c r="AL132" s="830"/>
      <c r="AM132" s="830"/>
      <c r="AN132" s="830"/>
      <c r="AO132" s="830"/>
      <c r="AP132" s="830"/>
      <c r="AQ132" s="830"/>
      <c r="AR132" s="830"/>
      <c r="AS132" s="830"/>
      <c r="AT132" s="830"/>
    </row>
    <row r="133" spans="13:47" x14ac:dyDescent="0.2">
      <c r="O133" s="835"/>
      <c r="P133" s="830"/>
      <c r="Q133" s="830"/>
      <c r="R133" s="830"/>
      <c r="S133" s="830"/>
      <c r="T133" s="830"/>
      <c r="U133" s="830"/>
      <c r="V133" s="830"/>
      <c r="W133" s="830"/>
      <c r="X133" s="830"/>
      <c r="Y133" s="830"/>
      <c r="Z133" s="830"/>
      <c r="AA133" s="830"/>
      <c r="AB133" s="830"/>
      <c r="AC133" s="830"/>
      <c r="AD133" s="830"/>
      <c r="AE133" s="830"/>
      <c r="AF133" s="830"/>
      <c r="AG133" s="830"/>
      <c r="AH133" s="830"/>
      <c r="AI133" s="830"/>
      <c r="AJ133" s="830"/>
      <c r="AK133" s="830"/>
      <c r="AL133" s="830"/>
      <c r="AM133" s="830"/>
      <c r="AN133" s="830"/>
      <c r="AO133" s="830"/>
      <c r="AP133" s="830"/>
      <c r="AQ133" s="830"/>
      <c r="AR133" s="830"/>
      <c r="AS133" s="830"/>
      <c r="AT133" s="830"/>
    </row>
    <row r="134" spans="13:47" x14ac:dyDescent="0.2">
      <c r="N134" s="836"/>
      <c r="O134" s="835"/>
      <c r="P134" s="830"/>
      <c r="Q134" s="830"/>
      <c r="R134" s="830"/>
      <c r="S134" s="830"/>
      <c r="T134" s="830"/>
      <c r="U134" s="830"/>
      <c r="V134" s="831"/>
      <c r="W134" s="830"/>
      <c r="X134" s="830"/>
      <c r="Y134" s="830"/>
      <c r="Z134" s="830"/>
      <c r="AA134" s="831"/>
      <c r="AB134" s="830"/>
      <c r="AC134" s="830"/>
      <c r="AD134" s="830"/>
      <c r="AE134" s="830"/>
      <c r="AF134" s="830"/>
      <c r="AG134" s="830"/>
      <c r="AH134" s="830"/>
      <c r="AI134" s="830"/>
      <c r="AJ134" s="830"/>
      <c r="AK134" s="830"/>
      <c r="AL134" s="830"/>
      <c r="AM134" s="830"/>
      <c r="AN134" s="830"/>
      <c r="AO134" s="830"/>
      <c r="AP134" s="830"/>
      <c r="AQ134" s="830"/>
      <c r="AR134" s="830"/>
      <c r="AS134" s="830"/>
      <c r="AT134" s="830"/>
      <c r="AU134" s="831"/>
    </row>
    <row r="135" spans="13:47" x14ac:dyDescent="0.2">
      <c r="M135" s="477"/>
      <c r="N135" s="477"/>
      <c r="O135" s="834"/>
      <c r="P135" s="831"/>
      <c r="Q135" s="831"/>
      <c r="R135" s="831"/>
      <c r="S135" s="831"/>
      <c r="T135" s="831"/>
      <c r="U135" s="831"/>
      <c r="V135" s="831"/>
      <c r="W135" s="831"/>
      <c r="X135" s="831"/>
      <c r="Y135" s="831"/>
      <c r="Z135" s="831"/>
      <c r="AA135" s="831"/>
      <c r="AB135" s="831"/>
      <c r="AC135" s="831"/>
      <c r="AD135" s="831"/>
      <c r="AE135" s="831"/>
      <c r="AF135" s="831"/>
      <c r="AG135" s="831"/>
      <c r="AH135" s="831"/>
      <c r="AI135" s="831"/>
      <c r="AJ135" s="831"/>
      <c r="AK135" s="831"/>
      <c r="AL135" s="831"/>
      <c r="AM135" s="831"/>
      <c r="AN135" s="831"/>
      <c r="AO135" s="831"/>
      <c r="AP135" s="831"/>
      <c r="AQ135" s="831"/>
      <c r="AR135" s="831"/>
      <c r="AS135" s="831"/>
      <c r="AT135" s="831"/>
      <c r="AU135" s="830"/>
    </row>
    <row r="136" spans="13:47" x14ac:dyDescent="0.2">
      <c r="M136" s="477"/>
      <c r="N136" s="477"/>
      <c r="O136" s="833"/>
      <c r="P136" s="831"/>
      <c r="Q136" s="831"/>
      <c r="R136" s="831"/>
      <c r="S136" s="831"/>
      <c r="T136" s="831"/>
      <c r="U136" s="831"/>
      <c r="W136" s="831"/>
      <c r="X136" s="831"/>
      <c r="Y136" s="831"/>
      <c r="Z136" s="831"/>
      <c r="AB136" s="831"/>
      <c r="AC136" s="831"/>
      <c r="AD136" s="831"/>
      <c r="AE136" s="831"/>
      <c r="AF136" s="831"/>
      <c r="AG136" s="831"/>
      <c r="AH136" s="831"/>
      <c r="AI136" s="831"/>
      <c r="AJ136" s="831"/>
      <c r="AK136" s="831"/>
      <c r="AL136" s="831"/>
      <c r="AM136" s="831"/>
      <c r="AN136" s="831"/>
      <c r="AO136" s="831"/>
      <c r="AP136" s="831"/>
      <c r="AQ136" s="831"/>
      <c r="AR136" s="831"/>
      <c r="AS136" s="831"/>
      <c r="AT136" s="831"/>
      <c r="AU136" s="830"/>
    </row>
    <row r="137" spans="13:47" x14ac:dyDescent="0.2">
      <c r="V137" s="831"/>
      <c r="AA137" s="831"/>
      <c r="AU137" s="830"/>
    </row>
    <row r="138" spans="13:47" x14ac:dyDescent="0.2">
      <c r="O138" s="477"/>
      <c r="P138" s="831"/>
      <c r="Q138" s="831"/>
      <c r="R138" s="831"/>
      <c r="S138" s="831"/>
      <c r="T138" s="831"/>
      <c r="U138" s="831"/>
      <c r="V138" s="831"/>
      <c r="W138" s="831"/>
      <c r="X138" s="831"/>
      <c r="Y138" s="831"/>
      <c r="Z138" s="831"/>
      <c r="AA138" s="831"/>
      <c r="AB138" s="831"/>
      <c r="AC138" s="831"/>
      <c r="AD138" s="831"/>
      <c r="AE138" s="831"/>
      <c r="AF138" s="831"/>
      <c r="AG138" s="831"/>
      <c r="AH138" s="831"/>
      <c r="AI138" s="831"/>
      <c r="AJ138" s="831"/>
      <c r="AK138" s="831"/>
      <c r="AL138" s="831"/>
      <c r="AM138" s="831"/>
      <c r="AN138" s="831"/>
      <c r="AO138" s="831"/>
      <c r="AP138" s="831"/>
      <c r="AQ138" s="831"/>
      <c r="AR138" s="831"/>
      <c r="AS138" s="831"/>
      <c r="AT138" s="831"/>
      <c r="AU138" s="830"/>
    </row>
    <row r="139" spans="13:47" x14ac:dyDescent="0.2">
      <c r="M139" s="477"/>
      <c r="N139" s="477"/>
      <c r="O139" s="832"/>
      <c r="P139" s="831"/>
      <c r="Q139" s="831"/>
      <c r="R139" s="831"/>
      <c r="S139" s="831"/>
      <c r="T139" s="831"/>
      <c r="U139" s="831"/>
      <c r="W139" s="831"/>
      <c r="X139" s="831"/>
      <c r="Y139" s="831"/>
      <c r="Z139" s="831"/>
      <c r="AB139" s="831"/>
      <c r="AC139" s="831"/>
      <c r="AD139" s="831"/>
      <c r="AE139" s="831"/>
      <c r="AF139" s="831"/>
      <c r="AG139" s="831"/>
      <c r="AH139" s="831"/>
      <c r="AI139" s="831"/>
      <c r="AJ139" s="831"/>
      <c r="AK139" s="831"/>
      <c r="AL139" s="831"/>
      <c r="AM139" s="831"/>
      <c r="AN139" s="831"/>
      <c r="AO139" s="831"/>
      <c r="AP139" s="831"/>
      <c r="AQ139" s="831"/>
      <c r="AR139" s="831"/>
      <c r="AS139" s="831"/>
      <c r="AT139" s="831"/>
      <c r="AU139" s="831"/>
    </row>
    <row r="140" spans="13:47" x14ac:dyDescent="0.2">
      <c r="AU140" s="831"/>
    </row>
    <row r="141" spans="13:47" x14ac:dyDescent="0.2">
      <c r="AU141" s="831"/>
    </row>
    <row r="142" spans="13:47" x14ac:dyDescent="0.2">
      <c r="AU142" s="830"/>
    </row>
    <row r="143" spans="13:47" x14ac:dyDescent="0.2">
      <c r="AU143" s="831"/>
    </row>
    <row r="144" spans="13:47" x14ac:dyDescent="0.2">
      <c r="V144" s="831"/>
      <c r="AA144" s="831"/>
      <c r="AU144" s="831"/>
    </row>
    <row r="145" spans="10:47" x14ac:dyDescent="0.2">
      <c r="M145" s="477"/>
      <c r="N145" s="477"/>
      <c r="O145" s="841"/>
      <c r="P145" s="831"/>
      <c r="Q145" s="831"/>
      <c r="R145" s="831"/>
      <c r="S145" s="831"/>
      <c r="T145" s="831"/>
      <c r="U145" s="831"/>
      <c r="V145" s="831"/>
      <c r="W145" s="831"/>
      <c r="X145" s="831"/>
      <c r="Y145" s="831"/>
      <c r="Z145" s="831"/>
      <c r="AA145" s="831"/>
      <c r="AB145" s="831"/>
      <c r="AC145" s="831"/>
      <c r="AD145" s="831"/>
      <c r="AE145" s="831"/>
      <c r="AF145" s="831"/>
      <c r="AG145" s="831"/>
      <c r="AH145" s="831"/>
      <c r="AI145" s="831"/>
      <c r="AJ145" s="831"/>
      <c r="AK145" s="831"/>
      <c r="AL145" s="831"/>
      <c r="AM145" s="831"/>
      <c r="AN145" s="831"/>
      <c r="AO145" s="831"/>
      <c r="AP145" s="831"/>
      <c r="AQ145" s="831"/>
      <c r="AR145" s="831"/>
      <c r="AS145" s="831"/>
      <c r="AT145" s="831"/>
      <c r="AU145" s="830"/>
    </row>
    <row r="146" spans="10:47" x14ac:dyDescent="0.2">
      <c r="J146" s="842"/>
      <c r="K146" s="230"/>
      <c r="M146" s="477"/>
      <c r="N146" s="477"/>
      <c r="O146" s="841"/>
      <c r="P146" s="831"/>
      <c r="Q146" s="831"/>
      <c r="R146" s="831"/>
      <c r="S146" s="831"/>
      <c r="T146" s="831"/>
      <c r="U146" s="831"/>
      <c r="V146" s="839"/>
      <c r="W146" s="831"/>
      <c r="X146" s="831"/>
      <c r="Y146" s="831"/>
      <c r="Z146" s="831"/>
      <c r="AA146" s="839"/>
      <c r="AB146" s="831"/>
      <c r="AC146" s="831"/>
      <c r="AD146" s="831"/>
      <c r="AE146" s="831"/>
      <c r="AF146" s="831"/>
      <c r="AG146" s="831"/>
      <c r="AH146" s="831"/>
      <c r="AI146" s="831"/>
      <c r="AJ146" s="831"/>
      <c r="AK146" s="831"/>
      <c r="AL146" s="831"/>
      <c r="AM146" s="831"/>
      <c r="AN146" s="831"/>
      <c r="AO146" s="831"/>
      <c r="AP146" s="831"/>
      <c r="AQ146" s="831"/>
      <c r="AR146" s="831"/>
      <c r="AS146" s="831"/>
      <c r="AT146" s="831"/>
      <c r="AU146" s="831"/>
    </row>
    <row r="147" spans="10:47" x14ac:dyDescent="0.2">
      <c r="M147" s="830"/>
      <c r="N147" s="830"/>
      <c r="O147" s="466"/>
      <c r="P147" s="839"/>
      <c r="Q147" s="839"/>
      <c r="R147" s="839"/>
      <c r="S147" s="839"/>
      <c r="T147" s="839"/>
      <c r="U147" s="839"/>
      <c r="V147" s="839"/>
      <c r="W147" s="839"/>
      <c r="X147" s="839"/>
      <c r="Y147" s="839"/>
      <c r="Z147" s="839"/>
      <c r="AA147" s="839"/>
      <c r="AB147" s="839"/>
      <c r="AC147" s="839"/>
      <c r="AD147" s="839"/>
      <c r="AE147" s="839"/>
      <c r="AF147" s="839"/>
      <c r="AG147" s="839"/>
      <c r="AH147" s="839"/>
      <c r="AI147" s="839"/>
      <c r="AJ147" s="839"/>
      <c r="AK147" s="839"/>
      <c r="AL147" s="839"/>
      <c r="AM147" s="839"/>
      <c r="AN147" s="839"/>
      <c r="AO147" s="839"/>
      <c r="AP147" s="839"/>
      <c r="AQ147" s="839"/>
      <c r="AR147" s="839"/>
      <c r="AS147" s="839"/>
      <c r="AT147" s="839"/>
      <c r="AU147" s="830"/>
    </row>
    <row r="148" spans="10:47" x14ac:dyDescent="0.2">
      <c r="M148" s="830"/>
      <c r="N148" s="830"/>
      <c r="O148" s="466"/>
      <c r="P148" s="839"/>
      <c r="Q148" s="839"/>
      <c r="R148" s="839"/>
      <c r="S148" s="839"/>
      <c r="T148" s="839"/>
      <c r="U148" s="839"/>
      <c r="V148" s="839"/>
      <c r="W148" s="839"/>
      <c r="X148" s="839"/>
      <c r="Y148" s="839"/>
      <c r="Z148" s="839"/>
      <c r="AA148" s="839"/>
      <c r="AB148" s="839"/>
      <c r="AC148" s="839"/>
      <c r="AD148" s="839"/>
      <c r="AE148" s="839"/>
      <c r="AF148" s="839"/>
      <c r="AG148" s="839"/>
      <c r="AH148" s="839"/>
      <c r="AI148" s="839"/>
      <c r="AJ148" s="839"/>
      <c r="AK148" s="839"/>
      <c r="AL148" s="839"/>
      <c r="AM148" s="839"/>
      <c r="AN148" s="839"/>
      <c r="AO148" s="839"/>
      <c r="AP148" s="839"/>
      <c r="AQ148" s="839"/>
      <c r="AR148" s="839"/>
      <c r="AS148" s="839"/>
      <c r="AT148" s="839"/>
      <c r="AU148" s="830"/>
    </row>
    <row r="149" spans="10:47" x14ac:dyDescent="0.2">
      <c r="M149" s="840"/>
      <c r="N149" s="840"/>
      <c r="O149" s="466"/>
      <c r="P149" s="839"/>
      <c r="Q149" s="839"/>
      <c r="R149" s="839"/>
      <c r="S149" s="839"/>
      <c r="T149" s="839"/>
      <c r="U149" s="839"/>
      <c r="V149" s="839"/>
      <c r="W149" s="839"/>
      <c r="X149" s="839"/>
      <c r="Y149" s="839"/>
      <c r="Z149" s="839"/>
      <c r="AA149" s="839"/>
      <c r="AB149" s="839"/>
      <c r="AC149" s="839"/>
      <c r="AD149" s="839"/>
      <c r="AE149" s="839"/>
      <c r="AF149" s="839"/>
      <c r="AG149" s="839"/>
      <c r="AH149" s="839"/>
      <c r="AI149" s="839"/>
      <c r="AJ149" s="839"/>
      <c r="AK149" s="839"/>
      <c r="AL149" s="839"/>
      <c r="AM149" s="839"/>
      <c r="AN149" s="839"/>
      <c r="AO149" s="839"/>
      <c r="AP149" s="839"/>
      <c r="AQ149" s="839"/>
      <c r="AR149" s="839"/>
      <c r="AS149" s="839"/>
      <c r="AT149" s="839"/>
      <c r="AU149" s="831"/>
    </row>
    <row r="150" spans="10:47" x14ac:dyDescent="0.2">
      <c r="M150" s="840"/>
      <c r="N150" s="840"/>
      <c r="O150" s="466"/>
      <c r="P150" s="839"/>
      <c r="Q150" s="839"/>
      <c r="R150" s="839"/>
      <c r="S150" s="839"/>
      <c r="T150" s="839"/>
      <c r="U150" s="839"/>
      <c r="V150" s="831"/>
      <c r="W150" s="839"/>
      <c r="X150" s="839"/>
      <c r="Y150" s="839"/>
      <c r="Z150" s="839"/>
      <c r="AA150" s="831"/>
      <c r="AB150" s="839"/>
      <c r="AC150" s="839"/>
      <c r="AD150" s="839"/>
      <c r="AE150" s="839"/>
      <c r="AF150" s="839"/>
      <c r="AG150" s="839"/>
      <c r="AH150" s="839"/>
      <c r="AI150" s="839"/>
      <c r="AJ150" s="839"/>
      <c r="AK150" s="839"/>
      <c r="AL150" s="839"/>
      <c r="AM150" s="839"/>
      <c r="AN150" s="839"/>
      <c r="AO150" s="839"/>
      <c r="AP150" s="839"/>
      <c r="AQ150" s="839"/>
      <c r="AR150" s="839"/>
      <c r="AS150" s="839"/>
      <c r="AT150" s="839"/>
      <c r="AU150" s="457"/>
    </row>
    <row r="151" spans="10:47" x14ac:dyDescent="0.2">
      <c r="M151" s="477"/>
      <c r="N151" s="477"/>
      <c r="O151" s="466"/>
      <c r="P151" s="831"/>
      <c r="Q151" s="831"/>
      <c r="R151" s="831"/>
      <c r="S151" s="831"/>
      <c r="T151" s="831"/>
      <c r="U151" s="831"/>
      <c r="V151" s="831"/>
      <c r="W151" s="831"/>
      <c r="X151" s="831"/>
      <c r="Y151" s="831"/>
      <c r="Z151" s="831"/>
      <c r="AA151" s="831"/>
      <c r="AB151" s="831"/>
      <c r="AC151" s="831"/>
      <c r="AD151" s="831"/>
      <c r="AE151" s="831"/>
      <c r="AF151" s="831"/>
      <c r="AG151" s="831"/>
      <c r="AH151" s="831"/>
      <c r="AI151" s="831"/>
      <c r="AJ151" s="831"/>
      <c r="AK151" s="831"/>
      <c r="AL151" s="831"/>
      <c r="AM151" s="831"/>
      <c r="AN151" s="831"/>
      <c r="AO151" s="831"/>
      <c r="AP151" s="831"/>
      <c r="AQ151" s="831"/>
      <c r="AR151" s="831"/>
      <c r="AS151" s="831"/>
      <c r="AT151" s="831"/>
      <c r="AU151" s="830"/>
    </row>
    <row r="152" spans="10:47" x14ac:dyDescent="0.2">
      <c r="M152" s="477"/>
      <c r="N152" s="477"/>
      <c r="O152" s="477"/>
      <c r="P152" s="831"/>
      <c r="Q152" s="831"/>
      <c r="R152" s="831"/>
      <c r="S152" s="831"/>
      <c r="T152" s="831"/>
      <c r="U152" s="831"/>
      <c r="V152" s="831"/>
      <c r="W152" s="831"/>
      <c r="X152" s="831"/>
      <c r="Y152" s="831"/>
      <c r="Z152" s="831"/>
      <c r="AA152" s="831"/>
      <c r="AB152" s="831"/>
      <c r="AC152" s="831"/>
      <c r="AD152" s="831"/>
      <c r="AE152" s="831"/>
      <c r="AF152" s="831"/>
      <c r="AG152" s="831"/>
      <c r="AH152" s="831"/>
      <c r="AI152" s="831"/>
      <c r="AJ152" s="831"/>
      <c r="AK152" s="831"/>
      <c r="AL152" s="831"/>
      <c r="AM152" s="831"/>
      <c r="AN152" s="831"/>
      <c r="AO152" s="831"/>
      <c r="AP152" s="831"/>
      <c r="AQ152" s="831"/>
      <c r="AR152" s="831"/>
      <c r="AS152" s="831"/>
      <c r="AT152" s="831"/>
      <c r="AU152" s="829"/>
    </row>
    <row r="153" spans="10:47" x14ac:dyDescent="0.2">
      <c r="M153" s="477"/>
      <c r="N153" s="477"/>
      <c r="O153" s="477"/>
      <c r="P153" s="831"/>
      <c r="Q153" s="831"/>
      <c r="R153" s="831"/>
      <c r="S153" s="831"/>
      <c r="T153" s="831"/>
      <c r="U153" s="831"/>
      <c r="W153" s="831"/>
      <c r="X153" s="831"/>
      <c r="Y153" s="831"/>
      <c r="Z153" s="831"/>
      <c r="AB153" s="831"/>
      <c r="AC153" s="831"/>
      <c r="AD153" s="831"/>
      <c r="AE153" s="831"/>
      <c r="AF153" s="831"/>
      <c r="AG153" s="831"/>
      <c r="AH153" s="831"/>
      <c r="AI153" s="831"/>
      <c r="AJ153" s="831"/>
      <c r="AK153" s="831"/>
      <c r="AL153" s="831"/>
      <c r="AM153" s="831"/>
      <c r="AN153" s="831"/>
      <c r="AO153" s="831"/>
      <c r="AP153" s="831"/>
      <c r="AQ153" s="831"/>
      <c r="AR153" s="831"/>
      <c r="AS153" s="831"/>
      <c r="AT153" s="831"/>
    </row>
    <row r="154" spans="10:47" x14ac:dyDescent="0.2">
      <c r="N154" s="838"/>
      <c r="V154" s="830"/>
      <c r="AA154" s="830"/>
    </row>
    <row r="155" spans="10:47" x14ac:dyDescent="0.2">
      <c r="O155" s="835"/>
      <c r="P155" s="830"/>
      <c r="Q155" s="830"/>
      <c r="R155" s="830"/>
      <c r="S155" s="830"/>
      <c r="T155" s="830"/>
      <c r="U155" s="830"/>
      <c r="V155" s="830"/>
      <c r="W155" s="830"/>
      <c r="X155" s="830"/>
      <c r="Y155" s="830"/>
      <c r="Z155" s="830"/>
      <c r="AA155" s="830"/>
      <c r="AB155" s="830"/>
      <c r="AC155" s="830"/>
      <c r="AD155" s="830"/>
      <c r="AE155" s="830"/>
      <c r="AF155" s="830"/>
      <c r="AG155" s="830"/>
      <c r="AH155" s="830"/>
      <c r="AI155" s="830"/>
      <c r="AJ155" s="830"/>
      <c r="AK155" s="830"/>
      <c r="AL155" s="830"/>
      <c r="AM155" s="830"/>
      <c r="AN155" s="830"/>
      <c r="AO155" s="830"/>
      <c r="AP155" s="830"/>
      <c r="AQ155" s="830"/>
      <c r="AR155" s="830"/>
      <c r="AS155" s="830"/>
      <c r="AT155" s="830"/>
    </row>
    <row r="156" spans="10:47" x14ac:dyDescent="0.2">
      <c r="O156" s="837"/>
      <c r="P156" s="830"/>
      <c r="Q156" s="830"/>
      <c r="R156" s="830"/>
      <c r="S156" s="830"/>
      <c r="T156" s="830"/>
      <c r="U156" s="830"/>
      <c r="V156" s="830"/>
      <c r="W156" s="830"/>
      <c r="X156" s="830"/>
      <c r="Y156" s="830"/>
      <c r="Z156" s="830"/>
      <c r="AA156" s="830"/>
      <c r="AB156" s="830"/>
      <c r="AC156" s="830"/>
      <c r="AD156" s="830"/>
      <c r="AE156" s="830"/>
      <c r="AF156" s="830"/>
      <c r="AG156" s="830"/>
      <c r="AH156" s="830"/>
      <c r="AI156" s="830"/>
      <c r="AJ156" s="830"/>
      <c r="AK156" s="830"/>
      <c r="AL156" s="830"/>
      <c r="AM156" s="830"/>
      <c r="AN156" s="830"/>
      <c r="AO156" s="830"/>
      <c r="AP156" s="830"/>
      <c r="AQ156" s="830"/>
      <c r="AR156" s="830"/>
      <c r="AS156" s="830"/>
      <c r="AT156" s="830"/>
    </row>
    <row r="157" spans="10:47" x14ac:dyDescent="0.2">
      <c r="O157" s="835"/>
      <c r="P157" s="830"/>
      <c r="Q157" s="830"/>
      <c r="R157" s="830"/>
      <c r="S157" s="830"/>
      <c r="T157" s="830"/>
      <c r="U157" s="830"/>
      <c r="V157" s="830"/>
      <c r="W157" s="830"/>
      <c r="X157" s="830"/>
      <c r="Y157" s="830"/>
      <c r="Z157" s="830"/>
      <c r="AA157" s="830"/>
      <c r="AB157" s="830"/>
      <c r="AC157" s="830"/>
      <c r="AD157" s="830"/>
      <c r="AE157" s="830"/>
      <c r="AF157" s="830"/>
      <c r="AG157" s="830"/>
      <c r="AH157" s="830"/>
      <c r="AI157" s="830"/>
      <c r="AJ157" s="830"/>
      <c r="AK157" s="830"/>
      <c r="AL157" s="830"/>
      <c r="AM157" s="830"/>
      <c r="AN157" s="830"/>
      <c r="AO157" s="830"/>
      <c r="AP157" s="830"/>
      <c r="AQ157" s="830"/>
      <c r="AR157" s="830"/>
      <c r="AS157" s="830"/>
      <c r="AT157" s="830"/>
    </row>
    <row r="158" spans="10:47" x14ac:dyDescent="0.2">
      <c r="O158" s="835"/>
      <c r="P158" s="830"/>
      <c r="Q158" s="830"/>
      <c r="R158" s="830"/>
      <c r="S158" s="830"/>
      <c r="T158" s="830"/>
      <c r="U158" s="830"/>
      <c r="V158" s="830"/>
      <c r="W158" s="830"/>
      <c r="X158" s="830"/>
      <c r="Y158" s="830"/>
      <c r="Z158" s="830"/>
      <c r="AA158" s="830"/>
      <c r="AB158" s="830"/>
      <c r="AC158" s="830"/>
      <c r="AD158" s="830"/>
      <c r="AE158" s="830"/>
      <c r="AF158" s="830"/>
      <c r="AG158" s="830"/>
      <c r="AH158" s="830"/>
      <c r="AI158" s="830"/>
      <c r="AJ158" s="830"/>
      <c r="AK158" s="830"/>
      <c r="AL158" s="830"/>
      <c r="AM158" s="830"/>
      <c r="AN158" s="830"/>
      <c r="AO158" s="830"/>
      <c r="AP158" s="830"/>
      <c r="AQ158" s="830"/>
      <c r="AR158" s="830"/>
      <c r="AS158" s="830"/>
      <c r="AT158" s="830"/>
      <c r="AU158" s="831"/>
    </row>
    <row r="159" spans="10:47" x14ac:dyDescent="0.2">
      <c r="N159" s="836"/>
      <c r="O159" s="835"/>
      <c r="P159" s="830"/>
      <c r="Q159" s="830"/>
      <c r="R159" s="830"/>
      <c r="S159" s="830"/>
      <c r="T159" s="830"/>
      <c r="U159" s="830"/>
      <c r="V159" s="831"/>
      <c r="W159" s="830"/>
      <c r="X159" s="830"/>
      <c r="Y159" s="830"/>
      <c r="Z159" s="830"/>
      <c r="AA159" s="831"/>
      <c r="AB159" s="830"/>
      <c r="AC159" s="830"/>
      <c r="AD159" s="830"/>
      <c r="AE159" s="830"/>
      <c r="AF159" s="830"/>
      <c r="AG159" s="830"/>
      <c r="AH159" s="830"/>
      <c r="AI159" s="830"/>
      <c r="AJ159" s="830"/>
      <c r="AK159" s="830"/>
      <c r="AL159" s="830"/>
      <c r="AM159" s="830"/>
      <c r="AN159" s="830"/>
      <c r="AO159" s="830"/>
      <c r="AP159" s="830"/>
      <c r="AQ159" s="830"/>
      <c r="AR159" s="830"/>
      <c r="AS159" s="830"/>
      <c r="AT159" s="830"/>
      <c r="AU159" s="831"/>
    </row>
    <row r="160" spans="10:47" x14ac:dyDescent="0.2">
      <c r="M160" s="477"/>
      <c r="N160" s="477"/>
      <c r="O160" s="834"/>
      <c r="P160" s="831"/>
      <c r="Q160" s="831"/>
      <c r="R160" s="831"/>
      <c r="S160" s="831"/>
      <c r="T160" s="831"/>
      <c r="U160" s="831"/>
      <c r="V160" s="831"/>
      <c r="W160" s="831"/>
      <c r="X160" s="831"/>
      <c r="Y160" s="831"/>
      <c r="Z160" s="831"/>
      <c r="AA160" s="831"/>
      <c r="AB160" s="831"/>
      <c r="AC160" s="831"/>
      <c r="AD160" s="831"/>
      <c r="AE160" s="831"/>
      <c r="AF160" s="831"/>
      <c r="AG160" s="831"/>
      <c r="AH160" s="831"/>
      <c r="AI160" s="831"/>
      <c r="AJ160" s="831"/>
      <c r="AK160" s="831"/>
      <c r="AL160" s="831"/>
      <c r="AM160" s="831"/>
      <c r="AN160" s="831"/>
      <c r="AO160" s="831"/>
      <c r="AP160" s="831"/>
      <c r="AQ160" s="831"/>
      <c r="AR160" s="831"/>
      <c r="AS160" s="831"/>
      <c r="AT160" s="831"/>
      <c r="AU160" s="830"/>
    </row>
    <row r="161" spans="13:47" x14ac:dyDescent="0.2">
      <c r="M161" s="477"/>
      <c r="N161" s="477"/>
      <c r="O161" s="833"/>
      <c r="P161" s="831"/>
      <c r="Q161" s="831"/>
      <c r="R161" s="831"/>
      <c r="S161" s="831"/>
      <c r="T161" s="831"/>
      <c r="U161" s="831"/>
      <c r="W161" s="831"/>
      <c r="X161" s="831"/>
      <c r="Y161" s="831"/>
      <c r="Z161" s="831"/>
      <c r="AB161" s="831"/>
      <c r="AC161" s="831"/>
      <c r="AD161" s="831"/>
      <c r="AE161" s="831"/>
      <c r="AF161" s="831"/>
      <c r="AG161" s="831"/>
      <c r="AH161" s="831"/>
      <c r="AI161" s="831"/>
      <c r="AJ161" s="831"/>
      <c r="AK161" s="831"/>
      <c r="AL161" s="831"/>
      <c r="AM161" s="831"/>
      <c r="AN161" s="831"/>
      <c r="AO161" s="831"/>
      <c r="AP161" s="831"/>
      <c r="AQ161" s="831"/>
      <c r="AR161" s="831"/>
      <c r="AS161" s="831"/>
      <c r="AT161" s="831"/>
      <c r="AU161" s="830"/>
    </row>
    <row r="162" spans="13:47" x14ac:dyDescent="0.2">
      <c r="V162" s="831"/>
      <c r="AA162" s="831"/>
      <c r="AU162" s="830"/>
    </row>
    <row r="163" spans="13:47" x14ac:dyDescent="0.2">
      <c r="O163" s="477"/>
      <c r="P163" s="831"/>
      <c r="Q163" s="831"/>
      <c r="R163" s="831"/>
      <c r="S163" s="831"/>
      <c r="T163" s="831"/>
      <c r="U163" s="831"/>
      <c r="V163" s="831"/>
      <c r="W163" s="831"/>
      <c r="X163" s="831"/>
      <c r="Y163" s="831"/>
      <c r="Z163" s="831"/>
      <c r="AA163" s="831"/>
      <c r="AB163" s="831"/>
      <c r="AC163" s="831"/>
      <c r="AD163" s="831"/>
      <c r="AE163" s="831"/>
      <c r="AF163" s="831"/>
      <c r="AG163" s="831"/>
      <c r="AH163" s="831"/>
      <c r="AI163" s="831"/>
      <c r="AJ163" s="831"/>
      <c r="AK163" s="831"/>
      <c r="AL163" s="831"/>
      <c r="AM163" s="831"/>
      <c r="AN163" s="831"/>
      <c r="AO163" s="831"/>
      <c r="AP163" s="831"/>
      <c r="AQ163" s="831"/>
      <c r="AR163" s="831"/>
      <c r="AS163" s="831"/>
      <c r="AT163" s="831"/>
      <c r="AU163" s="830"/>
    </row>
    <row r="164" spans="13:47" x14ac:dyDescent="0.2">
      <c r="M164" s="477"/>
      <c r="N164" s="477"/>
      <c r="O164" s="832"/>
      <c r="P164" s="831"/>
      <c r="Q164" s="831"/>
      <c r="R164" s="831"/>
      <c r="S164" s="831"/>
      <c r="T164" s="831"/>
      <c r="U164" s="831"/>
      <c r="W164" s="831"/>
      <c r="X164" s="831"/>
      <c r="Y164" s="831"/>
      <c r="Z164" s="831"/>
      <c r="AB164" s="831"/>
      <c r="AC164" s="831"/>
      <c r="AD164" s="831"/>
      <c r="AE164" s="831"/>
      <c r="AF164" s="831"/>
      <c r="AG164" s="831"/>
      <c r="AH164" s="831"/>
      <c r="AI164" s="831"/>
      <c r="AJ164" s="831"/>
      <c r="AK164" s="831"/>
      <c r="AL164" s="831"/>
      <c r="AM164" s="831"/>
      <c r="AN164" s="831"/>
      <c r="AO164" s="831"/>
      <c r="AP164" s="831"/>
      <c r="AQ164" s="831"/>
      <c r="AR164" s="831"/>
      <c r="AS164" s="831"/>
      <c r="AT164" s="831"/>
      <c r="AU164" s="831"/>
    </row>
    <row r="165" spans="13:47" x14ac:dyDescent="0.2">
      <c r="AU165" s="831"/>
    </row>
    <row r="166" spans="13:47" x14ac:dyDescent="0.2">
      <c r="AU166" s="831"/>
    </row>
    <row r="167" spans="13:47" x14ac:dyDescent="0.2">
      <c r="AU167" s="830"/>
    </row>
    <row r="168" spans="13:47" x14ac:dyDescent="0.2">
      <c r="AU168" s="831"/>
    </row>
    <row r="169" spans="13:47" x14ac:dyDescent="0.2">
      <c r="AU169" s="831"/>
    </row>
    <row r="170" spans="13:47" x14ac:dyDescent="0.2">
      <c r="V170" s="831"/>
      <c r="AA170" s="831"/>
      <c r="AU170" s="830"/>
    </row>
    <row r="171" spans="13:47" x14ac:dyDescent="0.2">
      <c r="M171" s="477"/>
      <c r="N171" s="477"/>
      <c r="O171" s="841"/>
      <c r="P171" s="831"/>
      <c r="Q171" s="831"/>
      <c r="R171" s="831"/>
      <c r="S171" s="831"/>
      <c r="T171" s="831"/>
      <c r="U171" s="831"/>
      <c r="V171" s="839"/>
      <c r="W171" s="831"/>
      <c r="X171" s="831"/>
      <c r="Y171" s="831"/>
      <c r="Z171" s="831"/>
      <c r="AA171" s="839"/>
      <c r="AB171" s="831"/>
      <c r="AC171" s="831"/>
      <c r="AD171" s="831"/>
      <c r="AE171" s="831"/>
      <c r="AF171" s="831"/>
      <c r="AG171" s="831"/>
      <c r="AH171" s="831"/>
      <c r="AI171" s="831"/>
      <c r="AJ171" s="831"/>
      <c r="AK171" s="831"/>
      <c r="AL171" s="831"/>
      <c r="AM171" s="831"/>
      <c r="AN171" s="831"/>
      <c r="AO171" s="831"/>
      <c r="AP171" s="831"/>
      <c r="AQ171" s="831"/>
      <c r="AR171" s="831"/>
      <c r="AS171" s="831"/>
      <c r="AT171" s="831"/>
      <c r="AU171" s="831"/>
    </row>
    <row r="172" spans="13:47" x14ac:dyDescent="0.2">
      <c r="M172" s="830"/>
      <c r="N172" s="830"/>
      <c r="O172" s="466"/>
      <c r="P172" s="839"/>
      <c r="Q172" s="839"/>
      <c r="R172" s="839"/>
      <c r="S172" s="839"/>
      <c r="T172" s="839"/>
      <c r="U172" s="839"/>
      <c r="V172" s="839"/>
      <c r="W172" s="839"/>
      <c r="X172" s="839"/>
      <c r="Y172" s="839"/>
      <c r="Z172" s="839"/>
      <c r="AA172" s="839"/>
      <c r="AB172" s="839"/>
      <c r="AC172" s="839"/>
      <c r="AD172" s="839"/>
      <c r="AE172" s="839"/>
      <c r="AF172" s="839"/>
      <c r="AG172" s="839"/>
      <c r="AH172" s="839"/>
      <c r="AI172" s="839"/>
      <c r="AJ172" s="839"/>
      <c r="AK172" s="839"/>
      <c r="AL172" s="839"/>
      <c r="AM172" s="839"/>
      <c r="AN172" s="839"/>
      <c r="AO172" s="839"/>
      <c r="AP172" s="839"/>
      <c r="AQ172" s="839"/>
      <c r="AR172" s="839"/>
      <c r="AS172" s="839"/>
      <c r="AT172" s="839"/>
      <c r="AU172" s="830"/>
    </row>
    <row r="173" spans="13:47" x14ac:dyDescent="0.2">
      <c r="M173" s="830"/>
      <c r="N173" s="830"/>
      <c r="O173" s="466"/>
      <c r="P173" s="839"/>
      <c r="Q173" s="839"/>
      <c r="R173" s="839"/>
      <c r="S173" s="839"/>
      <c r="T173" s="839"/>
      <c r="U173" s="839"/>
      <c r="V173" s="839"/>
      <c r="W173" s="839"/>
      <c r="X173" s="839"/>
      <c r="Y173" s="839"/>
      <c r="Z173" s="839"/>
      <c r="AA173" s="839"/>
      <c r="AB173" s="839"/>
      <c r="AC173" s="839"/>
      <c r="AD173" s="839"/>
      <c r="AE173" s="839"/>
      <c r="AF173" s="839"/>
      <c r="AG173" s="839"/>
      <c r="AH173" s="839"/>
      <c r="AI173" s="839"/>
      <c r="AJ173" s="839"/>
      <c r="AK173" s="839"/>
      <c r="AL173" s="839"/>
      <c r="AM173" s="839"/>
      <c r="AN173" s="839"/>
      <c r="AO173" s="839"/>
      <c r="AP173" s="839"/>
      <c r="AQ173" s="839"/>
      <c r="AR173" s="839"/>
      <c r="AS173" s="839"/>
      <c r="AT173" s="839"/>
      <c r="AU173" s="830"/>
    </row>
    <row r="174" spans="13:47" x14ac:dyDescent="0.2">
      <c r="M174" s="840"/>
      <c r="N174" s="840"/>
      <c r="O174" s="466"/>
      <c r="P174" s="839"/>
      <c r="Q174" s="839"/>
      <c r="R174" s="839"/>
      <c r="S174" s="839"/>
      <c r="T174" s="839"/>
      <c r="U174" s="839"/>
      <c r="V174" s="839"/>
      <c r="W174" s="839"/>
      <c r="X174" s="839"/>
      <c r="Y174" s="839"/>
      <c r="Z174" s="839"/>
      <c r="AA174" s="839"/>
      <c r="AB174" s="839"/>
      <c r="AC174" s="839"/>
      <c r="AD174" s="839"/>
      <c r="AE174" s="839"/>
      <c r="AF174" s="839"/>
      <c r="AG174" s="839"/>
      <c r="AH174" s="839"/>
      <c r="AI174" s="839"/>
      <c r="AJ174" s="839"/>
      <c r="AK174" s="839"/>
      <c r="AL174" s="839"/>
      <c r="AM174" s="839"/>
      <c r="AN174" s="839"/>
      <c r="AO174" s="839"/>
      <c r="AP174" s="839"/>
      <c r="AQ174" s="839"/>
      <c r="AR174" s="839"/>
      <c r="AS174" s="839"/>
      <c r="AT174" s="839"/>
      <c r="AU174" s="831"/>
    </row>
    <row r="175" spans="13:47" x14ac:dyDescent="0.2">
      <c r="M175" s="840"/>
      <c r="N175" s="840"/>
      <c r="O175" s="466"/>
      <c r="P175" s="839"/>
      <c r="Q175" s="839"/>
      <c r="R175" s="839"/>
      <c r="S175" s="839"/>
      <c r="T175" s="839"/>
      <c r="U175" s="839"/>
      <c r="V175" s="831"/>
      <c r="W175" s="839"/>
      <c r="X175" s="839"/>
      <c r="Y175" s="839"/>
      <c r="Z175" s="839"/>
      <c r="AA175" s="831"/>
      <c r="AB175" s="839"/>
      <c r="AC175" s="839"/>
      <c r="AD175" s="839"/>
      <c r="AE175" s="839"/>
      <c r="AF175" s="839"/>
      <c r="AG175" s="839"/>
      <c r="AH175" s="839"/>
      <c r="AI175" s="839"/>
      <c r="AJ175" s="839"/>
      <c r="AK175" s="839"/>
      <c r="AL175" s="839"/>
      <c r="AM175" s="839"/>
      <c r="AN175" s="839"/>
      <c r="AO175" s="839"/>
      <c r="AP175" s="839"/>
      <c r="AQ175" s="839"/>
      <c r="AR175" s="839"/>
      <c r="AS175" s="839"/>
      <c r="AT175" s="839"/>
      <c r="AU175" s="457"/>
    </row>
    <row r="176" spans="13:47" x14ac:dyDescent="0.2">
      <c r="M176" s="477"/>
      <c r="N176" s="477"/>
      <c r="O176" s="466"/>
      <c r="P176" s="831"/>
      <c r="Q176" s="831"/>
      <c r="R176" s="831"/>
      <c r="S176" s="831"/>
      <c r="T176" s="831"/>
      <c r="U176" s="831"/>
      <c r="V176" s="831"/>
      <c r="W176" s="831"/>
      <c r="X176" s="831"/>
      <c r="Y176" s="831"/>
      <c r="Z176" s="831"/>
      <c r="AA176" s="831"/>
      <c r="AB176" s="831"/>
      <c r="AC176" s="831"/>
      <c r="AD176" s="831"/>
      <c r="AE176" s="831"/>
      <c r="AF176" s="831"/>
      <c r="AG176" s="831"/>
      <c r="AH176" s="831"/>
      <c r="AI176" s="831"/>
      <c r="AJ176" s="831"/>
      <c r="AK176" s="831"/>
      <c r="AL176" s="831"/>
      <c r="AM176" s="831"/>
      <c r="AN176" s="831"/>
      <c r="AO176" s="831"/>
      <c r="AP176" s="831"/>
      <c r="AQ176" s="831"/>
      <c r="AR176" s="831"/>
      <c r="AS176" s="831"/>
      <c r="AT176" s="831"/>
      <c r="AU176" s="830"/>
    </row>
    <row r="177" spans="13:47" x14ac:dyDescent="0.2">
      <c r="M177" s="477"/>
      <c r="N177" s="477"/>
      <c r="O177" s="477"/>
      <c r="P177" s="831"/>
      <c r="Q177" s="831"/>
      <c r="R177" s="831"/>
      <c r="S177" s="831"/>
      <c r="T177" s="831"/>
      <c r="U177" s="831"/>
      <c r="V177" s="831"/>
      <c r="W177" s="831"/>
      <c r="X177" s="831"/>
      <c r="Y177" s="831"/>
      <c r="Z177" s="831"/>
      <c r="AA177" s="831"/>
      <c r="AB177" s="831"/>
      <c r="AC177" s="831"/>
      <c r="AD177" s="831"/>
      <c r="AE177" s="831"/>
      <c r="AF177" s="831"/>
      <c r="AG177" s="831"/>
      <c r="AH177" s="831"/>
      <c r="AI177" s="831"/>
      <c r="AJ177" s="831"/>
      <c r="AK177" s="831"/>
      <c r="AL177" s="831"/>
      <c r="AM177" s="831"/>
      <c r="AN177" s="831"/>
      <c r="AO177" s="831"/>
      <c r="AP177" s="831"/>
      <c r="AQ177" s="831"/>
      <c r="AR177" s="831"/>
      <c r="AS177" s="831"/>
      <c r="AT177" s="831"/>
      <c r="AU177" s="829"/>
    </row>
    <row r="178" spans="13:47" x14ac:dyDescent="0.2">
      <c r="M178" s="477"/>
      <c r="N178" s="477"/>
      <c r="O178" s="477"/>
      <c r="P178" s="831"/>
      <c r="Q178" s="831"/>
      <c r="R178" s="831"/>
      <c r="S178" s="831"/>
      <c r="T178" s="831"/>
      <c r="U178" s="831"/>
      <c r="W178" s="831"/>
      <c r="X178" s="831"/>
      <c r="Y178" s="831"/>
      <c r="Z178" s="831"/>
      <c r="AB178" s="831"/>
      <c r="AC178" s="831"/>
      <c r="AD178" s="831"/>
      <c r="AE178" s="831"/>
      <c r="AF178" s="831"/>
      <c r="AG178" s="831"/>
      <c r="AH178" s="831"/>
      <c r="AI178" s="831"/>
      <c r="AJ178" s="831"/>
      <c r="AK178" s="831"/>
      <c r="AL178" s="831"/>
      <c r="AM178" s="831"/>
      <c r="AN178" s="831"/>
      <c r="AO178" s="831"/>
      <c r="AP178" s="831"/>
      <c r="AQ178" s="831"/>
      <c r="AR178" s="831"/>
      <c r="AS178" s="831"/>
      <c r="AT178" s="831"/>
    </row>
    <row r="179" spans="13:47" x14ac:dyDescent="0.2">
      <c r="N179" s="838"/>
      <c r="V179" s="830"/>
      <c r="AA179" s="830"/>
    </row>
    <row r="180" spans="13:47" x14ac:dyDescent="0.2">
      <c r="O180" s="835"/>
      <c r="P180" s="830"/>
      <c r="Q180" s="830"/>
      <c r="R180" s="830"/>
      <c r="S180" s="830"/>
      <c r="T180" s="830"/>
      <c r="U180" s="830"/>
      <c r="V180" s="830"/>
      <c r="W180" s="830"/>
      <c r="X180" s="830"/>
      <c r="Y180" s="830"/>
      <c r="Z180" s="830"/>
      <c r="AA180" s="830"/>
      <c r="AB180" s="830"/>
      <c r="AC180" s="830"/>
      <c r="AD180" s="830"/>
      <c r="AE180" s="830"/>
      <c r="AF180" s="830"/>
      <c r="AG180" s="830"/>
      <c r="AH180" s="830"/>
      <c r="AI180" s="830"/>
      <c r="AJ180" s="830"/>
      <c r="AK180" s="830"/>
      <c r="AL180" s="830"/>
      <c r="AM180" s="830"/>
      <c r="AN180" s="830"/>
      <c r="AO180" s="830"/>
      <c r="AP180" s="830"/>
      <c r="AQ180" s="830"/>
      <c r="AR180" s="830"/>
      <c r="AS180" s="830"/>
      <c r="AT180" s="830"/>
    </row>
    <row r="181" spans="13:47" x14ac:dyDescent="0.2">
      <c r="O181" s="837"/>
      <c r="P181" s="830"/>
      <c r="Q181" s="830"/>
      <c r="R181" s="830"/>
      <c r="S181" s="830"/>
      <c r="T181" s="830"/>
      <c r="U181" s="830"/>
      <c r="V181" s="830"/>
      <c r="W181" s="830"/>
      <c r="X181" s="830"/>
      <c r="Y181" s="830"/>
      <c r="Z181" s="830"/>
      <c r="AA181" s="830"/>
      <c r="AB181" s="830"/>
      <c r="AC181" s="830"/>
      <c r="AD181" s="830"/>
      <c r="AE181" s="830"/>
      <c r="AF181" s="830"/>
      <c r="AG181" s="830"/>
      <c r="AH181" s="830"/>
      <c r="AI181" s="830"/>
      <c r="AJ181" s="830"/>
      <c r="AK181" s="830"/>
      <c r="AL181" s="830"/>
      <c r="AM181" s="830"/>
      <c r="AN181" s="830"/>
      <c r="AO181" s="830"/>
      <c r="AP181" s="830"/>
      <c r="AQ181" s="830"/>
      <c r="AR181" s="830"/>
      <c r="AS181" s="830"/>
      <c r="AT181" s="830"/>
    </row>
    <row r="182" spans="13:47" x14ac:dyDescent="0.2">
      <c r="O182" s="835"/>
      <c r="P182" s="830"/>
      <c r="Q182" s="830"/>
      <c r="R182" s="830"/>
      <c r="S182" s="830"/>
      <c r="T182" s="830"/>
      <c r="U182" s="830"/>
      <c r="V182" s="830"/>
      <c r="W182" s="830"/>
      <c r="X182" s="830"/>
      <c r="Y182" s="830"/>
      <c r="Z182" s="830"/>
      <c r="AA182" s="830"/>
      <c r="AB182" s="830"/>
      <c r="AC182" s="830"/>
      <c r="AD182" s="830"/>
      <c r="AE182" s="830"/>
      <c r="AF182" s="830"/>
      <c r="AG182" s="830"/>
      <c r="AH182" s="830"/>
      <c r="AI182" s="830"/>
      <c r="AJ182" s="830"/>
      <c r="AK182" s="830"/>
      <c r="AL182" s="830"/>
      <c r="AM182" s="830"/>
      <c r="AN182" s="830"/>
      <c r="AO182" s="830"/>
      <c r="AP182" s="830"/>
      <c r="AQ182" s="830"/>
      <c r="AR182" s="830"/>
      <c r="AS182" s="830"/>
      <c r="AT182" s="830"/>
    </row>
    <row r="183" spans="13:47" x14ac:dyDescent="0.2">
      <c r="O183" s="835"/>
      <c r="P183" s="830"/>
      <c r="Q183" s="830"/>
      <c r="R183" s="830"/>
      <c r="S183" s="830"/>
      <c r="T183" s="830"/>
      <c r="U183" s="830"/>
      <c r="V183" s="830"/>
      <c r="W183" s="830"/>
      <c r="X183" s="830"/>
      <c r="Y183" s="830"/>
      <c r="Z183" s="830"/>
      <c r="AA183" s="830"/>
      <c r="AB183" s="830"/>
      <c r="AC183" s="830"/>
      <c r="AD183" s="830"/>
      <c r="AE183" s="830"/>
      <c r="AF183" s="830"/>
      <c r="AG183" s="830"/>
      <c r="AH183" s="830"/>
      <c r="AI183" s="830"/>
      <c r="AJ183" s="830"/>
      <c r="AK183" s="830"/>
      <c r="AL183" s="830"/>
      <c r="AM183" s="830"/>
      <c r="AN183" s="830"/>
      <c r="AO183" s="830"/>
      <c r="AP183" s="830"/>
      <c r="AQ183" s="830"/>
      <c r="AR183" s="830"/>
      <c r="AS183" s="830"/>
      <c r="AT183" s="830"/>
    </row>
    <row r="184" spans="13:47" x14ac:dyDescent="0.2">
      <c r="N184" s="836"/>
      <c r="O184" s="835"/>
      <c r="P184" s="830"/>
      <c r="Q184" s="830"/>
      <c r="R184" s="830"/>
      <c r="S184" s="830"/>
      <c r="T184" s="830"/>
      <c r="U184" s="830"/>
      <c r="V184" s="831"/>
      <c r="W184" s="830"/>
      <c r="X184" s="830"/>
      <c r="Y184" s="830"/>
      <c r="Z184" s="830"/>
      <c r="AA184" s="831"/>
      <c r="AB184" s="830"/>
      <c r="AC184" s="830"/>
      <c r="AD184" s="830"/>
      <c r="AE184" s="830"/>
      <c r="AF184" s="830"/>
      <c r="AG184" s="830"/>
      <c r="AH184" s="830"/>
      <c r="AI184" s="830"/>
      <c r="AJ184" s="830"/>
      <c r="AK184" s="830"/>
      <c r="AL184" s="830"/>
      <c r="AM184" s="830"/>
      <c r="AN184" s="830"/>
      <c r="AO184" s="830"/>
      <c r="AP184" s="830"/>
      <c r="AQ184" s="830"/>
      <c r="AR184" s="830"/>
      <c r="AS184" s="830"/>
      <c r="AT184" s="830"/>
      <c r="AU184" s="831"/>
    </row>
    <row r="185" spans="13:47" x14ac:dyDescent="0.2">
      <c r="M185" s="477"/>
      <c r="N185" s="477"/>
      <c r="O185" s="834"/>
      <c r="P185" s="831"/>
      <c r="Q185" s="831"/>
      <c r="R185" s="831"/>
      <c r="S185" s="831"/>
      <c r="T185" s="831"/>
      <c r="U185" s="831"/>
      <c r="V185" s="831"/>
      <c r="W185" s="831"/>
      <c r="X185" s="831"/>
      <c r="Y185" s="831"/>
      <c r="Z185" s="831"/>
      <c r="AA185" s="831"/>
      <c r="AB185" s="831"/>
      <c r="AC185" s="831"/>
      <c r="AD185" s="831"/>
      <c r="AE185" s="831"/>
      <c r="AF185" s="831"/>
      <c r="AG185" s="831"/>
      <c r="AH185" s="831"/>
      <c r="AI185" s="831"/>
      <c r="AJ185" s="831"/>
      <c r="AK185" s="831"/>
      <c r="AL185" s="831"/>
      <c r="AM185" s="831"/>
      <c r="AN185" s="831"/>
      <c r="AO185" s="831"/>
      <c r="AP185" s="831"/>
      <c r="AQ185" s="831"/>
      <c r="AR185" s="831"/>
      <c r="AS185" s="831"/>
      <c r="AT185" s="831"/>
      <c r="AU185" s="830"/>
    </row>
    <row r="186" spans="13:47" x14ac:dyDescent="0.2">
      <c r="M186" s="477"/>
      <c r="N186" s="477"/>
      <c r="O186" s="833"/>
      <c r="P186" s="831"/>
      <c r="Q186" s="831"/>
      <c r="R186" s="831"/>
      <c r="S186" s="831"/>
      <c r="T186" s="831"/>
      <c r="U186" s="831"/>
      <c r="W186" s="831"/>
      <c r="X186" s="831"/>
      <c r="Y186" s="831"/>
      <c r="Z186" s="831"/>
      <c r="AB186" s="831"/>
      <c r="AC186" s="831"/>
      <c r="AD186" s="831"/>
      <c r="AE186" s="831"/>
      <c r="AF186" s="831"/>
      <c r="AG186" s="831"/>
      <c r="AH186" s="831"/>
      <c r="AI186" s="831"/>
      <c r="AJ186" s="831"/>
      <c r="AK186" s="831"/>
      <c r="AL186" s="831"/>
      <c r="AM186" s="831"/>
      <c r="AN186" s="831"/>
      <c r="AO186" s="831"/>
      <c r="AP186" s="831"/>
      <c r="AQ186" s="831"/>
      <c r="AR186" s="831"/>
      <c r="AS186" s="831"/>
      <c r="AT186" s="831"/>
      <c r="AU186" s="830"/>
    </row>
    <row r="187" spans="13:47" x14ac:dyDescent="0.2">
      <c r="V187" s="831"/>
      <c r="AA187" s="831"/>
      <c r="AU187" s="830"/>
    </row>
    <row r="188" spans="13:47" x14ac:dyDescent="0.2">
      <c r="O188" s="477"/>
      <c r="P188" s="831"/>
      <c r="Q188" s="831"/>
      <c r="R188" s="831"/>
      <c r="S188" s="831"/>
      <c r="T188" s="831"/>
      <c r="U188" s="831"/>
      <c r="V188" s="831"/>
      <c r="W188" s="831"/>
      <c r="X188" s="831"/>
      <c r="Y188" s="831"/>
      <c r="Z188" s="831"/>
      <c r="AA188" s="831"/>
      <c r="AB188" s="831"/>
      <c r="AC188" s="831"/>
      <c r="AD188" s="831"/>
      <c r="AE188" s="831"/>
      <c r="AF188" s="831"/>
      <c r="AG188" s="831"/>
      <c r="AH188" s="831"/>
      <c r="AI188" s="831"/>
      <c r="AJ188" s="831"/>
      <c r="AK188" s="831"/>
      <c r="AL188" s="831"/>
      <c r="AM188" s="831"/>
      <c r="AN188" s="831"/>
      <c r="AO188" s="831"/>
      <c r="AP188" s="831"/>
      <c r="AQ188" s="831"/>
      <c r="AR188" s="831"/>
      <c r="AS188" s="831"/>
      <c r="AT188" s="831"/>
      <c r="AU188" s="830"/>
    </row>
    <row r="189" spans="13:47" x14ac:dyDescent="0.2">
      <c r="M189" s="477"/>
      <c r="N189" s="477"/>
      <c r="O189" s="832"/>
      <c r="P189" s="831"/>
      <c r="Q189" s="831"/>
      <c r="R189" s="831"/>
      <c r="S189" s="831"/>
      <c r="T189" s="831"/>
      <c r="U189" s="831"/>
      <c r="W189" s="831"/>
      <c r="X189" s="831"/>
      <c r="Y189" s="831"/>
      <c r="Z189" s="831"/>
      <c r="AB189" s="831"/>
      <c r="AC189" s="831"/>
      <c r="AD189" s="831"/>
      <c r="AE189" s="831"/>
      <c r="AF189" s="831"/>
      <c r="AG189" s="831"/>
      <c r="AH189" s="831"/>
      <c r="AI189" s="831"/>
      <c r="AJ189" s="831"/>
      <c r="AK189" s="831"/>
      <c r="AL189" s="831"/>
      <c r="AM189" s="831"/>
      <c r="AN189" s="831"/>
      <c r="AO189" s="831"/>
      <c r="AP189" s="831"/>
      <c r="AQ189" s="831"/>
      <c r="AR189" s="831"/>
      <c r="AS189" s="831"/>
      <c r="AT189" s="831"/>
      <c r="AU189" s="831"/>
    </row>
    <row r="190" spans="13:47" x14ac:dyDescent="0.2">
      <c r="AU190" s="831"/>
    </row>
    <row r="191" spans="13:47" x14ac:dyDescent="0.2">
      <c r="AU191" s="831"/>
    </row>
    <row r="192" spans="13:47" x14ac:dyDescent="0.2">
      <c r="AU192" s="830"/>
    </row>
    <row r="193" spans="47:47" x14ac:dyDescent="0.2">
      <c r="AU193" s="831"/>
    </row>
    <row r="194" spans="47:47" x14ac:dyDescent="0.2">
      <c r="AU194" s="831"/>
    </row>
    <row r="195" spans="47:47" x14ac:dyDescent="0.2">
      <c r="AU195" s="830"/>
    </row>
    <row r="196" spans="47:47" x14ac:dyDescent="0.2">
      <c r="AU196" s="831"/>
    </row>
    <row r="197" spans="47:47" x14ac:dyDescent="0.2">
      <c r="AU197" s="830"/>
    </row>
    <row r="198" spans="47:47" x14ac:dyDescent="0.2">
      <c r="AU198" s="830"/>
    </row>
    <row r="199" spans="47:47" x14ac:dyDescent="0.2">
      <c r="AU199" s="831"/>
    </row>
    <row r="200" spans="47:47" x14ac:dyDescent="0.2">
      <c r="AU200" s="457"/>
    </row>
    <row r="201" spans="47:47" x14ac:dyDescent="0.2">
      <c r="AU201" s="830"/>
    </row>
    <row r="202" spans="47:47" x14ac:dyDescent="0.2">
      <c r="AU202" s="829"/>
    </row>
  </sheetData>
  <mergeCells count="9">
    <mergeCell ref="B8:E10"/>
    <mergeCell ref="AL5:AO5"/>
    <mergeCell ref="AQ5:AT5"/>
    <mergeCell ref="H5:K5"/>
    <mergeCell ref="M5:P5"/>
    <mergeCell ref="R5:U5"/>
    <mergeCell ref="W5:Z5"/>
    <mergeCell ref="AB5:AE5"/>
    <mergeCell ref="AG5:AJ5"/>
  </mergeCells>
  <pageMargins left="0.25" right="0.25" top="0.75" bottom="0.75" header="0.3" footer="0.3"/>
  <pageSetup scale="47"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4F38F-E7EA-432E-8C30-D494959BA0AE}">
  <sheetPr>
    <pageSetUpPr fitToPage="1"/>
  </sheetPr>
  <dimension ref="B2:N28"/>
  <sheetViews>
    <sheetView zoomScaleNormal="100" workbookViewId="0">
      <selection activeCell="I50" sqref="I50"/>
    </sheetView>
  </sheetViews>
  <sheetFormatPr defaultRowHeight="15" x14ac:dyDescent="0.25"/>
  <cols>
    <col min="1" max="4" width="9.140625" style="254"/>
    <col min="5" max="5" width="8.42578125" style="254" bestFit="1" customWidth="1"/>
    <col min="6" max="6" width="10.85546875" style="254" customWidth="1"/>
    <col min="7" max="7" width="39.42578125" style="254" customWidth="1"/>
    <col min="8" max="8" width="8.28515625" style="254" bestFit="1" customWidth="1"/>
    <col min="9" max="9" width="11.5703125" style="254" bestFit="1" customWidth="1"/>
    <col min="10" max="10" width="7.85546875" style="254" bestFit="1" customWidth="1"/>
    <col min="11" max="11" width="13.140625" style="254" customWidth="1"/>
    <col min="12" max="237" width="9.140625" style="254"/>
    <col min="238" max="238" width="27.85546875" style="254" customWidth="1"/>
    <col min="239" max="239" width="12.28515625" style="254" customWidth="1"/>
    <col min="240" max="241" width="9.140625" style="254"/>
    <col min="242" max="242" width="14" style="254" customWidth="1"/>
    <col min="243" max="493" width="9.140625" style="254"/>
    <col min="494" max="494" width="27.85546875" style="254" customWidth="1"/>
    <col min="495" max="495" width="12.28515625" style="254" customWidth="1"/>
    <col min="496" max="497" width="9.140625" style="254"/>
    <col min="498" max="498" width="14" style="254" customWidth="1"/>
    <col min="499" max="749" width="9.140625" style="254"/>
    <col min="750" max="750" width="27.85546875" style="254" customWidth="1"/>
    <col min="751" max="751" width="12.28515625" style="254" customWidth="1"/>
    <col min="752" max="753" width="9.140625" style="254"/>
    <col min="754" max="754" width="14" style="254" customWidth="1"/>
    <col min="755" max="1005" width="9.140625" style="254"/>
    <col min="1006" max="1006" width="27.85546875" style="254" customWidth="1"/>
    <col min="1007" max="1007" width="12.28515625" style="254" customWidth="1"/>
    <col min="1008" max="1009" width="9.140625" style="254"/>
    <col min="1010" max="1010" width="14" style="254" customWidth="1"/>
    <col min="1011" max="1261" width="9.140625" style="254"/>
    <col min="1262" max="1262" width="27.85546875" style="254" customWidth="1"/>
    <col min="1263" max="1263" width="12.28515625" style="254" customWidth="1"/>
    <col min="1264" max="1265" width="9.140625" style="254"/>
    <col min="1266" max="1266" width="14" style="254" customWidth="1"/>
    <col min="1267" max="1517" width="9.140625" style="254"/>
    <col min="1518" max="1518" width="27.85546875" style="254" customWidth="1"/>
    <col min="1519" max="1519" width="12.28515625" style="254" customWidth="1"/>
    <col min="1520" max="1521" width="9.140625" style="254"/>
    <col min="1522" max="1522" width="14" style="254" customWidth="1"/>
    <col min="1523" max="1773" width="9.140625" style="254"/>
    <col min="1774" max="1774" width="27.85546875" style="254" customWidth="1"/>
    <col min="1775" max="1775" width="12.28515625" style="254" customWidth="1"/>
    <col min="1776" max="1777" width="9.140625" style="254"/>
    <col min="1778" max="1778" width="14" style="254" customWidth="1"/>
    <col min="1779" max="2029" width="9.140625" style="254"/>
    <col min="2030" max="2030" width="27.85546875" style="254" customWidth="1"/>
    <col min="2031" max="2031" width="12.28515625" style="254" customWidth="1"/>
    <col min="2032" max="2033" width="9.140625" style="254"/>
    <col min="2034" max="2034" width="14" style="254" customWidth="1"/>
    <col min="2035" max="2285" width="9.140625" style="254"/>
    <col min="2286" max="2286" width="27.85546875" style="254" customWidth="1"/>
    <col min="2287" max="2287" width="12.28515625" style="254" customWidth="1"/>
    <col min="2288" max="2289" width="9.140625" style="254"/>
    <col min="2290" max="2290" width="14" style="254" customWidth="1"/>
    <col min="2291" max="2541" width="9.140625" style="254"/>
    <col min="2542" max="2542" width="27.85546875" style="254" customWidth="1"/>
    <col min="2543" max="2543" width="12.28515625" style="254" customWidth="1"/>
    <col min="2544" max="2545" width="9.140625" style="254"/>
    <col min="2546" max="2546" width="14" style="254" customWidth="1"/>
    <col min="2547" max="2797" width="9.140625" style="254"/>
    <col min="2798" max="2798" width="27.85546875" style="254" customWidth="1"/>
    <col min="2799" max="2799" width="12.28515625" style="254" customWidth="1"/>
    <col min="2800" max="2801" width="9.140625" style="254"/>
    <col min="2802" max="2802" width="14" style="254" customWidth="1"/>
    <col min="2803" max="3053" width="9.140625" style="254"/>
    <col min="3054" max="3054" width="27.85546875" style="254" customWidth="1"/>
    <col min="3055" max="3055" width="12.28515625" style="254" customWidth="1"/>
    <col min="3056" max="3057" width="9.140625" style="254"/>
    <col min="3058" max="3058" width="14" style="254" customWidth="1"/>
    <col min="3059" max="3309" width="9.140625" style="254"/>
    <col min="3310" max="3310" width="27.85546875" style="254" customWidth="1"/>
    <col min="3311" max="3311" width="12.28515625" style="254" customWidth="1"/>
    <col min="3312" max="3313" width="9.140625" style="254"/>
    <col min="3314" max="3314" width="14" style="254" customWidth="1"/>
    <col min="3315" max="3565" width="9.140625" style="254"/>
    <col min="3566" max="3566" width="27.85546875" style="254" customWidth="1"/>
    <col min="3567" max="3567" width="12.28515625" style="254" customWidth="1"/>
    <col min="3568" max="3569" width="9.140625" style="254"/>
    <col min="3570" max="3570" width="14" style="254" customWidth="1"/>
    <col min="3571" max="3821" width="9.140625" style="254"/>
    <col min="3822" max="3822" width="27.85546875" style="254" customWidth="1"/>
    <col min="3823" max="3823" width="12.28515625" style="254" customWidth="1"/>
    <col min="3824" max="3825" width="9.140625" style="254"/>
    <col min="3826" max="3826" width="14" style="254" customWidth="1"/>
    <col min="3827" max="4077" width="9.140625" style="254"/>
    <col min="4078" max="4078" width="27.85546875" style="254" customWidth="1"/>
    <col min="4079" max="4079" width="12.28515625" style="254" customWidth="1"/>
    <col min="4080" max="4081" width="9.140625" style="254"/>
    <col min="4082" max="4082" width="14" style="254" customWidth="1"/>
    <col min="4083" max="4333" width="9.140625" style="254"/>
    <col min="4334" max="4334" width="27.85546875" style="254" customWidth="1"/>
    <col min="4335" max="4335" width="12.28515625" style="254" customWidth="1"/>
    <col min="4336" max="4337" width="9.140625" style="254"/>
    <col min="4338" max="4338" width="14" style="254" customWidth="1"/>
    <col min="4339" max="4589" width="9.140625" style="254"/>
    <col min="4590" max="4590" width="27.85546875" style="254" customWidth="1"/>
    <col min="4591" max="4591" width="12.28515625" style="254" customWidth="1"/>
    <col min="4592" max="4593" width="9.140625" style="254"/>
    <col min="4594" max="4594" width="14" style="254" customWidth="1"/>
    <col min="4595" max="4845" width="9.140625" style="254"/>
    <col min="4846" max="4846" width="27.85546875" style="254" customWidth="1"/>
    <col min="4847" max="4847" width="12.28515625" style="254" customWidth="1"/>
    <col min="4848" max="4849" width="9.140625" style="254"/>
    <col min="4850" max="4850" width="14" style="254" customWidth="1"/>
    <col min="4851" max="5101" width="9.140625" style="254"/>
    <col min="5102" max="5102" width="27.85546875" style="254" customWidth="1"/>
    <col min="5103" max="5103" width="12.28515625" style="254" customWidth="1"/>
    <col min="5104" max="5105" width="9.140625" style="254"/>
    <col min="5106" max="5106" width="14" style="254" customWidth="1"/>
    <col min="5107" max="5357" width="9.140625" style="254"/>
    <col min="5358" max="5358" width="27.85546875" style="254" customWidth="1"/>
    <col min="5359" max="5359" width="12.28515625" style="254" customWidth="1"/>
    <col min="5360" max="5361" width="9.140625" style="254"/>
    <col min="5362" max="5362" width="14" style="254" customWidth="1"/>
    <col min="5363" max="5613" width="9.140625" style="254"/>
    <col min="5614" max="5614" width="27.85546875" style="254" customWidth="1"/>
    <col min="5615" max="5615" width="12.28515625" style="254" customWidth="1"/>
    <col min="5616" max="5617" width="9.140625" style="254"/>
    <col min="5618" max="5618" width="14" style="254" customWidth="1"/>
    <col min="5619" max="5869" width="9.140625" style="254"/>
    <col min="5870" max="5870" width="27.85546875" style="254" customWidth="1"/>
    <col min="5871" max="5871" width="12.28515625" style="254" customWidth="1"/>
    <col min="5872" max="5873" width="9.140625" style="254"/>
    <col min="5874" max="5874" width="14" style="254" customWidth="1"/>
    <col min="5875" max="6125" width="9.140625" style="254"/>
    <col min="6126" max="6126" width="27.85546875" style="254" customWidth="1"/>
    <col min="6127" max="6127" width="12.28515625" style="254" customWidth="1"/>
    <col min="6128" max="6129" width="9.140625" style="254"/>
    <col min="6130" max="6130" width="14" style="254" customWidth="1"/>
    <col min="6131" max="6381" width="9.140625" style="254"/>
    <col min="6382" max="6382" width="27.85546875" style="254" customWidth="1"/>
    <col min="6383" max="6383" width="12.28515625" style="254" customWidth="1"/>
    <col min="6384" max="6385" width="9.140625" style="254"/>
    <col min="6386" max="6386" width="14" style="254" customWidth="1"/>
    <col min="6387" max="6637" width="9.140625" style="254"/>
    <col min="6638" max="6638" width="27.85546875" style="254" customWidth="1"/>
    <col min="6639" max="6639" width="12.28515625" style="254" customWidth="1"/>
    <col min="6640" max="6641" width="9.140625" style="254"/>
    <col min="6642" max="6642" width="14" style="254" customWidth="1"/>
    <col min="6643" max="6893" width="9.140625" style="254"/>
    <col min="6894" max="6894" width="27.85546875" style="254" customWidth="1"/>
    <col min="6895" max="6895" width="12.28515625" style="254" customWidth="1"/>
    <col min="6896" max="6897" width="9.140625" style="254"/>
    <col min="6898" max="6898" width="14" style="254" customWidth="1"/>
    <col min="6899" max="7149" width="9.140625" style="254"/>
    <col min="7150" max="7150" width="27.85546875" style="254" customWidth="1"/>
    <col min="7151" max="7151" width="12.28515625" style="254" customWidth="1"/>
    <col min="7152" max="7153" width="9.140625" style="254"/>
    <col min="7154" max="7154" width="14" style="254" customWidth="1"/>
    <col min="7155" max="7405" width="9.140625" style="254"/>
    <col min="7406" max="7406" width="27.85546875" style="254" customWidth="1"/>
    <col min="7407" max="7407" width="12.28515625" style="254" customWidth="1"/>
    <col min="7408" max="7409" width="9.140625" style="254"/>
    <col min="7410" max="7410" width="14" style="254" customWidth="1"/>
    <col min="7411" max="7661" width="9.140625" style="254"/>
    <col min="7662" max="7662" width="27.85546875" style="254" customWidth="1"/>
    <col min="7663" max="7663" width="12.28515625" style="254" customWidth="1"/>
    <col min="7664" max="7665" width="9.140625" style="254"/>
    <col min="7666" max="7666" width="14" style="254" customWidth="1"/>
    <col min="7667" max="7917" width="9.140625" style="254"/>
    <col min="7918" max="7918" width="27.85546875" style="254" customWidth="1"/>
    <col min="7919" max="7919" width="12.28515625" style="254" customWidth="1"/>
    <col min="7920" max="7921" width="9.140625" style="254"/>
    <col min="7922" max="7922" width="14" style="254" customWidth="1"/>
    <col min="7923" max="8173" width="9.140625" style="254"/>
    <col min="8174" max="8174" width="27.85546875" style="254" customWidth="1"/>
    <col min="8175" max="8175" width="12.28515625" style="254" customWidth="1"/>
    <col min="8176" max="8177" width="9.140625" style="254"/>
    <col min="8178" max="8178" width="14" style="254" customWidth="1"/>
    <col min="8179" max="8429" width="9.140625" style="254"/>
    <col min="8430" max="8430" width="27.85546875" style="254" customWidth="1"/>
    <col min="8431" max="8431" width="12.28515625" style="254" customWidth="1"/>
    <col min="8432" max="8433" width="9.140625" style="254"/>
    <col min="8434" max="8434" width="14" style="254" customWidth="1"/>
    <col min="8435" max="8685" width="9.140625" style="254"/>
    <col min="8686" max="8686" width="27.85546875" style="254" customWidth="1"/>
    <col min="8687" max="8687" width="12.28515625" style="254" customWidth="1"/>
    <col min="8688" max="8689" width="9.140625" style="254"/>
    <col min="8690" max="8690" width="14" style="254" customWidth="1"/>
    <col min="8691" max="8941" width="9.140625" style="254"/>
    <col min="8942" max="8942" width="27.85546875" style="254" customWidth="1"/>
    <col min="8943" max="8943" width="12.28515625" style="254" customWidth="1"/>
    <col min="8944" max="8945" width="9.140625" style="254"/>
    <col min="8946" max="8946" width="14" style="254" customWidth="1"/>
    <col min="8947" max="9197" width="9.140625" style="254"/>
    <col min="9198" max="9198" width="27.85546875" style="254" customWidth="1"/>
    <col min="9199" max="9199" width="12.28515625" style="254" customWidth="1"/>
    <col min="9200" max="9201" width="9.140625" style="254"/>
    <col min="9202" max="9202" width="14" style="254" customWidth="1"/>
    <col min="9203" max="9453" width="9.140625" style="254"/>
    <col min="9454" max="9454" width="27.85546875" style="254" customWidth="1"/>
    <col min="9455" max="9455" width="12.28515625" style="254" customWidth="1"/>
    <col min="9456" max="9457" width="9.140625" style="254"/>
    <col min="9458" max="9458" width="14" style="254" customWidth="1"/>
    <col min="9459" max="9709" width="9.140625" style="254"/>
    <col min="9710" max="9710" width="27.85546875" style="254" customWidth="1"/>
    <col min="9711" max="9711" width="12.28515625" style="254" customWidth="1"/>
    <col min="9712" max="9713" width="9.140625" style="254"/>
    <col min="9714" max="9714" width="14" style="254" customWidth="1"/>
    <col min="9715" max="9965" width="9.140625" style="254"/>
    <col min="9966" max="9966" width="27.85546875" style="254" customWidth="1"/>
    <col min="9967" max="9967" width="12.28515625" style="254" customWidth="1"/>
    <col min="9968" max="9969" width="9.140625" style="254"/>
    <col min="9970" max="9970" width="14" style="254" customWidth="1"/>
    <col min="9971" max="10221" width="9.140625" style="254"/>
    <col min="10222" max="10222" width="27.85546875" style="254" customWidth="1"/>
    <col min="10223" max="10223" width="12.28515625" style="254" customWidth="1"/>
    <col min="10224" max="10225" width="9.140625" style="254"/>
    <col min="10226" max="10226" width="14" style="254" customWidth="1"/>
    <col min="10227" max="10477" width="9.140625" style="254"/>
    <col min="10478" max="10478" width="27.85546875" style="254" customWidth="1"/>
    <col min="10479" max="10479" width="12.28515625" style="254" customWidth="1"/>
    <col min="10480" max="10481" width="9.140625" style="254"/>
    <col min="10482" max="10482" width="14" style="254" customWidth="1"/>
    <col min="10483" max="10733" width="9.140625" style="254"/>
    <col min="10734" max="10734" width="27.85546875" style="254" customWidth="1"/>
    <col min="10735" max="10735" width="12.28515625" style="254" customWidth="1"/>
    <col min="10736" max="10737" width="9.140625" style="254"/>
    <col min="10738" max="10738" width="14" style="254" customWidth="1"/>
    <col min="10739" max="10989" width="9.140625" style="254"/>
    <col min="10990" max="10990" width="27.85546875" style="254" customWidth="1"/>
    <col min="10991" max="10991" width="12.28515625" style="254" customWidth="1"/>
    <col min="10992" max="10993" width="9.140625" style="254"/>
    <col min="10994" max="10994" width="14" style="254" customWidth="1"/>
    <col min="10995" max="11245" width="9.140625" style="254"/>
    <col min="11246" max="11246" width="27.85546875" style="254" customWidth="1"/>
    <col min="11247" max="11247" width="12.28515625" style="254" customWidth="1"/>
    <col min="11248" max="11249" width="9.140625" style="254"/>
    <col min="11250" max="11250" width="14" style="254" customWidth="1"/>
    <col min="11251" max="11501" width="9.140625" style="254"/>
    <col min="11502" max="11502" width="27.85546875" style="254" customWidth="1"/>
    <col min="11503" max="11503" width="12.28515625" style="254" customWidth="1"/>
    <col min="11504" max="11505" width="9.140625" style="254"/>
    <col min="11506" max="11506" width="14" style="254" customWidth="1"/>
    <col min="11507" max="11757" width="9.140625" style="254"/>
    <col min="11758" max="11758" width="27.85546875" style="254" customWidth="1"/>
    <col min="11759" max="11759" width="12.28515625" style="254" customWidth="1"/>
    <col min="11760" max="11761" width="9.140625" style="254"/>
    <col min="11762" max="11762" width="14" style="254" customWidth="1"/>
    <col min="11763" max="12013" width="9.140625" style="254"/>
    <col min="12014" max="12014" width="27.85546875" style="254" customWidth="1"/>
    <col min="12015" max="12015" width="12.28515625" style="254" customWidth="1"/>
    <col min="12016" max="12017" width="9.140625" style="254"/>
    <col min="12018" max="12018" width="14" style="254" customWidth="1"/>
    <col min="12019" max="12269" width="9.140625" style="254"/>
    <col min="12270" max="12270" width="27.85546875" style="254" customWidth="1"/>
    <col min="12271" max="12271" width="12.28515625" style="254" customWidth="1"/>
    <col min="12272" max="12273" width="9.140625" style="254"/>
    <col min="12274" max="12274" width="14" style="254" customWidth="1"/>
    <col min="12275" max="12525" width="9.140625" style="254"/>
    <col min="12526" max="12526" width="27.85546875" style="254" customWidth="1"/>
    <col min="12527" max="12527" width="12.28515625" style="254" customWidth="1"/>
    <col min="12528" max="12529" width="9.140625" style="254"/>
    <col min="12530" max="12530" width="14" style="254" customWidth="1"/>
    <col min="12531" max="12781" width="9.140625" style="254"/>
    <col min="12782" max="12782" width="27.85546875" style="254" customWidth="1"/>
    <col min="12783" max="12783" width="12.28515625" style="254" customWidth="1"/>
    <col min="12784" max="12785" width="9.140625" style="254"/>
    <col min="12786" max="12786" width="14" style="254" customWidth="1"/>
    <col min="12787" max="13037" width="9.140625" style="254"/>
    <col min="13038" max="13038" width="27.85546875" style="254" customWidth="1"/>
    <col min="13039" max="13039" width="12.28515625" style="254" customWidth="1"/>
    <col min="13040" max="13041" width="9.140625" style="254"/>
    <col min="13042" max="13042" width="14" style="254" customWidth="1"/>
    <col min="13043" max="13293" width="9.140625" style="254"/>
    <col min="13294" max="13294" width="27.85546875" style="254" customWidth="1"/>
    <col min="13295" max="13295" width="12.28515625" style="254" customWidth="1"/>
    <col min="13296" max="13297" width="9.140625" style="254"/>
    <col min="13298" max="13298" width="14" style="254" customWidth="1"/>
    <col min="13299" max="13549" width="9.140625" style="254"/>
    <col min="13550" max="13550" width="27.85546875" style="254" customWidth="1"/>
    <col min="13551" max="13551" width="12.28515625" style="254" customWidth="1"/>
    <col min="13552" max="13553" width="9.140625" style="254"/>
    <col min="13554" max="13554" width="14" style="254" customWidth="1"/>
    <col min="13555" max="13805" width="9.140625" style="254"/>
    <col min="13806" max="13806" width="27.85546875" style="254" customWidth="1"/>
    <col min="13807" max="13807" width="12.28515625" style="254" customWidth="1"/>
    <col min="13808" max="13809" width="9.140625" style="254"/>
    <col min="13810" max="13810" width="14" style="254" customWidth="1"/>
    <col min="13811" max="14061" width="9.140625" style="254"/>
    <col min="14062" max="14062" width="27.85546875" style="254" customWidth="1"/>
    <col min="14063" max="14063" width="12.28515625" style="254" customWidth="1"/>
    <col min="14064" max="14065" width="9.140625" style="254"/>
    <col min="14066" max="14066" width="14" style="254" customWidth="1"/>
    <col min="14067" max="14317" width="9.140625" style="254"/>
    <col min="14318" max="14318" width="27.85546875" style="254" customWidth="1"/>
    <col min="14319" max="14319" width="12.28515625" style="254" customWidth="1"/>
    <col min="14320" max="14321" width="9.140625" style="254"/>
    <col min="14322" max="14322" width="14" style="254" customWidth="1"/>
    <col min="14323" max="14573" width="9.140625" style="254"/>
    <col min="14574" max="14574" width="27.85546875" style="254" customWidth="1"/>
    <col min="14575" max="14575" width="12.28515625" style="254" customWidth="1"/>
    <col min="14576" max="14577" width="9.140625" style="254"/>
    <col min="14578" max="14578" width="14" style="254" customWidth="1"/>
    <col min="14579" max="14829" width="9.140625" style="254"/>
    <col min="14830" max="14830" width="27.85546875" style="254" customWidth="1"/>
    <col min="14831" max="14831" width="12.28515625" style="254" customWidth="1"/>
    <col min="14832" max="14833" width="9.140625" style="254"/>
    <col min="14834" max="14834" width="14" style="254" customWidth="1"/>
    <col min="14835" max="15085" width="9.140625" style="254"/>
    <col min="15086" max="15086" width="27.85546875" style="254" customWidth="1"/>
    <col min="15087" max="15087" width="12.28515625" style="254" customWidth="1"/>
    <col min="15088" max="15089" width="9.140625" style="254"/>
    <col min="15090" max="15090" width="14" style="254" customWidth="1"/>
    <col min="15091" max="15341" width="9.140625" style="254"/>
    <col min="15342" max="15342" width="27.85546875" style="254" customWidth="1"/>
    <col min="15343" max="15343" width="12.28515625" style="254" customWidth="1"/>
    <col min="15344" max="15345" width="9.140625" style="254"/>
    <col min="15346" max="15346" width="14" style="254" customWidth="1"/>
    <col min="15347" max="15597" width="9.140625" style="254"/>
    <col min="15598" max="15598" width="27.85546875" style="254" customWidth="1"/>
    <col min="15599" max="15599" width="12.28515625" style="254" customWidth="1"/>
    <col min="15600" max="15601" width="9.140625" style="254"/>
    <col min="15602" max="15602" width="14" style="254" customWidth="1"/>
    <col min="15603" max="15853" width="9.140625" style="254"/>
    <col min="15854" max="15854" width="27.85546875" style="254" customWidth="1"/>
    <col min="15855" max="15855" width="12.28515625" style="254" customWidth="1"/>
    <col min="15856" max="15857" width="9.140625" style="254"/>
    <col min="15858" max="15858" width="14" style="254" customWidth="1"/>
    <col min="15859" max="16109" width="9.140625" style="254"/>
    <col min="16110" max="16110" width="27.85546875" style="254" customWidth="1"/>
    <col min="16111" max="16111" width="12.28515625" style="254" customWidth="1"/>
    <col min="16112" max="16113" width="9.140625" style="254"/>
    <col min="16114" max="16114" width="14" style="254" customWidth="1"/>
    <col min="16115" max="16384" width="9.140625" style="254"/>
  </cols>
  <sheetData>
    <row r="2" spans="2:14" x14ac:dyDescent="0.25">
      <c r="G2" s="1642"/>
      <c r="H2" s="1643"/>
      <c r="I2" s="1643"/>
      <c r="J2" s="1643"/>
      <c r="K2" s="1643"/>
      <c r="L2" s="1643"/>
      <c r="M2" s="1644"/>
    </row>
    <row r="3" spans="2:14" x14ac:dyDescent="0.25">
      <c r="G3" s="1645"/>
      <c r="H3" s="1646"/>
      <c r="I3" s="1646"/>
      <c r="J3" s="1646"/>
      <c r="K3" s="1646"/>
      <c r="L3" s="1646"/>
      <c r="M3" s="1647"/>
    </row>
    <row r="4" spans="2:14" ht="15.75" thickBot="1" x14ac:dyDescent="0.3">
      <c r="F4" s="340"/>
    </row>
    <row r="5" spans="2:14" ht="27" thickBot="1" x14ac:dyDescent="0.3">
      <c r="B5" s="921"/>
      <c r="C5" s="920" t="s">
        <v>265</v>
      </c>
      <c r="D5" s="920" t="s">
        <v>537</v>
      </c>
      <c r="E5" s="919" t="s">
        <v>536</v>
      </c>
      <c r="F5" s="340"/>
      <c r="G5" s="1800" t="s">
        <v>354</v>
      </c>
      <c r="H5" s="1801"/>
      <c r="I5" s="1801"/>
      <c r="J5" s="1801"/>
      <c r="K5" s="1802"/>
    </row>
    <row r="6" spans="2:14" ht="16.5" customHeight="1" thickBot="1" x14ac:dyDescent="0.3">
      <c r="B6" s="743" t="s">
        <v>601</v>
      </c>
      <c r="C6" s="952">
        <v>22.66</v>
      </c>
      <c r="D6" s="951">
        <f>K26</f>
        <v>24.246600561182564</v>
      </c>
      <c r="E6" s="561">
        <f>(D6-C6)/C6</f>
        <v>7.0017677016000188E-2</v>
      </c>
      <c r="F6" s="340"/>
      <c r="G6" s="976"/>
      <c r="H6" s="975" t="s">
        <v>353</v>
      </c>
      <c r="I6" s="975" t="s">
        <v>600</v>
      </c>
      <c r="J6" s="975" t="s">
        <v>599</v>
      </c>
      <c r="K6" s="947" t="s">
        <v>459</v>
      </c>
    </row>
    <row r="7" spans="2:14" x14ac:dyDescent="0.25">
      <c r="F7" s="340">
        <v>1</v>
      </c>
      <c r="G7" s="879" t="str">
        <f>IF(INDEX('Master Lookup'!$B$382:$B$386,F7)=0,"",INDEX('Master Lookup'!$B$382:$B$386,F7))</f>
        <v>Management</v>
      </c>
      <c r="H7" s="974">
        <f>'Master Lookup'!E382</f>
        <v>228.57142857142856</v>
      </c>
      <c r="I7" s="1136">
        <f>'M2024 BLS SALARY CHART (53_PCT)'!C22</f>
        <v>81486.911999999997</v>
      </c>
      <c r="J7" s="913">
        <f>IFERROR(INDEX('Master Lookup'!$F$382:$F$388,MATCH(G7,'Master Lookup'!$B$382:$B$388,0)),"")</f>
        <v>0.14000000000000001</v>
      </c>
      <c r="K7" s="943">
        <f>I7*J7</f>
        <v>11408.16768</v>
      </c>
    </row>
    <row r="8" spans="2:14" x14ac:dyDescent="0.25">
      <c r="F8" s="340">
        <v>2</v>
      </c>
      <c r="G8" s="879" t="str">
        <f>IF(INDEX('Master Lookup'!$B$382:$B$386,F8)=0,"",INDEX('Master Lookup'!$B$382:$B$386,F8))</f>
        <v>Education Coordinator</v>
      </c>
      <c r="H8" s="973">
        <f>'Master Lookup'!E383</f>
        <v>246.15384615384613</v>
      </c>
      <c r="I8" s="1136">
        <f>'M2024 BLS SALARY CHART (53_PCT)'!C14</f>
        <v>75175.152000000002</v>
      </c>
      <c r="J8" s="913">
        <f>IFERROR(INDEX('Master Lookup'!$F$382:$F$388,MATCH(G8,'Master Lookup'!$B$382:$B$388,0)),"")</f>
        <v>0.13</v>
      </c>
      <c r="K8" s="942">
        <f>I8*J8</f>
        <v>9772.769760000001</v>
      </c>
    </row>
    <row r="9" spans="2:14" x14ac:dyDescent="0.25">
      <c r="F9" s="340">
        <v>3</v>
      </c>
      <c r="G9" s="879" t="str">
        <f>IF(INDEX('Master Lookup'!$B$382:$B$386,F9)=0,"",INDEX('Master Lookup'!$B$382:$B$386,F9))</f>
        <v>Direct Care Staffing</v>
      </c>
      <c r="H9" s="973">
        <f>'Master Lookup'!E385</f>
        <v>12.851405622489958</v>
      </c>
      <c r="I9" s="1136">
        <f>'M2024 BLS SALARY CHART (53_PCT)'!C8</f>
        <v>56388.633600000001</v>
      </c>
      <c r="J9" s="913">
        <f>IFERROR(INDEX('Master Lookup'!$F$382:$F$388,MATCH(G9,'Master Lookup'!$B$382:$B$388,0)),"")</f>
        <v>1</v>
      </c>
      <c r="K9" s="942">
        <f>I9*J9</f>
        <v>56388.633600000001</v>
      </c>
    </row>
    <row r="10" spans="2:14" x14ac:dyDescent="0.25">
      <c r="F10" s="340">
        <v>4</v>
      </c>
      <c r="G10" s="879" t="str">
        <f>IF(INDEX('Master Lookup'!$B$382:$B$386,F10)=0,"",INDEX('Master Lookup'!$B$382:$B$386,F10))</f>
        <v>Direct Care</v>
      </c>
      <c r="H10" s="973"/>
      <c r="I10" s="1136">
        <f>'M2024 BLS SALARY CHART (53_PCT)'!C6</f>
        <v>46842.432000000008</v>
      </c>
      <c r="J10" s="913">
        <f>IFERROR(INDEX('Master Lookup'!$F$382:$F$388,MATCH(G10,'Master Lookup'!$B$382:$B$388,0)),"")</f>
        <v>1.49</v>
      </c>
      <c r="K10" s="942">
        <f>I10*J10</f>
        <v>69795.22368000001</v>
      </c>
    </row>
    <row r="11" spans="2:14" x14ac:dyDescent="0.25">
      <c r="F11" s="340">
        <v>5</v>
      </c>
      <c r="G11" s="879" t="str">
        <f>IF(INDEX('Master Lookup'!$B$382:$B$386,F11)=0,"",INDEX('Master Lookup'!$B$382:$B$386,F11))</f>
        <v>Program Support</v>
      </c>
      <c r="H11" s="973">
        <f>'Master Lookup'!E386</f>
        <v>1066.6666666666667</v>
      </c>
      <c r="I11" s="1136">
        <f>I10</f>
        <v>46842.432000000008</v>
      </c>
      <c r="J11" s="913">
        <f>IFERROR(INDEX('Master Lookup'!$F$382:$F$388,MATCH(G11,'Master Lookup'!$B$382:$B$388,0)),"")</f>
        <v>0.03</v>
      </c>
      <c r="K11" s="942">
        <f>I11*J11</f>
        <v>1405.2729600000002</v>
      </c>
    </row>
    <row r="12" spans="2:14" x14ac:dyDescent="0.25">
      <c r="F12" s="340"/>
      <c r="G12" s="297"/>
      <c r="H12" s="972"/>
      <c r="I12" s="941"/>
      <c r="J12" s="295"/>
      <c r="K12" s="940"/>
      <c r="L12" s="457"/>
      <c r="M12" s="971"/>
      <c r="N12" s="340"/>
    </row>
    <row r="13" spans="2:14" x14ac:dyDescent="0.25">
      <c r="F13" s="340"/>
      <c r="G13" s="939" t="s">
        <v>457</v>
      </c>
      <c r="H13" s="938"/>
      <c r="I13" s="938"/>
      <c r="J13" s="935">
        <f>SUM(J7:J12)</f>
        <v>2.7899999999999996</v>
      </c>
      <c r="K13" s="936">
        <f>SUM(K7:K12)</f>
        <v>148770.06768000001</v>
      </c>
    </row>
    <row r="14" spans="2:14" x14ac:dyDescent="0.25">
      <c r="F14" s="340"/>
      <c r="G14" s="671" t="s">
        <v>322</v>
      </c>
      <c r="H14" s="935"/>
      <c r="I14" s="935"/>
      <c r="J14" s="426">
        <f>'M2024 BLS SALARY CHART (53_PCT)'!C40</f>
        <v>0.24970000000000001</v>
      </c>
      <c r="K14" s="934">
        <f>K13*J14</f>
        <v>37147.885899696004</v>
      </c>
    </row>
    <row r="15" spans="2:14" ht="15.75" thickBot="1" x14ac:dyDescent="0.3">
      <c r="F15" s="340"/>
      <c r="G15" s="877" t="s">
        <v>550</v>
      </c>
      <c r="H15" s="933"/>
      <c r="I15" s="933"/>
      <c r="J15" s="933"/>
      <c r="K15" s="932">
        <f>SUM(K13:K14)</f>
        <v>185917.95357969601</v>
      </c>
    </row>
    <row r="16" spans="2:14" ht="15.75" thickTop="1" x14ac:dyDescent="0.25">
      <c r="F16" s="340"/>
      <c r="G16" s="667"/>
      <c r="H16" s="931"/>
      <c r="I16" s="931"/>
      <c r="J16" s="931"/>
      <c r="K16" s="930"/>
    </row>
    <row r="17" spans="6:11" x14ac:dyDescent="0.25">
      <c r="F17" s="340"/>
      <c r="G17" s="667" t="s">
        <v>326</v>
      </c>
      <c r="H17" s="970"/>
      <c r="I17" s="970"/>
      <c r="J17" s="970"/>
      <c r="K17" s="969"/>
    </row>
    <row r="18" spans="6:11" x14ac:dyDescent="0.25">
      <c r="F18" s="340"/>
      <c r="G18" s="116" t="s">
        <v>294</v>
      </c>
      <c r="H18" s="881"/>
      <c r="I18" s="265"/>
      <c r="J18" s="379">
        <f>IFERROR(INDEX('Master Lookup'!$C$392:$C$394,MATCH(G18,'Master Lookup'!$B$392:$B$394,0)),"")</f>
        <v>1475.3908322281168</v>
      </c>
      <c r="K18" s="942">
        <f>J13*J18</f>
        <v>4116.3404219164449</v>
      </c>
    </row>
    <row r="19" spans="6:11" ht="15.75" thickBot="1" x14ac:dyDescent="0.3">
      <c r="F19" s="340"/>
      <c r="G19" s="877" t="s">
        <v>492</v>
      </c>
      <c r="H19" s="876"/>
      <c r="I19" s="876"/>
      <c r="J19" s="876"/>
      <c r="K19" s="965">
        <f>SUM(K18)</f>
        <v>4116.3404219164449</v>
      </c>
    </row>
    <row r="20" spans="6:11" ht="15.75" thickTop="1" x14ac:dyDescent="0.25">
      <c r="F20" s="340"/>
      <c r="G20" s="667"/>
      <c r="K20" s="968"/>
    </row>
    <row r="21" spans="6:11" x14ac:dyDescent="0.25">
      <c r="F21" s="340"/>
      <c r="G21" s="372" t="s">
        <v>491</v>
      </c>
      <c r="H21" s="289"/>
      <c r="I21" s="289"/>
      <c r="J21" s="967"/>
      <c r="K21" s="966">
        <f>K19+K15</f>
        <v>190034.29400161246</v>
      </c>
    </row>
    <row r="22" spans="6:11" x14ac:dyDescent="0.25">
      <c r="F22" s="340"/>
      <c r="G22" s="127" t="s">
        <v>570</v>
      </c>
      <c r="H22" s="869"/>
      <c r="I22" s="426"/>
      <c r="J22" s="869">
        <f>'Master Lookup'!C398</f>
        <v>0.12</v>
      </c>
      <c r="K22" s="942">
        <f>K21*J22</f>
        <v>22804.115280193495</v>
      </c>
    </row>
    <row r="23" spans="6:11" x14ac:dyDescent="0.25">
      <c r="F23" s="340"/>
      <c r="G23" s="870" t="s">
        <v>569</v>
      </c>
      <c r="H23" s="869"/>
      <c r="I23" s="426"/>
      <c r="J23" s="869">
        <f>'CAF Spring 2025'!CT26</f>
        <v>2.5282070971092779E-2</v>
      </c>
      <c r="K23" s="942">
        <f>J23*(K21+K22)</f>
        <v>5380.9957688371105</v>
      </c>
    </row>
    <row r="24" spans="6:11" ht="15.75" thickBot="1" x14ac:dyDescent="0.3">
      <c r="F24" s="340"/>
      <c r="G24" s="864" t="s">
        <v>490</v>
      </c>
      <c r="H24" s="863"/>
      <c r="I24" s="862"/>
      <c r="J24" s="861"/>
      <c r="K24" s="965">
        <f>SUM(K21:K23)</f>
        <v>218219.40505064308</v>
      </c>
    </row>
    <row r="25" spans="6:11" ht="15.75" thickTop="1" x14ac:dyDescent="0.25">
      <c r="F25" s="340"/>
      <c r="G25" s="127" t="s">
        <v>552</v>
      </c>
      <c r="K25" s="882">
        <v>32</v>
      </c>
    </row>
    <row r="26" spans="6:11" ht="15.75" thickBot="1" x14ac:dyDescent="0.3">
      <c r="F26" s="340"/>
      <c r="G26" s="273" t="s">
        <v>598</v>
      </c>
      <c r="H26" s="272">
        <v>9000</v>
      </c>
      <c r="I26" s="272"/>
      <c r="J26" s="272"/>
      <c r="K26" s="964">
        <f>K24/H26</f>
        <v>24.246600561182564</v>
      </c>
    </row>
    <row r="28" spans="6:11" x14ac:dyDescent="0.25">
      <c r="K28" s="855"/>
    </row>
  </sheetData>
  <mergeCells count="2">
    <mergeCell ref="G5:K5"/>
    <mergeCell ref="G2:M3"/>
  </mergeCells>
  <pageMargins left="0.7" right="0.7" top="0.75" bottom="0.75" header="0.3" footer="0.3"/>
  <pageSetup scale="7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BEDA9-8A85-4942-9CB7-79DA753E31D7}">
  <sheetPr>
    <pageSetUpPr fitToPage="1"/>
  </sheetPr>
  <dimension ref="B2:Q53"/>
  <sheetViews>
    <sheetView zoomScaleNormal="100" workbookViewId="0">
      <selection activeCell="I50" sqref="I50"/>
    </sheetView>
  </sheetViews>
  <sheetFormatPr defaultRowHeight="12.75" x14ac:dyDescent="0.2"/>
  <cols>
    <col min="1" max="2" width="9.140625" style="340"/>
    <col min="3" max="3" width="9.140625" style="340" customWidth="1"/>
    <col min="4" max="4" width="9.5703125" style="340" customWidth="1"/>
    <col min="5" max="5" width="9.140625" style="340" customWidth="1"/>
    <col min="6" max="6" width="9.140625" style="340"/>
    <col min="7" max="7" width="9.140625" style="340" customWidth="1"/>
    <col min="8" max="8" width="40.28515625" style="340" bestFit="1" customWidth="1"/>
    <col min="9" max="9" width="11.5703125" style="340" bestFit="1" customWidth="1"/>
    <col min="10" max="10" width="9.140625" style="340"/>
    <col min="11" max="11" width="10.5703125" style="340" bestFit="1" customWidth="1"/>
    <col min="12" max="12" width="9.140625" style="340"/>
    <col min="13" max="13" width="10" style="340" bestFit="1" customWidth="1"/>
    <col min="14" max="14" width="13.85546875" style="340" customWidth="1"/>
    <col min="15" max="234" width="9.140625" style="340"/>
    <col min="235" max="235" width="25.5703125" style="340" customWidth="1"/>
    <col min="236" max="236" width="17.140625" style="340" customWidth="1"/>
    <col min="237" max="237" width="14" style="340" customWidth="1"/>
    <col min="238" max="238" width="13.7109375" style="340" customWidth="1"/>
    <col min="239" max="239" width="16.85546875" style="340" customWidth="1"/>
    <col min="240" max="490" width="9.140625" style="340"/>
    <col min="491" max="491" width="25.5703125" style="340" customWidth="1"/>
    <col min="492" max="492" width="17.140625" style="340" customWidth="1"/>
    <col min="493" max="493" width="14" style="340" customWidth="1"/>
    <col min="494" max="494" width="13.7109375" style="340" customWidth="1"/>
    <col min="495" max="495" width="16.85546875" style="340" customWidth="1"/>
    <col min="496" max="746" width="9.140625" style="340"/>
    <col min="747" max="747" width="25.5703125" style="340" customWidth="1"/>
    <col min="748" max="748" width="17.140625" style="340" customWidth="1"/>
    <col min="749" max="749" width="14" style="340" customWidth="1"/>
    <col min="750" max="750" width="13.7109375" style="340" customWidth="1"/>
    <col min="751" max="751" width="16.85546875" style="340" customWidth="1"/>
    <col min="752" max="1002" width="9.140625" style="340"/>
    <col min="1003" max="1003" width="25.5703125" style="340" customWidth="1"/>
    <col min="1004" max="1004" width="17.140625" style="340" customWidth="1"/>
    <col min="1005" max="1005" width="14" style="340" customWidth="1"/>
    <col min="1006" max="1006" width="13.7109375" style="340" customWidth="1"/>
    <col min="1007" max="1007" width="16.85546875" style="340" customWidth="1"/>
    <col min="1008" max="1258" width="9.140625" style="340"/>
    <col min="1259" max="1259" width="25.5703125" style="340" customWidth="1"/>
    <col min="1260" max="1260" width="17.140625" style="340" customWidth="1"/>
    <col min="1261" max="1261" width="14" style="340" customWidth="1"/>
    <col min="1262" max="1262" width="13.7109375" style="340" customWidth="1"/>
    <col min="1263" max="1263" width="16.85546875" style="340" customWidth="1"/>
    <col min="1264" max="1514" width="9.140625" style="340"/>
    <col min="1515" max="1515" width="25.5703125" style="340" customWidth="1"/>
    <col min="1516" max="1516" width="17.140625" style="340" customWidth="1"/>
    <col min="1517" max="1517" width="14" style="340" customWidth="1"/>
    <col min="1518" max="1518" width="13.7109375" style="340" customWidth="1"/>
    <col min="1519" max="1519" width="16.85546875" style="340" customWidth="1"/>
    <col min="1520" max="1770" width="9.140625" style="340"/>
    <col min="1771" max="1771" width="25.5703125" style="340" customWidth="1"/>
    <col min="1772" max="1772" width="17.140625" style="340" customWidth="1"/>
    <col min="1773" max="1773" width="14" style="340" customWidth="1"/>
    <col min="1774" max="1774" width="13.7109375" style="340" customWidth="1"/>
    <col min="1775" max="1775" width="16.85546875" style="340" customWidth="1"/>
    <col min="1776" max="2026" width="9.140625" style="340"/>
    <col min="2027" max="2027" width="25.5703125" style="340" customWidth="1"/>
    <col min="2028" max="2028" width="17.140625" style="340" customWidth="1"/>
    <col min="2029" max="2029" width="14" style="340" customWidth="1"/>
    <col min="2030" max="2030" width="13.7109375" style="340" customWidth="1"/>
    <col min="2031" max="2031" width="16.85546875" style="340" customWidth="1"/>
    <col min="2032" max="2282" width="9.140625" style="340"/>
    <col min="2283" max="2283" width="25.5703125" style="340" customWidth="1"/>
    <col min="2284" max="2284" width="17.140625" style="340" customWidth="1"/>
    <col min="2285" max="2285" width="14" style="340" customWidth="1"/>
    <col min="2286" max="2286" width="13.7109375" style="340" customWidth="1"/>
    <col min="2287" max="2287" width="16.85546875" style="340" customWidth="1"/>
    <col min="2288" max="2538" width="9.140625" style="340"/>
    <col min="2539" max="2539" width="25.5703125" style="340" customWidth="1"/>
    <col min="2540" max="2540" width="17.140625" style="340" customWidth="1"/>
    <col min="2541" max="2541" width="14" style="340" customWidth="1"/>
    <col min="2542" max="2542" width="13.7109375" style="340" customWidth="1"/>
    <col min="2543" max="2543" width="16.85546875" style="340" customWidth="1"/>
    <col min="2544" max="2794" width="9.140625" style="340"/>
    <col min="2795" max="2795" width="25.5703125" style="340" customWidth="1"/>
    <col min="2796" max="2796" width="17.140625" style="340" customWidth="1"/>
    <col min="2797" max="2797" width="14" style="340" customWidth="1"/>
    <col min="2798" max="2798" width="13.7109375" style="340" customWidth="1"/>
    <col min="2799" max="2799" width="16.85546875" style="340" customWidth="1"/>
    <col min="2800" max="3050" width="9.140625" style="340"/>
    <col min="3051" max="3051" width="25.5703125" style="340" customWidth="1"/>
    <col min="3052" max="3052" width="17.140625" style="340" customWidth="1"/>
    <col min="3053" max="3053" width="14" style="340" customWidth="1"/>
    <col min="3054" max="3054" width="13.7109375" style="340" customWidth="1"/>
    <col min="3055" max="3055" width="16.85546875" style="340" customWidth="1"/>
    <col min="3056" max="3306" width="9.140625" style="340"/>
    <col min="3307" max="3307" width="25.5703125" style="340" customWidth="1"/>
    <col min="3308" max="3308" width="17.140625" style="340" customWidth="1"/>
    <col min="3309" max="3309" width="14" style="340" customWidth="1"/>
    <col min="3310" max="3310" width="13.7109375" style="340" customWidth="1"/>
    <col min="3311" max="3311" width="16.85546875" style="340" customWidth="1"/>
    <col min="3312" max="3562" width="9.140625" style="340"/>
    <col min="3563" max="3563" width="25.5703125" style="340" customWidth="1"/>
    <col min="3564" max="3564" width="17.140625" style="340" customWidth="1"/>
    <col min="3565" max="3565" width="14" style="340" customWidth="1"/>
    <col min="3566" max="3566" width="13.7109375" style="340" customWidth="1"/>
    <col min="3567" max="3567" width="16.85546875" style="340" customWidth="1"/>
    <col min="3568" max="3818" width="9.140625" style="340"/>
    <col min="3819" max="3819" width="25.5703125" style="340" customWidth="1"/>
    <col min="3820" max="3820" width="17.140625" style="340" customWidth="1"/>
    <col min="3821" max="3821" width="14" style="340" customWidth="1"/>
    <col min="3822" max="3822" width="13.7109375" style="340" customWidth="1"/>
    <col min="3823" max="3823" width="16.85546875" style="340" customWidth="1"/>
    <col min="3824" max="4074" width="9.140625" style="340"/>
    <col min="4075" max="4075" width="25.5703125" style="340" customWidth="1"/>
    <col min="4076" max="4076" width="17.140625" style="340" customWidth="1"/>
    <col min="4077" max="4077" width="14" style="340" customWidth="1"/>
    <col min="4078" max="4078" width="13.7109375" style="340" customWidth="1"/>
    <col min="4079" max="4079" width="16.85546875" style="340" customWidth="1"/>
    <col min="4080" max="4330" width="9.140625" style="340"/>
    <col min="4331" max="4331" width="25.5703125" style="340" customWidth="1"/>
    <col min="4332" max="4332" width="17.140625" style="340" customWidth="1"/>
    <col min="4333" max="4333" width="14" style="340" customWidth="1"/>
    <col min="4334" max="4334" width="13.7109375" style="340" customWidth="1"/>
    <col min="4335" max="4335" width="16.85546875" style="340" customWidth="1"/>
    <col min="4336" max="4586" width="9.140625" style="340"/>
    <col min="4587" max="4587" width="25.5703125" style="340" customWidth="1"/>
    <col min="4588" max="4588" width="17.140625" style="340" customWidth="1"/>
    <col min="4589" max="4589" width="14" style="340" customWidth="1"/>
    <col min="4590" max="4590" width="13.7109375" style="340" customWidth="1"/>
    <col min="4591" max="4591" width="16.85546875" style="340" customWidth="1"/>
    <col min="4592" max="4842" width="9.140625" style="340"/>
    <col min="4843" max="4843" width="25.5703125" style="340" customWidth="1"/>
    <col min="4844" max="4844" width="17.140625" style="340" customWidth="1"/>
    <col min="4845" max="4845" width="14" style="340" customWidth="1"/>
    <col min="4846" max="4846" width="13.7109375" style="340" customWidth="1"/>
    <col min="4847" max="4847" width="16.85546875" style="340" customWidth="1"/>
    <col min="4848" max="5098" width="9.140625" style="340"/>
    <col min="5099" max="5099" width="25.5703125" style="340" customWidth="1"/>
    <col min="5100" max="5100" width="17.140625" style="340" customWidth="1"/>
    <col min="5101" max="5101" width="14" style="340" customWidth="1"/>
    <col min="5102" max="5102" width="13.7109375" style="340" customWidth="1"/>
    <col min="5103" max="5103" width="16.85546875" style="340" customWidth="1"/>
    <col min="5104" max="5354" width="9.140625" style="340"/>
    <col min="5355" max="5355" width="25.5703125" style="340" customWidth="1"/>
    <col min="5356" max="5356" width="17.140625" style="340" customWidth="1"/>
    <col min="5357" max="5357" width="14" style="340" customWidth="1"/>
    <col min="5358" max="5358" width="13.7109375" style="340" customWidth="1"/>
    <col min="5359" max="5359" width="16.85546875" style="340" customWidth="1"/>
    <col min="5360" max="5610" width="9.140625" style="340"/>
    <col min="5611" max="5611" width="25.5703125" style="340" customWidth="1"/>
    <col min="5612" max="5612" width="17.140625" style="340" customWidth="1"/>
    <col min="5613" max="5613" width="14" style="340" customWidth="1"/>
    <col min="5614" max="5614" width="13.7109375" style="340" customWidth="1"/>
    <col min="5615" max="5615" width="16.85546875" style="340" customWidth="1"/>
    <col min="5616" max="5866" width="9.140625" style="340"/>
    <col min="5867" max="5867" width="25.5703125" style="340" customWidth="1"/>
    <col min="5868" max="5868" width="17.140625" style="340" customWidth="1"/>
    <col min="5869" max="5869" width="14" style="340" customWidth="1"/>
    <col min="5870" max="5870" width="13.7109375" style="340" customWidth="1"/>
    <col min="5871" max="5871" width="16.85546875" style="340" customWidth="1"/>
    <col min="5872" max="6122" width="9.140625" style="340"/>
    <col min="6123" max="6123" width="25.5703125" style="340" customWidth="1"/>
    <col min="6124" max="6124" width="17.140625" style="340" customWidth="1"/>
    <col min="6125" max="6125" width="14" style="340" customWidth="1"/>
    <col min="6126" max="6126" width="13.7109375" style="340" customWidth="1"/>
    <col min="6127" max="6127" width="16.85546875" style="340" customWidth="1"/>
    <col min="6128" max="6378" width="9.140625" style="340"/>
    <col min="6379" max="6379" width="25.5703125" style="340" customWidth="1"/>
    <col min="6380" max="6380" width="17.140625" style="340" customWidth="1"/>
    <col min="6381" max="6381" width="14" style="340" customWidth="1"/>
    <col min="6382" max="6382" width="13.7109375" style="340" customWidth="1"/>
    <col min="6383" max="6383" width="16.85546875" style="340" customWidth="1"/>
    <col min="6384" max="6634" width="9.140625" style="340"/>
    <col min="6635" max="6635" width="25.5703125" style="340" customWidth="1"/>
    <col min="6636" max="6636" width="17.140625" style="340" customWidth="1"/>
    <col min="6637" max="6637" width="14" style="340" customWidth="1"/>
    <col min="6638" max="6638" width="13.7109375" style="340" customWidth="1"/>
    <col min="6639" max="6639" width="16.85546875" style="340" customWidth="1"/>
    <col min="6640" max="6890" width="9.140625" style="340"/>
    <col min="6891" max="6891" width="25.5703125" style="340" customWidth="1"/>
    <col min="6892" max="6892" width="17.140625" style="340" customWidth="1"/>
    <col min="6893" max="6893" width="14" style="340" customWidth="1"/>
    <col min="6894" max="6894" width="13.7109375" style="340" customWidth="1"/>
    <col min="6895" max="6895" width="16.85546875" style="340" customWidth="1"/>
    <col min="6896" max="7146" width="9.140625" style="340"/>
    <col min="7147" max="7147" width="25.5703125" style="340" customWidth="1"/>
    <col min="7148" max="7148" width="17.140625" style="340" customWidth="1"/>
    <col min="7149" max="7149" width="14" style="340" customWidth="1"/>
    <col min="7150" max="7150" width="13.7109375" style="340" customWidth="1"/>
    <col min="7151" max="7151" width="16.85546875" style="340" customWidth="1"/>
    <col min="7152" max="7402" width="9.140625" style="340"/>
    <col min="7403" max="7403" width="25.5703125" style="340" customWidth="1"/>
    <col min="7404" max="7404" width="17.140625" style="340" customWidth="1"/>
    <col min="7405" max="7405" width="14" style="340" customWidth="1"/>
    <col min="7406" max="7406" width="13.7109375" style="340" customWidth="1"/>
    <col min="7407" max="7407" width="16.85546875" style="340" customWidth="1"/>
    <col min="7408" max="7658" width="9.140625" style="340"/>
    <col min="7659" max="7659" width="25.5703125" style="340" customWidth="1"/>
    <col min="7660" max="7660" width="17.140625" style="340" customWidth="1"/>
    <col min="7661" max="7661" width="14" style="340" customWidth="1"/>
    <col min="7662" max="7662" width="13.7109375" style="340" customWidth="1"/>
    <col min="7663" max="7663" width="16.85546875" style="340" customWidth="1"/>
    <col min="7664" max="7914" width="9.140625" style="340"/>
    <col min="7915" max="7915" width="25.5703125" style="340" customWidth="1"/>
    <col min="7916" max="7916" width="17.140625" style="340" customWidth="1"/>
    <col min="7917" max="7917" width="14" style="340" customWidth="1"/>
    <col min="7918" max="7918" width="13.7109375" style="340" customWidth="1"/>
    <col min="7919" max="7919" width="16.85546875" style="340" customWidth="1"/>
    <col min="7920" max="8170" width="9.140625" style="340"/>
    <col min="8171" max="8171" width="25.5703125" style="340" customWidth="1"/>
    <col min="8172" max="8172" width="17.140625" style="340" customWidth="1"/>
    <col min="8173" max="8173" width="14" style="340" customWidth="1"/>
    <col min="8174" max="8174" width="13.7109375" style="340" customWidth="1"/>
    <col min="8175" max="8175" width="16.85546875" style="340" customWidth="1"/>
    <col min="8176" max="8426" width="9.140625" style="340"/>
    <col min="8427" max="8427" width="25.5703125" style="340" customWidth="1"/>
    <col min="8428" max="8428" width="17.140625" style="340" customWidth="1"/>
    <col min="8429" max="8429" width="14" style="340" customWidth="1"/>
    <col min="8430" max="8430" width="13.7109375" style="340" customWidth="1"/>
    <col min="8431" max="8431" width="16.85546875" style="340" customWidth="1"/>
    <col min="8432" max="8682" width="9.140625" style="340"/>
    <col min="8683" max="8683" width="25.5703125" style="340" customWidth="1"/>
    <col min="8684" max="8684" width="17.140625" style="340" customWidth="1"/>
    <col min="8685" max="8685" width="14" style="340" customWidth="1"/>
    <col min="8686" max="8686" width="13.7109375" style="340" customWidth="1"/>
    <col min="8687" max="8687" width="16.85546875" style="340" customWidth="1"/>
    <col min="8688" max="8938" width="9.140625" style="340"/>
    <col min="8939" max="8939" width="25.5703125" style="340" customWidth="1"/>
    <col min="8940" max="8940" width="17.140625" style="340" customWidth="1"/>
    <col min="8941" max="8941" width="14" style="340" customWidth="1"/>
    <col min="8942" max="8942" width="13.7109375" style="340" customWidth="1"/>
    <col min="8943" max="8943" width="16.85546875" style="340" customWidth="1"/>
    <col min="8944" max="9194" width="9.140625" style="340"/>
    <col min="9195" max="9195" width="25.5703125" style="340" customWidth="1"/>
    <col min="9196" max="9196" width="17.140625" style="340" customWidth="1"/>
    <col min="9197" max="9197" width="14" style="340" customWidth="1"/>
    <col min="9198" max="9198" width="13.7109375" style="340" customWidth="1"/>
    <col min="9199" max="9199" width="16.85546875" style="340" customWidth="1"/>
    <col min="9200" max="9450" width="9.140625" style="340"/>
    <col min="9451" max="9451" width="25.5703125" style="340" customWidth="1"/>
    <col min="9452" max="9452" width="17.140625" style="340" customWidth="1"/>
    <col min="9453" max="9453" width="14" style="340" customWidth="1"/>
    <col min="9454" max="9454" width="13.7109375" style="340" customWidth="1"/>
    <col min="9455" max="9455" width="16.85546875" style="340" customWidth="1"/>
    <col min="9456" max="9706" width="9.140625" style="340"/>
    <col min="9707" max="9707" width="25.5703125" style="340" customWidth="1"/>
    <col min="9708" max="9708" width="17.140625" style="340" customWidth="1"/>
    <col min="9709" max="9709" width="14" style="340" customWidth="1"/>
    <col min="9710" max="9710" width="13.7109375" style="340" customWidth="1"/>
    <col min="9711" max="9711" width="16.85546875" style="340" customWidth="1"/>
    <col min="9712" max="9962" width="9.140625" style="340"/>
    <col min="9963" max="9963" width="25.5703125" style="340" customWidth="1"/>
    <col min="9964" max="9964" width="17.140625" style="340" customWidth="1"/>
    <col min="9965" max="9965" width="14" style="340" customWidth="1"/>
    <col min="9966" max="9966" width="13.7109375" style="340" customWidth="1"/>
    <col min="9967" max="9967" width="16.85546875" style="340" customWidth="1"/>
    <col min="9968" max="10218" width="9.140625" style="340"/>
    <col min="10219" max="10219" width="25.5703125" style="340" customWidth="1"/>
    <col min="10220" max="10220" width="17.140625" style="340" customWidth="1"/>
    <col min="10221" max="10221" width="14" style="340" customWidth="1"/>
    <col min="10222" max="10222" width="13.7109375" style="340" customWidth="1"/>
    <col min="10223" max="10223" width="16.85546875" style="340" customWidth="1"/>
    <col min="10224" max="10474" width="9.140625" style="340"/>
    <col min="10475" max="10475" width="25.5703125" style="340" customWidth="1"/>
    <col min="10476" max="10476" width="17.140625" style="340" customWidth="1"/>
    <col min="10477" max="10477" width="14" style="340" customWidth="1"/>
    <col min="10478" max="10478" width="13.7109375" style="340" customWidth="1"/>
    <col min="10479" max="10479" width="16.85546875" style="340" customWidth="1"/>
    <col min="10480" max="10730" width="9.140625" style="340"/>
    <col min="10731" max="10731" width="25.5703125" style="340" customWidth="1"/>
    <col min="10732" max="10732" width="17.140625" style="340" customWidth="1"/>
    <col min="10733" max="10733" width="14" style="340" customWidth="1"/>
    <col min="10734" max="10734" width="13.7109375" style="340" customWidth="1"/>
    <col min="10735" max="10735" width="16.85546875" style="340" customWidth="1"/>
    <col min="10736" max="10986" width="9.140625" style="340"/>
    <col min="10987" max="10987" width="25.5703125" style="340" customWidth="1"/>
    <col min="10988" max="10988" width="17.140625" style="340" customWidth="1"/>
    <col min="10989" max="10989" width="14" style="340" customWidth="1"/>
    <col min="10990" max="10990" width="13.7109375" style="340" customWidth="1"/>
    <col min="10991" max="10991" width="16.85546875" style="340" customWidth="1"/>
    <col min="10992" max="11242" width="9.140625" style="340"/>
    <col min="11243" max="11243" width="25.5703125" style="340" customWidth="1"/>
    <col min="11244" max="11244" width="17.140625" style="340" customWidth="1"/>
    <col min="11245" max="11245" width="14" style="340" customWidth="1"/>
    <col min="11246" max="11246" width="13.7109375" style="340" customWidth="1"/>
    <col min="11247" max="11247" width="16.85546875" style="340" customWidth="1"/>
    <col min="11248" max="11498" width="9.140625" style="340"/>
    <col min="11499" max="11499" width="25.5703125" style="340" customWidth="1"/>
    <col min="11500" max="11500" width="17.140625" style="340" customWidth="1"/>
    <col min="11501" max="11501" width="14" style="340" customWidth="1"/>
    <col min="11502" max="11502" width="13.7109375" style="340" customWidth="1"/>
    <col min="11503" max="11503" width="16.85546875" style="340" customWidth="1"/>
    <col min="11504" max="11754" width="9.140625" style="340"/>
    <col min="11755" max="11755" width="25.5703125" style="340" customWidth="1"/>
    <col min="11756" max="11756" width="17.140625" style="340" customWidth="1"/>
    <col min="11757" max="11757" width="14" style="340" customWidth="1"/>
    <col min="11758" max="11758" width="13.7109375" style="340" customWidth="1"/>
    <col min="11759" max="11759" width="16.85546875" style="340" customWidth="1"/>
    <col min="11760" max="12010" width="9.140625" style="340"/>
    <col min="12011" max="12011" width="25.5703125" style="340" customWidth="1"/>
    <col min="12012" max="12012" width="17.140625" style="340" customWidth="1"/>
    <col min="12013" max="12013" width="14" style="340" customWidth="1"/>
    <col min="12014" max="12014" width="13.7109375" style="340" customWidth="1"/>
    <col min="12015" max="12015" width="16.85546875" style="340" customWidth="1"/>
    <col min="12016" max="12266" width="9.140625" style="340"/>
    <col min="12267" max="12267" width="25.5703125" style="340" customWidth="1"/>
    <col min="12268" max="12268" width="17.140625" style="340" customWidth="1"/>
    <col min="12269" max="12269" width="14" style="340" customWidth="1"/>
    <col min="12270" max="12270" width="13.7109375" style="340" customWidth="1"/>
    <col min="12271" max="12271" width="16.85546875" style="340" customWidth="1"/>
    <col min="12272" max="12522" width="9.140625" style="340"/>
    <col min="12523" max="12523" width="25.5703125" style="340" customWidth="1"/>
    <col min="12524" max="12524" width="17.140625" style="340" customWidth="1"/>
    <col min="12525" max="12525" width="14" style="340" customWidth="1"/>
    <col min="12526" max="12526" width="13.7109375" style="340" customWidth="1"/>
    <col min="12527" max="12527" width="16.85546875" style="340" customWidth="1"/>
    <col min="12528" max="12778" width="9.140625" style="340"/>
    <col min="12779" max="12779" width="25.5703125" style="340" customWidth="1"/>
    <col min="12780" max="12780" width="17.140625" style="340" customWidth="1"/>
    <col min="12781" max="12781" width="14" style="340" customWidth="1"/>
    <col min="12782" max="12782" width="13.7109375" style="340" customWidth="1"/>
    <col min="12783" max="12783" width="16.85546875" style="340" customWidth="1"/>
    <col min="12784" max="13034" width="9.140625" style="340"/>
    <col min="13035" max="13035" width="25.5703125" style="340" customWidth="1"/>
    <col min="13036" max="13036" width="17.140625" style="340" customWidth="1"/>
    <col min="13037" max="13037" width="14" style="340" customWidth="1"/>
    <col min="13038" max="13038" width="13.7109375" style="340" customWidth="1"/>
    <col min="13039" max="13039" width="16.85546875" style="340" customWidth="1"/>
    <col min="13040" max="13290" width="9.140625" style="340"/>
    <col min="13291" max="13291" width="25.5703125" style="340" customWidth="1"/>
    <col min="13292" max="13292" width="17.140625" style="340" customWidth="1"/>
    <col min="13293" max="13293" width="14" style="340" customWidth="1"/>
    <col min="13294" max="13294" width="13.7109375" style="340" customWidth="1"/>
    <col min="13295" max="13295" width="16.85546875" style="340" customWidth="1"/>
    <col min="13296" max="13546" width="9.140625" style="340"/>
    <col min="13547" max="13547" width="25.5703125" style="340" customWidth="1"/>
    <col min="13548" max="13548" width="17.140625" style="340" customWidth="1"/>
    <col min="13549" max="13549" width="14" style="340" customWidth="1"/>
    <col min="13550" max="13550" width="13.7109375" style="340" customWidth="1"/>
    <col min="13551" max="13551" width="16.85546875" style="340" customWidth="1"/>
    <col min="13552" max="13802" width="9.140625" style="340"/>
    <col min="13803" max="13803" width="25.5703125" style="340" customWidth="1"/>
    <col min="13804" max="13804" width="17.140625" style="340" customWidth="1"/>
    <col min="13805" max="13805" width="14" style="340" customWidth="1"/>
    <col min="13806" max="13806" width="13.7109375" style="340" customWidth="1"/>
    <col min="13807" max="13807" width="16.85546875" style="340" customWidth="1"/>
    <col min="13808" max="14058" width="9.140625" style="340"/>
    <col min="14059" max="14059" width="25.5703125" style="340" customWidth="1"/>
    <col min="14060" max="14060" width="17.140625" style="340" customWidth="1"/>
    <col min="14061" max="14061" width="14" style="340" customWidth="1"/>
    <col min="14062" max="14062" width="13.7109375" style="340" customWidth="1"/>
    <col min="14063" max="14063" width="16.85546875" style="340" customWidth="1"/>
    <col min="14064" max="14314" width="9.140625" style="340"/>
    <col min="14315" max="14315" width="25.5703125" style="340" customWidth="1"/>
    <col min="14316" max="14316" width="17.140625" style="340" customWidth="1"/>
    <col min="14317" max="14317" width="14" style="340" customWidth="1"/>
    <col min="14318" max="14318" width="13.7109375" style="340" customWidth="1"/>
    <col min="14319" max="14319" width="16.85546875" style="340" customWidth="1"/>
    <col min="14320" max="14570" width="9.140625" style="340"/>
    <col min="14571" max="14571" width="25.5703125" style="340" customWidth="1"/>
    <col min="14572" max="14572" width="17.140625" style="340" customWidth="1"/>
    <col min="14573" max="14573" width="14" style="340" customWidth="1"/>
    <col min="14574" max="14574" width="13.7109375" style="340" customWidth="1"/>
    <col min="14575" max="14575" width="16.85546875" style="340" customWidth="1"/>
    <col min="14576" max="14826" width="9.140625" style="340"/>
    <col min="14827" max="14827" width="25.5703125" style="340" customWidth="1"/>
    <col min="14828" max="14828" width="17.140625" style="340" customWidth="1"/>
    <col min="14829" max="14829" width="14" style="340" customWidth="1"/>
    <col min="14830" max="14830" width="13.7109375" style="340" customWidth="1"/>
    <col min="14831" max="14831" width="16.85546875" style="340" customWidth="1"/>
    <col min="14832" max="15082" width="9.140625" style="340"/>
    <col min="15083" max="15083" width="25.5703125" style="340" customWidth="1"/>
    <col min="15084" max="15084" width="17.140625" style="340" customWidth="1"/>
    <col min="15085" max="15085" width="14" style="340" customWidth="1"/>
    <col min="15086" max="15086" width="13.7109375" style="340" customWidth="1"/>
    <col min="15087" max="15087" width="16.85546875" style="340" customWidth="1"/>
    <col min="15088" max="15338" width="9.140625" style="340"/>
    <col min="15339" max="15339" width="25.5703125" style="340" customWidth="1"/>
    <col min="15340" max="15340" width="17.140625" style="340" customWidth="1"/>
    <col min="15341" max="15341" width="14" style="340" customWidth="1"/>
    <col min="15342" max="15342" width="13.7109375" style="340" customWidth="1"/>
    <col min="15343" max="15343" width="16.85546875" style="340" customWidth="1"/>
    <col min="15344" max="15594" width="9.140625" style="340"/>
    <col min="15595" max="15595" width="25.5703125" style="340" customWidth="1"/>
    <col min="15596" max="15596" width="17.140625" style="340" customWidth="1"/>
    <col min="15597" max="15597" width="14" style="340" customWidth="1"/>
    <col min="15598" max="15598" width="13.7109375" style="340" customWidth="1"/>
    <col min="15599" max="15599" width="16.85546875" style="340" customWidth="1"/>
    <col min="15600" max="15850" width="9.140625" style="340"/>
    <col min="15851" max="15851" width="25.5703125" style="340" customWidth="1"/>
    <col min="15852" max="15852" width="17.140625" style="340" customWidth="1"/>
    <col min="15853" max="15853" width="14" style="340" customWidth="1"/>
    <col min="15854" max="15854" width="13.7109375" style="340" customWidth="1"/>
    <col min="15855" max="15855" width="16.85546875" style="340" customWidth="1"/>
    <col min="15856" max="16106" width="9.140625" style="340"/>
    <col min="16107" max="16107" width="25.5703125" style="340" customWidth="1"/>
    <col min="16108" max="16108" width="17.140625" style="340" customWidth="1"/>
    <col min="16109" max="16109" width="14" style="340" customWidth="1"/>
    <col min="16110" max="16110" width="13.7109375" style="340" customWidth="1"/>
    <col min="16111" max="16111" width="16.85546875" style="340" customWidth="1"/>
    <col min="16112" max="16384" width="9.140625" style="340"/>
  </cols>
  <sheetData>
    <row r="2" spans="2:14" ht="13.5" thickBot="1" x14ac:dyDescent="0.25"/>
    <row r="3" spans="2:14" ht="27" thickBot="1" x14ac:dyDescent="0.3">
      <c r="B3" s="921"/>
      <c r="C3" s="920" t="s">
        <v>265</v>
      </c>
      <c r="D3" s="920" t="s">
        <v>537</v>
      </c>
      <c r="E3" s="919" t="s">
        <v>536</v>
      </c>
      <c r="F3" s="953"/>
      <c r="H3" s="1803" t="s">
        <v>349</v>
      </c>
      <c r="I3" s="1804"/>
      <c r="J3" s="1804"/>
      <c r="K3" s="1805"/>
    </row>
    <row r="4" spans="2:14" ht="15.75" thickBot="1" x14ac:dyDescent="0.3">
      <c r="B4" s="743" t="s">
        <v>586</v>
      </c>
      <c r="C4" s="952">
        <v>2953.38</v>
      </c>
      <c r="D4" s="1500">
        <f>K28</f>
        <v>3125.7162991274918</v>
      </c>
      <c r="E4" s="561">
        <f>(D4-C4)/C4</f>
        <v>5.8352226644553577E-2</v>
      </c>
      <c r="F4" s="950"/>
      <c r="H4" s="927" t="s">
        <v>585</v>
      </c>
      <c r="I4" s="949">
        <v>11</v>
      </c>
      <c r="J4" s="948"/>
      <c r="K4" s="947"/>
    </row>
    <row r="5" spans="2:14" ht="15.75" thickBot="1" x14ac:dyDescent="0.3">
      <c r="H5" s="927"/>
      <c r="I5" s="946" t="s">
        <v>331</v>
      </c>
      <c r="J5" s="945" t="s">
        <v>334</v>
      </c>
      <c r="K5" s="944" t="s">
        <v>458</v>
      </c>
    </row>
    <row r="6" spans="2:14" ht="15" x14ac:dyDescent="0.25">
      <c r="G6" s="340">
        <v>1</v>
      </c>
      <c r="H6" s="879" t="str">
        <f>IF(INDEX('Master Lookup'!$B$404:$B$406,G6)=0,"",INDEX('Master Lookup'!$B$404:$B$406,G6))</f>
        <v>Management</v>
      </c>
      <c r="I6" s="1136">
        <f>'M2024 BLS SALARY CHART (53_PCT)'!C22</f>
        <v>81486.911999999997</v>
      </c>
      <c r="J6" s="913">
        <f>IFERROR(INDEX('Master Lookup'!$E$404:$E$406,MATCH(H6,'Master Lookup'!$B$404:$B$406,0)),"")</f>
        <v>0.01</v>
      </c>
      <c r="K6" s="943">
        <f>I6*J6</f>
        <v>814.86911999999995</v>
      </c>
    </row>
    <row r="7" spans="2:14" ht="15" x14ac:dyDescent="0.25">
      <c r="G7" s="340">
        <v>2</v>
      </c>
      <c r="H7" s="879" t="str">
        <f>IF(INDEX('Master Lookup'!$B$404:$B$406,G7)=0,"",INDEX('Master Lookup'!$B$404:$B$406,G7))</f>
        <v>Case Manager</v>
      </c>
      <c r="I7" s="1136">
        <f>'M2024 BLS SALARY CHART (53_PCT)'!C14</f>
        <v>75175.152000000002</v>
      </c>
      <c r="J7" s="913">
        <f>IFERROR(INDEX('Master Lookup'!$E$404:$E$406,MATCH(H7,'Master Lookup'!$B$404:$B$406,0)),"")</f>
        <v>0.09</v>
      </c>
      <c r="K7" s="942">
        <f>I7*J7</f>
        <v>6765.76368</v>
      </c>
    </row>
    <row r="8" spans="2:14" ht="15" x14ac:dyDescent="0.25">
      <c r="G8" s="340">
        <v>3</v>
      </c>
      <c r="H8" s="879" t="str">
        <f>IF(INDEX('Master Lookup'!$B$404:$B$406,G8)=0,"",INDEX('Master Lookup'!$B$404:$B$406,G8))</f>
        <v>Direct Care Staffing</v>
      </c>
      <c r="I8" s="1136">
        <f>'M2024 BLS SALARY CHART (53_PCT)'!C8</f>
        <v>56388.633600000001</v>
      </c>
      <c r="J8" s="913">
        <f>IFERROR(INDEX('Master Lookup'!$E$404:$E$406,MATCH(H8,'Master Lookup'!$B$404:$B$406,0)),"")</f>
        <v>0.1</v>
      </c>
      <c r="K8" s="942">
        <f>I8*J8</f>
        <v>5638.8633600000003</v>
      </c>
    </row>
    <row r="9" spans="2:14" ht="15" hidden="1" x14ac:dyDescent="0.25">
      <c r="H9" s="297"/>
      <c r="I9" s="941"/>
      <c r="J9" s="295"/>
      <c r="K9" s="940"/>
    </row>
    <row r="10" spans="2:14" ht="15" x14ac:dyDescent="0.25">
      <c r="H10" s="939" t="s">
        <v>457</v>
      </c>
      <c r="I10" s="938"/>
      <c r="J10" s="937">
        <f>SUM(J6:J9)</f>
        <v>0.2</v>
      </c>
      <c r="K10" s="936">
        <f>SUM(K6:K9)</f>
        <v>13219.496160000001</v>
      </c>
    </row>
    <row r="11" spans="2:14" ht="15" x14ac:dyDescent="0.25">
      <c r="H11" s="671" t="s">
        <v>322</v>
      </c>
      <c r="I11" s="935"/>
      <c r="J11" s="233">
        <f>'Master Lookup FY26'!C49</f>
        <v>0.24970000000000001</v>
      </c>
      <c r="K11" s="934">
        <f>K10*J11</f>
        <v>3300.9081911520002</v>
      </c>
    </row>
    <row r="12" spans="2:14" ht="15.75" thickBot="1" x14ac:dyDescent="0.3">
      <c r="H12" s="877" t="s">
        <v>550</v>
      </c>
      <c r="I12" s="933"/>
      <c r="J12" s="933"/>
      <c r="K12" s="932">
        <f>SUM(K10:K11)</f>
        <v>16520.404351151999</v>
      </c>
    </row>
    <row r="13" spans="2:14" ht="15.75" thickTop="1" x14ac:dyDescent="0.25">
      <c r="H13" s="667"/>
      <c r="I13" s="931"/>
      <c r="J13" s="931"/>
      <c r="K13" s="930"/>
    </row>
    <row r="14" spans="2:14" ht="15" x14ac:dyDescent="0.25">
      <c r="H14" s="667" t="s">
        <v>326</v>
      </c>
      <c r="I14" s="856"/>
      <c r="J14" s="880"/>
      <c r="K14" s="742"/>
      <c r="N14" s="344">
        <v>2.7099999999999999E-2</v>
      </c>
    </row>
    <row r="15" spans="2:14" ht="15" x14ac:dyDescent="0.25">
      <c r="G15" s="340">
        <v>1</v>
      </c>
      <c r="H15" s="879" t="str">
        <f>IF(INDEX('Master Lookup'!$B$412:$B$423,G15)=0,"",INDEX('Master Lookup'!$B$412:$B$423,G15))</f>
        <v>Total Occupancy</v>
      </c>
      <c r="I15" s="616"/>
      <c r="J15" s="914"/>
      <c r="K15" s="929">
        <v>6390.54014758825</v>
      </c>
      <c r="M15" s="800">
        <v>6221.9259542286536</v>
      </c>
      <c r="N15" s="811">
        <f>M15*(1+$N$14)</f>
        <v>6390.54014758825</v>
      </c>
    </row>
    <row r="16" spans="2:14" ht="15" x14ac:dyDescent="0.25">
      <c r="G16" s="340">
        <v>2</v>
      </c>
      <c r="H16" s="879" t="str">
        <f>IF(INDEX('Master Lookup'!$B$412:$B$423,G16)=0,"",INDEX('Master Lookup'!$B$412:$B$423,G16))</f>
        <v>Staff Training 204</v>
      </c>
      <c r="I16" s="616"/>
      <c r="J16" s="914"/>
      <c r="K16" s="929">
        <v>207.88230959571095</v>
      </c>
      <c r="M16" s="800">
        <v>202.39734163733908</v>
      </c>
      <c r="N16" s="811">
        <f t="shared" ref="N16:N21" si="0">M16*(1+$N$14)</f>
        <v>207.88230959571095</v>
      </c>
    </row>
    <row r="17" spans="5:17" ht="15" x14ac:dyDescent="0.25">
      <c r="G17" s="340">
        <v>3</v>
      </c>
      <c r="H17" s="879" t="str">
        <f>IF(INDEX('Master Lookup'!$B$412:$B$423,G17)=0,"",INDEX('Master Lookup'!$B$412:$B$423,G17))</f>
        <v>Staff Mileage / Travel 205</v>
      </c>
      <c r="I17" s="616"/>
      <c r="J17" s="914"/>
      <c r="K17" s="929">
        <v>846.07499062274758</v>
      </c>
      <c r="M17" s="800">
        <v>823.75132959083601</v>
      </c>
      <c r="N17" s="811">
        <f t="shared" si="0"/>
        <v>846.07499062274758</v>
      </c>
    </row>
    <row r="18" spans="5:17" ht="15" x14ac:dyDescent="0.25">
      <c r="G18" s="340">
        <v>4</v>
      </c>
      <c r="H18" s="879" t="str">
        <f>IF(INDEX('Master Lookup'!$B$412:$B$423,G18)=0,"",INDEX('Master Lookup'!$B$412:$B$423,G18))</f>
        <v>Meals 207</v>
      </c>
      <c r="I18" s="616"/>
      <c r="J18" s="914"/>
      <c r="K18" s="929">
        <v>745.95008429529196</v>
      </c>
      <c r="M18" s="800">
        <v>726.26821565114597</v>
      </c>
      <c r="N18" s="811">
        <f t="shared" si="0"/>
        <v>745.95008429529196</v>
      </c>
    </row>
    <row r="19" spans="5:17" ht="15" x14ac:dyDescent="0.25">
      <c r="G19" s="340">
        <v>5</v>
      </c>
      <c r="H19" s="879" t="str">
        <f>IF(INDEX('Master Lookup'!$B$412:$B$423,G19)=0,"",INDEX('Master Lookup'!$B$412:$B$423,G19))</f>
        <v>Client Transportation 208</v>
      </c>
      <c r="I19" s="616"/>
      <c r="J19" s="914"/>
      <c r="K19" s="929">
        <v>1788.8934173999289</v>
      </c>
      <c r="M19" s="800">
        <v>1741.693522928565</v>
      </c>
      <c r="N19" s="811">
        <f t="shared" si="0"/>
        <v>1788.8934173999289</v>
      </c>
    </row>
    <row r="20" spans="5:17" ht="15" x14ac:dyDescent="0.25">
      <c r="E20" s="917"/>
      <c r="F20" s="917"/>
      <c r="G20" s="340">
        <v>6</v>
      </c>
      <c r="H20" s="879" t="str">
        <f>IF(INDEX('Master Lookup'!$B$412:$B$423,G20)=0,"",INDEX('Master Lookup'!$B$412:$B$423,G20))</f>
        <v>Client Personal Allowances 211</v>
      </c>
      <c r="I20" s="616"/>
      <c r="J20" s="914"/>
      <c r="K20" s="929">
        <v>1908.6372594330958</v>
      </c>
      <c r="M20" s="800">
        <v>1858.2779275952644</v>
      </c>
      <c r="N20" s="811">
        <f t="shared" si="0"/>
        <v>1908.6372594330958</v>
      </c>
    </row>
    <row r="21" spans="5:17" ht="15" x14ac:dyDescent="0.25">
      <c r="E21" s="917"/>
      <c r="F21" s="917"/>
      <c r="G21" s="340">
        <v>7</v>
      </c>
      <c r="H21" s="879" t="str">
        <f>IF(INDEX('Master Lookup'!$B$412:$B$423,G21)=0,"",INDEX('Master Lookup'!$B$412:$B$423,G21))</f>
        <v>Program Supplies &amp; Materials 215</v>
      </c>
      <c r="I21" s="616"/>
      <c r="J21" s="914"/>
      <c r="K21" s="929">
        <v>1533.6209486198659</v>
      </c>
      <c r="M21" s="800">
        <v>1493.1564099112707</v>
      </c>
      <c r="N21" s="811">
        <f t="shared" si="0"/>
        <v>1533.6209486198659</v>
      </c>
    </row>
    <row r="22" spans="5:17" ht="15.75" thickBot="1" x14ac:dyDescent="0.3">
      <c r="E22" s="917"/>
      <c r="F22" s="917"/>
      <c r="H22" s="877" t="s">
        <v>492</v>
      </c>
      <c r="I22" s="876"/>
      <c r="J22" s="876"/>
      <c r="K22" s="861">
        <f>SUM(K15:K21)</f>
        <v>13421.599157554891</v>
      </c>
    </row>
    <row r="23" spans="5:17" ht="15.75" thickTop="1" x14ac:dyDescent="0.25">
      <c r="E23" s="847"/>
      <c r="F23" s="847"/>
      <c r="H23" s="667"/>
      <c r="I23" s="254"/>
      <c r="J23" s="254"/>
      <c r="K23" s="299"/>
    </row>
    <row r="24" spans="5:17" ht="15" x14ac:dyDescent="0.25">
      <c r="H24" s="372" t="s">
        <v>491</v>
      </c>
      <c r="I24" s="289"/>
      <c r="J24" s="289"/>
      <c r="K24" s="288">
        <f>K22+K12</f>
        <v>29942.00350870689</v>
      </c>
    </row>
    <row r="25" spans="5:17" ht="15" x14ac:dyDescent="0.25">
      <c r="H25" s="127" t="s">
        <v>570</v>
      </c>
      <c r="I25" s="869"/>
      <c r="J25" s="869">
        <f>'Master Lookup'!C422</f>
        <v>0.12</v>
      </c>
      <c r="K25" s="287">
        <f>K24*J25</f>
        <v>3593.0404210448269</v>
      </c>
    </row>
    <row r="26" spans="5:17" ht="15" x14ac:dyDescent="0.25">
      <c r="H26" s="870" t="s">
        <v>569</v>
      </c>
      <c r="I26" s="869"/>
      <c r="J26" s="869">
        <f>'Master Lookup FY26'!C50</f>
        <v>2.5282070971092779E-2</v>
      </c>
      <c r="K26" s="287">
        <f>J26*(K24+K25)</f>
        <v>847.835360650697</v>
      </c>
    </row>
    <row r="27" spans="5:17" ht="15.75" thickBot="1" x14ac:dyDescent="0.3">
      <c r="H27" s="864" t="s">
        <v>568</v>
      </c>
      <c r="I27" s="863"/>
      <c r="J27" s="862"/>
      <c r="K27" s="861">
        <f>SUM(K24:K26)</f>
        <v>34382.879290402409</v>
      </c>
    </row>
    <row r="28" spans="5:17" ht="16.5" customHeight="1" thickTop="1" thickBot="1" x14ac:dyDescent="0.3">
      <c r="H28" s="868" t="s">
        <v>584</v>
      </c>
      <c r="I28" s="867"/>
      <c r="J28" s="866"/>
      <c r="K28" s="928">
        <f>K27/I4</f>
        <v>3125.7162991274918</v>
      </c>
      <c r="L28" s="1499" t="s">
        <v>797</v>
      </c>
      <c r="O28" s="1499"/>
      <c r="P28" s="1499"/>
      <c r="Q28" s="1499"/>
    </row>
    <row r="29" spans="5:17" x14ac:dyDescent="0.2">
      <c r="N29" s="1499"/>
      <c r="O29" s="1499"/>
      <c r="P29" s="1499"/>
      <c r="Q29" s="1499"/>
    </row>
    <row r="30" spans="5:17" ht="13.5" thickBot="1" x14ac:dyDescent="0.25">
      <c r="E30" s="344"/>
      <c r="F30" s="344"/>
      <c r="N30" s="1499"/>
      <c r="O30" s="1499"/>
      <c r="P30" s="1499"/>
      <c r="Q30" s="1499"/>
    </row>
    <row r="31" spans="5:17" ht="15.75" thickBot="1" x14ac:dyDescent="0.3">
      <c r="H31" s="927" t="s">
        <v>583</v>
      </c>
      <c r="I31" s="926" t="s">
        <v>582</v>
      </c>
      <c r="J31" s="925" t="s">
        <v>581</v>
      </c>
    </row>
    <row r="32" spans="5:17" ht="15.75" thickBot="1" x14ac:dyDescent="0.3">
      <c r="H32" s="924" t="s">
        <v>580</v>
      </c>
      <c r="I32" s="923">
        <v>140.77000000000001</v>
      </c>
      <c r="J32" s="922">
        <f>I32*(J26+1)</f>
        <v>144.32895713060074</v>
      </c>
    </row>
    <row r="50" spans="7:9" x14ac:dyDescent="0.2">
      <c r="H50" s="477">
        <v>2022</v>
      </c>
      <c r="I50" s="477">
        <v>2024</v>
      </c>
    </row>
    <row r="51" spans="7:9" x14ac:dyDescent="0.2">
      <c r="H51" s="340">
        <v>137.06</v>
      </c>
      <c r="I51" s="340">
        <v>140.77000000000001</v>
      </c>
    </row>
    <row r="52" spans="7:9" x14ac:dyDescent="0.2">
      <c r="G52" s="477">
        <v>2020</v>
      </c>
    </row>
    <row r="53" spans="7:9" x14ac:dyDescent="0.2">
      <c r="G53" s="800" t="e">
        <f>(#REF!*#REF!)+#REF!</f>
        <v>#REF!</v>
      </c>
    </row>
  </sheetData>
  <mergeCells count="1">
    <mergeCell ref="H3:K3"/>
  </mergeCells>
  <pageMargins left="0.7" right="0.7" top="0.75" bottom="0.75" header="0.3" footer="0.3"/>
  <pageSetup scale="6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6B71A-723D-4709-B573-4A6EC506D16D}">
  <sheetPr>
    <pageSetUpPr fitToPage="1"/>
  </sheetPr>
  <dimension ref="B2:N38"/>
  <sheetViews>
    <sheetView zoomScaleNormal="100" workbookViewId="0">
      <selection activeCell="I50" sqref="I50"/>
    </sheetView>
  </sheetViews>
  <sheetFormatPr defaultRowHeight="12.75" x14ac:dyDescent="0.2"/>
  <cols>
    <col min="1" max="2" width="9.140625" style="340"/>
    <col min="3" max="3" width="10" style="340" customWidth="1"/>
    <col min="4" max="4" width="10.28515625" style="340" customWidth="1"/>
    <col min="5" max="6" width="8" style="340" customWidth="1"/>
    <col min="7" max="7" width="9.140625" style="340" customWidth="1"/>
    <col min="8" max="8" width="29.7109375" style="340" bestFit="1" customWidth="1"/>
    <col min="9" max="9" width="20.140625" style="340" customWidth="1"/>
    <col min="10" max="233" width="9.140625" style="340"/>
    <col min="234" max="234" width="30.42578125" style="340" customWidth="1"/>
    <col min="235" max="237" width="9.140625" style="340"/>
    <col min="238" max="238" width="15.5703125" style="340" customWidth="1"/>
    <col min="239" max="489" width="9.140625" style="340"/>
    <col min="490" max="490" width="30.42578125" style="340" customWidth="1"/>
    <col min="491" max="493" width="9.140625" style="340"/>
    <col min="494" max="494" width="15.5703125" style="340" customWidth="1"/>
    <col min="495" max="745" width="9.140625" style="340"/>
    <col min="746" max="746" width="30.42578125" style="340" customWidth="1"/>
    <col min="747" max="749" width="9.140625" style="340"/>
    <col min="750" max="750" width="15.5703125" style="340" customWidth="1"/>
    <col min="751" max="1001" width="9.140625" style="340"/>
    <col min="1002" max="1002" width="30.42578125" style="340" customWidth="1"/>
    <col min="1003" max="1005" width="9.140625" style="340"/>
    <col min="1006" max="1006" width="15.5703125" style="340" customWidth="1"/>
    <col min="1007" max="1257" width="9.140625" style="340"/>
    <col min="1258" max="1258" width="30.42578125" style="340" customWidth="1"/>
    <col min="1259" max="1261" width="9.140625" style="340"/>
    <col min="1262" max="1262" width="15.5703125" style="340" customWidth="1"/>
    <col min="1263" max="1513" width="9.140625" style="340"/>
    <col min="1514" max="1514" width="30.42578125" style="340" customWidth="1"/>
    <col min="1515" max="1517" width="9.140625" style="340"/>
    <col min="1518" max="1518" width="15.5703125" style="340" customWidth="1"/>
    <col min="1519" max="1769" width="9.140625" style="340"/>
    <col min="1770" max="1770" width="30.42578125" style="340" customWidth="1"/>
    <col min="1771" max="1773" width="9.140625" style="340"/>
    <col min="1774" max="1774" width="15.5703125" style="340" customWidth="1"/>
    <col min="1775" max="2025" width="9.140625" style="340"/>
    <col min="2026" max="2026" width="30.42578125" style="340" customWidth="1"/>
    <col min="2027" max="2029" width="9.140625" style="340"/>
    <col min="2030" max="2030" width="15.5703125" style="340" customWidth="1"/>
    <col min="2031" max="2281" width="9.140625" style="340"/>
    <col min="2282" max="2282" width="30.42578125" style="340" customWidth="1"/>
    <col min="2283" max="2285" width="9.140625" style="340"/>
    <col min="2286" max="2286" width="15.5703125" style="340" customWidth="1"/>
    <col min="2287" max="2537" width="9.140625" style="340"/>
    <col min="2538" max="2538" width="30.42578125" style="340" customWidth="1"/>
    <col min="2539" max="2541" width="9.140625" style="340"/>
    <col min="2542" max="2542" width="15.5703125" style="340" customWidth="1"/>
    <col min="2543" max="2793" width="9.140625" style="340"/>
    <col min="2794" max="2794" width="30.42578125" style="340" customWidth="1"/>
    <col min="2795" max="2797" width="9.140625" style="340"/>
    <col min="2798" max="2798" width="15.5703125" style="340" customWidth="1"/>
    <col min="2799" max="3049" width="9.140625" style="340"/>
    <col min="3050" max="3050" width="30.42578125" style="340" customWidth="1"/>
    <col min="3051" max="3053" width="9.140625" style="340"/>
    <col min="3054" max="3054" width="15.5703125" style="340" customWidth="1"/>
    <col min="3055" max="3305" width="9.140625" style="340"/>
    <col min="3306" max="3306" width="30.42578125" style="340" customWidth="1"/>
    <col min="3307" max="3309" width="9.140625" style="340"/>
    <col min="3310" max="3310" width="15.5703125" style="340" customWidth="1"/>
    <col min="3311" max="3561" width="9.140625" style="340"/>
    <col min="3562" max="3562" width="30.42578125" style="340" customWidth="1"/>
    <col min="3563" max="3565" width="9.140625" style="340"/>
    <col min="3566" max="3566" width="15.5703125" style="340" customWidth="1"/>
    <col min="3567" max="3817" width="9.140625" style="340"/>
    <col min="3818" max="3818" width="30.42578125" style="340" customWidth="1"/>
    <col min="3819" max="3821" width="9.140625" style="340"/>
    <col min="3822" max="3822" width="15.5703125" style="340" customWidth="1"/>
    <col min="3823" max="4073" width="9.140625" style="340"/>
    <col min="4074" max="4074" width="30.42578125" style="340" customWidth="1"/>
    <col min="4075" max="4077" width="9.140625" style="340"/>
    <col min="4078" max="4078" width="15.5703125" style="340" customWidth="1"/>
    <col min="4079" max="4329" width="9.140625" style="340"/>
    <col min="4330" max="4330" width="30.42578125" style="340" customWidth="1"/>
    <col min="4331" max="4333" width="9.140625" style="340"/>
    <col min="4334" max="4334" width="15.5703125" style="340" customWidth="1"/>
    <col min="4335" max="4585" width="9.140625" style="340"/>
    <col min="4586" max="4586" width="30.42578125" style="340" customWidth="1"/>
    <col min="4587" max="4589" width="9.140625" style="340"/>
    <col min="4590" max="4590" width="15.5703125" style="340" customWidth="1"/>
    <col min="4591" max="4841" width="9.140625" style="340"/>
    <col min="4842" max="4842" width="30.42578125" style="340" customWidth="1"/>
    <col min="4843" max="4845" width="9.140625" style="340"/>
    <col min="4846" max="4846" width="15.5703125" style="340" customWidth="1"/>
    <col min="4847" max="5097" width="9.140625" style="340"/>
    <col min="5098" max="5098" width="30.42578125" style="340" customWidth="1"/>
    <col min="5099" max="5101" width="9.140625" style="340"/>
    <col min="5102" max="5102" width="15.5703125" style="340" customWidth="1"/>
    <col min="5103" max="5353" width="9.140625" style="340"/>
    <col min="5354" max="5354" width="30.42578125" style="340" customWidth="1"/>
    <col min="5355" max="5357" width="9.140625" style="340"/>
    <col min="5358" max="5358" width="15.5703125" style="340" customWidth="1"/>
    <col min="5359" max="5609" width="9.140625" style="340"/>
    <col min="5610" max="5610" width="30.42578125" style="340" customWidth="1"/>
    <col min="5611" max="5613" width="9.140625" style="340"/>
    <col min="5614" max="5614" width="15.5703125" style="340" customWidth="1"/>
    <col min="5615" max="5865" width="9.140625" style="340"/>
    <col min="5866" max="5866" width="30.42578125" style="340" customWidth="1"/>
    <col min="5867" max="5869" width="9.140625" style="340"/>
    <col min="5870" max="5870" width="15.5703125" style="340" customWidth="1"/>
    <col min="5871" max="6121" width="9.140625" style="340"/>
    <col min="6122" max="6122" width="30.42578125" style="340" customWidth="1"/>
    <col min="6123" max="6125" width="9.140625" style="340"/>
    <col min="6126" max="6126" width="15.5703125" style="340" customWidth="1"/>
    <col min="6127" max="6377" width="9.140625" style="340"/>
    <col min="6378" max="6378" width="30.42578125" style="340" customWidth="1"/>
    <col min="6379" max="6381" width="9.140625" style="340"/>
    <col min="6382" max="6382" width="15.5703125" style="340" customWidth="1"/>
    <col min="6383" max="6633" width="9.140625" style="340"/>
    <col min="6634" max="6634" width="30.42578125" style="340" customWidth="1"/>
    <col min="6635" max="6637" width="9.140625" style="340"/>
    <col min="6638" max="6638" width="15.5703125" style="340" customWidth="1"/>
    <col min="6639" max="6889" width="9.140625" style="340"/>
    <col min="6890" max="6890" width="30.42578125" style="340" customWidth="1"/>
    <col min="6891" max="6893" width="9.140625" style="340"/>
    <col min="6894" max="6894" width="15.5703125" style="340" customWidth="1"/>
    <col min="6895" max="7145" width="9.140625" style="340"/>
    <col min="7146" max="7146" width="30.42578125" style="340" customWidth="1"/>
    <col min="7147" max="7149" width="9.140625" style="340"/>
    <col min="7150" max="7150" width="15.5703125" style="340" customWidth="1"/>
    <col min="7151" max="7401" width="9.140625" style="340"/>
    <col min="7402" max="7402" width="30.42578125" style="340" customWidth="1"/>
    <col min="7403" max="7405" width="9.140625" style="340"/>
    <col min="7406" max="7406" width="15.5703125" style="340" customWidth="1"/>
    <col min="7407" max="7657" width="9.140625" style="340"/>
    <col min="7658" max="7658" width="30.42578125" style="340" customWidth="1"/>
    <col min="7659" max="7661" width="9.140625" style="340"/>
    <col min="7662" max="7662" width="15.5703125" style="340" customWidth="1"/>
    <col min="7663" max="7913" width="9.140625" style="340"/>
    <col min="7914" max="7914" width="30.42578125" style="340" customWidth="1"/>
    <col min="7915" max="7917" width="9.140625" style="340"/>
    <col min="7918" max="7918" width="15.5703125" style="340" customWidth="1"/>
    <col min="7919" max="8169" width="9.140625" style="340"/>
    <col min="8170" max="8170" width="30.42578125" style="340" customWidth="1"/>
    <col min="8171" max="8173" width="9.140625" style="340"/>
    <col min="8174" max="8174" width="15.5703125" style="340" customWidth="1"/>
    <col min="8175" max="8425" width="9.140625" style="340"/>
    <col min="8426" max="8426" width="30.42578125" style="340" customWidth="1"/>
    <col min="8427" max="8429" width="9.140625" style="340"/>
    <col min="8430" max="8430" width="15.5703125" style="340" customWidth="1"/>
    <col min="8431" max="8681" width="9.140625" style="340"/>
    <col min="8682" max="8682" width="30.42578125" style="340" customWidth="1"/>
    <col min="8683" max="8685" width="9.140625" style="340"/>
    <col min="8686" max="8686" width="15.5703125" style="340" customWidth="1"/>
    <col min="8687" max="8937" width="9.140625" style="340"/>
    <col min="8938" max="8938" width="30.42578125" style="340" customWidth="1"/>
    <col min="8939" max="8941" width="9.140625" style="340"/>
    <col min="8942" max="8942" width="15.5703125" style="340" customWidth="1"/>
    <col min="8943" max="9193" width="9.140625" style="340"/>
    <col min="9194" max="9194" width="30.42578125" style="340" customWidth="1"/>
    <col min="9195" max="9197" width="9.140625" style="340"/>
    <col min="9198" max="9198" width="15.5703125" style="340" customWidth="1"/>
    <col min="9199" max="9449" width="9.140625" style="340"/>
    <col min="9450" max="9450" width="30.42578125" style="340" customWidth="1"/>
    <col min="9451" max="9453" width="9.140625" style="340"/>
    <col min="9454" max="9454" width="15.5703125" style="340" customWidth="1"/>
    <col min="9455" max="9705" width="9.140625" style="340"/>
    <col min="9706" max="9706" width="30.42578125" style="340" customWidth="1"/>
    <col min="9707" max="9709" width="9.140625" style="340"/>
    <col min="9710" max="9710" width="15.5703125" style="340" customWidth="1"/>
    <col min="9711" max="9961" width="9.140625" style="340"/>
    <col min="9962" max="9962" width="30.42578125" style="340" customWidth="1"/>
    <col min="9963" max="9965" width="9.140625" style="340"/>
    <col min="9966" max="9966" width="15.5703125" style="340" customWidth="1"/>
    <col min="9967" max="10217" width="9.140625" style="340"/>
    <col min="10218" max="10218" width="30.42578125" style="340" customWidth="1"/>
    <col min="10219" max="10221" width="9.140625" style="340"/>
    <col min="10222" max="10222" width="15.5703125" style="340" customWidth="1"/>
    <col min="10223" max="10473" width="9.140625" style="340"/>
    <col min="10474" max="10474" width="30.42578125" style="340" customWidth="1"/>
    <col min="10475" max="10477" width="9.140625" style="340"/>
    <col min="10478" max="10478" width="15.5703125" style="340" customWidth="1"/>
    <col min="10479" max="10729" width="9.140625" style="340"/>
    <col min="10730" max="10730" width="30.42578125" style="340" customWidth="1"/>
    <col min="10731" max="10733" width="9.140625" style="340"/>
    <col min="10734" max="10734" width="15.5703125" style="340" customWidth="1"/>
    <col min="10735" max="10985" width="9.140625" style="340"/>
    <col min="10986" max="10986" width="30.42578125" style="340" customWidth="1"/>
    <col min="10987" max="10989" width="9.140625" style="340"/>
    <col min="10990" max="10990" width="15.5703125" style="340" customWidth="1"/>
    <col min="10991" max="11241" width="9.140625" style="340"/>
    <col min="11242" max="11242" width="30.42578125" style="340" customWidth="1"/>
    <col min="11243" max="11245" width="9.140625" style="340"/>
    <col min="11246" max="11246" width="15.5703125" style="340" customWidth="1"/>
    <col min="11247" max="11497" width="9.140625" style="340"/>
    <col min="11498" max="11498" width="30.42578125" style="340" customWidth="1"/>
    <col min="11499" max="11501" width="9.140625" style="340"/>
    <col min="11502" max="11502" width="15.5703125" style="340" customWidth="1"/>
    <col min="11503" max="11753" width="9.140625" style="340"/>
    <col min="11754" max="11754" width="30.42578125" style="340" customWidth="1"/>
    <col min="11755" max="11757" width="9.140625" style="340"/>
    <col min="11758" max="11758" width="15.5703125" style="340" customWidth="1"/>
    <col min="11759" max="12009" width="9.140625" style="340"/>
    <col min="12010" max="12010" width="30.42578125" style="340" customWidth="1"/>
    <col min="12011" max="12013" width="9.140625" style="340"/>
    <col min="12014" max="12014" width="15.5703125" style="340" customWidth="1"/>
    <col min="12015" max="12265" width="9.140625" style="340"/>
    <col min="12266" max="12266" width="30.42578125" style="340" customWidth="1"/>
    <col min="12267" max="12269" width="9.140625" style="340"/>
    <col min="12270" max="12270" width="15.5703125" style="340" customWidth="1"/>
    <col min="12271" max="12521" width="9.140625" style="340"/>
    <col min="12522" max="12522" width="30.42578125" style="340" customWidth="1"/>
    <col min="12523" max="12525" width="9.140625" style="340"/>
    <col min="12526" max="12526" width="15.5703125" style="340" customWidth="1"/>
    <col min="12527" max="12777" width="9.140625" style="340"/>
    <col min="12778" max="12778" width="30.42578125" style="340" customWidth="1"/>
    <col min="12779" max="12781" width="9.140625" style="340"/>
    <col min="12782" max="12782" width="15.5703125" style="340" customWidth="1"/>
    <col min="12783" max="13033" width="9.140625" style="340"/>
    <col min="13034" max="13034" width="30.42578125" style="340" customWidth="1"/>
    <col min="13035" max="13037" width="9.140625" style="340"/>
    <col min="13038" max="13038" width="15.5703125" style="340" customWidth="1"/>
    <col min="13039" max="13289" width="9.140625" style="340"/>
    <col min="13290" max="13290" width="30.42578125" style="340" customWidth="1"/>
    <col min="13291" max="13293" width="9.140625" style="340"/>
    <col min="13294" max="13294" width="15.5703125" style="340" customWidth="1"/>
    <col min="13295" max="13545" width="9.140625" style="340"/>
    <col min="13546" max="13546" width="30.42578125" style="340" customWidth="1"/>
    <col min="13547" max="13549" width="9.140625" style="340"/>
    <col min="13550" max="13550" width="15.5703125" style="340" customWidth="1"/>
    <col min="13551" max="13801" width="9.140625" style="340"/>
    <col min="13802" max="13802" width="30.42578125" style="340" customWidth="1"/>
    <col min="13803" max="13805" width="9.140625" style="340"/>
    <col min="13806" max="13806" width="15.5703125" style="340" customWidth="1"/>
    <col min="13807" max="14057" width="9.140625" style="340"/>
    <col min="14058" max="14058" width="30.42578125" style="340" customWidth="1"/>
    <col min="14059" max="14061" width="9.140625" style="340"/>
    <col min="14062" max="14062" width="15.5703125" style="340" customWidth="1"/>
    <col min="14063" max="14313" width="9.140625" style="340"/>
    <col min="14314" max="14314" width="30.42578125" style="340" customWidth="1"/>
    <col min="14315" max="14317" width="9.140625" style="340"/>
    <col min="14318" max="14318" width="15.5703125" style="340" customWidth="1"/>
    <col min="14319" max="14569" width="9.140625" style="340"/>
    <col min="14570" max="14570" width="30.42578125" style="340" customWidth="1"/>
    <col min="14571" max="14573" width="9.140625" style="340"/>
    <col min="14574" max="14574" width="15.5703125" style="340" customWidth="1"/>
    <col min="14575" max="14825" width="9.140625" style="340"/>
    <col min="14826" max="14826" width="30.42578125" style="340" customWidth="1"/>
    <col min="14827" max="14829" width="9.140625" style="340"/>
    <col min="14830" max="14830" width="15.5703125" style="340" customWidth="1"/>
    <col min="14831" max="15081" width="9.140625" style="340"/>
    <col min="15082" max="15082" width="30.42578125" style="340" customWidth="1"/>
    <col min="15083" max="15085" width="9.140625" style="340"/>
    <col min="15086" max="15086" width="15.5703125" style="340" customWidth="1"/>
    <col min="15087" max="15337" width="9.140625" style="340"/>
    <col min="15338" max="15338" width="30.42578125" style="340" customWidth="1"/>
    <col min="15339" max="15341" width="9.140625" style="340"/>
    <col min="15342" max="15342" width="15.5703125" style="340" customWidth="1"/>
    <col min="15343" max="15593" width="9.140625" style="340"/>
    <col min="15594" max="15594" width="30.42578125" style="340" customWidth="1"/>
    <col min="15595" max="15597" width="9.140625" style="340"/>
    <col min="15598" max="15598" width="15.5703125" style="340" customWidth="1"/>
    <col min="15599" max="15849" width="9.140625" style="340"/>
    <col min="15850" max="15850" width="30.42578125" style="340" customWidth="1"/>
    <col min="15851" max="15853" width="9.140625" style="340"/>
    <col min="15854" max="15854" width="15.5703125" style="340" customWidth="1"/>
    <col min="15855" max="16105" width="9.140625" style="340"/>
    <col min="16106" max="16106" width="30.42578125" style="340" customWidth="1"/>
    <col min="16107" max="16109" width="9.140625" style="340"/>
    <col min="16110" max="16110" width="15.5703125" style="340" customWidth="1"/>
    <col min="16111" max="16384" width="9.140625" style="340"/>
  </cols>
  <sheetData>
    <row r="2" spans="2:14" ht="12.75" customHeight="1" x14ac:dyDescent="0.2">
      <c r="H2" s="1493"/>
      <c r="I2" s="1494"/>
      <c r="J2" s="1494"/>
      <c r="K2" s="1494"/>
      <c r="L2" s="1494"/>
      <c r="M2" s="1494"/>
      <c r="N2" s="1495"/>
    </row>
    <row r="3" spans="2:14" ht="12.75" customHeight="1" x14ac:dyDescent="0.2">
      <c r="H3" s="1496"/>
      <c r="I3" s="1497"/>
      <c r="J3" s="1497"/>
      <c r="K3" s="1497"/>
      <c r="L3" s="1497"/>
      <c r="M3" s="1497"/>
      <c r="N3" s="1498"/>
    </row>
    <row r="4" spans="2:14" ht="13.5" thickBot="1" x14ac:dyDescent="0.25"/>
    <row r="5" spans="2:14" ht="26.25" thickBot="1" x14ac:dyDescent="0.25">
      <c r="B5" s="921"/>
      <c r="C5" s="920" t="s">
        <v>265</v>
      </c>
      <c r="D5" s="920" t="s">
        <v>537</v>
      </c>
      <c r="E5" s="919" t="s">
        <v>536</v>
      </c>
      <c r="F5" s="953"/>
      <c r="H5" s="1808" t="s">
        <v>347</v>
      </c>
      <c r="I5" s="1809"/>
      <c r="J5" s="1809"/>
      <c r="K5" s="1810"/>
    </row>
    <row r="6" spans="2:14" ht="15.75" thickBot="1" x14ac:dyDescent="0.3">
      <c r="B6" s="743" t="s">
        <v>595</v>
      </c>
      <c r="C6" s="952">
        <v>2059.3200000000002</v>
      </c>
      <c r="D6" s="951">
        <f>K25</f>
        <v>2135.1793767132031</v>
      </c>
      <c r="E6" s="561">
        <f>(D6-C6)/C6</f>
        <v>3.6837099971448288E-2</v>
      </c>
      <c r="F6" s="950"/>
      <c r="H6" s="962" t="s">
        <v>594</v>
      </c>
      <c r="I6" s="949"/>
      <c r="J6" s="948"/>
      <c r="K6" s="947">
        <v>10</v>
      </c>
    </row>
    <row r="7" spans="2:14" ht="15.75" thickBot="1" x14ac:dyDescent="0.3">
      <c r="H7" s="927"/>
      <c r="I7" s="946" t="s">
        <v>331</v>
      </c>
      <c r="J7" s="945" t="s">
        <v>334</v>
      </c>
      <c r="K7" s="944" t="s">
        <v>458</v>
      </c>
    </row>
    <row r="8" spans="2:14" ht="15" x14ac:dyDescent="0.25">
      <c r="G8" s="340">
        <v>1</v>
      </c>
      <c r="H8" s="879" t="str">
        <f>IF(INDEX('Master Lookup'!$B$429:$B$431,G8)=0,"",INDEX('Master Lookup'!$B$429:$B$431,G8))</f>
        <v>Management</v>
      </c>
      <c r="I8" s="1136">
        <f>'Master Lookup FY26'!D300</f>
        <v>81486.911999999997</v>
      </c>
      <c r="J8" s="913">
        <f>IFERROR(INDEX('Master Lookup'!$E$429:$E$431,MATCH(H8,'Master Lookup'!$B$429:$B$431,0)),"")</f>
        <v>0.01</v>
      </c>
      <c r="K8" s="943">
        <f>I8*J8</f>
        <v>814.86911999999995</v>
      </c>
    </row>
    <row r="9" spans="2:14" ht="15" x14ac:dyDescent="0.25">
      <c r="E9" s="477"/>
      <c r="F9" s="477"/>
      <c r="G9" s="340">
        <v>2</v>
      </c>
      <c r="H9" s="879" t="str">
        <f>IF(INDEX('Master Lookup'!$B$429:$B$431,G9)=0,"",INDEX('Master Lookup'!$B$429:$B$431,G9))</f>
        <v>Case Manager</v>
      </c>
      <c r="I9" s="1136">
        <f>'Master Lookup FY26'!D28</f>
        <v>66537.12000000001</v>
      </c>
      <c r="J9" s="913">
        <f>IFERROR(INDEX('Master Lookup'!$E$429:$E$431,MATCH(H9,'Master Lookup'!$B$429:$B$431,0)),"")</f>
        <v>0.09</v>
      </c>
      <c r="K9" s="942">
        <f>I9*J9</f>
        <v>5988.3408000000009</v>
      </c>
    </row>
    <row r="10" spans="2:14" ht="15" x14ac:dyDescent="0.25">
      <c r="E10" s="847"/>
      <c r="F10" s="847"/>
      <c r="G10" s="340">
        <v>3</v>
      </c>
      <c r="H10" s="879" t="str">
        <f>IF(INDEX('Master Lookup'!$B$429:$B$431,G10)=0,"",INDEX('Master Lookup'!$B$429:$B$431,G10))</f>
        <v>Direct Care Staffing</v>
      </c>
      <c r="I10" s="1136">
        <f>'M2024 BLS SALARY CHART (53_PCT)'!C8</f>
        <v>56388.633600000001</v>
      </c>
      <c r="J10" s="913">
        <f>IFERROR(INDEX('Master Lookup'!$E$429:$E$431,MATCH(H10,'Master Lookup'!$B$429:$B$431,0)),"")</f>
        <v>0.1</v>
      </c>
      <c r="K10" s="942">
        <f>I10*J10</f>
        <v>5638.8633600000003</v>
      </c>
    </row>
    <row r="11" spans="2:14" ht="15" hidden="1" x14ac:dyDescent="0.25">
      <c r="E11" s="847"/>
      <c r="F11" s="847"/>
      <c r="H11" s="297"/>
      <c r="I11" s="941"/>
      <c r="J11" s="295"/>
      <c r="K11" s="940"/>
    </row>
    <row r="12" spans="2:14" ht="15" x14ac:dyDescent="0.25">
      <c r="E12" s="847"/>
      <c r="F12" s="847"/>
      <c r="H12" s="939" t="s">
        <v>457</v>
      </c>
      <c r="I12" s="938"/>
      <c r="J12" s="937">
        <f>SUM(J8:J11)</f>
        <v>0.2</v>
      </c>
      <c r="K12" s="936">
        <f>SUM(K8:K11)</f>
        <v>12442.073280000001</v>
      </c>
    </row>
    <row r="13" spans="2:14" ht="15" x14ac:dyDescent="0.25">
      <c r="H13" s="671" t="s">
        <v>322</v>
      </c>
      <c r="I13" s="935"/>
      <c r="J13" s="233">
        <v>0.24970000000000001</v>
      </c>
      <c r="K13" s="934">
        <f>K12*J13</f>
        <v>3106.785698016</v>
      </c>
    </row>
    <row r="14" spans="2:14" ht="15.75" thickBot="1" x14ac:dyDescent="0.3">
      <c r="H14" s="877" t="s">
        <v>550</v>
      </c>
      <c r="I14" s="933"/>
      <c r="J14" s="933"/>
      <c r="K14" s="932">
        <f>SUM(K12:K13)</f>
        <v>15548.858978016</v>
      </c>
    </row>
    <row r="15" spans="2:14" ht="15.75" thickTop="1" x14ac:dyDescent="0.25">
      <c r="E15" s="847"/>
      <c r="F15" s="847"/>
      <c r="H15" s="667"/>
      <c r="I15" s="931"/>
      <c r="J15" s="931"/>
      <c r="K15" s="930"/>
    </row>
    <row r="16" spans="2:14" ht="15" x14ac:dyDescent="0.25">
      <c r="E16" s="847"/>
      <c r="F16" s="847"/>
      <c r="H16" s="667" t="s">
        <v>326</v>
      </c>
      <c r="I16" s="856"/>
      <c r="J16" s="880"/>
      <c r="K16" s="742"/>
    </row>
    <row r="17" spans="5:12" ht="15" x14ac:dyDescent="0.25">
      <c r="G17" s="340">
        <v>1</v>
      </c>
      <c r="H17" s="879" t="str">
        <f>IF(INDEX('Master Lookup'!$B$412:$B$423,G17)=0,"",INDEX('Master Lookup'!$B$412:$B$423,G17))</f>
        <v>Total Occupancy</v>
      </c>
      <c r="I17" s="847" t="s">
        <v>593</v>
      </c>
      <c r="J17" s="914">
        <f>'Clinical Non Clinical Hrly FY26'!H13</f>
        <v>6392.9174203826224</v>
      </c>
      <c r="K17" s="929">
        <f>J12*J17</f>
        <v>1278.5834840765247</v>
      </c>
    </row>
    <row r="18" spans="5:12" ht="15" x14ac:dyDescent="0.25">
      <c r="E18" s="847"/>
      <c r="F18" s="847"/>
      <c r="G18" s="340">
        <v>2</v>
      </c>
      <c r="H18" s="116" t="s">
        <v>288</v>
      </c>
      <c r="I18" s="340" t="s">
        <v>592</v>
      </c>
      <c r="J18" s="914"/>
      <c r="K18" s="929">
        <f>'Clinical Non Clinical Hrly FY26'!H15</f>
        <v>1766.2389753369646</v>
      </c>
    </row>
    <row r="19" spans="5:12" ht="15.75" thickBot="1" x14ac:dyDescent="0.3">
      <c r="E19" s="917"/>
      <c r="F19" s="917"/>
      <c r="H19" s="961" t="s">
        <v>492</v>
      </c>
      <c r="I19" s="960"/>
      <c r="J19" s="960"/>
      <c r="K19" s="861">
        <f>SUM(K17:K18)</f>
        <v>3044.822459413489</v>
      </c>
    </row>
    <row r="20" spans="5:12" ht="15.75" thickTop="1" x14ac:dyDescent="0.25">
      <c r="E20" s="847"/>
      <c r="F20" s="847"/>
      <c r="H20" s="667"/>
      <c r="I20" s="254"/>
      <c r="J20" s="254"/>
      <c r="K20" s="299"/>
    </row>
    <row r="21" spans="5:12" ht="30" x14ac:dyDescent="0.25">
      <c r="E21" s="847"/>
      <c r="F21" s="847"/>
      <c r="H21" s="372" t="s">
        <v>491</v>
      </c>
      <c r="I21" s="289"/>
      <c r="J21" s="289"/>
      <c r="K21" s="288">
        <f>K19+K14</f>
        <v>18593.681437429488</v>
      </c>
    </row>
    <row r="22" spans="5:12" ht="15" x14ac:dyDescent="0.25">
      <c r="E22" s="847"/>
      <c r="F22" s="847"/>
      <c r="H22" s="127" t="s">
        <v>570</v>
      </c>
      <c r="I22" s="869"/>
      <c r="J22" s="869">
        <f>'Master Lookup'!C442</f>
        <v>0.12</v>
      </c>
      <c r="K22" s="287">
        <f>K21*J22</f>
        <v>2231.2417724915385</v>
      </c>
    </row>
    <row r="23" spans="5:12" ht="15" x14ac:dyDescent="0.25">
      <c r="H23" s="870" t="s">
        <v>569</v>
      </c>
      <c r="I23" s="869"/>
      <c r="J23" s="869">
        <v>2.53E-2</v>
      </c>
      <c r="K23" s="287">
        <f>J23*(K21+K22)</f>
        <v>526.87055721100194</v>
      </c>
    </row>
    <row r="24" spans="5:12" ht="15.75" thickBot="1" x14ac:dyDescent="0.3">
      <c r="E24" s="917"/>
      <c r="F24" s="917"/>
      <c r="H24" s="482" t="s">
        <v>591</v>
      </c>
      <c r="I24" s="863"/>
      <c r="J24" s="862"/>
      <c r="K24" s="861">
        <f>SUM(K21:K23)</f>
        <v>21351.793767132029</v>
      </c>
    </row>
    <row r="25" spans="5:12" ht="15.75" thickBot="1" x14ac:dyDescent="0.3">
      <c r="E25" s="917"/>
      <c r="F25" s="917"/>
      <c r="H25" s="868" t="s">
        <v>584</v>
      </c>
      <c r="I25" s="867"/>
      <c r="J25" s="866"/>
      <c r="K25" s="928">
        <f>K24/K6</f>
        <v>2135.1793767132031</v>
      </c>
      <c r="L25" s="1499" t="s">
        <v>797</v>
      </c>
    </row>
    <row r="26" spans="5:12" x14ac:dyDescent="0.2">
      <c r="E26" s="917"/>
      <c r="F26" s="917"/>
    </row>
    <row r="27" spans="5:12" ht="13.5" thickBot="1" x14ac:dyDescent="0.25">
      <c r="E27" s="917"/>
      <c r="F27" s="917"/>
    </row>
    <row r="28" spans="5:12" ht="15" x14ac:dyDescent="0.25">
      <c r="E28" s="959"/>
      <c r="F28" s="959"/>
      <c r="H28" s="1811" t="s">
        <v>583</v>
      </c>
      <c r="I28" s="1812"/>
      <c r="J28" s="958" t="s">
        <v>582</v>
      </c>
      <c r="K28" s="957" t="s">
        <v>581</v>
      </c>
    </row>
    <row r="29" spans="5:12" x14ac:dyDescent="0.2">
      <c r="E29" s="917"/>
      <c r="F29" s="917"/>
      <c r="H29" s="1813" t="s">
        <v>590</v>
      </c>
      <c r="I29" s="1814"/>
      <c r="J29" s="956">
        <v>70.582338053231013</v>
      </c>
      <c r="K29" s="954">
        <f>J29*(J23+1)-0.01</f>
        <v>72.358071205977765</v>
      </c>
    </row>
    <row r="30" spans="5:12" x14ac:dyDescent="0.2">
      <c r="E30" s="917"/>
      <c r="F30" s="917"/>
      <c r="H30" s="1813" t="s">
        <v>589</v>
      </c>
      <c r="I30" s="1814"/>
      <c r="J30" s="956">
        <v>173.09722689335015</v>
      </c>
      <c r="K30" s="954">
        <f>J30*(J23+1)</f>
        <v>177.47658673375193</v>
      </c>
    </row>
    <row r="31" spans="5:12" x14ac:dyDescent="0.2">
      <c r="H31" s="1813" t="s">
        <v>588</v>
      </c>
      <c r="I31" s="1814"/>
      <c r="J31" s="956">
        <v>49.90680742151477</v>
      </c>
      <c r="K31" s="954">
        <f>J31*(J23+1)</f>
        <v>51.169449649279102</v>
      </c>
    </row>
    <row r="32" spans="5:12" x14ac:dyDescent="0.2">
      <c r="E32" s="477"/>
      <c r="F32" s="477"/>
      <c r="H32" s="1813" t="s">
        <v>580</v>
      </c>
      <c r="I32" s="1814"/>
      <c r="J32" s="956">
        <v>140.77437796239585</v>
      </c>
      <c r="K32" s="954">
        <f>J32*(J23+1)</f>
        <v>144.33596972484449</v>
      </c>
    </row>
    <row r="33" spans="5:11" ht="13.5" thickBot="1" x14ac:dyDescent="0.25">
      <c r="H33" s="1806" t="s">
        <v>587</v>
      </c>
      <c r="I33" s="1807"/>
      <c r="J33" s="955">
        <v>168.93747035790798</v>
      </c>
      <c r="K33" s="954">
        <f>J33*(J23+1)</f>
        <v>173.21158835796308</v>
      </c>
    </row>
    <row r="34" spans="5:11" x14ac:dyDescent="0.2">
      <c r="E34" s="917"/>
      <c r="F34" s="917"/>
    </row>
    <row r="35" spans="5:11" x14ac:dyDescent="0.2">
      <c r="E35" s="917"/>
      <c r="F35" s="917"/>
    </row>
    <row r="36" spans="5:11" x14ac:dyDescent="0.2">
      <c r="E36" s="917"/>
      <c r="F36" s="917"/>
    </row>
    <row r="37" spans="5:11" x14ac:dyDescent="0.2">
      <c r="E37" s="917"/>
      <c r="F37" s="917"/>
    </row>
    <row r="38" spans="5:11" x14ac:dyDescent="0.2">
      <c r="E38" s="917"/>
      <c r="F38" s="917"/>
    </row>
  </sheetData>
  <mergeCells count="7">
    <mergeCell ref="H33:I33"/>
    <mergeCell ref="H5:K5"/>
    <mergeCell ref="H28:I28"/>
    <mergeCell ref="H29:I29"/>
    <mergeCell ref="H30:I30"/>
    <mergeCell ref="H31:I31"/>
    <mergeCell ref="H32:I32"/>
  </mergeCells>
  <pageMargins left="0.7" right="0.7" top="0.75" bottom="0.75" header="0.3" footer="0.3"/>
  <pageSetup scale="7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E62E3-ACBE-439B-8E39-5DA39AD1E530}">
  <sheetPr>
    <pageSetUpPr fitToPage="1"/>
  </sheetPr>
  <dimension ref="A2:K31"/>
  <sheetViews>
    <sheetView zoomScale="90" zoomScaleNormal="90" workbookViewId="0">
      <selection activeCell="I50" sqref="I50"/>
    </sheetView>
  </sheetViews>
  <sheetFormatPr defaultRowHeight="15" x14ac:dyDescent="0.25"/>
  <cols>
    <col min="1" max="1" width="9.140625" style="254"/>
    <col min="2" max="2" width="11.140625" style="254" customWidth="1"/>
    <col min="3" max="3" width="9.140625" style="254" customWidth="1"/>
    <col min="4" max="4" width="10" style="254" bestFit="1" customWidth="1"/>
    <col min="5" max="5" width="9.140625" style="254" customWidth="1"/>
    <col min="6" max="6" width="9.140625" style="254"/>
    <col min="7" max="7" width="32.7109375" style="254" customWidth="1"/>
    <col min="8" max="8" width="12.140625" style="254" bestFit="1" customWidth="1"/>
    <col min="9" max="9" width="14.5703125" style="254" customWidth="1"/>
    <col min="10" max="10" width="11.42578125" style="254" customWidth="1"/>
    <col min="11" max="231" width="9.140625" style="254"/>
    <col min="232" max="232" width="32" style="254" customWidth="1"/>
    <col min="233" max="233" width="9.140625" style="254"/>
    <col min="234" max="234" width="12.85546875" style="254" customWidth="1"/>
    <col min="235" max="235" width="13.5703125" style="254" customWidth="1"/>
    <col min="236" max="236" width="15.28515625" style="254" customWidth="1"/>
    <col min="237" max="487" width="9.140625" style="254"/>
    <col min="488" max="488" width="32" style="254" customWidth="1"/>
    <col min="489" max="489" width="9.140625" style="254"/>
    <col min="490" max="490" width="12.85546875" style="254" customWidth="1"/>
    <col min="491" max="491" width="13.5703125" style="254" customWidth="1"/>
    <col min="492" max="492" width="15.28515625" style="254" customWidth="1"/>
    <col min="493" max="743" width="9.140625" style="254"/>
    <col min="744" max="744" width="32" style="254" customWidth="1"/>
    <col min="745" max="745" width="9.140625" style="254"/>
    <col min="746" max="746" width="12.85546875" style="254" customWidth="1"/>
    <col min="747" max="747" width="13.5703125" style="254" customWidth="1"/>
    <col min="748" max="748" width="15.28515625" style="254" customWidth="1"/>
    <col min="749" max="999" width="9.140625" style="254"/>
    <col min="1000" max="1000" width="32" style="254" customWidth="1"/>
    <col min="1001" max="1001" width="9.140625" style="254"/>
    <col min="1002" max="1002" width="12.85546875" style="254" customWidth="1"/>
    <col min="1003" max="1003" width="13.5703125" style="254" customWidth="1"/>
    <col min="1004" max="1004" width="15.28515625" style="254" customWidth="1"/>
    <col min="1005" max="1255" width="9.140625" style="254"/>
    <col min="1256" max="1256" width="32" style="254" customWidth="1"/>
    <col min="1257" max="1257" width="9.140625" style="254"/>
    <col min="1258" max="1258" width="12.85546875" style="254" customWidth="1"/>
    <col min="1259" max="1259" width="13.5703125" style="254" customWidth="1"/>
    <col min="1260" max="1260" width="15.28515625" style="254" customWidth="1"/>
    <col min="1261" max="1511" width="9.140625" style="254"/>
    <col min="1512" max="1512" width="32" style="254" customWidth="1"/>
    <col min="1513" max="1513" width="9.140625" style="254"/>
    <col min="1514" max="1514" width="12.85546875" style="254" customWidth="1"/>
    <col min="1515" max="1515" width="13.5703125" style="254" customWidth="1"/>
    <col min="1516" max="1516" width="15.28515625" style="254" customWidth="1"/>
    <col min="1517" max="1767" width="9.140625" style="254"/>
    <col min="1768" max="1768" width="32" style="254" customWidth="1"/>
    <col min="1769" max="1769" width="9.140625" style="254"/>
    <col min="1770" max="1770" width="12.85546875" style="254" customWidth="1"/>
    <col min="1771" max="1771" width="13.5703125" style="254" customWidth="1"/>
    <col min="1772" max="1772" width="15.28515625" style="254" customWidth="1"/>
    <col min="1773" max="2023" width="9.140625" style="254"/>
    <col min="2024" max="2024" width="32" style="254" customWidth="1"/>
    <col min="2025" max="2025" width="9.140625" style="254"/>
    <col min="2026" max="2026" width="12.85546875" style="254" customWidth="1"/>
    <col min="2027" max="2027" width="13.5703125" style="254" customWidth="1"/>
    <col min="2028" max="2028" width="15.28515625" style="254" customWidth="1"/>
    <col min="2029" max="2279" width="9.140625" style="254"/>
    <col min="2280" max="2280" width="32" style="254" customWidth="1"/>
    <col min="2281" max="2281" width="9.140625" style="254"/>
    <col min="2282" max="2282" width="12.85546875" style="254" customWidth="1"/>
    <col min="2283" max="2283" width="13.5703125" style="254" customWidth="1"/>
    <col min="2284" max="2284" width="15.28515625" style="254" customWidth="1"/>
    <col min="2285" max="2535" width="9.140625" style="254"/>
    <col min="2536" max="2536" width="32" style="254" customWidth="1"/>
    <col min="2537" max="2537" width="9.140625" style="254"/>
    <col min="2538" max="2538" width="12.85546875" style="254" customWidth="1"/>
    <col min="2539" max="2539" width="13.5703125" style="254" customWidth="1"/>
    <col min="2540" max="2540" width="15.28515625" style="254" customWidth="1"/>
    <col min="2541" max="2791" width="9.140625" style="254"/>
    <col min="2792" max="2792" width="32" style="254" customWidth="1"/>
    <col min="2793" max="2793" width="9.140625" style="254"/>
    <col min="2794" max="2794" width="12.85546875" style="254" customWidth="1"/>
    <col min="2795" max="2795" width="13.5703125" style="254" customWidth="1"/>
    <col min="2796" max="2796" width="15.28515625" style="254" customWidth="1"/>
    <col min="2797" max="3047" width="9.140625" style="254"/>
    <col min="3048" max="3048" width="32" style="254" customWidth="1"/>
    <col min="3049" max="3049" width="9.140625" style="254"/>
    <col min="3050" max="3050" width="12.85546875" style="254" customWidth="1"/>
    <col min="3051" max="3051" width="13.5703125" style="254" customWidth="1"/>
    <col min="3052" max="3052" width="15.28515625" style="254" customWidth="1"/>
    <col min="3053" max="3303" width="9.140625" style="254"/>
    <col min="3304" max="3304" width="32" style="254" customWidth="1"/>
    <col min="3305" max="3305" width="9.140625" style="254"/>
    <col min="3306" max="3306" width="12.85546875" style="254" customWidth="1"/>
    <col min="3307" max="3307" width="13.5703125" style="254" customWidth="1"/>
    <col min="3308" max="3308" width="15.28515625" style="254" customWidth="1"/>
    <col min="3309" max="3559" width="9.140625" style="254"/>
    <col min="3560" max="3560" width="32" style="254" customWidth="1"/>
    <col min="3561" max="3561" width="9.140625" style="254"/>
    <col min="3562" max="3562" width="12.85546875" style="254" customWidth="1"/>
    <col min="3563" max="3563" width="13.5703125" style="254" customWidth="1"/>
    <col min="3564" max="3564" width="15.28515625" style="254" customWidth="1"/>
    <col min="3565" max="3815" width="9.140625" style="254"/>
    <col min="3816" max="3816" width="32" style="254" customWidth="1"/>
    <col min="3817" max="3817" width="9.140625" style="254"/>
    <col min="3818" max="3818" width="12.85546875" style="254" customWidth="1"/>
    <col min="3819" max="3819" width="13.5703125" style="254" customWidth="1"/>
    <col min="3820" max="3820" width="15.28515625" style="254" customWidth="1"/>
    <col min="3821" max="4071" width="9.140625" style="254"/>
    <col min="4072" max="4072" width="32" style="254" customWidth="1"/>
    <col min="4073" max="4073" width="9.140625" style="254"/>
    <col min="4074" max="4074" width="12.85546875" style="254" customWidth="1"/>
    <col min="4075" max="4075" width="13.5703125" style="254" customWidth="1"/>
    <col min="4076" max="4076" width="15.28515625" style="254" customWidth="1"/>
    <col min="4077" max="4327" width="9.140625" style="254"/>
    <col min="4328" max="4328" width="32" style="254" customWidth="1"/>
    <col min="4329" max="4329" width="9.140625" style="254"/>
    <col min="4330" max="4330" width="12.85546875" style="254" customWidth="1"/>
    <col min="4331" max="4331" width="13.5703125" style="254" customWidth="1"/>
    <col min="4332" max="4332" width="15.28515625" style="254" customWidth="1"/>
    <col min="4333" max="4583" width="9.140625" style="254"/>
    <col min="4584" max="4584" width="32" style="254" customWidth="1"/>
    <col min="4585" max="4585" width="9.140625" style="254"/>
    <col min="4586" max="4586" width="12.85546875" style="254" customWidth="1"/>
    <col min="4587" max="4587" width="13.5703125" style="254" customWidth="1"/>
    <col min="4588" max="4588" width="15.28515625" style="254" customWidth="1"/>
    <col min="4589" max="4839" width="9.140625" style="254"/>
    <col min="4840" max="4840" width="32" style="254" customWidth="1"/>
    <col min="4841" max="4841" width="9.140625" style="254"/>
    <col min="4842" max="4842" width="12.85546875" style="254" customWidth="1"/>
    <col min="4843" max="4843" width="13.5703125" style="254" customWidth="1"/>
    <col min="4844" max="4844" width="15.28515625" style="254" customWidth="1"/>
    <col min="4845" max="5095" width="9.140625" style="254"/>
    <col min="5096" max="5096" width="32" style="254" customWidth="1"/>
    <col min="5097" max="5097" width="9.140625" style="254"/>
    <col min="5098" max="5098" width="12.85546875" style="254" customWidth="1"/>
    <col min="5099" max="5099" width="13.5703125" style="254" customWidth="1"/>
    <col min="5100" max="5100" width="15.28515625" style="254" customWidth="1"/>
    <col min="5101" max="5351" width="9.140625" style="254"/>
    <col min="5352" max="5352" width="32" style="254" customWidth="1"/>
    <col min="5353" max="5353" width="9.140625" style="254"/>
    <col min="5354" max="5354" width="12.85546875" style="254" customWidth="1"/>
    <col min="5355" max="5355" width="13.5703125" style="254" customWidth="1"/>
    <col min="5356" max="5356" width="15.28515625" style="254" customWidth="1"/>
    <col min="5357" max="5607" width="9.140625" style="254"/>
    <col min="5608" max="5608" width="32" style="254" customWidth="1"/>
    <col min="5609" max="5609" width="9.140625" style="254"/>
    <col min="5610" max="5610" width="12.85546875" style="254" customWidth="1"/>
    <col min="5611" max="5611" width="13.5703125" style="254" customWidth="1"/>
    <col min="5612" max="5612" width="15.28515625" style="254" customWidth="1"/>
    <col min="5613" max="5863" width="9.140625" style="254"/>
    <col min="5864" max="5864" width="32" style="254" customWidth="1"/>
    <col min="5865" max="5865" width="9.140625" style="254"/>
    <col min="5866" max="5866" width="12.85546875" style="254" customWidth="1"/>
    <col min="5867" max="5867" width="13.5703125" style="254" customWidth="1"/>
    <col min="5868" max="5868" width="15.28515625" style="254" customWidth="1"/>
    <col min="5869" max="6119" width="9.140625" style="254"/>
    <col min="6120" max="6120" width="32" style="254" customWidth="1"/>
    <col min="6121" max="6121" width="9.140625" style="254"/>
    <col min="6122" max="6122" width="12.85546875" style="254" customWidth="1"/>
    <col min="6123" max="6123" width="13.5703125" style="254" customWidth="1"/>
    <col min="6124" max="6124" width="15.28515625" style="254" customWidth="1"/>
    <col min="6125" max="6375" width="9.140625" style="254"/>
    <col min="6376" max="6376" width="32" style="254" customWidth="1"/>
    <col min="6377" max="6377" width="9.140625" style="254"/>
    <col min="6378" max="6378" width="12.85546875" style="254" customWidth="1"/>
    <col min="6379" max="6379" width="13.5703125" style="254" customWidth="1"/>
    <col min="6380" max="6380" width="15.28515625" style="254" customWidth="1"/>
    <col min="6381" max="6631" width="9.140625" style="254"/>
    <col min="6632" max="6632" width="32" style="254" customWidth="1"/>
    <col min="6633" max="6633" width="9.140625" style="254"/>
    <col min="6634" max="6634" width="12.85546875" style="254" customWidth="1"/>
    <col min="6635" max="6635" width="13.5703125" style="254" customWidth="1"/>
    <col min="6636" max="6636" width="15.28515625" style="254" customWidth="1"/>
    <col min="6637" max="6887" width="9.140625" style="254"/>
    <col min="6888" max="6888" width="32" style="254" customWidth="1"/>
    <col min="6889" max="6889" width="9.140625" style="254"/>
    <col min="6890" max="6890" width="12.85546875" style="254" customWidth="1"/>
    <col min="6891" max="6891" width="13.5703125" style="254" customWidth="1"/>
    <col min="6892" max="6892" width="15.28515625" style="254" customWidth="1"/>
    <col min="6893" max="7143" width="9.140625" style="254"/>
    <col min="7144" max="7144" width="32" style="254" customWidth="1"/>
    <col min="7145" max="7145" width="9.140625" style="254"/>
    <col min="7146" max="7146" width="12.85546875" style="254" customWidth="1"/>
    <col min="7147" max="7147" width="13.5703125" style="254" customWidth="1"/>
    <col min="7148" max="7148" width="15.28515625" style="254" customWidth="1"/>
    <col min="7149" max="7399" width="9.140625" style="254"/>
    <col min="7400" max="7400" width="32" style="254" customWidth="1"/>
    <col min="7401" max="7401" width="9.140625" style="254"/>
    <col min="7402" max="7402" width="12.85546875" style="254" customWidth="1"/>
    <col min="7403" max="7403" width="13.5703125" style="254" customWidth="1"/>
    <col min="7404" max="7404" width="15.28515625" style="254" customWidth="1"/>
    <col min="7405" max="7655" width="9.140625" style="254"/>
    <col min="7656" max="7656" width="32" style="254" customWidth="1"/>
    <col min="7657" max="7657" width="9.140625" style="254"/>
    <col min="7658" max="7658" width="12.85546875" style="254" customWidth="1"/>
    <col min="7659" max="7659" width="13.5703125" style="254" customWidth="1"/>
    <col min="7660" max="7660" width="15.28515625" style="254" customWidth="1"/>
    <col min="7661" max="7911" width="9.140625" style="254"/>
    <col min="7912" max="7912" width="32" style="254" customWidth="1"/>
    <col min="7913" max="7913" width="9.140625" style="254"/>
    <col min="7914" max="7914" width="12.85546875" style="254" customWidth="1"/>
    <col min="7915" max="7915" width="13.5703125" style="254" customWidth="1"/>
    <col min="7916" max="7916" width="15.28515625" style="254" customWidth="1"/>
    <col min="7917" max="8167" width="9.140625" style="254"/>
    <col min="8168" max="8168" width="32" style="254" customWidth="1"/>
    <col min="8169" max="8169" width="9.140625" style="254"/>
    <col min="8170" max="8170" width="12.85546875" style="254" customWidth="1"/>
    <col min="8171" max="8171" width="13.5703125" style="254" customWidth="1"/>
    <col min="8172" max="8172" width="15.28515625" style="254" customWidth="1"/>
    <col min="8173" max="8423" width="9.140625" style="254"/>
    <col min="8424" max="8424" width="32" style="254" customWidth="1"/>
    <col min="8425" max="8425" width="9.140625" style="254"/>
    <col min="8426" max="8426" width="12.85546875" style="254" customWidth="1"/>
    <col min="8427" max="8427" width="13.5703125" style="254" customWidth="1"/>
    <col min="8428" max="8428" width="15.28515625" style="254" customWidth="1"/>
    <col min="8429" max="8679" width="9.140625" style="254"/>
    <col min="8680" max="8680" width="32" style="254" customWidth="1"/>
    <col min="8681" max="8681" width="9.140625" style="254"/>
    <col min="8682" max="8682" width="12.85546875" style="254" customWidth="1"/>
    <col min="8683" max="8683" width="13.5703125" style="254" customWidth="1"/>
    <col min="8684" max="8684" width="15.28515625" style="254" customWidth="1"/>
    <col min="8685" max="8935" width="9.140625" style="254"/>
    <col min="8936" max="8936" width="32" style="254" customWidth="1"/>
    <col min="8937" max="8937" width="9.140625" style="254"/>
    <col min="8938" max="8938" width="12.85546875" style="254" customWidth="1"/>
    <col min="8939" max="8939" width="13.5703125" style="254" customWidth="1"/>
    <col min="8940" max="8940" width="15.28515625" style="254" customWidth="1"/>
    <col min="8941" max="9191" width="9.140625" style="254"/>
    <col min="9192" max="9192" width="32" style="254" customWidth="1"/>
    <col min="9193" max="9193" width="9.140625" style="254"/>
    <col min="9194" max="9194" width="12.85546875" style="254" customWidth="1"/>
    <col min="9195" max="9195" width="13.5703125" style="254" customWidth="1"/>
    <col min="9196" max="9196" width="15.28515625" style="254" customWidth="1"/>
    <col min="9197" max="9447" width="9.140625" style="254"/>
    <col min="9448" max="9448" width="32" style="254" customWidth="1"/>
    <col min="9449" max="9449" width="9.140625" style="254"/>
    <col min="9450" max="9450" width="12.85546875" style="254" customWidth="1"/>
    <col min="9451" max="9451" width="13.5703125" style="254" customWidth="1"/>
    <col min="9452" max="9452" width="15.28515625" style="254" customWidth="1"/>
    <col min="9453" max="9703" width="9.140625" style="254"/>
    <col min="9704" max="9704" width="32" style="254" customWidth="1"/>
    <col min="9705" max="9705" width="9.140625" style="254"/>
    <col min="9706" max="9706" width="12.85546875" style="254" customWidth="1"/>
    <col min="9707" max="9707" width="13.5703125" style="254" customWidth="1"/>
    <col min="9708" max="9708" width="15.28515625" style="254" customWidth="1"/>
    <col min="9709" max="9959" width="9.140625" style="254"/>
    <col min="9960" max="9960" width="32" style="254" customWidth="1"/>
    <col min="9961" max="9961" width="9.140625" style="254"/>
    <col min="9962" max="9962" width="12.85546875" style="254" customWidth="1"/>
    <col min="9963" max="9963" width="13.5703125" style="254" customWidth="1"/>
    <col min="9964" max="9964" width="15.28515625" style="254" customWidth="1"/>
    <col min="9965" max="10215" width="9.140625" style="254"/>
    <col min="10216" max="10216" width="32" style="254" customWidth="1"/>
    <col min="10217" max="10217" width="9.140625" style="254"/>
    <col min="10218" max="10218" width="12.85546875" style="254" customWidth="1"/>
    <col min="10219" max="10219" width="13.5703125" style="254" customWidth="1"/>
    <col min="10220" max="10220" width="15.28515625" style="254" customWidth="1"/>
    <col min="10221" max="10471" width="9.140625" style="254"/>
    <col min="10472" max="10472" width="32" style="254" customWidth="1"/>
    <col min="10473" max="10473" width="9.140625" style="254"/>
    <col min="10474" max="10474" width="12.85546875" style="254" customWidth="1"/>
    <col min="10475" max="10475" width="13.5703125" style="254" customWidth="1"/>
    <col min="10476" max="10476" width="15.28515625" style="254" customWidth="1"/>
    <col min="10477" max="10727" width="9.140625" style="254"/>
    <col min="10728" max="10728" width="32" style="254" customWidth="1"/>
    <col min="10729" max="10729" width="9.140625" style="254"/>
    <col min="10730" max="10730" width="12.85546875" style="254" customWidth="1"/>
    <col min="10731" max="10731" width="13.5703125" style="254" customWidth="1"/>
    <col min="10732" max="10732" width="15.28515625" style="254" customWidth="1"/>
    <col min="10733" max="10983" width="9.140625" style="254"/>
    <col min="10984" max="10984" width="32" style="254" customWidth="1"/>
    <col min="10985" max="10985" width="9.140625" style="254"/>
    <col min="10986" max="10986" width="12.85546875" style="254" customWidth="1"/>
    <col min="10987" max="10987" width="13.5703125" style="254" customWidth="1"/>
    <col min="10988" max="10988" width="15.28515625" style="254" customWidth="1"/>
    <col min="10989" max="11239" width="9.140625" style="254"/>
    <col min="11240" max="11240" width="32" style="254" customWidth="1"/>
    <col min="11241" max="11241" width="9.140625" style="254"/>
    <col min="11242" max="11242" width="12.85546875" style="254" customWidth="1"/>
    <col min="11243" max="11243" width="13.5703125" style="254" customWidth="1"/>
    <col min="11244" max="11244" width="15.28515625" style="254" customWidth="1"/>
    <col min="11245" max="11495" width="9.140625" style="254"/>
    <col min="11496" max="11496" width="32" style="254" customWidth="1"/>
    <col min="11497" max="11497" width="9.140625" style="254"/>
    <col min="11498" max="11498" width="12.85546875" style="254" customWidth="1"/>
    <col min="11499" max="11499" width="13.5703125" style="254" customWidth="1"/>
    <col min="11500" max="11500" width="15.28515625" style="254" customWidth="1"/>
    <col min="11501" max="11751" width="9.140625" style="254"/>
    <col min="11752" max="11752" width="32" style="254" customWidth="1"/>
    <col min="11753" max="11753" width="9.140625" style="254"/>
    <col min="11754" max="11754" width="12.85546875" style="254" customWidth="1"/>
    <col min="11755" max="11755" width="13.5703125" style="254" customWidth="1"/>
    <col min="11756" max="11756" width="15.28515625" style="254" customWidth="1"/>
    <col min="11757" max="12007" width="9.140625" style="254"/>
    <col min="12008" max="12008" width="32" style="254" customWidth="1"/>
    <col min="12009" max="12009" width="9.140625" style="254"/>
    <col min="12010" max="12010" width="12.85546875" style="254" customWidth="1"/>
    <col min="12011" max="12011" width="13.5703125" style="254" customWidth="1"/>
    <col min="12012" max="12012" width="15.28515625" style="254" customWidth="1"/>
    <col min="12013" max="12263" width="9.140625" style="254"/>
    <col min="12264" max="12264" width="32" style="254" customWidth="1"/>
    <col min="12265" max="12265" width="9.140625" style="254"/>
    <col min="12266" max="12266" width="12.85546875" style="254" customWidth="1"/>
    <col min="12267" max="12267" width="13.5703125" style="254" customWidth="1"/>
    <col min="12268" max="12268" width="15.28515625" style="254" customWidth="1"/>
    <col min="12269" max="12519" width="9.140625" style="254"/>
    <col min="12520" max="12520" width="32" style="254" customWidth="1"/>
    <col min="12521" max="12521" width="9.140625" style="254"/>
    <col min="12522" max="12522" width="12.85546875" style="254" customWidth="1"/>
    <col min="12523" max="12523" width="13.5703125" style="254" customWidth="1"/>
    <col min="12524" max="12524" width="15.28515625" style="254" customWidth="1"/>
    <col min="12525" max="12775" width="9.140625" style="254"/>
    <col min="12776" max="12776" width="32" style="254" customWidth="1"/>
    <col min="12777" max="12777" width="9.140625" style="254"/>
    <col min="12778" max="12778" width="12.85546875" style="254" customWidth="1"/>
    <col min="12779" max="12779" width="13.5703125" style="254" customWidth="1"/>
    <col min="12780" max="12780" width="15.28515625" style="254" customWidth="1"/>
    <col min="12781" max="13031" width="9.140625" style="254"/>
    <col min="13032" max="13032" width="32" style="254" customWidth="1"/>
    <col min="13033" max="13033" width="9.140625" style="254"/>
    <col min="13034" max="13034" width="12.85546875" style="254" customWidth="1"/>
    <col min="13035" max="13035" width="13.5703125" style="254" customWidth="1"/>
    <col min="13036" max="13036" width="15.28515625" style="254" customWidth="1"/>
    <col min="13037" max="13287" width="9.140625" style="254"/>
    <col min="13288" max="13288" width="32" style="254" customWidth="1"/>
    <col min="13289" max="13289" width="9.140625" style="254"/>
    <col min="13290" max="13290" width="12.85546875" style="254" customWidth="1"/>
    <col min="13291" max="13291" width="13.5703125" style="254" customWidth="1"/>
    <col min="13292" max="13292" width="15.28515625" style="254" customWidth="1"/>
    <col min="13293" max="13543" width="9.140625" style="254"/>
    <col min="13544" max="13544" width="32" style="254" customWidth="1"/>
    <col min="13545" max="13545" width="9.140625" style="254"/>
    <col min="13546" max="13546" width="12.85546875" style="254" customWidth="1"/>
    <col min="13547" max="13547" width="13.5703125" style="254" customWidth="1"/>
    <col min="13548" max="13548" width="15.28515625" style="254" customWidth="1"/>
    <col min="13549" max="13799" width="9.140625" style="254"/>
    <col min="13800" max="13800" width="32" style="254" customWidth="1"/>
    <col min="13801" max="13801" width="9.140625" style="254"/>
    <col min="13802" max="13802" width="12.85546875" style="254" customWidth="1"/>
    <col min="13803" max="13803" width="13.5703125" style="254" customWidth="1"/>
    <col min="13804" max="13804" width="15.28515625" style="254" customWidth="1"/>
    <col min="13805" max="14055" width="9.140625" style="254"/>
    <col min="14056" max="14056" width="32" style="254" customWidth="1"/>
    <col min="14057" max="14057" width="9.140625" style="254"/>
    <col min="14058" max="14058" width="12.85546875" style="254" customWidth="1"/>
    <col min="14059" max="14059" width="13.5703125" style="254" customWidth="1"/>
    <col min="14060" max="14060" width="15.28515625" style="254" customWidth="1"/>
    <col min="14061" max="14311" width="9.140625" style="254"/>
    <col min="14312" max="14312" width="32" style="254" customWidth="1"/>
    <col min="14313" max="14313" width="9.140625" style="254"/>
    <col min="14314" max="14314" width="12.85546875" style="254" customWidth="1"/>
    <col min="14315" max="14315" width="13.5703125" style="254" customWidth="1"/>
    <col min="14316" max="14316" width="15.28515625" style="254" customWidth="1"/>
    <col min="14317" max="14567" width="9.140625" style="254"/>
    <col min="14568" max="14568" width="32" style="254" customWidth="1"/>
    <col min="14569" max="14569" width="9.140625" style="254"/>
    <col min="14570" max="14570" width="12.85546875" style="254" customWidth="1"/>
    <col min="14571" max="14571" width="13.5703125" style="254" customWidth="1"/>
    <col min="14572" max="14572" width="15.28515625" style="254" customWidth="1"/>
    <col min="14573" max="14823" width="9.140625" style="254"/>
    <col min="14824" max="14824" width="32" style="254" customWidth="1"/>
    <col min="14825" max="14825" width="9.140625" style="254"/>
    <col min="14826" max="14826" width="12.85546875" style="254" customWidth="1"/>
    <col min="14827" max="14827" width="13.5703125" style="254" customWidth="1"/>
    <col min="14828" max="14828" width="15.28515625" style="254" customWidth="1"/>
    <col min="14829" max="15079" width="9.140625" style="254"/>
    <col min="15080" max="15080" width="32" style="254" customWidth="1"/>
    <col min="15081" max="15081" width="9.140625" style="254"/>
    <col min="15082" max="15082" width="12.85546875" style="254" customWidth="1"/>
    <col min="15083" max="15083" width="13.5703125" style="254" customWidth="1"/>
    <col min="15084" max="15084" width="15.28515625" style="254" customWidth="1"/>
    <col min="15085" max="15335" width="9.140625" style="254"/>
    <col min="15336" max="15336" width="32" style="254" customWidth="1"/>
    <col min="15337" max="15337" width="9.140625" style="254"/>
    <col min="15338" max="15338" width="12.85546875" style="254" customWidth="1"/>
    <col min="15339" max="15339" width="13.5703125" style="254" customWidth="1"/>
    <col min="15340" max="15340" width="15.28515625" style="254" customWidth="1"/>
    <col min="15341" max="15591" width="9.140625" style="254"/>
    <col min="15592" max="15592" width="32" style="254" customWidth="1"/>
    <col min="15593" max="15593" width="9.140625" style="254"/>
    <col min="15594" max="15594" width="12.85546875" style="254" customWidth="1"/>
    <col min="15595" max="15595" width="13.5703125" style="254" customWidth="1"/>
    <col min="15596" max="15596" width="15.28515625" style="254" customWidth="1"/>
    <col min="15597" max="15847" width="9.140625" style="254"/>
    <col min="15848" max="15848" width="32" style="254" customWidth="1"/>
    <col min="15849" max="15849" width="9.140625" style="254"/>
    <col min="15850" max="15850" width="12.85546875" style="254" customWidth="1"/>
    <col min="15851" max="15851" width="13.5703125" style="254" customWidth="1"/>
    <col min="15852" max="15852" width="15.28515625" style="254" customWidth="1"/>
    <col min="15853" max="16103" width="9.140625" style="254"/>
    <col min="16104" max="16104" width="32" style="254" customWidth="1"/>
    <col min="16105" max="16105" width="9.140625" style="254"/>
    <col min="16106" max="16106" width="12.85546875" style="254" customWidth="1"/>
    <col min="16107" max="16107" width="13.5703125" style="254" customWidth="1"/>
    <col min="16108" max="16108" width="15.28515625" style="254" customWidth="1"/>
    <col min="16109" max="16384" width="9.140625" style="254"/>
  </cols>
  <sheetData>
    <row r="2" spans="2:10" ht="15.75" thickBot="1" x14ac:dyDescent="0.3"/>
    <row r="3" spans="2:10" ht="27" thickBot="1" x14ac:dyDescent="0.3">
      <c r="B3" s="921"/>
      <c r="C3" s="920" t="s">
        <v>265</v>
      </c>
      <c r="D3" s="920" t="s">
        <v>537</v>
      </c>
      <c r="E3" s="919" t="s">
        <v>536</v>
      </c>
      <c r="F3" s="340"/>
      <c r="G3" s="1808" t="s">
        <v>346</v>
      </c>
      <c r="H3" s="1809"/>
      <c r="I3" s="1809"/>
      <c r="J3" s="1810"/>
    </row>
    <row r="4" spans="2:10" ht="15.75" thickBot="1" x14ac:dyDescent="0.3">
      <c r="B4" s="743" t="s">
        <v>597</v>
      </c>
      <c r="C4" s="952">
        <v>1532.93</v>
      </c>
      <c r="D4" s="951">
        <f>J23</f>
        <v>1672.4913260045271</v>
      </c>
      <c r="E4" s="561">
        <f>(D4-C4)/C4</f>
        <v>9.1042204147956537E-2</v>
      </c>
      <c r="F4" s="340"/>
      <c r="G4" s="962" t="s">
        <v>585</v>
      </c>
      <c r="H4" s="949"/>
      <c r="I4" s="948"/>
      <c r="J4" s="947">
        <v>11</v>
      </c>
    </row>
    <row r="5" spans="2:10" ht="15.75" thickBot="1" x14ac:dyDescent="0.3">
      <c r="B5" s="340"/>
      <c r="C5" s="340"/>
      <c r="D5" s="340"/>
      <c r="E5" s="340"/>
      <c r="F5" s="340"/>
      <c r="G5" s="927"/>
      <c r="H5" s="946" t="s">
        <v>331</v>
      </c>
      <c r="I5" s="945" t="s">
        <v>334</v>
      </c>
      <c r="J5" s="944" t="s">
        <v>458</v>
      </c>
    </row>
    <row r="6" spans="2:10" x14ac:dyDescent="0.25">
      <c r="B6" s="340"/>
      <c r="C6" s="340"/>
      <c r="D6" s="340"/>
      <c r="E6" s="340"/>
      <c r="F6" s="340">
        <v>1</v>
      </c>
      <c r="G6" s="879" t="str">
        <f>IF(INDEX('Master Lookup'!$B$448:$B$450,F6)=0,"",INDEX('Master Lookup'!$B$448:$B$450,F6))</f>
        <v>Management</v>
      </c>
      <c r="H6" s="1136">
        <f>'M2024 BLS SALARY CHART (53_PCT)'!C22</f>
        <v>81486.911999999997</v>
      </c>
      <c r="I6" s="913">
        <f>IFERROR(INDEX('Master Lookup'!$E$448:$E$450,MATCH(G6,'Master Lookup'!$B$448:$B$450,0)),"")</f>
        <v>0.01</v>
      </c>
      <c r="J6" s="943">
        <f>H6*I6</f>
        <v>814.86911999999995</v>
      </c>
    </row>
    <row r="7" spans="2:10" x14ac:dyDescent="0.25">
      <c r="B7" s="340"/>
      <c r="C7" s="340"/>
      <c r="D7" s="340"/>
      <c r="E7" s="477"/>
      <c r="F7" s="340">
        <v>2</v>
      </c>
      <c r="G7" s="879" t="str">
        <f>IF(INDEX('Master Lookup'!$B$448:$B$450,F7)=0,"",INDEX('Master Lookup'!$B$448:$B$450,F7))</f>
        <v>Case Manager</v>
      </c>
      <c r="H7" s="1136">
        <f>'M2024 BLS SALARY CHART (53_PCT)'!C14</f>
        <v>75175.152000000002</v>
      </c>
      <c r="I7" s="913">
        <f>IFERROR(INDEX('Master Lookup'!$E$448:$E$450,MATCH(G7,'Master Lookup'!$B$448:$B$450,0)),"")</f>
        <v>7.0000000000000007E-2</v>
      </c>
      <c r="J7" s="942">
        <f>H7*I7</f>
        <v>5262.2606400000004</v>
      </c>
    </row>
    <row r="8" spans="2:10" x14ac:dyDescent="0.25">
      <c r="B8" s="340"/>
      <c r="C8" s="340"/>
      <c r="D8" s="340"/>
      <c r="E8" s="847"/>
      <c r="F8" s="340">
        <v>3</v>
      </c>
      <c r="G8" s="879" t="str">
        <f>IF(INDEX('Master Lookup'!$B$448:$B$450,F8)=0,"",INDEX('Master Lookup'!$B$448:$B$450,F8))</f>
        <v>Direct Care Staffing</v>
      </c>
      <c r="H8" s="1136">
        <f>'M2024 BLS SALARY CHART (53_PCT)'!C8</f>
        <v>56388.633600000001</v>
      </c>
      <c r="I8" s="913">
        <f>IFERROR(INDEX('Master Lookup'!$E$448:$E$450,MATCH(G8,'Master Lookup'!$B$448:$B$450,0)),"")</f>
        <v>0.08</v>
      </c>
      <c r="J8" s="942">
        <f>H8*I8</f>
        <v>4511.0906880000002</v>
      </c>
    </row>
    <row r="9" spans="2:10" hidden="1" x14ac:dyDescent="0.25">
      <c r="B9" s="340"/>
      <c r="C9" s="340"/>
      <c r="D9" s="340"/>
      <c r="E9" s="847"/>
      <c r="F9" s="340"/>
      <c r="G9" s="297"/>
      <c r="H9" s="941"/>
      <c r="I9" s="295"/>
      <c r="J9" s="940"/>
    </row>
    <row r="10" spans="2:10" x14ac:dyDescent="0.25">
      <c r="B10" s="340"/>
      <c r="C10" s="340"/>
      <c r="D10" s="340"/>
      <c r="E10" s="847"/>
      <c r="F10" s="340"/>
      <c r="G10" s="939" t="s">
        <v>457</v>
      </c>
      <c r="H10" s="938"/>
      <c r="I10" s="937">
        <f>SUM(I6:I9)</f>
        <v>0.16</v>
      </c>
      <c r="J10" s="936">
        <f>SUM(J6:J9)</f>
        <v>10588.220448</v>
      </c>
    </row>
    <row r="11" spans="2:10" x14ac:dyDescent="0.25">
      <c r="B11" s="340"/>
      <c r="C11" s="340"/>
      <c r="D11" s="340"/>
      <c r="E11" s="340"/>
      <c r="F11" s="340"/>
      <c r="G11" s="671" t="s">
        <v>322</v>
      </c>
      <c r="H11" s="935"/>
      <c r="I11" s="233">
        <f>'M2024 BLS SALARY CHART (53_PCT)'!C40</f>
        <v>0.24970000000000001</v>
      </c>
      <c r="J11" s="934">
        <f>J10*I11</f>
        <v>2643.8786458656</v>
      </c>
    </row>
    <row r="12" spans="2:10" ht="15.75" thickBot="1" x14ac:dyDescent="0.3">
      <c r="B12" s="340"/>
      <c r="C12" s="340"/>
      <c r="D12" s="340"/>
      <c r="E12" s="340"/>
      <c r="F12" s="340"/>
      <c r="G12" s="877" t="s">
        <v>550</v>
      </c>
      <c r="H12" s="933"/>
      <c r="I12" s="933"/>
      <c r="J12" s="932">
        <f>SUM(J10:J11)</f>
        <v>13232.0990938656</v>
      </c>
    </row>
    <row r="13" spans="2:10" ht="15.75" thickTop="1" x14ac:dyDescent="0.25">
      <c r="B13" s="340"/>
      <c r="C13" s="340"/>
      <c r="D13" s="340"/>
      <c r="E13" s="847"/>
      <c r="F13" s="340"/>
      <c r="G13" s="667"/>
      <c r="H13" s="931"/>
      <c r="I13" s="931"/>
      <c r="J13" s="930"/>
    </row>
    <row r="14" spans="2:10" x14ac:dyDescent="0.25">
      <c r="B14" s="340"/>
      <c r="C14" s="340"/>
      <c r="D14" s="340"/>
      <c r="E14" s="847"/>
      <c r="F14" s="340"/>
      <c r="G14" s="667" t="s">
        <v>326</v>
      </c>
      <c r="H14" s="856"/>
      <c r="I14" s="880"/>
      <c r="J14" s="742"/>
    </row>
    <row r="15" spans="2:10" x14ac:dyDescent="0.25">
      <c r="B15" s="340"/>
      <c r="C15" s="340"/>
      <c r="D15" s="340"/>
      <c r="E15" s="340"/>
      <c r="F15" s="340">
        <v>1</v>
      </c>
      <c r="G15" s="879" t="str">
        <f>IF(INDEX('Master Lookup'!$B$412:$B$423,F15)=0,"",INDEX('Master Lookup'!$B$412:$B$423,F15))</f>
        <v>Total Occupancy</v>
      </c>
      <c r="H15" s="847" t="s">
        <v>593</v>
      </c>
      <c r="I15" s="914">
        <f>'DCFFamily Skills Dev Group FY26'!J17</f>
        <v>6392.9174203826224</v>
      </c>
      <c r="J15" s="929">
        <f>I10*I15</f>
        <v>1022.8667872612197</v>
      </c>
    </row>
    <row r="16" spans="2:10" x14ac:dyDescent="0.25">
      <c r="B16" s="340"/>
      <c r="C16" s="340"/>
      <c r="D16" s="340"/>
      <c r="E16" s="847"/>
      <c r="F16" s="340">
        <v>2</v>
      </c>
      <c r="G16" s="116" t="s">
        <v>288</v>
      </c>
      <c r="H16" s="340" t="s">
        <v>592</v>
      </c>
      <c r="I16" s="914"/>
      <c r="J16" s="929">
        <f>'DCFFamily Skills Dev Group FY26'!K18</f>
        <v>1766.2389753369646</v>
      </c>
    </row>
    <row r="17" spans="1:11" ht="15.75" thickBot="1" x14ac:dyDescent="0.3">
      <c r="B17" s="340"/>
      <c r="C17" s="340"/>
      <c r="D17" s="340"/>
      <c r="E17" s="917"/>
      <c r="F17" s="340"/>
      <c r="G17" s="667" t="s">
        <v>492</v>
      </c>
      <c r="J17" s="861">
        <f>SUM(J15:J16)</f>
        <v>2789.1057625981844</v>
      </c>
    </row>
    <row r="18" spans="1:11" ht="15.75" thickTop="1" x14ac:dyDescent="0.25">
      <c r="B18" s="340"/>
      <c r="C18" s="340"/>
      <c r="D18" s="340"/>
      <c r="E18" s="847"/>
      <c r="F18" s="340"/>
      <c r="G18" s="667"/>
      <c r="J18" s="299"/>
    </row>
    <row r="19" spans="1:11" ht="21" customHeight="1" x14ac:dyDescent="0.25">
      <c r="B19" s="340"/>
      <c r="C19" s="340"/>
      <c r="D19" s="340"/>
      <c r="E19" s="847"/>
      <c r="F19" s="340"/>
      <c r="G19" s="372" t="s">
        <v>491</v>
      </c>
      <c r="H19" s="289"/>
      <c r="I19" s="289"/>
      <c r="J19" s="288">
        <f>J17+J12</f>
        <v>16021.204856463784</v>
      </c>
    </row>
    <row r="20" spans="1:11" x14ac:dyDescent="0.25">
      <c r="B20" s="340"/>
      <c r="C20" s="340"/>
      <c r="D20" s="340"/>
      <c r="E20" s="847"/>
      <c r="F20" s="340"/>
      <c r="G20" s="127" t="s">
        <v>570</v>
      </c>
      <c r="H20" s="869"/>
      <c r="I20" s="869">
        <f>'Master Lookup'!C461</f>
        <v>0.12</v>
      </c>
      <c r="J20" s="287">
        <f>J19*I20</f>
        <v>1922.5445827756541</v>
      </c>
    </row>
    <row r="21" spans="1:11" x14ac:dyDescent="0.25">
      <c r="B21" s="340"/>
      <c r="C21" s="340"/>
      <c r="D21" s="340"/>
      <c r="E21" s="340"/>
      <c r="F21" s="340"/>
      <c r="G21" s="870" t="s">
        <v>569</v>
      </c>
      <c r="H21" s="869"/>
      <c r="I21" s="869">
        <f>'CAF Spring 2025'!CT26</f>
        <v>2.5282070971092779E-2</v>
      </c>
      <c r="J21" s="287">
        <f>I21*(J19+J20)</f>
        <v>453.65514681035779</v>
      </c>
    </row>
    <row r="22" spans="1:11" ht="15.75" thickBot="1" x14ac:dyDescent="0.3">
      <c r="B22" s="340"/>
      <c r="C22" s="340"/>
      <c r="D22" s="340"/>
      <c r="E22" s="917"/>
      <c r="F22" s="340"/>
      <c r="G22" s="963" t="s">
        <v>596</v>
      </c>
      <c r="H22" s="863"/>
      <c r="I22" s="862"/>
      <c r="J22" s="861">
        <f>SUM(J19:J21)</f>
        <v>18397.404586049797</v>
      </c>
    </row>
    <row r="23" spans="1:11" ht="15.75" thickBot="1" x14ac:dyDescent="0.3">
      <c r="A23" s="869"/>
      <c r="B23" s="340"/>
      <c r="C23" s="340"/>
      <c r="D23" s="340"/>
      <c r="E23" s="917"/>
      <c r="F23" s="340"/>
      <c r="G23" s="868" t="s">
        <v>584</v>
      </c>
      <c r="H23" s="867"/>
      <c r="I23" s="866"/>
      <c r="J23" s="928">
        <f>J22/J4</f>
        <v>1672.4913260045271</v>
      </c>
      <c r="K23" s="1499" t="s">
        <v>797</v>
      </c>
    </row>
    <row r="24" spans="1:11" x14ac:dyDescent="0.25">
      <c r="B24" s="340"/>
      <c r="C24" s="340"/>
      <c r="D24" s="340"/>
      <c r="E24" s="917"/>
      <c r="F24" s="340"/>
      <c r="G24" s="340"/>
      <c r="H24" s="340"/>
      <c r="I24" s="340"/>
      <c r="J24" s="340"/>
    </row>
    <row r="25" spans="1:11" ht="15.75" thickBot="1" x14ac:dyDescent="0.3">
      <c r="B25" s="340"/>
      <c r="C25" s="340"/>
      <c r="D25" s="340"/>
      <c r="E25" s="917"/>
      <c r="F25" s="340"/>
      <c r="G25" s="340"/>
      <c r="H25" s="340"/>
      <c r="I25" s="340"/>
      <c r="J25" s="340"/>
    </row>
    <row r="26" spans="1:11" x14ac:dyDescent="0.25">
      <c r="B26" s="340"/>
      <c r="C26" s="340"/>
      <c r="D26" s="340"/>
      <c r="E26" s="959"/>
      <c r="F26" s="340"/>
      <c r="G26" s="1811" t="s">
        <v>583</v>
      </c>
      <c r="H26" s="1812"/>
      <c r="I26" s="958" t="s">
        <v>582</v>
      </c>
      <c r="J26" s="957" t="s">
        <v>581</v>
      </c>
    </row>
    <row r="27" spans="1:11" x14ac:dyDescent="0.25">
      <c r="B27" s="340"/>
      <c r="C27" s="340"/>
      <c r="D27" s="340"/>
      <c r="E27" s="917"/>
      <c r="F27" s="340"/>
      <c r="G27" s="1813" t="s">
        <v>590</v>
      </c>
      <c r="H27" s="1814"/>
      <c r="I27" s="956">
        <v>70.58</v>
      </c>
      <c r="J27" s="954">
        <f>I27*(I21+1)</f>
        <v>72.364408569139727</v>
      </c>
    </row>
    <row r="28" spans="1:11" x14ac:dyDescent="0.25">
      <c r="B28" s="340"/>
      <c r="C28" s="340"/>
      <c r="D28" s="340"/>
      <c r="E28" s="917"/>
      <c r="F28" s="340"/>
      <c r="G28" s="1813" t="s">
        <v>589</v>
      </c>
      <c r="H28" s="1814"/>
      <c r="I28" s="956">
        <v>173.1</v>
      </c>
      <c r="J28" s="954">
        <f>I28*(I21+1)</f>
        <v>177.47632648509617</v>
      </c>
    </row>
    <row r="29" spans="1:11" x14ac:dyDescent="0.25">
      <c r="B29" s="340"/>
      <c r="C29" s="340"/>
      <c r="D29" s="340"/>
      <c r="E29" s="340"/>
      <c r="F29" s="340"/>
      <c r="G29" s="1813" t="s">
        <v>588</v>
      </c>
      <c r="H29" s="1814"/>
      <c r="I29" s="956">
        <v>49.91</v>
      </c>
      <c r="J29" s="954">
        <f>I29*(I21+1)</f>
        <v>51.171828162167238</v>
      </c>
    </row>
    <row r="30" spans="1:11" x14ac:dyDescent="0.25">
      <c r="B30" s="340"/>
      <c r="C30" s="340"/>
      <c r="D30" s="340"/>
      <c r="E30" s="477"/>
      <c r="F30" s="340"/>
      <c r="G30" s="1813" t="s">
        <v>580</v>
      </c>
      <c r="H30" s="1814"/>
      <c r="I30" s="956">
        <v>140.77000000000001</v>
      </c>
      <c r="J30" s="954">
        <f>I30*(I21+1)</f>
        <v>144.32895713060074</v>
      </c>
    </row>
    <row r="31" spans="1:11" ht="15.75" thickBot="1" x14ac:dyDescent="0.3">
      <c r="B31" s="340"/>
      <c r="C31" s="340"/>
      <c r="D31" s="340"/>
      <c r="E31" s="340"/>
      <c r="F31" s="340"/>
      <c r="G31" s="1806" t="s">
        <v>587</v>
      </c>
      <c r="H31" s="1807"/>
      <c r="I31" s="955">
        <v>168.94</v>
      </c>
      <c r="J31" s="954">
        <f>I31*(I21+1)</f>
        <v>173.21115306985641</v>
      </c>
    </row>
  </sheetData>
  <mergeCells count="7">
    <mergeCell ref="G30:H30"/>
    <mergeCell ref="G31:H31"/>
    <mergeCell ref="G3:J3"/>
    <mergeCell ref="G26:H26"/>
    <mergeCell ref="G27:H27"/>
    <mergeCell ref="G28:H28"/>
    <mergeCell ref="G29:H29"/>
  </mergeCells>
  <pageMargins left="0.7" right="0.7" top="0.75" bottom="0.75" header="0.3" footer="0.3"/>
  <pageSetup scale="7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6AE5D-040C-48B0-852F-26ACB1C2B537}">
  <sheetPr>
    <pageSetUpPr fitToPage="1"/>
  </sheetPr>
  <dimension ref="A1:M41"/>
  <sheetViews>
    <sheetView zoomScaleNormal="100" workbookViewId="0">
      <selection activeCell="J37" sqref="J37"/>
    </sheetView>
  </sheetViews>
  <sheetFormatPr defaultRowHeight="15" x14ac:dyDescent="0.25"/>
  <cols>
    <col min="1" max="1" width="5" style="118" customWidth="1"/>
    <col min="2" max="2" width="27.140625" style="118" bestFit="1" customWidth="1"/>
    <col min="3" max="3" width="16.140625" style="118" bestFit="1" customWidth="1"/>
    <col min="4" max="4" width="2.5703125" style="118" customWidth="1"/>
    <col min="5" max="5" width="4.7109375" style="118" customWidth="1"/>
    <col min="6" max="6" width="22.140625" style="118" bestFit="1" customWidth="1"/>
    <col min="7" max="7" width="11.140625" style="118" customWidth="1"/>
    <col min="8" max="8" width="8.7109375" style="118" bestFit="1" customWidth="1"/>
    <col min="9" max="9" width="9.85546875" style="118" bestFit="1" customWidth="1"/>
    <col min="10" max="10" width="8.7109375" style="118" customWidth="1"/>
    <col min="11" max="11" width="9.7109375" style="118" customWidth="1"/>
    <col min="12" max="12" width="6.140625" style="558" bestFit="1" customWidth="1"/>
    <col min="13" max="13" width="7.42578125" style="557" customWidth="1"/>
    <col min="14" max="14" width="18.42578125" style="118" customWidth="1"/>
    <col min="15" max="250" width="9.140625" style="118"/>
    <col min="251" max="251" width="27.7109375" style="118" customWidth="1"/>
    <col min="252" max="252" width="32.85546875" style="118" bestFit="1" customWidth="1"/>
    <col min="253" max="253" width="11.5703125" style="118" bestFit="1" customWidth="1"/>
    <col min="254" max="254" width="9.7109375" style="118" customWidth="1"/>
    <col min="255" max="255" width="12" style="118" customWidth="1"/>
    <col min="256" max="256" width="30.140625" style="118" customWidth="1"/>
    <col min="257" max="257" width="12" style="118" customWidth="1"/>
    <col min="258" max="258" width="12.140625" style="118" customWidth="1"/>
    <col min="259" max="506" width="9.140625" style="118"/>
    <col min="507" max="507" width="27.7109375" style="118" customWidth="1"/>
    <col min="508" max="508" width="32.85546875" style="118" bestFit="1" customWidth="1"/>
    <col min="509" max="509" width="11.5703125" style="118" bestFit="1" customWidth="1"/>
    <col min="510" max="510" width="9.7109375" style="118" customWidth="1"/>
    <col min="511" max="511" width="12" style="118" customWidth="1"/>
    <col min="512" max="512" width="30.140625" style="118" customWidth="1"/>
    <col min="513" max="513" width="12" style="118" customWidth="1"/>
    <col min="514" max="514" width="12.140625" style="118" customWidth="1"/>
    <col min="515" max="762" width="9.140625" style="118"/>
    <col min="763" max="763" width="27.7109375" style="118" customWidth="1"/>
    <col min="764" max="764" width="32.85546875" style="118" bestFit="1" customWidth="1"/>
    <col min="765" max="765" width="11.5703125" style="118" bestFit="1" customWidth="1"/>
    <col min="766" max="766" width="9.7109375" style="118" customWidth="1"/>
    <col min="767" max="767" width="12" style="118" customWidth="1"/>
    <col min="768" max="768" width="30.140625" style="118" customWidth="1"/>
    <col min="769" max="769" width="12" style="118" customWidth="1"/>
    <col min="770" max="770" width="12.140625" style="118" customWidth="1"/>
    <col min="771" max="1018" width="9.140625" style="118"/>
    <col min="1019" max="1019" width="27.7109375" style="118" customWidth="1"/>
    <col min="1020" max="1020" width="32.85546875" style="118" bestFit="1" customWidth="1"/>
    <col min="1021" max="1021" width="11.5703125" style="118" bestFit="1" customWidth="1"/>
    <col min="1022" max="1022" width="9.7109375" style="118" customWidth="1"/>
    <col min="1023" max="1023" width="12" style="118" customWidth="1"/>
    <col min="1024" max="1024" width="30.140625" style="118" customWidth="1"/>
    <col min="1025" max="1025" width="12" style="118" customWidth="1"/>
    <col min="1026" max="1026" width="12.140625" style="118" customWidth="1"/>
    <col min="1027" max="1274" width="9.140625" style="118"/>
    <col min="1275" max="1275" width="27.7109375" style="118" customWidth="1"/>
    <col min="1276" max="1276" width="32.85546875" style="118" bestFit="1" customWidth="1"/>
    <col min="1277" max="1277" width="11.5703125" style="118" bestFit="1" customWidth="1"/>
    <col min="1278" max="1278" width="9.7109375" style="118" customWidth="1"/>
    <col min="1279" max="1279" width="12" style="118" customWidth="1"/>
    <col min="1280" max="1280" width="30.140625" style="118" customWidth="1"/>
    <col min="1281" max="1281" width="12" style="118" customWidth="1"/>
    <col min="1282" max="1282" width="12.140625" style="118" customWidth="1"/>
    <col min="1283" max="1530" width="9.140625" style="118"/>
    <col min="1531" max="1531" width="27.7109375" style="118" customWidth="1"/>
    <col min="1532" max="1532" width="32.85546875" style="118" bestFit="1" customWidth="1"/>
    <col min="1533" max="1533" width="11.5703125" style="118" bestFit="1" customWidth="1"/>
    <col min="1534" max="1534" width="9.7109375" style="118" customWidth="1"/>
    <col min="1535" max="1535" width="12" style="118" customWidth="1"/>
    <col min="1536" max="1536" width="30.140625" style="118" customWidth="1"/>
    <col min="1537" max="1537" width="12" style="118" customWidth="1"/>
    <col min="1538" max="1538" width="12.140625" style="118" customWidth="1"/>
    <col min="1539" max="1786" width="9.140625" style="118"/>
    <col min="1787" max="1787" width="27.7109375" style="118" customWidth="1"/>
    <col min="1788" max="1788" width="32.85546875" style="118" bestFit="1" customWidth="1"/>
    <col min="1789" max="1789" width="11.5703125" style="118" bestFit="1" customWidth="1"/>
    <col min="1790" max="1790" width="9.7109375" style="118" customWidth="1"/>
    <col min="1791" max="1791" width="12" style="118" customWidth="1"/>
    <col min="1792" max="1792" width="30.140625" style="118" customWidth="1"/>
    <col min="1793" max="1793" width="12" style="118" customWidth="1"/>
    <col min="1794" max="1794" width="12.140625" style="118" customWidth="1"/>
    <col min="1795" max="2042" width="9.140625" style="118"/>
    <col min="2043" max="2043" width="27.7109375" style="118" customWidth="1"/>
    <col min="2044" max="2044" width="32.85546875" style="118" bestFit="1" customWidth="1"/>
    <col min="2045" max="2045" width="11.5703125" style="118" bestFit="1" customWidth="1"/>
    <col min="2046" max="2046" width="9.7109375" style="118" customWidth="1"/>
    <col min="2047" max="2047" width="12" style="118" customWidth="1"/>
    <col min="2048" max="2048" width="30.140625" style="118" customWidth="1"/>
    <col min="2049" max="2049" width="12" style="118" customWidth="1"/>
    <col min="2050" max="2050" width="12.140625" style="118" customWidth="1"/>
    <col min="2051" max="2298" width="9.140625" style="118"/>
    <col min="2299" max="2299" width="27.7109375" style="118" customWidth="1"/>
    <col min="2300" max="2300" width="32.85546875" style="118" bestFit="1" customWidth="1"/>
    <col min="2301" max="2301" width="11.5703125" style="118" bestFit="1" customWidth="1"/>
    <col min="2302" max="2302" width="9.7109375" style="118" customWidth="1"/>
    <col min="2303" max="2303" width="12" style="118" customWidth="1"/>
    <col min="2304" max="2304" width="30.140625" style="118" customWidth="1"/>
    <col min="2305" max="2305" width="12" style="118" customWidth="1"/>
    <col min="2306" max="2306" width="12.140625" style="118" customWidth="1"/>
    <col min="2307" max="2554" width="9.140625" style="118"/>
    <col min="2555" max="2555" width="27.7109375" style="118" customWidth="1"/>
    <col min="2556" max="2556" width="32.85546875" style="118" bestFit="1" customWidth="1"/>
    <col min="2557" max="2557" width="11.5703125" style="118" bestFit="1" customWidth="1"/>
    <col min="2558" max="2558" width="9.7109375" style="118" customWidth="1"/>
    <col min="2559" max="2559" width="12" style="118" customWidth="1"/>
    <col min="2560" max="2560" width="30.140625" style="118" customWidth="1"/>
    <col min="2561" max="2561" width="12" style="118" customWidth="1"/>
    <col min="2562" max="2562" width="12.140625" style="118" customWidth="1"/>
    <col min="2563" max="2810" width="9.140625" style="118"/>
    <col min="2811" max="2811" width="27.7109375" style="118" customWidth="1"/>
    <col min="2812" max="2812" width="32.85546875" style="118" bestFit="1" customWidth="1"/>
    <col min="2813" max="2813" width="11.5703125" style="118" bestFit="1" customWidth="1"/>
    <col min="2814" max="2814" width="9.7109375" style="118" customWidth="1"/>
    <col min="2815" max="2815" width="12" style="118" customWidth="1"/>
    <col min="2816" max="2816" width="30.140625" style="118" customWidth="1"/>
    <col min="2817" max="2817" width="12" style="118" customWidth="1"/>
    <col min="2818" max="2818" width="12.140625" style="118" customWidth="1"/>
    <col min="2819" max="3066" width="9.140625" style="118"/>
    <col min="3067" max="3067" width="27.7109375" style="118" customWidth="1"/>
    <col min="3068" max="3068" width="32.85546875" style="118" bestFit="1" customWidth="1"/>
    <col min="3069" max="3069" width="11.5703125" style="118" bestFit="1" customWidth="1"/>
    <col min="3070" max="3070" width="9.7109375" style="118" customWidth="1"/>
    <col min="3071" max="3071" width="12" style="118" customWidth="1"/>
    <col min="3072" max="3072" width="30.140625" style="118" customWidth="1"/>
    <col min="3073" max="3073" width="12" style="118" customWidth="1"/>
    <col min="3074" max="3074" width="12.140625" style="118" customWidth="1"/>
    <col min="3075" max="3322" width="9.140625" style="118"/>
    <col min="3323" max="3323" width="27.7109375" style="118" customWidth="1"/>
    <col min="3324" max="3324" width="32.85546875" style="118" bestFit="1" customWidth="1"/>
    <col min="3325" max="3325" width="11.5703125" style="118" bestFit="1" customWidth="1"/>
    <col min="3326" max="3326" width="9.7109375" style="118" customWidth="1"/>
    <col min="3327" max="3327" width="12" style="118" customWidth="1"/>
    <col min="3328" max="3328" width="30.140625" style="118" customWidth="1"/>
    <col min="3329" max="3329" width="12" style="118" customWidth="1"/>
    <col min="3330" max="3330" width="12.140625" style="118" customWidth="1"/>
    <col min="3331" max="3578" width="9.140625" style="118"/>
    <col min="3579" max="3579" width="27.7109375" style="118" customWidth="1"/>
    <col min="3580" max="3580" width="32.85546875" style="118" bestFit="1" customWidth="1"/>
    <col min="3581" max="3581" width="11.5703125" style="118" bestFit="1" customWidth="1"/>
    <col min="3582" max="3582" width="9.7109375" style="118" customWidth="1"/>
    <col min="3583" max="3583" width="12" style="118" customWidth="1"/>
    <col min="3584" max="3584" width="30.140625" style="118" customWidth="1"/>
    <col min="3585" max="3585" width="12" style="118" customWidth="1"/>
    <col min="3586" max="3586" width="12.140625" style="118" customWidth="1"/>
    <col min="3587" max="3834" width="9.140625" style="118"/>
    <col min="3835" max="3835" width="27.7109375" style="118" customWidth="1"/>
    <col min="3836" max="3836" width="32.85546875" style="118" bestFit="1" customWidth="1"/>
    <col min="3837" max="3837" width="11.5703125" style="118" bestFit="1" customWidth="1"/>
    <col min="3838" max="3838" width="9.7109375" style="118" customWidth="1"/>
    <col min="3839" max="3839" width="12" style="118" customWidth="1"/>
    <col min="3840" max="3840" width="30.140625" style="118" customWidth="1"/>
    <col min="3841" max="3841" width="12" style="118" customWidth="1"/>
    <col min="3842" max="3842" width="12.140625" style="118" customWidth="1"/>
    <col min="3843" max="4090" width="9.140625" style="118"/>
    <col min="4091" max="4091" width="27.7109375" style="118" customWidth="1"/>
    <col min="4092" max="4092" width="32.85546875" style="118" bestFit="1" customWidth="1"/>
    <col min="4093" max="4093" width="11.5703125" style="118" bestFit="1" customWidth="1"/>
    <col min="4094" max="4094" width="9.7109375" style="118" customWidth="1"/>
    <col min="4095" max="4095" width="12" style="118" customWidth="1"/>
    <col min="4096" max="4096" width="30.140625" style="118" customWidth="1"/>
    <col min="4097" max="4097" width="12" style="118" customWidth="1"/>
    <col min="4098" max="4098" width="12.140625" style="118" customWidth="1"/>
    <col min="4099" max="4346" width="9.140625" style="118"/>
    <col min="4347" max="4347" width="27.7109375" style="118" customWidth="1"/>
    <col min="4348" max="4348" width="32.85546875" style="118" bestFit="1" customWidth="1"/>
    <col min="4349" max="4349" width="11.5703125" style="118" bestFit="1" customWidth="1"/>
    <col min="4350" max="4350" width="9.7109375" style="118" customWidth="1"/>
    <col min="4351" max="4351" width="12" style="118" customWidth="1"/>
    <col min="4352" max="4352" width="30.140625" style="118" customWidth="1"/>
    <col min="4353" max="4353" width="12" style="118" customWidth="1"/>
    <col min="4354" max="4354" width="12.140625" style="118" customWidth="1"/>
    <col min="4355" max="4602" width="9.140625" style="118"/>
    <col min="4603" max="4603" width="27.7109375" style="118" customWidth="1"/>
    <col min="4604" max="4604" width="32.85546875" style="118" bestFit="1" customWidth="1"/>
    <col min="4605" max="4605" width="11.5703125" style="118" bestFit="1" customWidth="1"/>
    <col min="4606" max="4606" width="9.7109375" style="118" customWidth="1"/>
    <col min="4607" max="4607" width="12" style="118" customWidth="1"/>
    <col min="4608" max="4608" width="30.140625" style="118" customWidth="1"/>
    <col min="4609" max="4609" width="12" style="118" customWidth="1"/>
    <col min="4610" max="4610" width="12.140625" style="118" customWidth="1"/>
    <col min="4611" max="4858" width="9.140625" style="118"/>
    <col min="4859" max="4859" width="27.7109375" style="118" customWidth="1"/>
    <col min="4860" max="4860" width="32.85546875" style="118" bestFit="1" customWidth="1"/>
    <col min="4861" max="4861" width="11.5703125" style="118" bestFit="1" customWidth="1"/>
    <col min="4862" max="4862" width="9.7109375" style="118" customWidth="1"/>
    <col min="4863" max="4863" width="12" style="118" customWidth="1"/>
    <col min="4864" max="4864" width="30.140625" style="118" customWidth="1"/>
    <col min="4865" max="4865" width="12" style="118" customWidth="1"/>
    <col min="4866" max="4866" width="12.140625" style="118" customWidth="1"/>
    <col min="4867" max="5114" width="9.140625" style="118"/>
    <col min="5115" max="5115" width="27.7109375" style="118" customWidth="1"/>
    <col min="5116" max="5116" width="32.85546875" style="118" bestFit="1" customWidth="1"/>
    <col min="5117" max="5117" width="11.5703125" style="118" bestFit="1" customWidth="1"/>
    <col min="5118" max="5118" width="9.7109375" style="118" customWidth="1"/>
    <col min="5119" max="5119" width="12" style="118" customWidth="1"/>
    <col min="5120" max="5120" width="30.140625" style="118" customWidth="1"/>
    <col min="5121" max="5121" width="12" style="118" customWidth="1"/>
    <col min="5122" max="5122" width="12.140625" style="118" customWidth="1"/>
    <col min="5123" max="5370" width="9.140625" style="118"/>
    <col min="5371" max="5371" width="27.7109375" style="118" customWidth="1"/>
    <col min="5372" max="5372" width="32.85546875" style="118" bestFit="1" customWidth="1"/>
    <col min="5373" max="5373" width="11.5703125" style="118" bestFit="1" customWidth="1"/>
    <col min="5374" max="5374" width="9.7109375" style="118" customWidth="1"/>
    <col min="5375" max="5375" width="12" style="118" customWidth="1"/>
    <col min="5376" max="5376" width="30.140625" style="118" customWidth="1"/>
    <col min="5377" max="5377" width="12" style="118" customWidth="1"/>
    <col min="5378" max="5378" width="12.140625" style="118" customWidth="1"/>
    <col min="5379" max="5626" width="9.140625" style="118"/>
    <col min="5627" max="5627" width="27.7109375" style="118" customWidth="1"/>
    <col min="5628" max="5628" width="32.85546875" style="118" bestFit="1" customWidth="1"/>
    <col min="5629" max="5629" width="11.5703125" style="118" bestFit="1" customWidth="1"/>
    <col min="5630" max="5630" width="9.7109375" style="118" customWidth="1"/>
    <col min="5631" max="5631" width="12" style="118" customWidth="1"/>
    <col min="5632" max="5632" width="30.140625" style="118" customWidth="1"/>
    <col min="5633" max="5633" width="12" style="118" customWidth="1"/>
    <col min="5634" max="5634" width="12.140625" style="118" customWidth="1"/>
    <col min="5635" max="5882" width="9.140625" style="118"/>
    <col min="5883" max="5883" width="27.7109375" style="118" customWidth="1"/>
    <col min="5884" max="5884" width="32.85546875" style="118" bestFit="1" customWidth="1"/>
    <col min="5885" max="5885" width="11.5703125" style="118" bestFit="1" customWidth="1"/>
    <col min="5886" max="5886" width="9.7109375" style="118" customWidth="1"/>
    <col min="5887" max="5887" width="12" style="118" customWidth="1"/>
    <col min="5888" max="5888" width="30.140625" style="118" customWidth="1"/>
    <col min="5889" max="5889" width="12" style="118" customWidth="1"/>
    <col min="5890" max="5890" width="12.140625" style="118" customWidth="1"/>
    <col min="5891" max="6138" width="9.140625" style="118"/>
    <col min="6139" max="6139" width="27.7109375" style="118" customWidth="1"/>
    <col min="6140" max="6140" width="32.85546875" style="118" bestFit="1" customWidth="1"/>
    <col min="6141" max="6141" width="11.5703125" style="118" bestFit="1" customWidth="1"/>
    <col min="6142" max="6142" width="9.7109375" style="118" customWidth="1"/>
    <col min="6143" max="6143" width="12" style="118" customWidth="1"/>
    <col min="6144" max="6144" width="30.140625" style="118" customWidth="1"/>
    <col min="6145" max="6145" width="12" style="118" customWidth="1"/>
    <col min="6146" max="6146" width="12.140625" style="118" customWidth="1"/>
    <col min="6147" max="6394" width="9.140625" style="118"/>
    <col min="6395" max="6395" width="27.7109375" style="118" customWidth="1"/>
    <col min="6396" max="6396" width="32.85546875" style="118" bestFit="1" customWidth="1"/>
    <col min="6397" max="6397" width="11.5703125" style="118" bestFit="1" customWidth="1"/>
    <col min="6398" max="6398" width="9.7109375" style="118" customWidth="1"/>
    <col min="6399" max="6399" width="12" style="118" customWidth="1"/>
    <col min="6400" max="6400" width="30.140625" style="118" customWidth="1"/>
    <col min="6401" max="6401" width="12" style="118" customWidth="1"/>
    <col min="6402" max="6402" width="12.140625" style="118" customWidth="1"/>
    <col min="6403" max="6650" width="9.140625" style="118"/>
    <col min="6651" max="6651" width="27.7109375" style="118" customWidth="1"/>
    <col min="6652" max="6652" width="32.85546875" style="118" bestFit="1" customWidth="1"/>
    <col min="6653" max="6653" width="11.5703125" style="118" bestFit="1" customWidth="1"/>
    <col min="6654" max="6654" width="9.7109375" style="118" customWidth="1"/>
    <col min="6655" max="6655" width="12" style="118" customWidth="1"/>
    <col min="6656" max="6656" width="30.140625" style="118" customWidth="1"/>
    <col min="6657" max="6657" width="12" style="118" customWidth="1"/>
    <col min="6658" max="6658" width="12.140625" style="118" customWidth="1"/>
    <col min="6659" max="6906" width="9.140625" style="118"/>
    <col min="6907" max="6907" width="27.7109375" style="118" customWidth="1"/>
    <col min="6908" max="6908" width="32.85546875" style="118" bestFit="1" customWidth="1"/>
    <col min="6909" max="6909" width="11.5703125" style="118" bestFit="1" customWidth="1"/>
    <col min="6910" max="6910" width="9.7109375" style="118" customWidth="1"/>
    <col min="6911" max="6911" width="12" style="118" customWidth="1"/>
    <col min="6912" max="6912" width="30.140625" style="118" customWidth="1"/>
    <col min="6913" max="6913" width="12" style="118" customWidth="1"/>
    <col min="6914" max="6914" width="12.140625" style="118" customWidth="1"/>
    <col min="6915" max="7162" width="9.140625" style="118"/>
    <col min="7163" max="7163" width="27.7109375" style="118" customWidth="1"/>
    <col min="7164" max="7164" width="32.85546875" style="118" bestFit="1" customWidth="1"/>
    <col min="7165" max="7165" width="11.5703125" style="118" bestFit="1" customWidth="1"/>
    <col min="7166" max="7166" width="9.7109375" style="118" customWidth="1"/>
    <col min="7167" max="7167" width="12" style="118" customWidth="1"/>
    <col min="7168" max="7168" width="30.140625" style="118" customWidth="1"/>
    <col min="7169" max="7169" width="12" style="118" customWidth="1"/>
    <col min="7170" max="7170" width="12.140625" style="118" customWidth="1"/>
    <col min="7171" max="7418" width="9.140625" style="118"/>
    <col min="7419" max="7419" width="27.7109375" style="118" customWidth="1"/>
    <col min="7420" max="7420" width="32.85546875" style="118" bestFit="1" customWidth="1"/>
    <col min="7421" max="7421" width="11.5703125" style="118" bestFit="1" customWidth="1"/>
    <col min="7422" max="7422" width="9.7109375" style="118" customWidth="1"/>
    <col min="7423" max="7423" width="12" style="118" customWidth="1"/>
    <col min="7424" max="7424" width="30.140625" style="118" customWidth="1"/>
    <col min="7425" max="7425" width="12" style="118" customWidth="1"/>
    <col min="7426" max="7426" width="12.140625" style="118" customWidth="1"/>
    <col min="7427" max="7674" width="9.140625" style="118"/>
    <col min="7675" max="7675" width="27.7109375" style="118" customWidth="1"/>
    <col min="7676" max="7676" width="32.85546875" style="118" bestFit="1" customWidth="1"/>
    <col min="7677" max="7677" width="11.5703125" style="118" bestFit="1" customWidth="1"/>
    <col min="7678" max="7678" width="9.7109375" style="118" customWidth="1"/>
    <col min="7679" max="7679" width="12" style="118" customWidth="1"/>
    <col min="7680" max="7680" width="30.140625" style="118" customWidth="1"/>
    <col min="7681" max="7681" width="12" style="118" customWidth="1"/>
    <col min="7682" max="7682" width="12.140625" style="118" customWidth="1"/>
    <col min="7683" max="7930" width="9.140625" style="118"/>
    <col min="7931" max="7931" width="27.7109375" style="118" customWidth="1"/>
    <col min="7932" max="7932" width="32.85546875" style="118" bestFit="1" customWidth="1"/>
    <col min="7933" max="7933" width="11.5703125" style="118" bestFit="1" customWidth="1"/>
    <col min="7934" max="7934" width="9.7109375" style="118" customWidth="1"/>
    <col min="7935" max="7935" width="12" style="118" customWidth="1"/>
    <col min="7936" max="7936" width="30.140625" style="118" customWidth="1"/>
    <col min="7937" max="7937" width="12" style="118" customWidth="1"/>
    <col min="7938" max="7938" width="12.140625" style="118" customWidth="1"/>
    <col min="7939" max="8186" width="9.140625" style="118"/>
    <col min="8187" max="8187" width="27.7109375" style="118" customWidth="1"/>
    <col min="8188" max="8188" width="32.85546875" style="118" bestFit="1" customWidth="1"/>
    <col min="8189" max="8189" width="11.5703125" style="118" bestFit="1" customWidth="1"/>
    <col min="8190" max="8190" width="9.7109375" style="118" customWidth="1"/>
    <col min="8191" max="8191" width="12" style="118" customWidth="1"/>
    <col min="8192" max="8192" width="30.140625" style="118" customWidth="1"/>
    <col min="8193" max="8193" width="12" style="118" customWidth="1"/>
    <col min="8194" max="8194" width="12.140625" style="118" customWidth="1"/>
    <col min="8195" max="8442" width="9.140625" style="118"/>
    <col min="8443" max="8443" width="27.7109375" style="118" customWidth="1"/>
    <col min="8444" max="8444" width="32.85546875" style="118" bestFit="1" customWidth="1"/>
    <col min="8445" max="8445" width="11.5703125" style="118" bestFit="1" customWidth="1"/>
    <col min="8446" max="8446" width="9.7109375" style="118" customWidth="1"/>
    <col min="8447" max="8447" width="12" style="118" customWidth="1"/>
    <col min="8448" max="8448" width="30.140625" style="118" customWidth="1"/>
    <col min="8449" max="8449" width="12" style="118" customWidth="1"/>
    <col min="8450" max="8450" width="12.140625" style="118" customWidth="1"/>
    <col min="8451" max="8698" width="9.140625" style="118"/>
    <col min="8699" max="8699" width="27.7109375" style="118" customWidth="1"/>
    <col min="8700" max="8700" width="32.85546875" style="118" bestFit="1" customWidth="1"/>
    <col min="8701" max="8701" width="11.5703125" style="118" bestFit="1" customWidth="1"/>
    <col min="8702" max="8702" width="9.7109375" style="118" customWidth="1"/>
    <col min="8703" max="8703" width="12" style="118" customWidth="1"/>
    <col min="8704" max="8704" width="30.140625" style="118" customWidth="1"/>
    <col min="8705" max="8705" width="12" style="118" customWidth="1"/>
    <col min="8706" max="8706" width="12.140625" style="118" customWidth="1"/>
    <col min="8707" max="8954" width="9.140625" style="118"/>
    <col min="8955" max="8955" width="27.7109375" style="118" customWidth="1"/>
    <col min="8956" max="8956" width="32.85546875" style="118" bestFit="1" customWidth="1"/>
    <col min="8957" max="8957" width="11.5703125" style="118" bestFit="1" customWidth="1"/>
    <col min="8958" max="8958" width="9.7109375" style="118" customWidth="1"/>
    <col min="8959" max="8959" width="12" style="118" customWidth="1"/>
    <col min="8960" max="8960" width="30.140625" style="118" customWidth="1"/>
    <col min="8961" max="8961" width="12" style="118" customWidth="1"/>
    <col min="8962" max="8962" width="12.140625" style="118" customWidth="1"/>
    <col min="8963" max="9210" width="9.140625" style="118"/>
    <col min="9211" max="9211" width="27.7109375" style="118" customWidth="1"/>
    <col min="9212" max="9212" width="32.85546875" style="118" bestFit="1" customWidth="1"/>
    <col min="9213" max="9213" width="11.5703125" style="118" bestFit="1" customWidth="1"/>
    <col min="9214" max="9214" width="9.7109375" style="118" customWidth="1"/>
    <col min="9215" max="9215" width="12" style="118" customWidth="1"/>
    <col min="9216" max="9216" width="30.140625" style="118" customWidth="1"/>
    <col min="9217" max="9217" width="12" style="118" customWidth="1"/>
    <col min="9218" max="9218" width="12.140625" style="118" customWidth="1"/>
    <col min="9219" max="9466" width="9.140625" style="118"/>
    <col min="9467" max="9467" width="27.7109375" style="118" customWidth="1"/>
    <col min="9468" max="9468" width="32.85546875" style="118" bestFit="1" customWidth="1"/>
    <col min="9469" max="9469" width="11.5703125" style="118" bestFit="1" customWidth="1"/>
    <col min="9470" max="9470" width="9.7109375" style="118" customWidth="1"/>
    <col min="9471" max="9471" width="12" style="118" customWidth="1"/>
    <col min="9472" max="9472" width="30.140625" style="118" customWidth="1"/>
    <col min="9473" max="9473" width="12" style="118" customWidth="1"/>
    <col min="9474" max="9474" width="12.140625" style="118" customWidth="1"/>
    <col min="9475" max="9722" width="9.140625" style="118"/>
    <col min="9723" max="9723" width="27.7109375" style="118" customWidth="1"/>
    <col min="9724" max="9724" width="32.85546875" style="118" bestFit="1" customWidth="1"/>
    <col min="9725" max="9725" width="11.5703125" style="118" bestFit="1" customWidth="1"/>
    <col min="9726" max="9726" width="9.7109375" style="118" customWidth="1"/>
    <col min="9727" max="9727" width="12" style="118" customWidth="1"/>
    <col min="9728" max="9728" width="30.140625" style="118" customWidth="1"/>
    <col min="9729" max="9729" width="12" style="118" customWidth="1"/>
    <col min="9730" max="9730" width="12.140625" style="118" customWidth="1"/>
    <col min="9731" max="9978" width="9.140625" style="118"/>
    <col min="9979" max="9979" width="27.7109375" style="118" customWidth="1"/>
    <col min="9980" max="9980" width="32.85546875" style="118" bestFit="1" customWidth="1"/>
    <col min="9981" max="9981" width="11.5703125" style="118" bestFit="1" customWidth="1"/>
    <col min="9982" max="9982" width="9.7109375" style="118" customWidth="1"/>
    <col min="9983" max="9983" width="12" style="118" customWidth="1"/>
    <col min="9984" max="9984" width="30.140625" style="118" customWidth="1"/>
    <col min="9985" max="9985" width="12" style="118" customWidth="1"/>
    <col min="9986" max="9986" width="12.140625" style="118" customWidth="1"/>
    <col min="9987" max="10234" width="9.140625" style="118"/>
    <col min="10235" max="10235" width="27.7109375" style="118" customWidth="1"/>
    <col min="10236" max="10236" width="32.85546875" style="118" bestFit="1" customWidth="1"/>
    <col min="10237" max="10237" width="11.5703125" style="118" bestFit="1" customWidth="1"/>
    <col min="10238" max="10238" width="9.7109375" style="118" customWidth="1"/>
    <col min="10239" max="10239" width="12" style="118" customWidth="1"/>
    <col min="10240" max="10240" width="30.140625" style="118" customWidth="1"/>
    <col min="10241" max="10241" width="12" style="118" customWidth="1"/>
    <col min="10242" max="10242" width="12.140625" style="118" customWidth="1"/>
    <col min="10243" max="10490" width="9.140625" style="118"/>
    <col min="10491" max="10491" width="27.7109375" style="118" customWidth="1"/>
    <col min="10492" max="10492" width="32.85546875" style="118" bestFit="1" customWidth="1"/>
    <col min="10493" max="10493" width="11.5703125" style="118" bestFit="1" customWidth="1"/>
    <col min="10494" max="10494" width="9.7109375" style="118" customWidth="1"/>
    <col min="10495" max="10495" width="12" style="118" customWidth="1"/>
    <col min="10496" max="10496" width="30.140625" style="118" customWidth="1"/>
    <col min="10497" max="10497" width="12" style="118" customWidth="1"/>
    <col min="10498" max="10498" width="12.140625" style="118" customWidth="1"/>
    <col min="10499" max="10746" width="9.140625" style="118"/>
    <col min="10747" max="10747" width="27.7109375" style="118" customWidth="1"/>
    <col min="10748" max="10748" width="32.85546875" style="118" bestFit="1" customWidth="1"/>
    <col min="10749" max="10749" width="11.5703125" style="118" bestFit="1" customWidth="1"/>
    <col min="10750" max="10750" width="9.7109375" style="118" customWidth="1"/>
    <col min="10751" max="10751" width="12" style="118" customWidth="1"/>
    <col min="10752" max="10752" width="30.140625" style="118" customWidth="1"/>
    <col min="10753" max="10753" width="12" style="118" customWidth="1"/>
    <col min="10754" max="10754" width="12.140625" style="118" customWidth="1"/>
    <col min="10755" max="11002" width="9.140625" style="118"/>
    <col min="11003" max="11003" width="27.7109375" style="118" customWidth="1"/>
    <col min="11004" max="11004" width="32.85546875" style="118" bestFit="1" customWidth="1"/>
    <col min="11005" max="11005" width="11.5703125" style="118" bestFit="1" customWidth="1"/>
    <col min="11006" max="11006" width="9.7109375" style="118" customWidth="1"/>
    <col min="11007" max="11007" width="12" style="118" customWidth="1"/>
    <col min="11008" max="11008" width="30.140625" style="118" customWidth="1"/>
    <col min="11009" max="11009" width="12" style="118" customWidth="1"/>
    <col min="11010" max="11010" width="12.140625" style="118" customWidth="1"/>
    <col min="11011" max="11258" width="9.140625" style="118"/>
    <col min="11259" max="11259" width="27.7109375" style="118" customWidth="1"/>
    <col min="11260" max="11260" width="32.85546875" style="118" bestFit="1" customWidth="1"/>
    <col min="11261" max="11261" width="11.5703125" style="118" bestFit="1" customWidth="1"/>
    <col min="11262" max="11262" width="9.7109375" style="118" customWidth="1"/>
    <col min="11263" max="11263" width="12" style="118" customWidth="1"/>
    <col min="11264" max="11264" width="30.140625" style="118" customWidth="1"/>
    <col min="11265" max="11265" width="12" style="118" customWidth="1"/>
    <col min="11266" max="11266" width="12.140625" style="118" customWidth="1"/>
    <col min="11267" max="11514" width="9.140625" style="118"/>
    <col min="11515" max="11515" width="27.7109375" style="118" customWidth="1"/>
    <col min="11516" max="11516" width="32.85546875" style="118" bestFit="1" customWidth="1"/>
    <col min="11517" max="11517" width="11.5703125" style="118" bestFit="1" customWidth="1"/>
    <col min="11518" max="11518" width="9.7109375" style="118" customWidth="1"/>
    <col min="11519" max="11519" width="12" style="118" customWidth="1"/>
    <col min="11520" max="11520" width="30.140625" style="118" customWidth="1"/>
    <col min="11521" max="11521" width="12" style="118" customWidth="1"/>
    <col min="11522" max="11522" width="12.140625" style="118" customWidth="1"/>
    <col min="11523" max="11770" width="9.140625" style="118"/>
    <col min="11771" max="11771" width="27.7109375" style="118" customWidth="1"/>
    <col min="11772" max="11772" width="32.85546875" style="118" bestFit="1" customWidth="1"/>
    <col min="11773" max="11773" width="11.5703125" style="118" bestFit="1" customWidth="1"/>
    <col min="11774" max="11774" width="9.7109375" style="118" customWidth="1"/>
    <col min="11775" max="11775" width="12" style="118" customWidth="1"/>
    <col min="11776" max="11776" width="30.140625" style="118" customWidth="1"/>
    <col min="11777" max="11777" width="12" style="118" customWidth="1"/>
    <col min="11778" max="11778" width="12.140625" style="118" customWidth="1"/>
    <col min="11779" max="12026" width="9.140625" style="118"/>
    <col min="12027" max="12027" width="27.7109375" style="118" customWidth="1"/>
    <col min="12028" max="12028" width="32.85546875" style="118" bestFit="1" customWidth="1"/>
    <col min="12029" max="12029" width="11.5703125" style="118" bestFit="1" customWidth="1"/>
    <col min="12030" max="12030" width="9.7109375" style="118" customWidth="1"/>
    <col min="12031" max="12031" width="12" style="118" customWidth="1"/>
    <col min="12032" max="12032" width="30.140625" style="118" customWidth="1"/>
    <col min="12033" max="12033" width="12" style="118" customWidth="1"/>
    <col min="12034" max="12034" width="12.140625" style="118" customWidth="1"/>
    <col min="12035" max="12282" width="9.140625" style="118"/>
    <col min="12283" max="12283" width="27.7109375" style="118" customWidth="1"/>
    <col min="12284" max="12284" width="32.85546875" style="118" bestFit="1" customWidth="1"/>
    <col min="12285" max="12285" width="11.5703125" style="118" bestFit="1" customWidth="1"/>
    <col min="12286" max="12286" width="9.7109375" style="118" customWidth="1"/>
    <col min="12287" max="12287" width="12" style="118" customWidth="1"/>
    <col min="12288" max="12288" width="30.140625" style="118" customWidth="1"/>
    <col min="12289" max="12289" width="12" style="118" customWidth="1"/>
    <col min="12290" max="12290" width="12.140625" style="118" customWidth="1"/>
    <col min="12291" max="12538" width="9.140625" style="118"/>
    <col min="12539" max="12539" width="27.7109375" style="118" customWidth="1"/>
    <col min="12540" max="12540" width="32.85546875" style="118" bestFit="1" customWidth="1"/>
    <col min="12541" max="12541" width="11.5703125" style="118" bestFit="1" customWidth="1"/>
    <col min="12542" max="12542" width="9.7109375" style="118" customWidth="1"/>
    <col min="12543" max="12543" width="12" style="118" customWidth="1"/>
    <col min="12544" max="12544" width="30.140625" style="118" customWidth="1"/>
    <col min="12545" max="12545" width="12" style="118" customWidth="1"/>
    <col min="12546" max="12546" width="12.140625" style="118" customWidth="1"/>
    <col min="12547" max="12794" width="9.140625" style="118"/>
    <col min="12795" max="12795" width="27.7109375" style="118" customWidth="1"/>
    <col min="12796" max="12796" width="32.85546875" style="118" bestFit="1" customWidth="1"/>
    <col min="12797" max="12797" width="11.5703125" style="118" bestFit="1" customWidth="1"/>
    <col min="12798" max="12798" width="9.7109375" style="118" customWidth="1"/>
    <col min="12799" max="12799" width="12" style="118" customWidth="1"/>
    <col min="12800" max="12800" width="30.140625" style="118" customWidth="1"/>
    <col min="12801" max="12801" width="12" style="118" customWidth="1"/>
    <col min="12802" max="12802" width="12.140625" style="118" customWidth="1"/>
    <col min="12803" max="13050" width="9.140625" style="118"/>
    <col min="13051" max="13051" width="27.7109375" style="118" customWidth="1"/>
    <col min="13052" max="13052" width="32.85546875" style="118" bestFit="1" customWidth="1"/>
    <col min="13053" max="13053" width="11.5703125" style="118" bestFit="1" customWidth="1"/>
    <col min="13054" max="13054" width="9.7109375" style="118" customWidth="1"/>
    <col min="13055" max="13055" width="12" style="118" customWidth="1"/>
    <col min="13056" max="13056" width="30.140625" style="118" customWidth="1"/>
    <col min="13057" max="13057" width="12" style="118" customWidth="1"/>
    <col min="13058" max="13058" width="12.140625" style="118" customWidth="1"/>
    <col min="13059" max="13306" width="9.140625" style="118"/>
    <col min="13307" max="13307" width="27.7109375" style="118" customWidth="1"/>
    <col min="13308" max="13308" width="32.85546875" style="118" bestFit="1" customWidth="1"/>
    <col min="13309" max="13309" width="11.5703125" style="118" bestFit="1" customWidth="1"/>
    <col min="13310" max="13310" width="9.7109375" style="118" customWidth="1"/>
    <col min="13311" max="13311" width="12" style="118" customWidth="1"/>
    <col min="13312" max="13312" width="30.140625" style="118" customWidth="1"/>
    <col min="13313" max="13313" width="12" style="118" customWidth="1"/>
    <col min="13314" max="13314" width="12.140625" style="118" customWidth="1"/>
    <col min="13315" max="13562" width="9.140625" style="118"/>
    <col min="13563" max="13563" width="27.7109375" style="118" customWidth="1"/>
    <col min="13564" max="13564" width="32.85546875" style="118" bestFit="1" customWidth="1"/>
    <col min="13565" max="13565" width="11.5703125" style="118" bestFit="1" customWidth="1"/>
    <col min="13566" max="13566" width="9.7109375" style="118" customWidth="1"/>
    <col min="13567" max="13567" width="12" style="118" customWidth="1"/>
    <col min="13568" max="13568" width="30.140625" style="118" customWidth="1"/>
    <col min="13569" max="13569" width="12" style="118" customWidth="1"/>
    <col min="13570" max="13570" width="12.140625" style="118" customWidth="1"/>
    <col min="13571" max="13818" width="9.140625" style="118"/>
    <col min="13819" max="13819" width="27.7109375" style="118" customWidth="1"/>
    <col min="13820" max="13820" width="32.85546875" style="118" bestFit="1" customWidth="1"/>
    <col min="13821" max="13821" width="11.5703125" style="118" bestFit="1" customWidth="1"/>
    <col min="13822" max="13822" width="9.7109375" style="118" customWidth="1"/>
    <col min="13823" max="13823" width="12" style="118" customWidth="1"/>
    <col min="13824" max="13824" width="30.140625" style="118" customWidth="1"/>
    <col min="13825" max="13825" width="12" style="118" customWidth="1"/>
    <col min="13826" max="13826" width="12.140625" style="118" customWidth="1"/>
    <col min="13827" max="14074" width="9.140625" style="118"/>
    <col min="14075" max="14075" width="27.7109375" style="118" customWidth="1"/>
    <col min="14076" max="14076" width="32.85546875" style="118" bestFit="1" customWidth="1"/>
    <col min="14077" max="14077" width="11.5703125" style="118" bestFit="1" customWidth="1"/>
    <col min="14078" max="14078" width="9.7109375" style="118" customWidth="1"/>
    <col min="14079" max="14079" width="12" style="118" customWidth="1"/>
    <col min="14080" max="14080" width="30.140625" style="118" customWidth="1"/>
    <col min="14081" max="14081" width="12" style="118" customWidth="1"/>
    <col min="14082" max="14082" width="12.140625" style="118" customWidth="1"/>
    <col min="14083" max="14330" width="9.140625" style="118"/>
    <col min="14331" max="14331" width="27.7109375" style="118" customWidth="1"/>
    <col min="14332" max="14332" width="32.85546875" style="118" bestFit="1" customWidth="1"/>
    <col min="14333" max="14333" width="11.5703125" style="118" bestFit="1" customWidth="1"/>
    <col min="14334" max="14334" width="9.7109375" style="118" customWidth="1"/>
    <col min="14335" max="14335" width="12" style="118" customWidth="1"/>
    <col min="14336" max="14336" width="30.140625" style="118" customWidth="1"/>
    <col min="14337" max="14337" width="12" style="118" customWidth="1"/>
    <col min="14338" max="14338" width="12.140625" style="118" customWidth="1"/>
    <col min="14339" max="14586" width="9.140625" style="118"/>
    <col min="14587" max="14587" width="27.7109375" style="118" customWidth="1"/>
    <col min="14588" max="14588" width="32.85546875" style="118" bestFit="1" customWidth="1"/>
    <col min="14589" max="14589" width="11.5703125" style="118" bestFit="1" customWidth="1"/>
    <col min="14590" max="14590" width="9.7109375" style="118" customWidth="1"/>
    <col min="14591" max="14591" width="12" style="118" customWidth="1"/>
    <col min="14592" max="14592" width="30.140625" style="118" customWidth="1"/>
    <col min="14593" max="14593" width="12" style="118" customWidth="1"/>
    <col min="14594" max="14594" width="12.140625" style="118" customWidth="1"/>
    <col min="14595" max="14842" width="9.140625" style="118"/>
    <col min="14843" max="14843" width="27.7109375" style="118" customWidth="1"/>
    <col min="14844" max="14844" width="32.85546875" style="118" bestFit="1" customWidth="1"/>
    <col min="14845" max="14845" width="11.5703125" style="118" bestFit="1" customWidth="1"/>
    <col min="14846" max="14846" width="9.7109375" style="118" customWidth="1"/>
    <col min="14847" max="14847" width="12" style="118" customWidth="1"/>
    <col min="14848" max="14848" width="30.140625" style="118" customWidth="1"/>
    <col min="14849" max="14849" width="12" style="118" customWidth="1"/>
    <col min="14850" max="14850" width="12.140625" style="118" customWidth="1"/>
    <col min="14851" max="15098" width="9.140625" style="118"/>
    <col min="15099" max="15099" width="27.7109375" style="118" customWidth="1"/>
    <col min="15100" max="15100" width="32.85546875" style="118" bestFit="1" customWidth="1"/>
    <col min="15101" max="15101" width="11.5703125" style="118" bestFit="1" customWidth="1"/>
    <col min="15102" max="15102" width="9.7109375" style="118" customWidth="1"/>
    <col min="15103" max="15103" width="12" style="118" customWidth="1"/>
    <col min="15104" max="15104" width="30.140625" style="118" customWidth="1"/>
    <col min="15105" max="15105" width="12" style="118" customWidth="1"/>
    <col min="15106" max="15106" width="12.140625" style="118" customWidth="1"/>
    <col min="15107" max="15354" width="9.140625" style="118"/>
    <col min="15355" max="15355" width="27.7109375" style="118" customWidth="1"/>
    <col min="15356" max="15356" width="32.85546875" style="118" bestFit="1" customWidth="1"/>
    <col min="15357" max="15357" width="11.5703125" style="118" bestFit="1" customWidth="1"/>
    <col min="15358" max="15358" width="9.7109375" style="118" customWidth="1"/>
    <col min="15359" max="15359" width="12" style="118" customWidth="1"/>
    <col min="15360" max="15360" width="30.140625" style="118" customWidth="1"/>
    <col min="15361" max="15361" width="12" style="118" customWidth="1"/>
    <col min="15362" max="15362" width="12.140625" style="118" customWidth="1"/>
    <col min="15363" max="15610" width="9.140625" style="118"/>
    <col min="15611" max="15611" width="27.7109375" style="118" customWidth="1"/>
    <col min="15612" max="15612" width="32.85546875" style="118" bestFit="1" customWidth="1"/>
    <col min="15613" max="15613" width="11.5703125" style="118" bestFit="1" customWidth="1"/>
    <col min="15614" max="15614" width="9.7109375" style="118" customWidth="1"/>
    <col min="15615" max="15615" width="12" style="118" customWidth="1"/>
    <col min="15616" max="15616" width="30.140625" style="118" customWidth="1"/>
    <col min="15617" max="15617" width="12" style="118" customWidth="1"/>
    <col min="15618" max="15618" width="12.140625" style="118" customWidth="1"/>
    <col min="15619" max="15866" width="9.140625" style="118"/>
    <col min="15867" max="15867" width="27.7109375" style="118" customWidth="1"/>
    <col min="15868" max="15868" width="32.85546875" style="118" bestFit="1" customWidth="1"/>
    <col min="15869" max="15869" width="11.5703125" style="118" bestFit="1" customWidth="1"/>
    <col min="15870" max="15870" width="9.7109375" style="118" customWidth="1"/>
    <col min="15871" max="15871" width="12" style="118" customWidth="1"/>
    <col min="15872" max="15872" width="30.140625" style="118" customWidth="1"/>
    <col min="15873" max="15873" width="12" style="118" customWidth="1"/>
    <col min="15874" max="15874" width="12.140625" style="118" customWidth="1"/>
    <col min="15875" max="16122" width="9.140625" style="118"/>
    <col min="16123" max="16123" width="27.7109375" style="118" customWidth="1"/>
    <col min="16124" max="16124" width="32.85546875" style="118" bestFit="1" customWidth="1"/>
    <col min="16125" max="16125" width="11.5703125" style="118" bestFit="1" customWidth="1"/>
    <col min="16126" max="16126" width="9.7109375" style="118" customWidth="1"/>
    <col min="16127" max="16127" width="12" style="118" customWidth="1"/>
    <col min="16128" max="16128" width="30.140625" style="118" customWidth="1"/>
    <col min="16129" max="16129" width="12" style="118" customWidth="1"/>
    <col min="16130" max="16130" width="12.140625" style="118" customWidth="1"/>
    <col min="16131" max="16384" width="9.140625" style="118"/>
  </cols>
  <sheetData>
    <row r="1" spans="2:9" x14ac:dyDescent="0.25">
      <c r="F1" s="1815"/>
      <c r="G1" s="1815"/>
      <c r="H1" s="1815"/>
      <c r="I1" s="1815"/>
    </row>
    <row r="2" spans="2:9" ht="15.75" thickBot="1" x14ac:dyDescent="0.3"/>
    <row r="3" spans="2:9" ht="15.75" thickBot="1" x14ac:dyDescent="0.3">
      <c r="E3" s="627"/>
      <c r="F3" s="1816" t="s">
        <v>539</v>
      </c>
      <c r="G3" s="1817"/>
      <c r="H3" s="1817"/>
      <c r="I3" s="1818"/>
    </row>
    <row r="4" spans="2:9" ht="15.75" thickBot="1" x14ac:dyDescent="0.3">
      <c r="D4" s="560"/>
      <c r="E4" s="626"/>
      <c r="F4" s="625"/>
      <c r="G4" s="624" t="s">
        <v>43</v>
      </c>
      <c r="H4" s="624"/>
      <c r="I4" s="623">
        <f>C11</f>
        <v>1775</v>
      </c>
    </row>
    <row r="5" spans="2:9" ht="15.75" thickBot="1" x14ac:dyDescent="0.3">
      <c r="B5" s="610" t="s">
        <v>531</v>
      </c>
      <c r="C5" s="609" t="s">
        <v>538</v>
      </c>
      <c r="D5" s="560"/>
      <c r="E5" s="583"/>
      <c r="F5" s="127"/>
      <c r="G5" s="319" t="s">
        <v>331</v>
      </c>
      <c r="H5" s="308" t="s">
        <v>334</v>
      </c>
      <c r="I5" s="622" t="s">
        <v>458</v>
      </c>
    </row>
    <row r="6" spans="2:9" ht="15.75" thickBot="1" x14ac:dyDescent="0.3">
      <c r="B6" s="607" t="s">
        <v>527</v>
      </c>
      <c r="C6" s="592">
        <v>2080</v>
      </c>
      <c r="D6" s="560"/>
      <c r="E6" s="326">
        <v>1</v>
      </c>
      <c r="F6" s="377" t="str">
        <f>IF(INDEX('Master Lookup'!$B$123:$B$129,E6)=0,"",INDEX('Master Lookup'!$B$123:$B$129,E6))</f>
        <v>Management</v>
      </c>
      <c r="G6" s="379">
        <f>IFERROR(INDEX('Master Lookup FY26'!D123:D124,MATCH(F6,'Master Lookup FY26'!B123:B124,0)),"")</f>
        <v>81486.911999999997</v>
      </c>
      <c r="H6" s="430">
        <f>IFERROR(INDEX('Master Lookup'!$E$93:$E$123,MATCH(F6,'Master Lookup'!$B$93:$B$129,0)),"")</f>
        <v>0.06</v>
      </c>
      <c r="I6" s="539">
        <f>IFERROR(G6*H6,0)</f>
        <v>4889.2147199999999</v>
      </c>
    </row>
    <row r="7" spans="2:9" x14ac:dyDescent="0.25">
      <c r="B7" s="603" t="s">
        <v>525</v>
      </c>
      <c r="C7" s="596">
        <f>120*2</f>
        <v>240</v>
      </c>
      <c r="E7" s="326">
        <v>2</v>
      </c>
      <c r="F7" s="377" t="str">
        <f>IF(INDEX('Master Lookup'!$B$123:$B$129,E7)=0,"",INDEX('Master Lookup'!$B$123:$B$129,E7))</f>
        <v>Direct Care Staff</v>
      </c>
      <c r="G7" s="379">
        <f>IFERROR(INDEX('Master Lookup FY26'!D124:D125,MATCH(F7,'Master Lookup FY26'!B124:B125,0)),"")</f>
        <v>66537.12000000001</v>
      </c>
      <c r="H7" s="430">
        <f>IFERROR(INDEX('Master Lookup'!$E$123:$E$129,MATCH(F7,'Master Lookup'!$B$123:$B$129,0)),"")</f>
        <v>1</v>
      </c>
      <c r="I7" s="539">
        <f>IFERROR(G7*H7,0)</f>
        <v>66537.12000000001</v>
      </c>
    </row>
    <row r="8" spans="2:9" x14ac:dyDescent="0.25">
      <c r="B8" s="600" t="s">
        <v>522</v>
      </c>
      <c r="C8" s="596">
        <f>10*2.5</f>
        <v>25</v>
      </c>
      <c r="E8" s="326">
        <v>3</v>
      </c>
      <c r="F8" s="536" t="s">
        <v>457</v>
      </c>
      <c r="G8" s="621"/>
      <c r="H8" s="620">
        <f>SUM(H6:H7)</f>
        <v>1.06</v>
      </c>
      <c r="I8" s="598">
        <f>SUM(I6:I7)</f>
        <v>71426.334720000013</v>
      </c>
    </row>
    <row r="9" spans="2:9" ht="15.75" thickBot="1" x14ac:dyDescent="0.3">
      <c r="B9" s="597" t="s">
        <v>521</v>
      </c>
      <c r="C9" s="596">
        <f>40*1</f>
        <v>40</v>
      </c>
      <c r="E9" s="326">
        <v>4</v>
      </c>
      <c r="F9" s="284" t="s">
        <v>322</v>
      </c>
      <c r="G9" s="495">
        <f>INDEX('Master Lookup FY26'!C137:C139,MATCH(F9,'Master Lookup FY26'!B137:B139,0))</f>
        <v>0.24970000000000001</v>
      </c>
      <c r="H9" s="619"/>
      <c r="I9" s="594">
        <f>I8*G9</f>
        <v>17835.155779584005</v>
      </c>
    </row>
    <row r="10" spans="2:9" ht="15.75" thickBot="1" x14ac:dyDescent="0.3">
      <c r="B10" s="593" t="s">
        <v>518</v>
      </c>
      <c r="C10" s="592">
        <f>SUM(C7:C9)</f>
        <v>305</v>
      </c>
      <c r="E10" s="326">
        <v>5</v>
      </c>
      <c r="F10" s="618" t="s">
        <v>456</v>
      </c>
      <c r="G10" s="617"/>
      <c r="H10" s="579"/>
      <c r="I10" s="598">
        <f>SUM(I8:I9)</f>
        <v>89261.490499584019</v>
      </c>
    </row>
    <row r="11" spans="2:9" ht="15.75" thickBot="1" x14ac:dyDescent="0.3">
      <c r="B11" s="589" t="s">
        <v>517</v>
      </c>
      <c r="C11" s="588">
        <f>C6-C10</f>
        <v>1775</v>
      </c>
      <c r="E11" s="326">
        <v>6</v>
      </c>
      <c r="F11" s="377"/>
      <c r="G11" s="616"/>
      <c r="H11" s="615"/>
      <c r="I11" s="614"/>
    </row>
    <row r="12" spans="2:9" x14ac:dyDescent="0.25">
      <c r="E12" s="326"/>
      <c r="F12" s="613" t="s">
        <v>326</v>
      </c>
      <c r="G12" s="612"/>
      <c r="H12" s="611"/>
      <c r="I12" s="594"/>
    </row>
    <row r="13" spans="2:9" x14ac:dyDescent="0.25">
      <c r="E13" s="326"/>
      <c r="F13" s="377" t="str">
        <f>IF(INDEX('Master Lookup'!$B$132:$B$135,E17)=0,"",INDEX('Master Lookup'!$B$132:$B$135,E17))</f>
        <v>Staff Training 204</v>
      </c>
      <c r="H13" s="379">
        <f>IFERROR(INDEX('Master Lookup FY26'!C132:C133,MATCH(F13,'Master Lookup FY26'!B132:B133,0)),"")</f>
        <v>364.52871302241937</v>
      </c>
      <c r="I13" s="608">
        <f>H13*H7</f>
        <v>364.52871302241937</v>
      </c>
    </row>
    <row r="14" spans="2:9" x14ac:dyDescent="0.25">
      <c r="E14" s="326"/>
      <c r="F14" s="606" t="str">
        <f>IF(INDEX('Master Lookup'!$B$132:$B$135,E18)=0,"",INDEX('Master Lookup'!$B$132:$B$135,E18))</f>
        <v>Staff Mileage / Travel 205</v>
      </c>
      <c r="G14" s="605"/>
      <c r="H14" s="379">
        <f>IFERROR(INDEX('Master Lookup FY26'!C133:C134,MATCH(F14,'Master Lookup FY26'!B133:B134,0)),"")</f>
        <v>1059.8793475070393</v>
      </c>
      <c r="I14" s="604">
        <f>H14*H7</f>
        <v>1059.8793475070393</v>
      </c>
    </row>
    <row r="15" spans="2:9" x14ac:dyDescent="0.25">
      <c r="E15" s="326"/>
      <c r="F15" s="536" t="s">
        <v>492</v>
      </c>
      <c r="G15" s="602"/>
      <c r="H15" s="599"/>
      <c r="I15" s="601">
        <f>SUM(I13:I14)</f>
        <v>1424.4080605294587</v>
      </c>
    </row>
    <row r="16" spans="2:9" x14ac:dyDescent="0.25">
      <c r="E16" s="326"/>
      <c r="F16" s="497" t="s">
        <v>453</v>
      </c>
      <c r="G16" s="282"/>
      <c r="H16" s="599"/>
      <c r="I16" s="598">
        <f>SUM(I10,I15)</f>
        <v>90685.898560113477</v>
      </c>
    </row>
    <row r="17" spans="1:13" x14ac:dyDescent="0.25">
      <c r="E17" s="326">
        <v>1</v>
      </c>
      <c r="F17" s="284" t="s">
        <v>320</v>
      </c>
      <c r="G17" s="495">
        <f>INDEX('Master Lookup FY26'!C137:C139,MATCH(F17,'Master Lookup FY26'!B137:B139,0))</f>
        <v>0.12</v>
      </c>
      <c r="H17" s="595"/>
      <c r="I17" s="594">
        <f>I16*G17</f>
        <v>10882.307827213617</v>
      </c>
    </row>
    <row r="18" spans="1:13" x14ac:dyDescent="0.25">
      <c r="E18" s="326">
        <v>2</v>
      </c>
      <c r="F18" s="280" t="s">
        <v>321</v>
      </c>
      <c r="G18" s="491">
        <f>INDEX('Master Lookup FY26'!C138:C140,MATCH(F18,'Master Lookup FY26'!B138:B140,0))</f>
        <v>2.5282070971092779E-2</v>
      </c>
      <c r="H18" s="591"/>
      <c r="I18" s="590">
        <f>(I16+I17)*G18</f>
        <v>2567.8546022910027</v>
      </c>
    </row>
    <row r="19" spans="1:13" x14ac:dyDescent="0.25">
      <c r="E19" s="326">
        <v>3</v>
      </c>
      <c r="F19" s="587" t="s">
        <v>453</v>
      </c>
      <c r="G19" s="586"/>
      <c r="H19" s="585"/>
      <c r="I19" s="584">
        <f>SUM(I16:I18)</f>
        <v>104136.0609896181</v>
      </c>
      <c r="L19" s="118"/>
      <c r="M19" s="118"/>
    </row>
    <row r="20" spans="1:13" x14ac:dyDescent="0.25">
      <c r="E20" s="326">
        <v>4</v>
      </c>
      <c r="F20" s="570" t="s">
        <v>535</v>
      </c>
      <c r="G20" s="289"/>
      <c r="H20" s="582"/>
      <c r="I20" s="581">
        <f>ROUND((I19/I4)/4,2)</f>
        <v>14.67</v>
      </c>
      <c r="L20" s="118"/>
      <c r="M20" s="118"/>
    </row>
    <row r="21" spans="1:13" x14ac:dyDescent="0.25">
      <c r="E21" s="580"/>
      <c r="F21" s="568" t="s">
        <v>534</v>
      </c>
      <c r="G21" s="579"/>
      <c r="H21" s="579"/>
      <c r="I21" s="578">
        <f>ROUND(I20/2,2)</f>
        <v>7.34</v>
      </c>
      <c r="L21" s="118"/>
      <c r="M21" s="118"/>
    </row>
    <row r="22" spans="1:13" ht="15.75" thickBot="1" x14ac:dyDescent="0.3">
      <c r="F22" s="577" t="s">
        <v>533</v>
      </c>
      <c r="G22" s="576"/>
      <c r="H22" s="576"/>
      <c r="I22" s="575">
        <f>ROUND(I20/5,2)</f>
        <v>2.93</v>
      </c>
      <c r="L22" s="118"/>
      <c r="M22" s="118"/>
    </row>
    <row r="23" spans="1:13" x14ac:dyDescent="0.25">
      <c r="E23" s="560"/>
      <c r="H23" s="118" t="s">
        <v>718</v>
      </c>
      <c r="I23" s="118">
        <v>13.25</v>
      </c>
      <c r="J23" s="574">
        <f>(I20-I23)/I23</f>
        <v>0.10716981132075472</v>
      </c>
      <c r="L23" s="118"/>
      <c r="M23" s="118"/>
    </row>
    <row r="24" spans="1:13" ht="27" hidden="1" thickBot="1" x14ac:dyDescent="0.3">
      <c r="A24" s="574"/>
      <c r="E24" s="560"/>
      <c r="F24" s="573"/>
      <c r="G24" s="572" t="s">
        <v>265</v>
      </c>
      <c r="H24" s="572" t="s">
        <v>537</v>
      </c>
      <c r="I24" s="571" t="s">
        <v>536</v>
      </c>
      <c r="J24" s="574" t="e">
        <f t="shared" ref="J24:J29" si="0">(I21-I24)/I24</f>
        <v>#VALUE!</v>
      </c>
      <c r="L24" s="118"/>
      <c r="M24" s="118"/>
    </row>
    <row r="25" spans="1:13" hidden="1" x14ac:dyDescent="0.25">
      <c r="E25" s="560"/>
      <c r="F25" s="570" t="s">
        <v>535</v>
      </c>
      <c r="G25" s="567">
        <v>9.89</v>
      </c>
      <c r="H25" s="566">
        <f>I20</f>
        <v>14.67</v>
      </c>
      <c r="I25" s="565">
        <f>(H25-G25)/G25</f>
        <v>0.48331648129423649</v>
      </c>
      <c r="J25" s="574">
        <f t="shared" si="0"/>
        <v>5.0622803347280358</v>
      </c>
      <c r="K25" s="569"/>
    </row>
    <row r="26" spans="1:13" hidden="1" x14ac:dyDescent="0.25">
      <c r="A26" s="560"/>
      <c r="F26" s="568" t="s">
        <v>534</v>
      </c>
      <c r="G26" s="567">
        <v>4.9400000000000004</v>
      </c>
      <c r="H26" s="566">
        <v>5.6791400000000003</v>
      </c>
      <c r="I26" s="565">
        <f>(H26-G26)/G26</f>
        <v>0.14962348178137649</v>
      </c>
      <c r="J26" s="574">
        <f t="shared" si="0"/>
        <v>87.555618691993416</v>
      </c>
    </row>
    <row r="27" spans="1:13" ht="15.75" hidden="1" thickBot="1" x14ac:dyDescent="0.3">
      <c r="A27" s="560"/>
      <c r="F27" s="564" t="s">
        <v>533</v>
      </c>
      <c r="G27" s="563">
        <v>2.0099999999999998</v>
      </c>
      <c r="H27" s="562">
        <v>2.30166</v>
      </c>
      <c r="I27" s="561">
        <f>(H27-G27)/G27</f>
        <v>0.14510447761194045</v>
      </c>
      <c r="J27" s="574" t="e">
        <f t="shared" si="0"/>
        <v>#VALUE!</v>
      </c>
    </row>
    <row r="28" spans="1:13" hidden="1" x14ac:dyDescent="0.25">
      <c r="A28" s="560"/>
      <c r="J28" s="574" t="e">
        <f t="shared" si="0"/>
        <v>#DIV/0!</v>
      </c>
    </row>
    <row r="29" spans="1:13" hidden="1" x14ac:dyDescent="0.25">
      <c r="J29" s="574" t="e">
        <f t="shared" si="0"/>
        <v>#DIV/0!</v>
      </c>
    </row>
    <row r="30" spans="1:13" x14ac:dyDescent="0.25">
      <c r="H30" s="118" t="s">
        <v>718</v>
      </c>
      <c r="I30" s="118">
        <v>6.63</v>
      </c>
      <c r="J30" s="574">
        <f>(I21-I30)/I30</f>
        <v>0.10708898944193061</v>
      </c>
      <c r="M30" s="559"/>
    </row>
    <row r="31" spans="1:13" x14ac:dyDescent="0.25">
      <c r="H31" s="118" t="s">
        <v>718</v>
      </c>
      <c r="I31" s="118">
        <v>2.65</v>
      </c>
      <c r="J31" s="574">
        <f>(I22-I31)/I31</f>
        <v>0.10566037735849067</v>
      </c>
    </row>
    <row r="35" spans="10:13" x14ac:dyDescent="0.25">
      <c r="J35" s="558"/>
      <c r="K35" s="557"/>
      <c r="L35" s="118"/>
      <c r="M35" s="118"/>
    </row>
    <row r="36" spans="10:13" x14ac:dyDescent="0.25">
      <c r="J36" s="558"/>
      <c r="K36" s="557"/>
      <c r="L36" s="118"/>
      <c r="M36" s="118"/>
    </row>
    <row r="37" spans="10:13" x14ac:dyDescent="0.25">
      <c r="J37" s="558"/>
      <c r="K37" s="557"/>
      <c r="L37" s="118"/>
      <c r="M37" s="118"/>
    </row>
    <row r="38" spans="10:13" x14ac:dyDescent="0.25">
      <c r="J38" s="558"/>
      <c r="K38" s="557"/>
      <c r="L38" s="118"/>
      <c r="M38" s="118"/>
    </row>
    <row r="39" spans="10:13" x14ac:dyDescent="0.25">
      <c r="J39" s="558"/>
      <c r="K39" s="557"/>
      <c r="L39" s="118"/>
      <c r="M39" s="118"/>
    </row>
    <row r="40" spans="10:13" x14ac:dyDescent="0.25">
      <c r="J40" s="558"/>
      <c r="K40" s="557"/>
      <c r="L40" s="118"/>
      <c r="M40" s="118"/>
    </row>
    <row r="41" spans="10:13" x14ac:dyDescent="0.25">
      <c r="J41" s="558"/>
      <c r="K41" s="557"/>
      <c r="L41" s="118"/>
      <c r="M41" s="118"/>
    </row>
  </sheetData>
  <mergeCells count="2">
    <mergeCell ref="F1:I1"/>
    <mergeCell ref="F3:I3"/>
  </mergeCells>
  <pageMargins left="0.75" right="0.75" top="1" bottom="1" header="0.5" footer="0.5"/>
  <pageSetup scale="62"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AD12B-8F11-4E67-B200-1BFD0BACC6E0}">
  <dimension ref="A2:K57"/>
  <sheetViews>
    <sheetView topLeftCell="A12" zoomScale="90" zoomScaleNormal="90" workbookViewId="0">
      <selection activeCell="C57" sqref="C57"/>
    </sheetView>
  </sheetViews>
  <sheetFormatPr defaultRowHeight="15" x14ac:dyDescent="0.25"/>
  <cols>
    <col min="2" max="2" width="39.7109375" bestFit="1" customWidth="1"/>
    <col min="3" max="3" width="15.85546875" customWidth="1"/>
    <col min="4" max="4" width="42.85546875" customWidth="1"/>
    <col min="5" max="6" width="39.7109375" customWidth="1"/>
    <col min="7" max="7" width="16.85546875" customWidth="1"/>
    <col min="8" max="8" width="10.140625" customWidth="1"/>
    <col min="11" max="11" width="26.28515625" bestFit="1" customWidth="1"/>
    <col min="12" max="12" width="16.28515625" customWidth="1"/>
  </cols>
  <sheetData>
    <row r="2" spans="2:8" x14ac:dyDescent="0.25">
      <c r="C2" s="1279">
        <v>45413</v>
      </c>
      <c r="G2" s="1280">
        <v>45800</v>
      </c>
      <c r="H2" s="1304"/>
    </row>
    <row r="3" spans="2:8" x14ac:dyDescent="0.25">
      <c r="C3" s="172" t="s">
        <v>119</v>
      </c>
      <c r="G3" s="172" t="s">
        <v>119</v>
      </c>
      <c r="H3" s="1304"/>
    </row>
    <row r="4" spans="2:8" ht="30.75" thickBot="1" x14ac:dyDescent="0.3">
      <c r="B4" s="1285" t="s">
        <v>750</v>
      </c>
      <c r="C4" s="172" t="s">
        <v>117</v>
      </c>
      <c r="D4" s="1285" t="s">
        <v>116</v>
      </c>
      <c r="E4" s="1286" t="s">
        <v>115</v>
      </c>
      <c r="F4" s="1285" t="s">
        <v>751</v>
      </c>
      <c r="G4" s="172" t="s">
        <v>117</v>
      </c>
      <c r="H4" s="1304"/>
    </row>
    <row r="5" spans="2:8" x14ac:dyDescent="0.25">
      <c r="B5" s="1282" t="s">
        <v>113</v>
      </c>
      <c r="C5" s="1290">
        <f>'[14]DC.DCIII.CNA'!X7</f>
        <v>22.520400000000002</v>
      </c>
      <c r="D5" s="1632" t="s">
        <v>112</v>
      </c>
      <c r="E5" s="1628" t="s">
        <v>111</v>
      </c>
      <c r="F5" s="1630" t="s">
        <v>752</v>
      </c>
      <c r="G5" s="97">
        <v>20.792100000000001</v>
      </c>
      <c r="H5" s="1127">
        <f t="shared" ref="H5:H34" si="0">(C5-G5)/G5</f>
        <v>8.3122916877083161E-2</v>
      </c>
    </row>
    <row r="6" spans="2:8" ht="15.75" customHeight="1" thickBot="1" x14ac:dyDescent="0.3">
      <c r="B6" s="1283" t="s">
        <v>109</v>
      </c>
      <c r="C6" s="1291">
        <f>'[14]DC.DCIII.CNA'!X8</f>
        <v>46842.432000000008</v>
      </c>
      <c r="D6" s="1633"/>
      <c r="E6" s="1629"/>
      <c r="F6" s="1631"/>
      <c r="G6" s="97">
        <v>43247.567999999999</v>
      </c>
      <c r="H6" s="1127">
        <f t="shared" si="0"/>
        <v>8.3122916877083328E-2</v>
      </c>
    </row>
    <row r="7" spans="2:8" ht="15.75" customHeight="1" x14ac:dyDescent="0.25">
      <c r="B7" s="1277" t="s">
        <v>108</v>
      </c>
      <c r="C7" s="1290">
        <f>'[14]DC.DCIII.CNA'!X16</f>
        <v>27.109919999999999</v>
      </c>
      <c r="D7" s="1287" t="s">
        <v>107</v>
      </c>
      <c r="E7" s="1628" t="s">
        <v>106</v>
      </c>
      <c r="F7" s="1630" t="s">
        <v>105</v>
      </c>
      <c r="G7" s="97">
        <v>27.027519999999999</v>
      </c>
      <c r="H7" s="1127">
        <f t="shared" si="0"/>
        <v>3.0487443909023031E-3</v>
      </c>
    </row>
    <row r="8" spans="2:8" ht="27" customHeight="1" thickBot="1" x14ac:dyDescent="0.3">
      <c r="B8" s="1278" t="s">
        <v>104</v>
      </c>
      <c r="C8" s="1291">
        <f>'[14]DC.DCIII.CNA'!X17</f>
        <v>56388.633600000001</v>
      </c>
      <c r="D8" s="1292" t="s">
        <v>103</v>
      </c>
      <c r="E8" s="1629"/>
      <c r="F8" s="1631"/>
      <c r="G8" s="97">
        <v>56217.241600000001</v>
      </c>
      <c r="H8" s="1127">
        <f t="shared" si="0"/>
        <v>3.048744390902307E-3</v>
      </c>
    </row>
    <row r="9" spans="2:8" x14ac:dyDescent="0.25">
      <c r="B9" s="1277" t="s">
        <v>102</v>
      </c>
      <c r="C9" s="1290">
        <f>'[14]DC.DCIII.CNA'!X20</f>
        <v>22.0016</v>
      </c>
      <c r="D9" s="1287"/>
      <c r="E9" s="1628" t="s">
        <v>101</v>
      </c>
      <c r="F9" s="1630" t="s">
        <v>753</v>
      </c>
      <c r="G9" s="97">
        <v>21.417999999999999</v>
      </c>
      <c r="H9" s="1127">
        <f t="shared" si="0"/>
        <v>2.7248109067139818E-2</v>
      </c>
    </row>
    <row r="10" spans="2:8" ht="27" customHeight="1" thickBot="1" x14ac:dyDescent="0.3">
      <c r="B10" s="1278" t="s">
        <v>99</v>
      </c>
      <c r="C10" s="1291">
        <f>'[14]DC.DCIII.CNA'!X21</f>
        <v>45763.328000000001</v>
      </c>
      <c r="D10" s="1288"/>
      <c r="E10" s="1629"/>
      <c r="F10" s="1631"/>
      <c r="G10" s="97">
        <v>44549.439999999995</v>
      </c>
      <c r="H10" s="1127">
        <f t="shared" si="0"/>
        <v>2.7248109067139932E-2</v>
      </c>
    </row>
    <row r="11" spans="2:8" x14ac:dyDescent="0.25">
      <c r="B11" s="1277" t="s">
        <v>98</v>
      </c>
      <c r="C11" s="1290">
        <f>'[14]CASE.MGMT'!I6</f>
        <v>31.989000000000004</v>
      </c>
      <c r="D11" s="1287" t="s">
        <v>97</v>
      </c>
      <c r="E11" s="1628" t="s">
        <v>96</v>
      </c>
      <c r="F11" s="1634" t="s">
        <v>95</v>
      </c>
      <c r="G11" s="97">
        <v>30.979999999999997</v>
      </c>
      <c r="H11" s="1127">
        <f t="shared" si="0"/>
        <v>3.2569399612653566E-2</v>
      </c>
    </row>
    <row r="12" spans="2:8" ht="27" customHeight="1" thickBot="1" x14ac:dyDescent="0.3">
      <c r="B12" s="1278" t="s">
        <v>94</v>
      </c>
      <c r="C12" s="1293">
        <f>'[14]CASE.MGMT'!I7</f>
        <v>66537.12000000001</v>
      </c>
      <c r="D12" s="1288" t="s">
        <v>93</v>
      </c>
      <c r="E12" s="1629"/>
      <c r="F12" s="1634"/>
      <c r="G12" s="97">
        <v>64438.399999999994</v>
      </c>
      <c r="H12" s="1127">
        <f t="shared" si="0"/>
        <v>3.2569399612653573E-2</v>
      </c>
    </row>
    <row r="13" spans="2:8" x14ac:dyDescent="0.25">
      <c r="B13" s="1277" t="s">
        <v>92</v>
      </c>
      <c r="C13" s="1290">
        <f>'[14]CASE.MGMT'!I16</f>
        <v>36.1419</v>
      </c>
      <c r="D13" s="1287" t="s">
        <v>91</v>
      </c>
      <c r="E13" s="1628" t="s">
        <v>53</v>
      </c>
      <c r="F13" s="1630" t="s">
        <v>90</v>
      </c>
      <c r="G13" s="97">
        <v>33.755499999999998</v>
      </c>
      <c r="H13" s="1127">
        <f t="shared" si="0"/>
        <v>7.0696627216305555E-2</v>
      </c>
    </row>
    <row r="14" spans="2:8" ht="15.75" thickBot="1" x14ac:dyDescent="0.3">
      <c r="B14" s="1278" t="s">
        <v>89</v>
      </c>
      <c r="C14" s="1291">
        <f>'[14]CASE.MGMT'!I17</f>
        <v>75175.152000000002</v>
      </c>
      <c r="D14" s="1288" t="s">
        <v>88</v>
      </c>
      <c r="E14" s="1629"/>
      <c r="F14" s="1631"/>
      <c r="G14" s="97">
        <v>70211.44</v>
      </c>
      <c r="H14" s="1127">
        <f t="shared" si="0"/>
        <v>7.0696627216305485E-2</v>
      </c>
    </row>
    <row r="15" spans="2:8" x14ac:dyDescent="0.25">
      <c r="B15" s="1277" t="s">
        <v>87</v>
      </c>
      <c r="C15" s="1290">
        <f>[14]NURSING!K4</f>
        <v>37.066800000000001</v>
      </c>
      <c r="D15" s="1287"/>
      <c r="E15" s="1628" t="s">
        <v>86</v>
      </c>
      <c r="F15" s="1630" t="s">
        <v>85</v>
      </c>
      <c r="G15" s="97">
        <v>35.506799999999998</v>
      </c>
      <c r="H15" s="1127">
        <f t="shared" si="0"/>
        <v>4.3935246206360537E-2</v>
      </c>
    </row>
    <row r="16" spans="2:8" ht="27" customHeight="1" thickBot="1" x14ac:dyDescent="0.3">
      <c r="B16" s="1278" t="s">
        <v>84</v>
      </c>
      <c r="C16" s="1291">
        <f>[14]NURSING!K5</f>
        <v>77098.944000000003</v>
      </c>
      <c r="D16" s="1288" t="s">
        <v>83</v>
      </c>
      <c r="E16" s="1629"/>
      <c r="F16" s="1631"/>
      <c r="G16" s="97">
        <v>73854.144</v>
      </c>
      <c r="H16" s="1127">
        <f t="shared" si="0"/>
        <v>4.3935246206360509E-2</v>
      </c>
    </row>
    <row r="17" spans="1:8" x14ac:dyDescent="0.25">
      <c r="B17" s="1277" t="s">
        <v>82</v>
      </c>
      <c r="C17" s="1290">
        <f>[14]CLINICAL!J7</f>
        <v>40.468299999999999</v>
      </c>
      <c r="D17" s="1287" t="s">
        <v>81</v>
      </c>
      <c r="E17" s="1628" t="s">
        <v>80</v>
      </c>
      <c r="F17" s="1630" t="s">
        <v>79</v>
      </c>
      <c r="G17" s="97">
        <v>40.211399999999998</v>
      </c>
      <c r="H17" s="1127">
        <f t="shared" si="0"/>
        <v>6.3887355327096719E-3</v>
      </c>
    </row>
    <row r="18" spans="1:8" ht="27" customHeight="1" thickBot="1" x14ac:dyDescent="0.3">
      <c r="B18" s="1278" t="s">
        <v>78</v>
      </c>
      <c r="C18" s="1291">
        <f>[14]CLINICAL!J8</f>
        <v>84174.063999999998</v>
      </c>
      <c r="D18" s="1288"/>
      <c r="E18" s="1629"/>
      <c r="F18" s="1631"/>
      <c r="G18" s="97">
        <v>83639.712</v>
      </c>
      <c r="H18" s="1127">
        <f t="shared" si="0"/>
        <v>6.3887355327096173E-3</v>
      </c>
    </row>
    <row r="19" spans="1:8" x14ac:dyDescent="0.25">
      <c r="B19" s="1277" t="s">
        <v>77</v>
      </c>
      <c r="C19" s="1290">
        <f>'[14]THER.PATH.'!K11</f>
        <v>39.5488</v>
      </c>
      <c r="D19" s="1287"/>
      <c r="E19" s="1628" t="s">
        <v>76</v>
      </c>
      <c r="F19" s="1630" t="s">
        <v>75</v>
      </c>
      <c r="G19" s="97">
        <v>36.818800000000003</v>
      </c>
      <c r="H19" s="1127">
        <f t="shared" si="0"/>
        <v>7.4146903212489179E-2</v>
      </c>
    </row>
    <row r="20" spans="1:8" ht="15.75" thickBot="1" x14ac:dyDescent="0.3">
      <c r="B20" s="1278" t="s">
        <v>74</v>
      </c>
      <c r="C20" s="1291">
        <f>'[14]THER.PATH.'!K12</f>
        <v>82261.504000000001</v>
      </c>
      <c r="D20" s="1288"/>
      <c r="E20" s="1629"/>
      <c r="F20" s="1631"/>
      <c r="G20" s="97">
        <v>76583.104000000007</v>
      </c>
      <c r="H20" s="1127">
        <f t="shared" si="0"/>
        <v>7.4146903212489193E-2</v>
      </c>
    </row>
    <row r="21" spans="1:8" x14ac:dyDescent="0.25">
      <c r="B21" s="1277" t="s">
        <v>73</v>
      </c>
      <c r="C21" s="1290">
        <f>'[14]CASE.MGMT'!I21</f>
        <v>39.176400000000001</v>
      </c>
      <c r="D21" s="1287" t="s">
        <v>72</v>
      </c>
      <c r="E21" s="1628" t="s">
        <v>71</v>
      </c>
      <c r="F21" s="1635" t="s">
        <v>70</v>
      </c>
      <c r="G21" s="97">
        <v>38.860399999999998</v>
      </c>
      <c r="H21" s="1127">
        <f t="shared" si="0"/>
        <v>8.131671315786829E-3</v>
      </c>
    </row>
    <row r="22" spans="1:8" ht="27" customHeight="1" thickBot="1" x14ac:dyDescent="0.3">
      <c r="B22" s="1278" t="s">
        <v>69</v>
      </c>
      <c r="C22" s="1291">
        <f>'[14]CASE.MGMT'!I22</f>
        <v>81486.911999999997</v>
      </c>
      <c r="D22" s="1288" t="s">
        <v>68</v>
      </c>
      <c r="E22" s="1629"/>
      <c r="F22" s="1636"/>
      <c r="G22" s="97">
        <v>80829.631999999998</v>
      </c>
      <c r="H22" s="1127">
        <f t="shared" si="0"/>
        <v>8.131671315786751E-3</v>
      </c>
    </row>
    <row r="23" spans="1:8" x14ac:dyDescent="0.25">
      <c r="B23" s="1284" t="s">
        <v>754</v>
      </c>
      <c r="C23" s="1136">
        <f>'[14]THER.PATH.'!K6</f>
        <v>41.273300000000006</v>
      </c>
      <c r="D23" s="1289" t="s">
        <v>66</v>
      </c>
      <c r="E23" s="1637" t="s">
        <v>53</v>
      </c>
      <c r="F23" s="1630" t="s">
        <v>755</v>
      </c>
      <c r="G23" s="97">
        <v>39.750500000000002</v>
      </c>
      <c r="H23" s="1127">
        <f t="shared" si="0"/>
        <v>3.8308952088653064E-2</v>
      </c>
    </row>
    <row r="24" spans="1:8" ht="15.75" thickBot="1" x14ac:dyDescent="0.3">
      <c r="B24" s="1284" t="s">
        <v>756</v>
      </c>
      <c r="C24" s="97">
        <f>'[14]THER.PATH.'!K7</f>
        <v>85848.464000000007</v>
      </c>
      <c r="D24" s="1289"/>
      <c r="E24" s="1637"/>
      <c r="F24" s="1631"/>
      <c r="G24" s="97">
        <v>82681.040000000008</v>
      </c>
      <c r="H24" s="1127">
        <f t="shared" si="0"/>
        <v>3.830895208865296E-2</v>
      </c>
    </row>
    <row r="25" spans="1:8" x14ac:dyDescent="0.25">
      <c r="B25" s="1277" t="s">
        <v>63</v>
      </c>
      <c r="C25" s="1290">
        <f>'[14]THER.PATH.'!K20</f>
        <v>43.965600000000002</v>
      </c>
      <c r="D25" s="1287" t="s">
        <v>62</v>
      </c>
      <c r="E25" s="1628" t="s">
        <v>53</v>
      </c>
      <c r="F25" s="1630" t="s">
        <v>61</v>
      </c>
      <c r="G25" s="97">
        <v>42.784640000000003</v>
      </c>
      <c r="H25" s="1127">
        <f t="shared" si="0"/>
        <v>2.7602429283032387E-2</v>
      </c>
    </row>
    <row r="26" spans="1:8" ht="15.75" thickBot="1" x14ac:dyDescent="0.3">
      <c r="B26" s="1278" t="s">
        <v>60</v>
      </c>
      <c r="C26" s="1291">
        <f>'[14]THER.PATH.'!K21</f>
        <v>91448.448000000004</v>
      </c>
      <c r="D26" s="1288"/>
      <c r="E26" s="1629"/>
      <c r="F26" s="1631"/>
      <c r="G26" s="97">
        <v>88992.051200000002</v>
      </c>
      <c r="H26" s="1127">
        <f t="shared" si="0"/>
        <v>2.7602429283032439E-2</v>
      </c>
    </row>
    <row r="27" spans="1:8" x14ac:dyDescent="0.25">
      <c r="A27" s="1303" t="s">
        <v>4</v>
      </c>
      <c r="B27" s="1277" t="s">
        <v>59</v>
      </c>
      <c r="C27" s="1290">
        <f>G27</f>
        <v>48.945399999999999</v>
      </c>
      <c r="D27" s="1638" t="s">
        <v>58</v>
      </c>
      <c r="E27" s="1628" t="s">
        <v>57</v>
      </c>
      <c r="F27" s="1630" t="s">
        <v>56</v>
      </c>
      <c r="G27" s="97">
        <v>48.945399999999999</v>
      </c>
      <c r="H27" s="1127">
        <f t="shared" si="0"/>
        <v>0</v>
      </c>
    </row>
    <row r="28" spans="1:8" ht="15.75" customHeight="1" thickBot="1" x14ac:dyDescent="0.3">
      <c r="A28" s="1303"/>
      <c r="B28" s="1278" t="s">
        <v>55</v>
      </c>
      <c r="C28" s="1293">
        <f>G28</f>
        <v>101806.432</v>
      </c>
      <c r="D28" s="1639"/>
      <c r="E28" s="1629"/>
      <c r="F28" s="1631"/>
      <c r="G28" s="97">
        <v>101806.432</v>
      </c>
      <c r="H28" s="1127">
        <f t="shared" si="0"/>
        <v>0</v>
      </c>
    </row>
    <row r="29" spans="1:8" ht="15.75" customHeight="1" x14ac:dyDescent="0.25">
      <c r="A29" s="1303" t="s">
        <v>4</v>
      </c>
      <c r="B29" s="1282" t="s">
        <v>757</v>
      </c>
      <c r="C29" s="1290">
        <f>G29</f>
        <v>44.301760000000002</v>
      </c>
      <c r="D29" s="1287"/>
      <c r="E29" s="1628" t="s">
        <v>53</v>
      </c>
      <c r="F29" s="1630" t="s">
        <v>758</v>
      </c>
      <c r="G29" s="97">
        <v>44.301760000000002</v>
      </c>
      <c r="H29" s="1127">
        <f t="shared" si="0"/>
        <v>0</v>
      </c>
    </row>
    <row r="30" spans="1:8" ht="15.75" thickBot="1" x14ac:dyDescent="0.3">
      <c r="B30" s="1283" t="s">
        <v>759</v>
      </c>
      <c r="C30" s="1293">
        <f>G30</f>
        <v>92147.660799999998</v>
      </c>
      <c r="D30" s="1288"/>
      <c r="E30" s="1629"/>
      <c r="F30" s="1631"/>
      <c r="G30" s="97">
        <v>92147.660799999998</v>
      </c>
      <c r="H30" s="1127">
        <f t="shared" si="0"/>
        <v>0</v>
      </c>
    </row>
    <row r="31" spans="1:8" x14ac:dyDescent="0.25">
      <c r="B31" s="1277" t="s">
        <v>50</v>
      </c>
      <c r="C31" s="1290">
        <f>[14]NURSING!K8</f>
        <v>50.818000000000005</v>
      </c>
      <c r="D31" s="1287"/>
      <c r="E31" s="1628" t="s">
        <v>49</v>
      </c>
      <c r="F31" s="1630" t="s">
        <v>48</v>
      </c>
      <c r="G31" s="97">
        <v>49.818400000000004</v>
      </c>
      <c r="H31" s="1127">
        <f t="shared" si="0"/>
        <v>2.0064875628281936E-2</v>
      </c>
    </row>
    <row r="32" spans="1:8" ht="27" customHeight="1" thickBot="1" x14ac:dyDescent="0.3">
      <c r="B32" s="1278" t="s">
        <v>45</v>
      </c>
      <c r="C32" s="1291">
        <f>[14]NURSING!K9</f>
        <v>105701.44000000002</v>
      </c>
      <c r="D32" s="1288"/>
      <c r="E32" s="1629"/>
      <c r="F32" s="1631"/>
      <c r="G32" s="97">
        <v>103622.27200000001</v>
      </c>
      <c r="H32" s="1127">
        <f t="shared" si="0"/>
        <v>2.0064875628281967E-2</v>
      </c>
    </row>
    <row r="33" spans="2:11" x14ac:dyDescent="0.25">
      <c r="B33" s="1277" t="s">
        <v>42</v>
      </c>
      <c r="C33" s="1290">
        <f>[14]NURSING!K12</f>
        <v>68.006</v>
      </c>
      <c r="D33" s="1287"/>
      <c r="E33" s="1628" t="s">
        <v>41</v>
      </c>
      <c r="F33" s="1630" t="s">
        <v>40</v>
      </c>
      <c r="G33" s="97">
        <v>67.710800000000006</v>
      </c>
      <c r="H33" s="1127">
        <f t="shared" si="0"/>
        <v>4.3597180951929987E-3</v>
      </c>
    </row>
    <row r="34" spans="2:11" ht="27" customHeight="1" thickBot="1" x14ac:dyDescent="0.3">
      <c r="B34" s="1278" t="s">
        <v>38</v>
      </c>
      <c r="C34" s="1291">
        <f>[14]NURSING!K13</f>
        <v>141452.48000000001</v>
      </c>
      <c r="D34" s="1288"/>
      <c r="E34" s="1629"/>
      <c r="F34" s="1631"/>
      <c r="G34" s="97">
        <v>140838.46400000001</v>
      </c>
      <c r="H34" s="1127">
        <f t="shared" si="0"/>
        <v>4.3597180951931089E-3</v>
      </c>
    </row>
    <row r="35" spans="2:11" x14ac:dyDescent="0.25">
      <c r="H35" s="1281">
        <f>AVERAGE(H33,H31,H29,H27,H25,H23,H21,H19,H17,H15,H13,H11,H9,H7,H5)</f>
        <v>2.9308288568439405E-2</v>
      </c>
    </row>
    <row r="36" spans="2:11" x14ac:dyDescent="0.25">
      <c r="B36" s="1302" t="s">
        <v>760</v>
      </c>
    </row>
    <row r="38" spans="2:11" ht="30" x14ac:dyDescent="0.25">
      <c r="B38" s="1294" t="s">
        <v>761</v>
      </c>
      <c r="C38" s="1295">
        <f>C6</f>
        <v>46842.432000000008</v>
      </c>
      <c r="D38" s="1289"/>
      <c r="E38" s="1296"/>
    </row>
    <row r="39" spans="2:11" x14ac:dyDescent="0.25">
      <c r="B39" s="1289"/>
      <c r="C39" s="1271"/>
      <c r="D39" s="1289"/>
      <c r="E39" s="1296"/>
    </row>
    <row r="40" spans="2:11" x14ac:dyDescent="0.25">
      <c r="B40" s="1297" t="s">
        <v>32</v>
      </c>
      <c r="C40" s="1298">
        <v>0.24970000000000001</v>
      </c>
      <c r="D40" s="1289" t="s">
        <v>762</v>
      </c>
      <c r="E40" s="1296"/>
    </row>
    <row r="41" spans="2:11" x14ac:dyDescent="0.25">
      <c r="B41" s="1297"/>
      <c r="C41" s="1271"/>
      <c r="D41" s="1640" t="s">
        <v>29</v>
      </c>
      <c r="E41" s="1640"/>
    </row>
    <row r="42" spans="2:11" x14ac:dyDescent="0.25">
      <c r="B42" s="1289"/>
      <c r="C42" s="1271"/>
      <c r="D42" s="1289"/>
      <c r="E42" s="1296"/>
    </row>
    <row r="43" spans="2:11" x14ac:dyDescent="0.25">
      <c r="B43" s="1297" t="s">
        <v>28</v>
      </c>
      <c r="C43" s="1299">
        <v>0.12</v>
      </c>
      <c r="D43" s="1289" t="s">
        <v>27</v>
      </c>
      <c r="E43" s="1296"/>
    </row>
    <row r="44" spans="2:11" x14ac:dyDescent="0.25">
      <c r="B44" s="1297"/>
      <c r="C44" s="1300"/>
      <c r="D44" s="1289"/>
      <c r="E44" s="1296"/>
    </row>
    <row r="45" spans="2:11" x14ac:dyDescent="0.25">
      <c r="B45" s="1641" t="s">
        <v>26</v>
      </c>
      <c r="C45" s="1641"/>
      <c r="D45" s="1641"/>
      <c r="E45" s="1296"/>
    </row>
    <row r="46" spans="2:11" x14ac:dyDescent="0.25">
      <c r="B46" s="1301" t="s">
        <v>25</v>
      </c>
      <c r="C46" s="1295">
        <v>269120</v>
      </c>
      <c r="D46" s="1289" t="s">
        <v>763</v>
      </c>
      <c r="E46" s="1296"/>
      <c r="G46" s="97">
        <v>247470</v>
      </c>
      <c r="H46" s="1127">
        <f>(C46-G46)/G46</f>
        <v>8.7485351759809274E-2</v>
      </c>
      <c r="K46">
        <v>28.97</v>
      </c>
    </row>
    <row r="47" spans="2:11" x14ac:dyDescent="0.25">
      <c r="B47" s="1297" t="s">
        <v>23</v>
      </c>
      <c r="C47" s="1295">
        <v>292160</v>
      </c>
      <c r="D47" s="1289" t="s">
        <v>764</v>
      </c>
      <c r="E47" s="1296"/>
      <c r="G47" s="97">
        <v>252850</v>
      </c>
      <c r="H47" s="1127">
        <f t="shared" ref="H47:H54" si="1">(C47-G47)/G47</f>
        <v>0.15546766857820843</v>
      </c>
      <c r="K47">
        <f>K46*2080</f>
        <v>60257.599999999999</v>
      </c>
    </row>
    <row r="48" spans="2:11" x14ac:dyDescent="0.25">
      <c r="B48" s="1297" t="s">
        <v>21</v>
      </c>
      <c r="C48" s="1295">
        <f>C34</f>
        <v>141452.48000000001</v>
      </c>
      <c r="D48" s="1289" t="s">
        <v>765</v>
      </c>
      <c r="E48" s="1296"/>
      <c r="G48" s="97">
        <v>140838</v>
      </c>
      <c r="H48" s="1127">
        <f t="shared" si="1"/>
        <v>4.3630270239566771E-3</v>
      </c>
    </row>
    <row r="49" spans="2:8" x14ac:dyDescent="0.25">
      <c r="B49" s="1297" t="s">
        <v>19</v>
      </c>
      <c r="C49" s="1295">
        <f>C6</f>
        <v>46842.432000000008</v>
      </c>
      <c r="D49" s="1289" t="s">
        <v>18</v>
      </c>
      <c r="E49" s="1296"/>
      <c r="G49" s="97">
        <v>43248</v>
      </c>
      <c r="H49" s="1127">
        <f t="shared" si="1"/>
        <v>8.3112097669256563E-2</v>
      </c>
    </row>
    <row r="50" spans="2:8" x14ac:dyDescent="0.25">
      <c r="B50" s="1297" t="s">
        <v>17</v>
      </c>
      <c r="C50" s="1295">
        <f>AVERAGE(C6,C8)</f>
        <v>51615.532800000001</v>
      </c>
      <c r="D50" s="1289" t="s">
        <v>16</v>
      </c>
      <c r="E50" s="1296"/>
      <c r="G50" s="97">
        <v>49732</v>
      </c>
      <c r="H50" s="1127">
        <f t="shared" si="1"/>
        <v>3.78736588112282E-2</v>
      </c>
    </row>
    <row r="51" spans="2:8" x14ac:dyDescent="0.25">
      <c r="B51" s="1297" t="s">
        <v>15</v>
      </c>
      <c r="C51" s="1295">
        <f>C8</f>
        <v>56388.633600000001</v>
      </c>
      <c r="D51" s="1289" t="s">
        <v>14</v>
      </c>
      <c r="E51" s="1296"/>
      <c r="G51" s="97">
        <v>56217</v>
      </c>
      <c r="H51" s="1127">
        <f t="shared" si="1"/>
        <v>3.0530551256737468E-3</v>
      </c>
    </row>
    <row r="52" spans="2:8" x14ac:dyDescent="0.25">
      <c r="B52" s="1297" t="s">
        <v>13</v>
      </c>
      <c r="C52" s="1295">
        <v>46904</v>
      </c>
      <c r="D52" s="1289" t="s">
        <v>766</v>
      </c>
      <c r="E52" s="1296"/>
      <c r="G52" s="97">
        <v>44847.296000000002</v>
      </c>
      <c r="H52" s="1127">
        <f t="shared" si="1"/>
        <v>4.5860156206519072E-2</v>
      </c>
    </row>
    <row r="53" spans="2:8" x14ac:dyDescent="0.25">
      <c r="B53" s="1297" t="s">
        <v>11</v>
      </c>
      <c r="C53" s="1295">
        <v>53768</v>
      </c>
      <c r="D53" s="1289" t="s">
        <v>767</v>
      </c>
      <c r="E53" s="1296"/>
      <c r="G53" s="97">
        <v>51381.824000000001</v>
      </c>
      <c r="H53" s="1127">
        <f t="shared" si="1"/>
        <v>4.6440079667082267E-2</v>
      </c>
    </row>
    <row r="54" spans="2:8" x14ac:dyDescent="0.25">
      <c r="B54" s="1297" t="s">
        <v>9</v>
      </c>
      <c r="C54" s="1295">
        <v>60257</v>
      </c>
      <c r="D54" s="1289" t="s">
        <v>768</v>
      </c>
      <c r="E54" s="1296"/>
      <c r="G54" s="97">
        <v>59259.199999999997</v>
      </c>
      <c r="H54" s="1127">
        <f t="shared" si="1"/>
        <v>1.6837891837891888E-2</v>
      </c>
    </row>
    <row r="55" spans="2:8" x14ac:dyDescent="0.25">
      <c r="B55" s="1273" t="s">
        <v>7</v>
      </c>
      <c r="C55" s="1275">
        <f>(C28*0.5)+(C18*0.5)</f>
        <v>92990.247999999992</v>
      </c>
      <c r="D55" s="1272" t="s">
        <v>6</v>
      </c>
    </row>
    <row r="56" spans="2:8" x14ac:dyDescent="0.25">
      <c r="B56" s="1297" t="s">
        <v>414</v>
      </c>
      <c r="C56" s="1295">
        <f>51.84*2080</f>
        <v>107827.20000000001</v>
      </c>
      <c r="D56" t="s">
        <v>778</v>
      </c>
    </row>
    <row r="57" spans="2:8" x14ac:dyDescent="0.25">
      <c r="B57" s="1297" t="s">
        <v>795</v>
      </c>
      <c r="C57" s="1136">
        <f>(C32*0.5)+(C16*0.5)</f>
        <v>91400.19200000001</v>
      </c>
    </row>
  </sheetData>
  <mergeCells count="34">
    <mergeCell ref="D41:E41"/>
    <mergeCell ref="B45:D45"/>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7" right="0.7" top="0.75" bottom="0.75" header="0.3" footer="0.3"/>
  <pageSetup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2C6C6-98FE-4393-AADC-C506E4FA438D}">
  <sheetPr>
    <pageSetUpPr fitToPage="1"/>
  </sheetPr>
  <dimension ref="B2:I28"/>
  <sheetViews>
    <sheetView zoomScaleNormal="100" workbookViewId="0">
      <selection activeCell="J37" sqref="J37"/>
    </sheetView>
  </sheetViews>
  <sheetFormatPr defaultRowHeight="12.75" x14ac:dyDescent="0.2"/>
  <cols>
    <col min="1" max="1" width="6.5703125" style="115" customWidth="1"/>
    <col min="2" max="2" width="3.85546875" style="115" customWidth="1"/>
    <col min="3" max="3" width="24.7109375" style="115" bestFit="1" customWidth="1"/>
    <col min="4" max="4" width="11.28515625" style="115" bestFit="1" customWidth="1"/>
    <col min="5" max="5" width="7.7109375" style="115" customWidth="1"/>
    <col min="6" max="6" width="8" style="115" bestFit="1" customWidth="1"/>
    <col min="7" max="7" width="6.7109375" style="115" bestFit="1" customWidth="1"/>
    <col min="8" max="8" width="11.7109375" style="115" customWidth="1"/>
    <col min="9" max="9" width="9.140625" style="115"/>
    <col min="10" max="10" width="8.7109375" style="115" customWidth="1"/>
    <col min="11" max="11" width="20.5703125" style="115" customWidth="1"/>
    <col min="12" max="12" width="12" style="115" customWidth="1"/>
    <col min="13" max="13" width="12.7109375" style="115" customWidth="1"/>
    <col min="14" max="17" width="8.7109375" style="115" customWidth="1"/>
    <col min="18" max="18" width="10" style="115" customWidth="1"/>
    <col min="19" max="19" width="8.7109375" style="115" customWidth="1"/>
    <col min="20" max="20" width="22.140625" style="115" customWidth="1"/>
    <col min="21" max="21" width="4.7109375" style="115" customWidth="1"/>
    <col min="22" max="22" width="22.140625" style="115" customWidth="1"/>
    <col min="23" max="23" width="4.7109375" style="115" customWidth="1"/>
    <col min="24" max="27" width="8.7109375" style="115" customWidth="1"/>
    <col min="28" max="266" width="9.140625" style="115"/>
    <col min="267" max="267" width="22.140625" style="115" bestFit="1" customWidth="1"/>
    <col min="268" max="268" width="6.7109375" style="115" bestFit="1" customWidth="1"/>
    <col min="269" max="269" width="12.7109375" style="115" bestFit="1" customWidth="1"/>
    <col min="270" max="275" width="9.140625" style="115"/>
    <col min="276" max="276" width="22.140625" style="115" bestFit="1" customWidth="1"/>
    <col min="277" max="277" width="4.7109375" style="115" bestFit="1" customWidth="1"/>
    <col min="278" max="522" width="9.140625" style="115"/>
    <col min="523" max="523" width="22.140625" style="115" bestFit="1" customWidth="1"/>
    <col min="524" max="524" width="6.7109375" style="115" bestFit="1" customWidth="1"/>
    <col min="525" max="525" width="12.7109375" style="115" bestFit="1" customWidth="1"/>
    <col min="526" max="531" width="9.140625" style="115"/>
    <col min="532" max="532" width="22.140625" style="115" bestFit="1" customWidth="1"/>
    <col min="533" max="533" width="4.7109375" style="115" bestFit="1" customWidth="1"/>
    <col min="534" max="778" width="9.140625" style="115"/>
    <col min="779" max="779" width="22.140625" style="115" bestFit="1" customWidth="1"/>
    <col min="780" max="780" width="6.7109375" style="115" bestFit="1" customWidth="1"/>
    <col min="781" max="781" width="12.7109375" style="115" bestFit="1" customWidth="1"/>
    <col min="782" max="787" width="9.140625" style="115"/>
    <col min="788" max="788" width="22.140625" style="115" bestFit="1" customWidth="1"/>
    <col min="789" max="789" width="4.7109375" style="115" bestFit="1" customWidth="1"/>
    <col min="790" max="1034" width="9.140625" style="115"/>
    <col min="1035" max="1035" width="22.140625" style="115" bestFit="1" customWidth="1"/>
    <col min="1036" max="1036" width="6.7109375" style="115" bestFit="1" customWidth="1"/>
    <col min="1037" max="1037" width="12.7109375" style="115" bestFit="1" customWidth="1"/>
    <col min="1038" max="1043" width="9.140625" style="115"/>
    <col min="1044" max="1044" width="22.140625" style="115" bestFit="1" customWidth="1"/>
    <col min="1045" max="1045" width="4.7109375" style="115" bestFit="1" customWidth="1"/>
    <col min="1046" max="1290" width="9.140625" style="115"/>
    <col min="1291" max="1291" width="22.140625" style="115" bestFit="1" customWidth="1"/>
    <col min="1292" max="1292" width="6.7109375" style="115" bestFit="1" customWidth="1"/>
    <col min="1293" max="1293" width="12.7109375" style="115" bestFit="1" customWidth="1"/>
    <col min="1294" max="1299" width="9.140625" style="115"/>
    <col min="1300" max="1300" width="22.140625" style="115" bestFit="1" customWidth="1"/>
    <col min="1301" max="1301" width="4.7109375" style="115" bestFit="1" customWidth="1"/>
    <col min="1302" max="1546" width="9.140625" style="115"/>
    <col min="1547" max="1547" width="22.140625" style="115" bestFit="1" customWidth="1"/>
    <col min="1548" max="1548" width="6.7109375" style="115" bestFit="1" customWidth="1"/>
    <col min="1549" max="1549" width="12.7109375" style="115" bestFit="1" customWidth="1"/>
    <col min="1550" max="1555" width="9.140625" style="115"/>
    <col min="1556" max="1556" width="22.140625" style="115" bestFit="1" customWidth="1"/>
    <col min="1557" max="1557" width="4.7109375" style="115" bestFit="1" customWidth="1"/>
    <col min="1558" max="1802" width="9.140625" style="115"/>
    <col min="1803" max="1803" width="22.140625" style="115" bestFit="1" customWidth="1"/>
    <col min="1804" max="1804" width="6.7109375" style="115" bestFit="1" customWidth="1"/>
    <col min="1805" max="1805" width="12.7109375" style="115" bestFit="1" customWidth="1"/>
    <col min="1806" max="1811" width="9.140625" style="115"/>
    <col min="1812" max="1812" width="22.140625" style="115" bestFit="1" customWidth="1"/>
    <col min="1813" max="1813" width="4.7109375" style="115" bestFit="1" customWidth="1"/>
    <col min="1814" max="2058" width="9.140625" style="115"/>
    <col min="2059" max="2059" width="22.140625" style="115" bestFit="1" customWidth="1"/>
    <col min="2060" max="2060" width="6.7109375" style="115" bestFit="1" customWidth="1"/>
    <col min="2061" max="2061" width="12.7109375" style="115" bestFit="1" customWidth="1"/>
    <col min="2062" max="2067" width="9.140625" style="115"/>
    <col min="2068" max="2068" width="22.140625" style="115" bestFit="1" customWidth="1"/>
    <col min="2069" max="2069" width="4.7109375" style="115" bestFit="1" customWidth="1"/>
    <col min="2070" max="2314" width="9.140625" style="115"/>
    <col min="2315" max="2315" width="22.140625" style="115" bestFit="1" customWidth="1"/>
    <col min="2316" max="2316" width="6.7109375" style="115" bestFit="1" customWidth="1"/>
    <col min="2317" max="2317" width="12.7109375" style="115" bestFit="1" customWidth="1"/>
    <col min="2318" max="2323" width="9.140625" style="115"/>
    <col min="2324" max="2324" width="22.140625" style="115" bestFit="1" customWidth="1"/>
    <col min="2325" max="2325" width="4.7109375" style="115" bestFit="1" customWidth="1"/>
    <col min="2326" max="2570" width="9.140625" style="115"/>
    <col min="2571" max="2571" width="22.140625" style="115" bestFit="1" customWidth="1"/>
    <col min="2572" max="2572" width="6.7109375" style="115" bestFit="1" customWidth="1"/>
    <col min="2573" max="2573" width="12.7109375" style="115" bestFit="1" customWidth="1"/>
    <col min="2574" max="2579" width="9.140625" style="115"/>
    <col min="2580" max="2580" width="22.140625" style="115" bestFit="1" customWidth="1"/>
    <col min="2581" max="2581" width="4.7109375" style="115" bestFit="1" customWidth="1"/>
    <col min="2582" max="2826" width="9.140625" style="115"/>
    <col min="2827" max="2827" width="22.140625" style="115" bestFit="1" customWidth="1"/>
    <col min="2828" max="2828" width="6.7109375" style="115" bestFit="1" customWidth="1"/>
    <col min="2829" max="2829" width="12.7109375" style="115" bestFit="1" customWidth="1"/>
    <col min="2830" max="2835" width="9.140625" style="115"/>
    <col min="2836" max="2836" width="22.140625" style="115" bestFit="1" customWidth="1"/>
    <col min="2837" max="2837" width="4.7109375" style="115" bestFit="1" customWidth="1"/>
    <col min="2838" max="3082" width="9.140625" style="115"/>
    <col min="3083" max="3083" width="22.140625" style="115" bestFit="1" customWidth="1"/>
    <col min="3084" max="3084" width="6.7109375" style="115" bestFit="1" customWidth="1"/>
    <col min="3085" max="3085" width="12.7109375" style="115" bestFit="1" customWidth="1"/>
    <col min="3086" max="3091" width="9.140625" style="115"/>
    <col min="3092" max="3092" width="22.140625" style="115" bestFit="1" customWidth="1"/>
    <col min="3093" max="3093" width="4.7109375" style="115" bestFit="1" customWidth="1"/>
    <col min="3094" max="3338" width="9.140625" style="115"/>
    <col min="3339" max="3339" width="22.140625" style="115" bestFit="1" customWidth="1"/>
    <col min="3340" max="3340" width="6.7109375" style="115" bestFit="1" customWidth="1"/>
    <col min="3341" max="3341" width="12.7109375" style="115" bestFit="1" customWidth="1"/>
    <col min="3342" max="3347" width="9.140625" style="115"/>
    <col min="3348" max="3348" width="22.140625" style="115" bestFit="1" customWidth="1"/>
    <col min="3349" max="3349" width="4.7109375" style="115" bestFit="1" customWidth="1"/>
    <col min="3350" max="3594" width="9.140625" style="115"/>
    <col min="3595" max="3595" width="22.140625" style="115" bestFit="1" customWidth="1"/>
    <col min="3596" max="3596" width="6.7109375" style="115" bestFit="1" customWidth="1"/>
    <col min="3597" max="3597" width="12.7109375" style="115" bestFit="1" customWidth="1"/>
    <col min="3598" max="3603" width="9.140625" style="115"/>
    <col min="3604" max="3604" width="22.140625" style="115" bestFit="1" customWidth="1"/>
    <col min="3605" max="3605" width="4.7109375" style="115" bestFit="1" customWidth="1"/>
    <col min="3606" max="3850" width="9.140625" style="115"/>
    <col min="3851" max="3851" width="22.140625" style="115" bestFit="1" customWidth="1"/>
    <col min="3852" max="3852" width="6.7109375" style="115" bestFit="1" customWidth="1"/>
    <col min="3853" max="3853" width="12.7109375" style="115" bestFit="1" customWidth="1"/>
    <col min="3854" max="3859" width="9.140625" style="115"/>
    <col min="3860" max="3860" width="22.140625" style="115" bestFit="1" customWidth="1"/>
    <col min="3861" max="3861" width="4.7109375" style="115" bestFit="1" customWidth="1"/>
    <col min="3862" max="4106" width="9.140625" style="115"/>
    <col min="4107" max="4107" width="22.140625" style="115" bestFit="1" customWidth="1"/>
    <col min="4108" max="4108" width="6.7109375" style="115" bestFit="1" customWidth="1"/>
    <col min="4109" max="4109" width="12.7109375" style="115" bestFit="1" customWidth="1"/>
    <col min="4110" max="4115" width="9.140625" style="115"/>
    <col min="4116" max="4116" width="22.140625" style="115" bestFit="1" customWidth="1"/>
    <col min="4117" max="4117" width="4.7109375" style="115" bestFit="1" customWidth="1"/>
    <col min="4118" max="4362" width="9.140625" style="115"/>
    <col min="4363" max="4363" width="22.140625" style="115" bestFit="1" customWidth="1"/>
    <col min="4364" max="4364" width="6.7109375" style="115" bestFit="1" customWidth="1"/>
    <col min="4365" max="4365" width="12.7109375" style="115" bestFit="1" customWidth="1"/>
    <col min="4366" max="4371" width="9.140625" style="115"/>
    <col min="4372" max="4372" width="22.140625" style="115" bestFit="1" customWidth="1"/>
    <col min="4373" max="4373" width="4.7109375" style="115" bestFit="1" customWidth="1"/>
    <col min="4374" max="4618" width="9.140625" style="115"/>
    <col min="4619" max="4619" width="22.140625" style="115" bestFit="1" customWidth="1"/>
    <col min="4620" max="4620" width="6.7109375" style="115" bestFit="1" customWidth="1"/>
    <col min="4621" max="4621" width="12.7109375" style="115" bestFit="1" customWidth="1"/>
    <col min="4622" max="4627" width="9.140625" style="115"/>
    <col min="4628" max="4628" width="22.140625" style="115" bestFit="1" customWidth="1"/>
    <col min="4629" max="4629" width="4.7109375" style="115" bestFit="1" customWidth="1"/>
    <col min="4630" max="4874" width="9.140625" style="115"/>
    <col min="4875" max="4875" width="22.140625" style="115" bestFit="1" customWidth="1"/>
    <col min="4876" max="4876" width="6.7109375" style="115" bestFit="1" customWidth="1"/>
    <col min="4877" max="4877" width="12.7109375" style="115" bestFit="1" customWidth="1"/>
    <col min="4878" max="4883" width="9.140625" style="115"/>
    <col min="4884" max="4884" width="22.140625" style="115" bestFit="1" customWidth="1"/>
    <col min="4885" max="4885" width="4.7109375" style="115" bestFit="1" customWidth="1"/>
    <col min="4886" max="5130" width="9.140625" style="115"/>
    <col min="5131" max="5131" width="22.140625" style="115" bestFit="1" customWidth="1"/>
    <col min="5132" max="5132" width="6.7109375" style="115" bestFit="1" customWidth="1"/>
    <col min="5133" max="5133" width="12.7109375" style="115" bestFit="1" customWidth="1"/>
    <col min="5134" max="5139" width="9.140625" style="115"/>
    <col min="5140" max="5140" width="22.140625" style="115" bestFit="1" customWidth="1"/>
    <col min="5141" max="5141" width="4.7109375" style="115" bestFit="1" customWidth="1"/>
    <col min="5142" max="5386" width="9.140625" style="115"/>
    <col min="5387" max="5387" width="22.140625" style="115" bestFit="1" customWidth="1"/>
    <col min="5388" max="5388" width="6.7109375" style="115" bestFit="1" customWidth="1"/>
    <col min="5389" max="5389" width="12.7109375" style="115" bestFit="1" customWidth="1"/>
    <col min="5390" max="5395" width="9.140625" style="115"/>
    <col min="5396" max="5396" width="22.140625" style="115" bestFit="1" customWidth="1"/>
    <col min="5397" max="5397" width="4.7109375" style="115" bestFit="1" customWidth="1"/>
    <col min="5398" max="5642" width="9.140625" style="115"/>
    <col min="5643" max="5643" width="22.140625" style="115" bestFit="1" customWidth="1"/>
    <col min="5644" max="5644" width="6.7109375" style="115" bestFit="1" customWidth="1"/>
    <col min="5645" max="5645" width="12.7109375" style="115" bestFit="1" customWidth="1"/>
    <col min="5646" max="5651" width="9.140625" style="115"/>
    <col min="5652" max="5652" width="22.140625" style="115" bestFit="1" customWidth="1"/>
    <col min="5653" max="5653" width="4.7109375" style="115" bestFit="1" customWidth="1"/>
    <col min="5654" max="5898" width="9.140625" style="115"/>
    <col min="5899" max="5899" width="22.140625" style="115" bestFit="1" customWidth="1"/>
    <col min="5900" max="5900" width="6.7109375" style="115" bestFit="1" customWidth="1"/>
    <col min="5901" max="5901" width="12.7109375" style="115" bestFit="1" customWidth="1"/>
    <col min="5902" max="5907" width="9.140625" style="115"/>
    <col min="5908" max="5908" width="22.140625" style="115" bestFit="1" customWidth="1"/>
    <col min="5909" max="5909" width="4.7109375" style="115" bestFit="1" customWidth="1"/>
    <col min="5910" max="6154" width="9.140625" style="115"/>
    <col min="6155" max="6155" width="22.140625" style="115" bestFit="1" customWidth="1"/>
    <col min="6156" max="6156" width="6.7109375" style="115" bestFit="1" customWidth="1"/>
    <col min="6157" max="6157" width="12.7109375" style="115" bestFit="1" customWidth="1"/>
    <col min="6158" max="6163" width="9.140625" style="115"/>
    <col min="6164" max="6164" width="22.140625" style="115" bestFit="1" customWidth="1"/>
    <col min="6165" max="6165" width="4.7109375" style="115" bestFit="1" customWidth="1"/>
    <col min="6166" max="6410" width="9.140625" style="115"/>
    <col min="6411" max="6411" width="22.140625" style="115" bestFit="1" customWidth="1"/>
    <col min="6412" max="6412" width="6.7109375" style="115" bestFit="1" customWidth="1"/>
    <col min="6413" max="6413" width="12.7109375" style="115" bestFit="1" customWidth="1"/>
    <col min="6414" max="6419" width="9.140625" style="115"/>
    <col min="6420" max="6420" width="22.140625" style="115" bestFit="1" customWidth="1"/>
    <col min="6421" max="6421" width="4.7109375" style="115" bestFit="1" customWidth="1"/>
    <col min="6422" max="6666" width="9.140625" style="115"/>
    <col min="6667" max="6667" width="22.140625" style="115" bestFit="1" customWidth="1"/>
    <col min="6668" max="6668" width="6.7109375" style="115" bestFit="1" customWidth="1"/>
    <col min="6669" max="6669" width="12.7109375" style="115" bestFit="1" customWidth="1"/>
    <col min="6670" max="6675" width="9.140625" style="115"/>
    <col min="6676" max="6676" width="22.140625" style="115" bestFit="1" customWidth="1"/>
    <col min="6677" max="6677" width="4.7109375" style="115" bestFit="1" customWidth="1"/>
    <col min="6678" max="6922" width="9.140625" style="115"/>
    <col min="6923" max="6923" width="22.140625" style="115" bestFit="1" customWidth="1"/>
    <col min="6924" max="6924" width="6.7109375" style="115" bestFit="1" customWidth="1"/>
    <col min="6925" max="6925" width="12.7109375" style="115" bestFit="1" customWidth="1"/>
    <col min="6926" max="6931" width="9.140625" style="115"/>
    <col min="6932" max="6932" width="22.140625" style="115" bestFit="1" customWidth="1"/>
    <col min="6933" max="6933" width="4.7109375" style="115" bestFit="1" customWidth="1"/>
    <col min="6934" max="7178" width="9.140625" style="115"/>
    <col min="7179" max="7179" width="22.140625" style="115" bestFit="1" customWidth="1"/>
    <col min="7180" max="7180" width="6.7109375" style="115" bestFit="1" customWidth="1"/>
    <col min="7181" max="7181" width="12.7109375" style="115" bestFit="1" customWidth="1"/>
    <col min="7182" max="7187" width="9.140625" style="115"/>
    <col min="7188" max="7188" width="22.140625" style="115" bestFit="1" customWidth="1"/>
    <col min="7189" max="7189" width="4.7109375" style="115" bestFit="1" customWidth="1"/>
    <col min="7190" max="7434" width="9.140625" style="115"/>
    <col min="7435" max="7435" width="22.140625" style="115" bestFit="1" customWidth="1"/>
    <col min="7436" max="7436" width="6.7109375" style="115" bestFit="1" customWidth="1"/>
    <col min="7437" max="7437" width="12.7109375" style="115" bestFit="1" customWidth="1"/>
    <col min="7438" max="7443" width="9.140625" style="115"/>
    <col min="7444" max="7444" width="22.140625" style="115" bestFit="1" customWidth="1"/>
    <col min="7445" max="7445" width="4.7109375" style="115" bestFit="1" customWidth="1"/>
    <col min="7446" max="7690" width="9.140625" style="115"/>
    <col min="7691" max="7691" width="22.140625" style="115" bestFit="1" customWidth="1"/>
    <col min="7692" max="7692" width="6.7109375" style="115" bestFit="1" customWidth="1"/>
    <col min="7693" max="7693" width="12.7109375" style="115" bestFit="1" customWidth="1"/>
    <col min="7694" max="7699" width="9.140625" style="115"/>
    <col min="7700" max="7700" width="22.140625" style="115" bestFit="1" customWidth="1"/>
    <col min="7701" max="7701" width="4.7109375" style="115" bestFit="1" customWidth="1"/>
    <col min="7702" max="7946" width="9.140625" style="115"/>
    <col min="7947" max="7947" width="22.140625" style="115" bestFit="1" customWidth="1"/>
    <col min="7948" max="7948" width="6.7109375" style="115" bestFit="1" customWidth="1"/>
    <col min="7949" max="7949" width="12.7109375" style="115" bestFit="1" customWidth="1"/>
    <col min="7950" max="7955" width="9.140625" style="115"/>
    <col min="7956" max="7956" width="22.140625" style="115" bestFit="1" customWidth="1"/>
    <col min="7957" max="7957" width="4.7109375" style="115" bestFit="1" customWidth="1"/>
    <col min="7958" max="8202" width="9.140625" style="115"/>
    <col min="8203" max="8203" width="22.140625" style="115" bestFit="1" customWidth="1"/>
    <col min="8204" max="8204" width="6.7109375" style="115" bestFit="1" customWidth="1"/>
    <col min="8205" max="8205" width="12.7109375" style="115" bestFit="1" customWidth="1"/>
    <col min="8206" max="8211" width="9.140625" style="115"/>
    <col min="8212" max="8212" width="22.140625" style="115" bestFit="1" customWidth="1"/>
    <col min="8213" max="8213" width="4.7109375" style="115" bestFit="1" customWidth="1"/>
    <col min="8214" max="8458" width="9.140625" style="115"/>
    <col min="8459" max="8459" width="22.140625" style="115" bestFit="1" customWidth="1"/>
    <col min="8460" max="8460" width="6.7109375" style="115" bestFit="1" customWidth="1"/>
    <col min="8461" max="8461" width="12.7109375" style="115" bestFit="1" customWidth="1"/>
    <col min="8462" max="8467" width="9.140625" style="115"/>
    <col min="8468" max="8468" width="22.140625" style="115" bestFit="1" customWidth="1"/>
    <col min="8469" max="8469" width="4.7109375" style="115" bestFit="1" customWidth="1"/>
    <col min="8470" max="8714" width="9.140625" style="115"/>
    <col min="8715" max="8715" width="22.140625" style="115" bestFit="1" customWidth="1"/>
    <col min="8716" max="8716" width="6.7109375" style="115" bestFit="1" customWidth="1"/>
    <col min="8717" max="8717" width="12.7109375" style="115" bestFit="1" customWidth="1"/>
    <col min="8718" max="8723" width="9.140625" style="115"/>
    <col min="8724" max="8724" width="22.140625" style="115" bestFit="1" customWidth="1"/>
    <col min="8725" max="8725" width="4.7109375" style="115" bestFit="1" customWidth="1"/>
    <col min="8726" max="8970" width="9.140625" style="115"/>
    <col min="8971" max="8971" width="22.140625" style="115" bestFit="1" customWidth="1"/>
    <col min="8972" max="8972" width="6.7109375" style="115" bestFit="1" customWidth="1"/>
    <col min="8973" max="8973" width="12.7109375" style="115" bestFit="1" customWidth="1"/>
    <col min="8974" max="8979" width="9.140625" style="115"/>
    <col min="8980" max="8980" width="22.140625" style="115" bestFit="1" customWidth="1"/>
    <col min="8981" max="8981" width="4.7109375" style="115" bestFit="1" customWidth="1"/>
    <col min="8982" max="9226" width="9.140625" style="115"/>
    <col min="9227" max="9227" width="22.140625" style="115" bestFit="1" customWidth="1"/>
    <col min="9228" max="9228" width="6.7109375" style="115" bestFit="1" customWidth="1"/>
    <col min="9229" max="9229" width="12.7109375" style="115" bestFit="1" customWidth="1"/>
    <col min="9230" max="9235" width="9.140625" style="115"/>
    <col min="9236" max="9236" width="22.140625" style="115" bestFit="1" customWidth="1"/>
    <col min="9237" max="9237" width="4.7109375" style="115" bestFit="1" customWidth="1"/>
    <col min="9238" max="9482" width="9.140625" style="115"/>
    <col min="9483" max="9483" width="22.140625" style="115" bestFit="1" customWidth="1"/>
    <col min="9484" max="9484" width="6.7109375" style="115" bestFit="1" customWidth="1"/>
    <col min="9485" max="9485" width="12.7109375" style="115" bestFit="1" customWidth="1"/>
    <col min="9486" max="9491" width="9.140625" style="115"/>
    <col min="9492" max="9492" width="22.140625" style="115" bestFit="1" customWidth="1"/>
    <col min="9493" max="9493" width="4.7109375" style="115" bestFit="1" customWidth="1"/>
    <col min="9494" max="9738" width="9.140625" style="115"/>
    <col min="9739" max="9739" width="22.140625" style="115" bestFit="1" customWidth="1"/>
    <col min="9740" max="9740" width="6.7109375" style="115" bestFit="1" customWidth="1"/>
    <col min="9741" max="9741" width="12.7109375" style="115" bestFit="1" customWidth="1"/>
    <col min="9742" max="9747" width="9.140625" style="115"/>
    <col min="9748" max="9748" width="22.140625" style="115" bestFit="1" customWidth="1"/>
    <col min="9749" max="9749" width="4.7109375" style="115" bestFit="1" customWidth="1"/>
    <col min="9750" max="9994" width="9.140625" style="115"/>
    <col min="9995" max="9995" width="22.140625" style="115" bestFit="1" customWidth="1"/>
    <col min="9996" max="9996" width="6.7109375" style="115" bestFit="1" customWidth="1"/>
    <col min="9997" max="9997" width="12.7109375" style="115" bestFit="1" customWidth="1"/>
    <col min="9998" max="10003" width="9.140625" style="115"/>
    <col min="10004" max="10004" width="22.140625" style="115" bestFit="1" customWidth="1"/>
    <col min="10005" max="10005" width="4.7109375" style="115" bestFit="1" customWidth="1"/>
    <col min="10006" max="10250" width="9.140625" style="115"/>
    <col min="10251" max="10251" width="22.140625" style="115" bestFit="1" customWidth="1"/>
    <col min="10252" max="10252" width="6.7109375" style="115" bestFit="1" customWidth="1"/>
    <col min="10253" max="10253" width="12.7109375" style="115" bestFit="1" customWidth="1"/>
    <col min="10254" max="10259" width="9.140625" style="115"/>
    <col min="10260" max="10260" width="22.140625" style="115" bestFit="1" customWidth="1"/>
    <col min="10261" max="10261" width="4.7109375" style="115" bestFit="1" customWidth="1"/>
    <col min="10262" max="10506" width="9.140625" style="115"/>
    <col min="10507" max="10507" width="22.140625" style="115" bestFit="1" customWidth="1"/>
    <col min="10508" max="10508" width="6.7109375" style="115" bestFit="1" customWidth="1"/>
    <col min="10509" max="10509" width="12.7109375" style="115" bestFit="1" customWidth="1"/>
    <col min="10510" max="10515" width="9.140625" style="115"/>
    <col min="10516" max="10516" width="22.140625" style="115" bestFit="1" customWidth="1"/>
    <col min="10517" max="10517" width="4.7109375" style="115" bestFit="1" customWidth="1"/>
    <col min="10518" max="10762" width="9.140625" style="115"/>
    <col min="10763" max="10763" width="22.140625" style="115" bestFit="1" customWidth="1"/>
    <col min="10764" max="10764" width="6.7109375" style="115" bestFit="1" customWidth="1"/>
    <col min="10765" max="10765" width="12.7109375" style="115" bestFit="1" customWidth="1"/>
    <col min="10766" max="10771" width="9.140625" style="115"/>
    <col min="10772" max="10772" width="22.140625" style="115" bestFit="1" customWidth="1"/>
    <col min="10773" max="10773" width="4.7109375" style="115" bestFit="1" customWidth="1"/>
    <col min="10774" max="11018" width="9.140625" style="115"/>
    <col min="11019" max="11019" width="22.140625" style="115" bestFit="1" customWidth="1"/>
    <col min="11020" max="11020" width="6.7109375" style="115" bestFit="1" customWidth="1"/>
    <col min="11021" max="11021" width="12.7109375" style="115" bestFit="1" customWidth="1"/>
    <col min="11022" max="11027" width="9.140625" style="115"/>
    <col min="11028" max="11028" width="22.140625" style="115" bestFit="1" customWidth="1"/>
    <col min="11029" max="11029" width="4.7109375" style="115" bestFit="1" customWidth="1"/>
    <col min="11030" max="11274" width="9.140625" style="115"/>
    <col min="11275" max="11275" width="22.140625" style="115" bestFit="1" customWidth="1"/>
    <col min="11276" max="11276" width="6.7109375" style="115" bestFit="1" customWidth="1"/>
    <col min="11277" max="11277" width="12.7109375" style="115" bestFit="1" customWidth="1"/>
    <col min="11278" max="11283" width="9.140625" style="115"/>
    <col min="11284" max="11284" width="22.140625" style="115" bestFit="1" customWidth="1"/>
    <col min="11285" max="11285" width="4.7109375" style="115" bestFit="1" customWidth="1"/>
    <col min="11286" max="11530" width="9.140625" style="115"/>
    <col min="11531" max="11531" width="22.140625" style="115" bestFit="1" customWidth="1"/>
    <col min="11532" max="11532" width="6.7109375" style="115" bestFit="1" customWidth="1"/>
    <col min="11533" max="11533" width="12.7109375" style="115" bestFit="1" customWidth="1"/>
    <col min="11534" max="11539" width="9.140625" style="115"/>
    <col min="11540" max="11540" width="22.140625" style="115" bestFit="1" customWidth="1"/>
    <col min="11541" max="11541" width="4.7109375" style="115" bestFit="1" customWidth="1"/>
    <col min="11542" max="11786" width="9.140625" style="115"/>
    <col min="11787" max="11787" width="22.140625" style="115" bestFit="1" customWidth="1"/>
    <col min="11788" max="11788" width="6.7109375" style="115" bestFit="1" customWidth="1"/>
    <col min="11789" max="11789" width="12.7109375" style="115" bestFit="1" customWidth="1"/>
    <col min="11790" max="11795" width="9.140625" style="115"/>
    <col min="11796" max="11796" width="22.140625" style="115" bestFit="1" customWidth="1"/>
    <col min="11797" max="11797" width="4.7109375" style="115" bestFit="1" customWidth="1"/>
    <col min="11798" max="12042" width="9.140625" style="115"/>
    <col min="12043" max="12043" width="22.140625" style="115" bestFit="1" customWidth="1"/>
    <col min="12044" max="12044" width="6.7109375" style="115" bestFit="1" customWidth="1"/>
    <col min="12045" max="12045" width="12.7109375" style="115" bestFit="1" customWidth="1"/>
    <col min="12046" max="12051" width="9.140625" style="115"/>
    <col min="12052" max="12052" width="22.140625" style="115" bestFit="1" customWidth="1"/>
    <col min="12053" max="12053" width="4.7109375" style="115" bestFit="1" customWidth="1"/>
    <col min="12054" max="12298" width="9.140625" style="115"/>
    <col min="12299" max="12299" width="22.140625" style="115" bestFit="1" customWidth="1"/>
    <col min="12300" max="12300" width="6.7109375" style="115" bestFit="1" customWidth="1"/>
    <col min="12301" max="12301" width="12.7109375" style="115" bestFit="1" customWidth="1"/>
    <col min="12302" max="12307" width="9.140625" style="115"/>
    <col min="12308" max="12308" width="22.140625" style="115" bestFit="1" customWidth="1"/>
    <col min="12309" max="12309" width="4.7109375" style="115" bestFit="1" customWidth="1"/>
    <col min="12310" max="12554" width="9.140625" style="115"/>
    <col min="12555" max="12555" width="22.140625" style="115" bestFit="1" customWidth="1"/>
    <col min="12556" max="12556" width="6.7109375" style="115" bestFit="1" customWidth="1"/>
    <col min="12557" max="12557" width="12.7109375" style="115" bestFit="1" customWidth="1"/>
    <col min="12558" max="12563" width="9.140625" style="115"/>
    <col min="12564" max="12564" width="22.140625" style="115" bestFit="1" customWidth="1"/>
    <col min="12565" max="12565" width="4.7109375" style="115" bestFit="1" customWidth="1"/>
    <col min="12566" max="12810" width="9.140625" style="115"/>
    <col min="12811" max="12811" width="22.140625" style="115" bestFit="1" customWidth="1"/>
    <col min="12812" max="12812" width="6.7109375" style="115" bestFit="1" customWidth="1"/>
    <col min="12813" max="12813" width="12.7109375" style="115" bestFit="1" customWidth="1"/>
    <col min="12814" max="12819" width="9.140625" style="115"/>
    <col min="12820" max="12820" width="22.140625" style="115" bestFit="1" customWidth="1"/>
    <col min="12821" max="12821" width="4.7109375" style="115" bestFit="1" customWidth="1"/>
    <col min="12822" max="13066" width="9.140625" style="115"/>
    <col min="13067" max="13067" width="22.140625" style="115" bestFit="1" customWidth="1"/>
    <col min="13068" max="13068" width="6.7109375" style="115" bestFit="1" customWidth="1"/>
    <col min="13069" max="13069" width="12.7109375" style="115" bestFit="1" customWidth="1"/>
    <col min="13070" max="13075" width="9.140625" style="115"/>
    <col min="13076" max="13076" width="22.140625" style="115" bestFit="1" customWidth="1"/>
    <col min="13077" max="13077" width="4.7109375" style="115" bestFit="1" customWidth="1"/>
    <col min="13078" max="13322" width="9.140625" style="115"/>
    <col min="13323" max="13323" width="22.140625" style="115" bestFit="1" customWidth="1"/>
    <col min="13324" max="13324" width="6.7109375" style="115" bestFit="1" customWidth="1"/>
    <col min="13325" max="13325" width="12.7109375" style="115" bestFit="1" customWidth="1"/>
    <col min="13326" max="13331" width="9.140625" style="115"/>
    <col min="13332" max="13332" width="22.140625" style="115" bestFit="1" customWidth="1"/>
    <col min="13333" max="13333" width="4.7109375" style="115" bestFit="1" customWidth="1"/>
    <col min="13334" max="13578" width="9.140625" style="115"/>
    <col min="13579" max="13579" width="22.140625" style="115" bestFit="1" customWidth="1"/>
    <col min="13580" max="13580" width="6.7109375" style="115" bestFit="1" customWidth="1"/>
    <col min="13581" max="13581" width="12.7109375" style="115" bestFit="1" customWidth="1"/>
    <col min="13582" max="13587" width="9.140625" style="115"/>
    <col min="13588" max="13588" width="22.140625" style="115" bestFit="1" customWidth="1"/>
    <col min="13589" max="13589" width="4.7109375" style="115" bestFit="1" customWidth="1"/>
    <col min="13590" max="13834" width="9.140625" style="115"/>
    <col min="13835" max="13835" width="22.140625" style="115" bestFit="1" customWidth="1"/>
    <col min="13836" max="13836" width="6.7109375" style="115" bestFit="1" customWidth="1"/>
    <col min="13837" max="13837" width="12.7109375" style="115" bestFit="1" customWidth="1"/>
    <col min="13838" max="13843" width="9.140625" style="115"/>
    <col min="13844" max="13844" width="22.140625" style="115" bestFit="1" customWidth="1"/>
    <col min="13845" max="13845" width="4.7109375" style="115" bestFit="1" customWidth="1"/>
    <col min="13846" max="14090" width="9.140625" style="115"/>
    <col min="14091" max="14091" width="22.140625" style="115" bestFit="1" customWidth="1"/>
    <col min="14092" max="14092" width="6.7109375" style="115" bestFit="1" customWidth="1"/>
    <col min="14093" max="14093" width="12.7109375" style="115" bestFit="1" customWidth="1"/>
    <col min="14094" max="14099" width="9.140625" style="115"/>
    <col min="14100" max="14100" width="22.140625" style="115" bestFit="1" customWidth="1"/>
    <col min="14101" max="14101" width="4.7109375" style="115" bestFit="1" customWidth="1"/>
    <col min="14102" max="14346" width="9.140625" style="115"/>
    <col min="14347" max="14347" width="22.140625" style="115" bestFit="1" customWidth="1"/>
    <col min="14348" max="14348" width="6.7109375" style="115" bestFit="1" customWidth="1"/>
    <col min="14349" max="14349" width="12.7109375" style="115" bestFit="1" customWidth="1"/>
    <col min="14350" max="14355" width="9.140625" style="115"/>
    <col min="14356" max="14356" width="22.140625" style="115" bestFit="1" customWidth="1"/>
    <col min="14357" max="14357" width="4.7109375" style="115" bestFit="1" customWidth="1"/>
    <col min="14358" max="14602" width="9.140625" style="115"/>
    <col min="14603" max="14603" width="22.140625" style="115" bestFit="1" customWidth="1"/>
    <col min="14604" max="14604" width="6.7109375" style="115" bestFit="1" customWidth="1"/>
    <col min="14605" max="14605" width="12.7109375" style="115" bestFit="1" customWidth="1"/>
    <col min="14606" max="14611" width="9.140625" style="115"/>
    <col min="14612" max="14612" width="22.140625" style="115" bestFit="1" customWidth="1"/>
    <col min="14613" max="14613" width="4.7109375" style="115" bestFit="1" customWidth="1"/>
    <col min="14614" max="14858" width="9.140625" style="115"/>
    <col min="14859" max="14859" width="22.140625" style="115" bestFit="1" customWidth="1"/>
    <col min="14860" max="14860" width="6.7109375" style="115" bestFit="1" customWidth="1"/>
    <col min="14861" max="14861" width="12.7109375" style="115" bestFit="1" customWidth="1"/>
    <col min="14862" max="14867" width="9.140625" style="115"/>
    <col min="14868" max="14868" width="22.140625" style="115" bestFit="1" customWidth="1"/>
    <col min="14869" max="14869" width="4.7109375" style="115" bestFit="1" customWidth="1"/>
    <col min="14870" max="15114" width="9.140625" style="115"/>
    <col min="15115" max="15115" width="22.140625" style="115" bestFit="1" customWidth="1"/>
    <col min="15116" max="15116" width="6.7109375" style="115" bestFit="1" customWidth="1"/>
    <col min="15117" max="15117" width="12.7109375" style="115" bestFit="1" customWidth="1"/>
    <col min="15118" max="15123" width="9.140625" style="115"/>
    <col min="15124" max="15124" width="22.140625" style="115" bestFit="1" customWidth="1"/>
    <col min="15125" max="15125" width="4.7109375" style="115" bestFit="1" customWidth="1"/>
    <col min="15126" max="15370" width="9.140625" style="115"/>
    <col min="15371" max="15371" width="22.140625" style="115" bestFit="1" customWidth="1"/>
    <col min="15372" max="15372" width="6.7109375" style="115" bestFit="1" customWidth="1"/>
    <col min="15373" max="15373" width="12.7109375" style="115" bestFit="1" customWidth="1"/>
    <col min="15374" max="15379" width="9.140625" style="115"/>
    <col min="15380" max="15380" width="22.140625" style="115" bestFit="1" customWidth="1"/>
    <col min="15381" max="15381" width="4.7109375" style="115" bestFit="1" customWidth="1"/>
    <col min="15382" max="15626" width="9.140625" style="115"/>
    <col min="15627" max="15627" width="22.140625" style="115" bestFit="1" customWidth="1"/>
    <col min="15628" max="15628" width="6.7109375" style="115" bestFit="1" customWidth="1"/>
    <col min="15629" max="15629" width="12.7109375" style="115" bestFit="1" customWidth="1"/>
    <col min="15630" max="15635" width="9.140625" style="115"/>
    <col min="15636" max="15636" width="22.140625" style="115" bestFit="1" customWidth="1"/>
    <col min="15637" max="15637" width="4.7109375" style="115" bestFit="1" customWidth="1"/>
    <col min="15638" max="15882" width="9.140625" style="115"/>
    <col min="15883" max="15883" width="22.140625" style="115" bestFit="1" customWidth="1"/>
    <col min="15884" max="15884" width="6.7109375" style="115" bestFit="1" customWidth="1"/>
    <col min="15885" max="15885" width="12.7109375" style="115" bestFit="1" customWidth="1"/>
    <col min="15886" max="15891" width="9.140625" style="115"/>
    <col min="15892" max="15892" width="22.140625" style="115" bestFit="1" customWidth="1"/>
    <col min="15893" max="15893" width="4.7109375" style="115" bestFit="1" customWidth="1"/>
    <col min="15894" max="16138" width="9.140625" style="115"/>
    <col min="16139" max="16139" width="22.140625" style="115" bestFit="1" customWidth="1"/>
    <col min="16140" max="16140" width="6.7109375" style="115" bestFit="1" customWidth="1"/>
    <col min="16141" max="16141" width="12.7109375" style="115" bestFit="1" customWidth="1"/>
    <col min="16142" max="16147" width="9.140625" style="115"/>
    <col min="16148" max="16148" width="22.140625" style="115" bestFit="1" customWidth="1"/>
    <col min="16149" max="16149" width="4.7109375" style="115" bestFit="1" customWidth="1"/>
    <col min="16150" max="16378" width="9.140625" style="115"/>
    <col min="16379" max="16380" width="9.140625" style="115" customWidth="1"/>
    <col min="16381" max="16384" width="9.140625" style="115"/>
  </cols>
  <sheetData>
    <row r="2" spans="2:8" ht="13.5" thickBot="1" x14ac:dyDescent="0.25"/>
    <row r="3" spans="2:8" ht="13.5" thickBot="1" x14ac:dyDescent="0.25">
      <c r="C3" s="1819" t="s">
        <v>554</v>
      </c>
      <c r="D3" s="1820"/>
      <c r="E3" s="1820"/>
      <c r="F3" s="1820"/>
      <c r="G3" s="1820"/>
      <c r="H3" s="1821"/>
    </row>
    <row r="4" spans="2:8" ht="38.25" x14ac:dyDescent="0.2">
      <c r="C4" s="715"/>
      <c r="D4" s="714" t="s">
        <v>553</v>
      </c>
      <c r="E4" s="713" t="s">
        <v>552</v>
      </c>
      <c r="F4" s="712" t="s">
        <v>331</v>
      </c>
      <c r="G4" s="711" t="s">
        <v>334</v>
      </c>
      <c r="H4" s="710" t="s">
        <v>458</v>
      </c>
    </row>
    <row r="5" spans="2:8" x14ac:dyDescent="0.2">
      <c r="C5" s="709"/>
      <c r="D5" s="708">
        <v>15</v>
      </c>
      <c r="E5" s="115">
        <v>30</v>
      </c>
      <c r="F5" s="223"/>
      <c r="G5" s="707"/>
      <c r="H5" s="706"/>
    </row>
    <row r="6" spans="2:8" ht="15" x14ac:dyDescent="0.2">
      <c r="B6" s="454">
        <v>1</v>
      </c>
      <c r="C6" s="666" t="str">
        <f>IF(INDEX('Master Lookup'!$B$331:$B$334,B6)=0,"",INDEX('Master Lookup'!$B$331:$B$334,B6))</f>
        <v>Management</v>
      </c>
      <c r="F6" s="379">
        <f>IFERROR(INDEX('Master Lookup FY26'!D331:D332,MATCH(C6,'Master Lookup FY26'!B331:B332,0)),"")</f>
        <v>81486.911999999997</v>
      </c>
      <c r="G6" s="705">
        <f>IFERROR(INDEX('Master Lookup'!$E$331:$E$334,MATCH(C6,'Master Lookup'!$B$331:$B$334,0)),"")</f>
        <v>0.25</v>
      </c>
      <c r="H6" s="693">
        <f>IFERROR(F6*G6,0)</f>
        <v>20371.727999999999</v>
      </c>
    </row>
    <row r="7" spans="2:8" ht="15" x14ac:dyDescent="0.2">
      <c r="B7" s="454">
        <v>2</v>
      </c>
      <c r="C7" s="666" t="str">
        <f>IF(INDEX('Master Lookup'!$B$331:$B$334,B7)=0,"",INDEX('Master Lookup'!$B$331:$B$334,B7))</f>
        <v>Case Worker</v>
      </c>
      <c r="F7" s="379">
        <f>IFERROR(INDEX('Master Lookup FY26'!D332:D333,MATCH(C7,'Master Lookup FY26'!B332:B333,0)),"")</f>
        <v>66537.12000000001</v>
      </c>
      <c r="G7" s="705">
        <f>IFERROR(INDEX('Master Lookup'!$E$331:$E$334,MATCH(C7,'Master Lookup'!$B$331:$B$334,0)),"")</f>
        <v>2</v>
      </c>
      <c r="H7" s="693">
        <f>IFERROR(F7*G7,0)</f>
        <v>133074.24000000002</v>
      </c>
    </row>
    <row r="8" spans="2:8" ht="15" hidden="1" x14ac:dyDescent="0.2">
      <c r="B8" s="454">
        <v>3</v>
      </c>
      <c r="C8" s="665" t="str">
        <f>IF(INDEX('Master Lookup'!$B$331:$B$334,B8)=0,"",INDEX('Master Lookup'!$B$331:$B$334,B8))</f>
        <v/>
      </c>
      <c r="D8" s="692"/>
      <c r="E8" s="692"/>
      <c r="F8" s="386" t="str">
        <f>IFERROR(INDEX('Master Lookup'!$D$331:$D$334,MATCH(C8,'Master Lookup'!$B$300:$B$307,0)),"")</f>
        <v/>
      </c>
      <c r="G8" s="704" t="str">
        <f>IFERROR(INDEX('Master Lookup'!$E$331:$E$334,MATCH(C8,'Master Lookup'!$B$331:$B$334,0)),"")</f>
        <v/>
      </c>
      <c r="H8" s="703">
        <f>IFERROR(F8*G8,0)</f>
        <v>0</v>
      </c>
    </row>
    <row r="9" spans="2:8" ht="15" hidden="1" x14ac:dyDescent="0.2">
      <c r="B9" s="454">
        <v>4</v>
      </c>
      <c r="C9" s="665" t="str">
        <f>IF(INDEX('Master Lookup'!$B$331:$B$334,B9)=0,"",INDEX('Master Lookup'!$B$331:$B$334,B9))</f>
        <v/>
      </c>
      <c r="D9" s="692"/>
      <c r="E9" s="692"/>
      <c r="F9" s="386" t="str">
        <f>IFERROR(INDEX('Master Lookup'!$D$331:$D$334,MATCH(C9,'Master Lookup'!$B$300:$B$307,0)),"")</f>
        <v/>
      </c>
      <c r="G9" s="704" t="str">
        <f>IFERROR(INDEX('Master Lookup'!$E$331:$E$334,MATCH(C9,'Master Lookup'!$B$331:$B$334,0)),"")</f>
        <v/>
      </c>
      <c r="H9" s="703">
        <f>IFERROR(F9*G9,0)</f>
        <v>0</v>
      </c>
    </row>
    <row r="10" spans="2:8" x14ac:dyDescent="0.2">
      <c r="C10" s="702" t="s">
        <v>457</v>
      </c>
      <c r="D10" s="688"/>
      <c r="E10" s="688"/>
      <c r="F10" s="688"/>
      <c r="G10" s="701">
        <f>SUM(G6:G9)</f>
        <v>2.25</v>
      </c>
      <c r="H10" s="699">
        <f>SUM(H6:H9)</f>
        <v>153445.96800000002</v>
      </c>
    </row>
    <row r="11" spans="2:8" ht="15" x14ac:dyDescent="0.25">
      <c r="C11" s="671" t="s">
        <v>322</v>
      </c>
      <c r="D11" s="688"/>
      <c r="E11" s="688"/>
      <c r="F11" s="688"/>
      <c r="G11" s="530">
        <f>'Master Lookup FY26'!C498</f>
        <v>0.24970000000000001</v>
      </c>
      <c r="H11" s="700">
        <f>H10*G11</f>
        <v>38315.458209600009</v>
      </c>
    </row>
    <row r="12" spans="2:8" ht="15" x14ac:dyDescent="0.25">
      <c r="C12" s="663" t="s">
        <v>550</v>
      </c>
      <c r="D12" s="688"/>
      <c r="E12" s="688"/>
      <c r="F12" s="688"/>
      <c r="G12" s="688"/>
      <c r="H12" s="699">
        <f>SUM(H10:H11)</f>
        <v>191761.42620960003</v>
      </c>
    </row>
    <row r="13" spans="2:8" x14ac:dyDescent="0.2">
      <c r="C13" s="698"/>
      <c r="D13" s="688"/>
      <c r="E13" s="688"/>
      <c r="F13" s="688"/>
      <c r="G13" s="688"/>
      <c r="H13" s="697"/>
    </row>
    <row r="14" spans="2:8" ht="15" x14ac:dyDescent="0.25">
      <c r="C14" s="696" t="s">
        <v>326</v>
      </c>
      <c r="D14" s="686"/>
      <c r="E14" s="686"/>
      <c r="F14" s="686"/>
      <c r="G14" s="686"/>
      <c r="H14" s="695"/>
    </row>
    <row r="15" spans="2:8" ht="15" x14ac:dyDescent="0.2">
      <c r="B15" s="454">
        <v>1</v>
      </c>
      <c r="C15" s="666" t="str">
        <f>IF(INDEX('Master Lookup'!$B$338:$B$343,B15)=0,"",INDEX('Master Lookup'!$B$338:$B$343,B15))</f>
        <v>Non Staff Direct Exp.</v>
      </c>
      <c r="F15" s="379">
        <f>IFERROR(INDEX('Master Lookup FY26'!C338:C340,MATCH(C15,'Master Lookup FY26'!B338:B340,0)),"")</f>
        <v>44761.017999999996</v>
      </c>
      <c r="H15" s="694">
        <f>F15</f>
        <v>44761.017999999996</v>
      </c>
    </row>
    <row r="16" spans="2:8" ht="15" x14ac:dyDescent="0.2">
      <c r="B16" s="454">
        <v>2</v>
      </c>
      <c r="C16" s="666" t="str">
        <f>IF(INDEX('Master Lookup'!$B$338:$B$343,B16)=0,"",INDEX('Master Lookup'!$B$338:$B$343,B16))</f>
        <v>Specialty Consulations</v>
      </c>
      <c r="F16" s="379">
        <f>IFERROR(INDEX('Master Lookup FY26'!C339:C341,MATCH(C16,'Master Lookup FY26'!B339:B341,0)),"")</f>
        <v>22082.649999999998</v>
      </c>
      <c r="H16" s="694">
        <f>F16</f>
        <v>22082.649999999998</v>
      </c>
    </row>
    <row r="17" spans="2:9" ht="15" x14ac:dyDescent="0.2">
      <c r="B17" s="454">
        <v>3</v>
      </c>
      <c r="C17" s="666" t="str">
        <f>IF(INDEX('Master Lookup'!$B$338:$B$343,B17)=0,"",INDEX('Master Lookup'!$B$338:$B$343,B17))</f>
        <v>Flex Spending</v>
      </c>
      <c r="F17" s="379">
        <f>IFERROR(INDEX('Master Lookup FY26'!C340:C342,MATCH(C17,'Master Lookup FY26'!B340:B342,0)),"")</f>
        <v>1000</v>
      </c>
      <c r="H17" s="693">
        <f>G7*F17</f>
        <v>2000</v>
      </c>
    </row>
    <row r="18" spans="2:9" ht="15" hidden="1" x14ac:dyDescent="0.2">
      <c r="B18" s="454">
        <v>4</v>
      </c>
      <c r="C18" s="665" t="str">
        <f>IF(INDEX('Master Lookup'!$B$338:$B$343,B18)=0,"",INDEX('Master Lookup'!$B$338:$B$343,B18))</f>
        <v/>
      </c>
      <c r="D18" s="692"/>
      <c r="E18" s="692"/>
      <c r="F18" s="386" t="str">
        <f>IFERROR(INDEX('Master Lookup'!$C$338:$C$343,MATCH(C18,'Master Lookup'!$B$338:$B$343,0)),"")</f>
        <v/>
      </c>
      <c r="G18" s="692"/>
      <c r="H18" s="691"/>
    </row>
    <row r="19" spans="2:9" ht="15" hidden="1" x14ac:dyDescent="0.2">
      <c r="B19" s="454">
        <v>5</v>
      </c>
      <c r="C19" s="665" t="str">
        <f>IF(INDEX('Master Lookup'!$B$338:$B$343,B19)=0,"",INDEX('Master Lookup'!$B$338:$B$343,B19))</f>
        <v/>
      </c>
      <c r="D19" s="692"/>
      <c r="E19" s="692"/>
      <c r="F19" s="386" t="str">
        <f>IFERROR(INDEX('Master Lookup'!$C$338:$C$343,MATCH(C19,'Master Lookup'!$B$338:$B$343,0)),"")</f>
        <v/>
      </c>
      <c r="G19" s="692"/>
      <c r="H19" s="691"/>
    </row>
    <row r="20" spans="2:9" ht="15" x14ac:dyDescent="0.25">
      <c r="C20" s="663" t="s">
        <v>492</v>
      </c>
      <c r="D20" s="688"/>
      <c r="E20" s="688"/>
      <c r="F20" s="688"/>
      <c r="G20" s="688"/>
      <c r="H20" s="687">
        <f>SUM(H15:H19)</f>
        <v>68843.667999999991</v>
      </c>
    </row>
    <row r="21" spans="2:9" ht="15.75" x14ac:dyDescent="0.25">
      <c r="C21" s="690"/>
      <c r="H21" s="689"/>
    </row>
    <row r="22" spans="2:9" ht="30" x14ac:dyDescent="0.25">
      <c r="C22" s="372" t="s">
        <v>491</v>
      </c>
      <c r="D22" s="688"/>
      <c r="E22" s="688"/>
      <c r="F22" s="688"/>
      <c r="G22" s="688"/>
      <c r="H22" s="687">
        <f>SUM(H20,H12)</f>
        <v>260605.09420960001</v>
      </c>
    </row>
    <row r="23" spans="2:9" ht="15" x14ac:dyDescent="0.25">
      <c r="C23" s="659" t="s">
        <v>320</v>
      </c>
      <c r="D23" s="686"/>
      <c r="E23" s="686"/>
      <c r="F23" s="686"/>
      <c r="G23" s="495">
        <f>INDEX('Master Lookup FY26'!C345:C347,MATCH(C23,'Master Lookup FY26'!B345:B347,0))</f>
        <v>0.12</v>
      </c>
      <c r="H23" s="685">
        <f>H22*G23</f>
        <v>31272.611305152001</v>
      </c>
    </row>
    <row r="24" spans="2:9" ht="15" x14ac:dyDescent="0.25">
      <c r="C24" s="657" t="s">
        <v>321</v>
      </c>
      <c r="D24" s="684"/>
      <c r="E24" s="684"/>
      <c r="F24" s="684"/>
      <c r="G24" s="491">
        <f>INDEX('Master Lookup FY26'!C346:C348,MATCH(C24,'Master Lookup FY26'!B346:B348,0))</f>
        <v>2.5282070971092779E-2</v>
      </c>
      <c r="H24" s="683">
        <f>G24*(H22+H23)</f>
        <v>7379.2728657036787</v>
      </c>
    </row>
    <row r="25" spans="2:9" ht="15" x14ac:dyDescent="0.25">
      <c r="C25" s="298" t="s">
        <v>453</v>
      </c>
      <c r="H25" s="682">
        <f>SUM(H22:H24)</f>
        <v>299256.97838045569</v>
      </c>
    </row>
    <row r="26" spans="2:9" ht="13.5" thickBot="1" x14ac:dyDescent="0.25">
      <c r="C26" s="681" t="s">
        <v>551</v>
      </c>
      <c r="D26" s="112"/>
      <c r="E26" s="112"/>
      <c r="F26" s="112"/>
      <c r="G26" s="112"/>
      <c r="H26" s="1122">
        <f>H25/E5/365</f>
        <v>27.329404418306456</v>
      </c>
      <c r="I26" s="1499" t="s">
        <v>798</v>
      </c>
    </row>
    <row r="27" spans="2:9" x14ac:dyDescent="0.2">
      <c r="G27" s="115" t="s">
        <v>718</v>
      </c>
      <c r="H27" s="680">
        <v>25.39</v>
      </c>
    </row>
    <row r="28" spans="2:9" x14ac:dyDescent="0.2">
      <c r="G28" s="115" t="s">
        <v>602</v>
      </c>
      <c r="H28" s="344">
        <f>(H26-H27)/H27</f>
        <v>7.6384577325973049E-2</v>
      </c>
    </row>
  </sheetData>
  <mergeCells count="1">
    <mergeCell ref="C3:H3"/>
  </mergeCells>
  <pageMargins left="0.75" right="0.75" top="1" bottom="1" header="0.5" footer="0.5"/>
  <pageSetup scale="77" orientation="landscape" r:id="rId1"/>
  <headerFooter alignWithMargins="0">
    <oddHeader>&amp;F</oddHeader>
    <oddFooter>&amp;L&amp;"Arial,Bold"DRAFT&amp;RPage 11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6603D-A5BF-418D-8830-337D3BC60F60}">
  <sheetPr>
    <pageSetUpPr fitToPage="1"/>
  </sheetPr>
  <dimension ref="B1:G36"/>
  <sheetViews>
    <sheetView zoomScaleNormal="100" workbookViewId="0">
      <selection activeCell="J37" sqref="J37"/>
    </sheetView>
  </sheetViews>
  <sheetFormatPr defaultRowHeight="12.75" x14ac:dyDescent="0.2"/>
  <cols>
    <col min="1" max="1" width="6.28515625" style="115" customWidth="1"/>
    <col min="2" max="2" width="3.140625" style="115" customWidth="1"/>
    <col min="3" max="3" width="34.42578125" style="115" bestFit="1" customWidth="1"/>
    <col min="4" max="4" width="12.7109375" style="115" bestFit="1" customWidth="1"/>
    <col min="5" max="5" width="7.42578125" style="115" bestFit="1" customWidth="1"/>
    <col min="6" max="6" width="6.7109375" style="115" bestFit="1" customWidth="1"/>
    <col min="7" max="7" width="10.85546875" style="115" bestFit="1" customWidth="1"/>
    <col min="8" max="236" width="9.140625" style="115"/>
    <col min="237" max="237" width="19.7109375" style="115" bestFit="1" customWidth="1"/>
    <col min="238" max="238" width="9.140625" style="115"/>
    <col min="239" max="239" width="12.7109375" style="115" bestFit="1" customWidth="1"/>
    <col min="240" max="492" width="9.140625" style="115"/>
    <col min="493" max="493" width="19.7109375" style="115" bestFit="1" customWidth="1"/>
    <col min="494" max="494" width="9.140625" style="115"/>
    <col min="495" max="495" width="12.7109375" style="115" bestFit="1" customWidth="1"/>
    <col min="496" max="748" width="9.140625" style="115"/>
    <col min="749" max="749" width="19.7109375" style="115" bestFit="1" customWidth="1"/>
    <col min="750" max="750" width="9.140625" style="115"/>
    <col min="751" max="751" width="12.7109375" style="115" bestFit="1" customWidth="1"/>
    <col min="752" max="1004" width="9.140625" style="115"/>
    <col min="1005" max="1005" width="19.7109375" style="115" bestFit="1" customWidth="1"/>
    <col min="1006" max="1006" width="9.140625" style="115"/>
    <col min="1007" max="1007" width="12.7109375" style="115" bestFit="1" customWidth="1"/>
    <col min="1008" max="1260" width="9.140625" style="115"/>
    <col min="1261" max="1261" width="19.7109375" style="115" bestFit="1" customWidth="1"/>
    <col min="1262" max="1262" width="9.140625" style="115"/>
    <col min="1263" max="1263" width="12.7109375" style="115" bestFit="1" customWidth="1"/>
    <col min="1264" max="1516" width="9.140625" style="115"/>
    <col min="1517" max="1517" width="19.7109375" style="115" bestFit="1" customWidth="1"/>
    <col min="1518" max="1518" width="9.140625" style="115"/>
    <col min="1519" max="1519" width="12.7109375" style="115" bestFit="1" customWidth="1"/>
    <col min="1520" max="1772" width="9.140625" style="115"/>
    <col min="1773" max="1773" width="19.7109375" style="115" bestFit="1" customWidth="1"/>
    <col min="1774" max="1774" width="9.140625" style="115"/>
    <col min="1775" max="1775" width="12.7109375" style="115" bestFit="1" customWidth="1"/>
    <col min="1776" max="2028" width="9.140625" style="115"/>
    <col min="2029" max="2029" width="19.7109375" style="115" bestFit="1" customWidth="1"/>
    <col min="2030" max="2030" width="9.140625" style="115"/>
    <col min="2031" max="2031" width="12.7109375" style="115" bestFit="1" customWidth="1"/>
    <col min="2032" max="2284" width="9.140625" style="115"/>
    <col min="2285" max="2285" width="19.7109375" style="115" bestFit="1" customWidth="1"/>
    <col min="2286" max="2286" width="9.140625" style="115"/>
    <col min="2287" max="2287" width="12.7109375" style="115" bestFit="1" customWidth="1"/>
    <col min="2288" max="2540" width="9.140625" style="115"/>
    <col min="2541" max="2541" width="19.7109375" style="115" bestFit="1" customWidth="1"/>
    <col min="2542" max="2542" width="9.140625" style="115"/>
    <col min="2543" max="2543" width="12.7109375" style="115" bestFit="1" customWidth="1"/>
    <col min="2544" max="2796" width="9.140625" style="115"/>
    <col min="2797" max="2797" width="19.7109375" style="115" bestFit="1" customWidth="1"/>
    <col min="2798" max="2798" width="9.140625" style="115"/>
    <col min="2799" max="2799" width="12.7109375" style="115" bestFit="1" customWidth="1"/>
    <col min="2800" max="3052" width="9.140625" style="115"/>
    <col min="3053" max="3053" width="19.7109375" style="115" bestFit="1" customWidth="1"/>
    <col min="3054" max="3054" width="9.140625" style="115"/>
    <col min="3055" max="3055" width="12.7109375" style="115" bestFit="1" customWidth="1"/>
    <col min="3056" max="3308" width="9.140625" style="115"/>
    <col min="3309" max="3309" width="19.7109375" style="115" bestFit="1" customWidth="1"/>
    <col min="3310" max="3310" width="9.140625" style="115"/>
    <col min="3311" max="3311" width="12.7109375" style="115" bestFit="1" customWidth="1"/>
    <col min="3312" max="3564" width="9.140625" style="115"/>
    <col min="3565" max="3565" width="19.7109375" style="115" bestFit="1" customWidth="1"/>
    <col min="3566" max="3566" width="9.140625" style="115"/>
    <col min="3567" max="3567" width="12.7109375" style="115" bestFit="1" customWidth="1"/>
    <col min="3568" max="3820" width="9.140625" style="115"/>
    <col min="3821" max="3821" width="19.7109375" style="115" bestFit="1" customWidth="1"/>
    <col min="3822" max="3822" width="9.140625" style="115"/>
    <col min="3823" max="3823" width="12.7109375" style="115" bestFit="1" customWidth="1"/>
    <col min="3824" max="4076" width="9.140625" style="115"/>
    <col min="4077" max="4077" width="19.7109375" style="115" bestFit="1" customWidth="1"/>
    <col min="4078" max="4078" width="9.140625" style="115"/>
    <col min="4079" max="4079" width="12.7109375" style="115" bestFit="1" customWidth="1"/>
    <col min="4080" max="4332" width="9.140625" style="115"/>
    <col min="4333" max="4333" width="19.7109375" style="115" bestFit="1" customWidth="1"/>
    <col min="4334" max="4334" width="9.140625" style="115"/>
    <col min="4335" max="4335" width="12.7109375" style="115" bestFit="1" customWidth="1"/>
    <col min="4336" max="4588" width="9.140625" style="115"/>
    <col min="4589" max="4589" width="19.7109375" style="115" bestFit="1" customWidth="1"/>
    <col min="4590" max="4590" width="9.140625" style="115"/>
    <col min="4591" max="4591" width="12.7109375" style="115" bestFit="1" customWidth="1"/>
    <col min="4592" max="4844" width="9.140625" style="115"/>
    <col min="4845" max="4845" width="19.7109375" style="115" bestFit="1" customWidth="1"/>
    <col min="4846" max="4846" width="9.140625" style="115"/>
    <col min="4847" max="4847" width="12.7109375" style="115" bestFit="1" customWidth="1"/>
    <col min="4848" max="5100" width="9.140625" style="115"/>
    <col min="5101" max="5101" width="19.7109375" style="115" bestFit="1" customWidth="1"/>
    <col min="5102" max="5102" width="9.140625" style="115"/>
    <col min="5103" max="5103" width="12.7109375" style="115" bestFit="1" customWidth="1"/>
    <col min="5104" max="5356" width="9.140625" style="115"/>
    <col min="5357" max="5357" width="19.7109375" style="115" bestFit="1" customWidth="1"/>
    <col min="5358" max="5358" width="9.140625" style="115"/>
    <col min="5359" max="5359" width="12.7109375" style="115" bestFit="1" customWidth="1"/>
    <col min="5360" max="5612" width="9.140625" style="115"/>
    <col min="5613" max="5613" width="19.7109375" style="115" bestFit="1" customWidth="1"/>
    <col min="5614" max="5614" width="9.140625" style="115"/>
    <col min="5615" max="5615" width="12.7109375" style="115" bestFit="1" customWidth="1"/>
    <col min="5616" max="5868" width="9.140625" style="115"/>
    <col min="5869" max="5869" width="19.7109375" style="115" bestFit="1" customWidth="1"/>
    <col min="5870" max="5870" width="9.140625" style="115"/>
    <col min="5871" max="5871" width="12.7109375" style="115" bestFit="1" customWidth="1"/>
    <col min="5872" max="6124" width="9.140625" style="115"/>
    <col min="6125" max="6125" width="19.7109375" style="115" bestFit="1" customWidth="1"/>
    <col min="6126" max="6126" width="9.140625" style="115"/>
    <col min="6127" max="6127" width="12.7109375" style="115" bestFit="1" customWidth="1"/>
    <col min="6128" max="6380" width="9.140625" style="115"/>
    <col min="6381" max="6381" width="19.7109375" style="115" bestFit="1" customWidth="1"/>
    <col min="6382" max="6382" width="9.140625" style="115"/>
    <col min="6383" max="6383" width="12.7109375" style="115" bestFit="1" customWidth="1"/>
    <col min="6384" max="6636" width="9.140625" style="115"/>
    <col min="6637" max="6637" width="19.7109375" style="115" bestFit="1" customWidth="1"/>
    <col min="6638" max="6638" width="9.140625" style="115"/>
    <col min="6639" max="6639" width="12.7109375" style="115" bestFit="1" customWidth="1"/>
    <col min="6640" max="6892" width="9.140625" style="115"/>
    <col min="6893" max="6893" width="19.7109375" style="115" bestFit="1" customWidth="1"/>
    <col min="6894" max="6894" width="9.140625" style="115"/>
    <col min="6895" max="6895" width="12.7109375" style="115" bestFit="1" customWidth="1"/>
    <col min="6896" max="7148" width="9.140625" style="115"/>
    <col min="7149" max="7149" width="19.7109375" style="115" bestFit="1" customWidth="1"/>
    <col min="7150" max="7150" width="9.140625" style="115"/>
    <col min="7151" max="7151" width="12.7109375" style="115" bestFit="1" customWidth="1"/>
    <col min="7152" max="7404" width="9.140625" style="115"/>
    <col min="7405" max="7405" width="19.7109375" style="115" bestFit="1" customWidth="1"/>
    <col min="7406" max="7406" width="9.140625" style="115"/>
    <col min="7407" max="7407" width="12.7109375" style="115" bestFit="1" customWidth="1"/>
    <col min="7408" max="7660" width="9.140625" style="115"/>
    <col min="7661" max="7661" width="19.7109375" style="115" bestFit="1" customWidth="1"/>
    <col min="7662" max="7662" width="9.140625" style="115"/>
    <col min="7663" max="7663" width="12.7109375" style="115" bestFit="1" customWidth="1"/>
    <col min="7664" max="7916" width="9.140625" style="115"/>
    <col min="7917" max="7917" width="19.7109375" style="115" bestFit="1" customWidth="1"/>
    <col min="7918" max="7918" width="9.140625" style="115"/>
    <col min="7919" max="7919" width="12.7109375" style="115" bestFit="1" customWidth="1"/>
    <col min="7920" max="8172" width="9.140625" style="115"/>
    <col min="8173" max="8173" width="19.7109375" style="115" bestFit="1" customWidth="1"/>
    <col min="8174" max="8174" width="9.140625" style="115"/>
    <col min="8175" max="8175" width="12.7109375" style="115" bestFit="1" customWidth="1"/>
    <col min="8176" max="8428" width="9.140625" style="115"/>
    <col min="8429" max="8429" width="19.7109375" style="115" bestFit="1" customWidth="1"/>
    <col min="8430" max="8430" width="9.140625" style="115"/>
    <col min="8431" max="8431" width="12.7109375" style="115" bestFit="1" customWidth="1"/>
    <col min="8432" max="8684" width="9.140625" style="115"/>
    <col min="8685" max="8685" width="19.7109375" style="115" bestFit="1" customWidth="1"/>
    <col min="8686" max="8686" width="9.140625" style="115"/>
    <col min="8687" max="8687" width="12.7109375" style="115" bestFit="1" customWidth="1"/>
    <col min="8688" max="8940" width="9.140625" style="115"/>
    <col min="8941" max="8941" width="19.7109375" style="115" bestFit="1" customWidth="1"/>
    <col min="8942" max="8942" width="9.140625" style="115"/>
    <col min="8943" max="8943" width="12.7109375" style="115" bestFit="1" customWidth="1"/>
    <col min="8944" max="9196" width="9.140625" style="115"/>
    <col min="9197" max="9197" width="19.7109375" style="115" bestFit="1" customWidth="1"/>
    <col min="9198" max="9198" width="9.140625" style="115"/>
    <col min="9199" max="9199" width="12.7109375" style="115" bestFit="1" customWidth="1"/>
    <col min="9200" max="9452" width="9.140625" style="115"/>
    <col min="9453" max="9453" width="19.7109375" style="115" bestFit="1" customWidth="1"/>
    <col min="9454" max="9454" width="9.140625" style="115"/>
    <col min="9455" max="9455" width="12.7109375" style="115" bestFit="1" customWidth="1"/>
    <col min="9456" max="9708" width="9.140625" style="115"/>
    <col min="9709" max="9709" width="19.7109375" style="115" bestFit="1" customWidth="1"/>
    <col min="9710" max="9710" width="9.140625" style="115"/>
    <col min="9711" max="9711" width="12.7109375" style="115" bestFit="1" customWidth="1"/>
    <col min="9712" max="9964" width="9.140625" style="115"/>
    <col min="9965" max="9965" width="19.7109375" style="115" bestFit="1" customWidth="1"/>
    <col min="9966" max="9966" width="9.140625" style="115"/>
    <col min="9967" max="9967" width="12.7109375" style="115" bestFit="1" customWidth="1"/>
    <col min="9968" max="10220" width="9.140625" style="115"/>
    <col min="10221" max="10221" width="19.7109375" style="115" bestFit="1" customWidth="1"/>
    <col min="10222" max="10222" width="9.140625" style="115"/>
    <col min="10223" max="10223" width="12.7109375" style="115" bestFit="1" customWidth="1"/>
    <col min="10224" max="10476" width="9.140625" style="115"/>
    <col min="10477" max="10477" width="19.7109375" style="115" bestFit="1" customWidth="1"/>
    <col min="10478" max="10478" width="9.140625" style="115"/>
    <col min="10479" max="10479" width="12.7109375" style="115" bestFit="1" customWidth="1"/>
    <col min="10480" max="10732" width="9.140625" style="115"/>
    <col min="10733" max="10733" width="19.7109375" style="115" bestFit="1" customWidth="1"/>
    <col min="10734" max="10734" width="9.140625" style="115"/>
    <col min="10735" max="10735" width="12.7109375" style="115" bestFit="1" customWidth="1"/>
    <col min="10736" max="10988" width="9.140625" style="115"/>
    <col min="10989" max="10989" width="19.7109375" style="115" bestFit="1" customWidth="1"/>
    <col min="10990" max="10990" width="9.140625" style="115"/>
    <col min="10991" max="10991" width="12.7109375" style="115" bestFit="1" customWidth="1"/>
    <col min="10992" max="11244" width="9.140625" style="115"/>
    <col min="11245" max="11245" width="19.7109375" style="115" bestFit="1" customWidth="1"/>
    <col min="11246" max="11246" width="9.140625" style="115"/>
    <col min="11247" max="11247" width="12.7109375" style="115" bestFit="1" customWidth="1"/>
    <col min="11248" max="11500" width="9.140625" style="115"/>
    <col min="11501" max="11501" width="19.7109375" style="115" bestFit="1" customWidth="1"/>
    <col min="11502" max="11502" width="9.140625" style="115"/>
    <col min="11503" max="11503" width="12.7109375" style="115" bestFit="1" customWidth="1"/>
    <col min="11504" max="11756" width="9.140625" style="115"/>
    <col min="11757" max="11757" width="19.7109375" style="115" bestFit="1" customWidth="1"/>
    <col min="11758" max="11758" width="9.140625" style="115"/>
    <col min="11759" max="11759" width="12.7109375" style="115" bestFit="1" customWidth="1"/>
    <col min="11760" max="12012" width="9.140625" style="115"/>
    <col min="12013" max="12013" width="19.7109375" style="115" bestFit="1" customWidth="1"/>
    <col min="12014" max="12014" width="9.140625" style="115"/>
    <col min="12015" max="12015" width="12.7109375" style="115" bestFit="1" customWidth="1"/>
    <col min="12016" max="12268" width="9.140625" style="115"/>
    <col min="12269" max="12269" width="19.7109375" style="115" bestFit="1" customWidth="1"/>
    <col min="12270" max="12270" width="9.140625" style="115"/>
    <col min="12271" max="12271" width="12.7109375" style="115" bestFit="1" customWidth="1"/>
    <col min="12272" max="12524" width="9.140625" style="115"/>
    <col min="12525" max="12525" width="19.7109375" style="115" bestFit="1" customWidth="1"/>
    <col min="12526" max="12526" width="9.140625" style="115"/>
    <col min="12527" max="12527" width="12.7109375" style="115" bestFit="1" customWidth="1"/>
    <col min="12528" max="12780" width="9.140625" style="115"/>
    <col min="12781" max="12781" width="19.7109375" style="115" bestFit="1" customWidth="1"/>
    <col min="12782" max="12782" width="9.140625" style="115"/>
    <col min="12783" max="12783" width="12.7109375" style="115" bestFit="1" customWidth="1"/>
    <col min="12784" max="13036" width="9.140625" style="115"/>
    <col min="13037" max="13037" width="19.7109375" style="115" bestFit="1" customWidth="1"/>
    <col min="13038" max="13038" width="9.140625" style="115"/>
    <col min="13039" max="13039" width="12.7109375" style="115" bestFit="1" customWidth="1"/>
    <col min="13040" max="13292" width="9.140625" style="115"/>
    <col min="13293" max="13293" width="19.7109375" style="115" bestFit="1" customWidth="1"/>
    <col min="13294" max="13294" width="9.140625" style="115"/>
    <col min="13295" max="13295" width="12.7109375" style="115" bestFit="1" customWidth="1"/>
    <col min="13296" max="13548" width="9.140625" style="115"/>
    <col min="13549" max="13549" width="19.7109375" style="115" bestFit="1" customWidth="1"/>
    <col min="13550" max="13550" width="9.140625" style="115"/>
    <col min="13551" max="13551" width="12.7109375" style="115" bestFit="1" customWidth="1"/>
    <col min="13552" max="13804" width="9.140625" style="115"/>
    <col min="13805" max="13805" width="19.7109375" style="115" bestFit="1" customWidth="1"/>
    <col min="13806" max="13806" width="9.140625" style="115"/>
    <col min="13807" max="13807" width="12.7109375" style="115" bestFit="1" customWidth="1"/>
    <col min="13808" max="14060" width="9.140625" style="115"/>
    <col min="14061" max="14061" width="19.7109375" style="115" bestFit="1" customWidth="1"/>
    <col min="14062" max="14062" width="9.140625" style="115"/>
    <col min="14063" max="14063" width="12.7109375" style="115" bestFit="1" customWidth="1"/>
    <col min="14064" max="14316" width="9.140625" style="115"/>
    <col min="14317" max="14317" width="19.7109375" style="115" bestFit="1" customWidth="1"/>
    <col min="14318" max="14318" width="9.140625" style="115"/>
    <col min="14319" max="14319" width="12.7109375" style="115" bestFit="1" customWidth="1"/>
    <col min="14320" max="14572" width="9.140625" style="115"/>
    <col min="14573" max="14573" width="19.7109375" style="115" bestFit="1" customWidth="1"/>
    <col min="14574" max="14574" width="9.140625" style="115"/>
    <col min="14575" max="14575" width="12.7109375" style="115" bestFit="1" customWidth="1"/>
    <col min="14576" max="14828" width="9.140625" style="115"/>
    <col min="14829" max="14829" width="19.7109375" style="115" bestFit="1" customWidth="1"/>
    <col min="14830" max="14830" width="9.140625" style="115"/>
    <col min="14831" max="14831" width="12.7109375" style="115" bestFit="1" customWidth="1"/>
    <col min="14832" max="15084" width="9.140625" style="115"/>
    <col min="15085" max="15085" width="19.7109375" style="115" bestFit="1" customWidth="1"/>
    <col min="15086" max="15086" width="9.140625" style="115"/>
    <col min="15087" max="15087" width="12.7109375" style="115" bestFit="1" customWidth="1"/>
    <col min="15088" max="15340" width="9.140625" style="115"/>
    <col min="15341" max="15341" width="19.7109375" style="115" bestFit="1" customWidth="1"/>
    <col min="15342" max="15342" width="9.140625" style="115"/>
    <col min="15343" max="15343" width="12.7109375" style="115" bestFit="1" customWidth="1"/>
    <col min="15344" max="15596" width="9.140625" style="115"/>
    <col min="15597" max="15597" width="19.7109375" style="115" bestFit="1" customWidth="1"/>
    <col min="15598" max="15598" width="9.140625" style="115"/>
    <col min="15599" max="15599" width="12.7109375" style="115" bestFit="1" customWidth="1"/>
    <col min="15600" max="15852" width="9.140625" style="115"/>
    <col min="15853" max="15853" width="19.7109375" style="115" bestFit="1" customWidth="1"/>
    <col min="15854" max="15854" width="9.140625" style="115"/>
    <col min="15855" max="15855" width="12.7109375" style="115" bestFit="1" customWidth="1"/>
    <col min="15856" max="16108" width="9.140625" style="115"/>
    <col min="16109" max="16109" width="19.7109375" style="115" bestFit="1" customWidth="1"/>
    <col min="16110" max="16110" width="9.140625" style="115"/>
    <col min="16111" max="16111" width="12.7109375" style="115" bestFit="1" customWidth="1"/>
    <col min="16112" max="16380" width="9.140625" style="115"/>
    <col min="16381" max="16383" width="9.140625" style="115" customWidth="1"/>
    <col min="16384" max="16384" width="9.140625" style="115"/>
  </cols>
  <sheetData>
    <row r="1" spans="2:7" ht="13.5" thickBot="1" x14ac:dyDescent="0.25"/>
    <row r="2" spans="2:7" ht="13.5" thickBot="1" x14ac:dyDescent="0.25">
      <c r="C2" s="1822" t="s">
        <v>250</v>
      </c>
      <c r="D2" s="1823"/>
      <c r="E2" s="1823"/>
      <c r="F2" s="1823"/>
      <c r="G2" s="1824"/>
    </row>
    <row r="3" spans="2:7" ht="25.5" x14ac:dyDescent="0.2">
      <c r="C3" s="741"/>
      <c r="D3" s="740" t="s">
        <v>396</v>
      </c>
      <c r="E3" s="739" t="s">
        <v>331</v>
      </c>
      <c r="F3" s="739" t="s">
        <v>334</v>
      </c>
      <c r="G3" s="738" t="s">
        <v>458</v>
      </c>
    </row>
    <row r="4" spans="2:7" ht="15" x14ac:dyDescent="0.25">
      <c r="B4" s="326">
        <v>1</v>
      </c>
      <c r="C4" s="666" t="str">
        <f>IF(INDEX('Master Lookup'!$B$240:$B$246,B4)=0,"",INDEX('Master Lookup'!$B$240:$B$246,B4))</f>
        <v>Management</v>
      </c>
      <c r="D4" s="736">
        <f>IFERROR(INDEX('Master Lookup'!$D$240:$D$246,MATCH(C4,'Master Lookup'!$B$240:$B$246,0)),"")</f>
        <v>580</v>
      </c>
      <c r="E4" s="737">
        <f>IFERROR(INDEX('Master Lookup FY26'!E240:E241,MATCH(C4,'Master Lookup FY26'!B240:B241,0)),"")</f>
        <v>81486.911999999997</v>
      </c>
      <c r="F4" s="735">
        <f>IFERROR(INDEX('Master Lookup'!$F$240:$F$246,MATCH(C4,'Master Lookup'!$B$240:$B$246,0)),"")</f>
        <v>0.06</v>
      </c>
      <c r="G4" s="728">
        <f t="shared" ref="G4:G9" si="0">IFERROR(E4*F4,0)</f>
        <v>4889.2147199999999</v>
      </c>
    </row>
    <row r="5" spans="2:7" ht="15" x14ac:dyDescent="0.25">
      <c r="B5" s="326">
        <v>2</v>
      </c>
      <c r="C5" s="666" t="str">
        <f>IF(INDEX('Master Lookup'!$B$240:$B$246,B5)=0,"",INDEX('Master Lookup'!$B$240:$B$246,B5))</f>
        <v>Case Worker</v>
      </c>
      <c r="D5" s="736">
        <f>IFERROR(INDEX('Master Lookup'!$D$240:$D$246,MATCH(C5,'Master Lookup'!$B$240:$B$246,0)),"")</f>
        <v>35</v>
      </c>
      <c r="E5" s="737">
        <f>IFERROR(INDEX('Master Lookup FY26'!E241:E242,MATCH(C5,'Master Lookup FY26'!B241:B242,0)),"")</f>
        <v>66537.12000000001</v>
      </c>
      <c r="F5" s="735">
        <f>IFERROR(INDEX('Master Lookup'!$F$240:$F$246,MATCH(C5,'Master Lookup'!$B$240:$B$246,0)),"")</f>
        <v>1.63</v>
      </c>
      <c r="G5" s="728">
        <f t="shared" si="0"/>
        <v>108455.5056</v>
      </c>
    </row>
    <row r="6" spans="2:7" ht="15" hidden="1" x14ac:dyDescent="0.25">
      <c r="B6" s="326">
        <v>3</v>
      </c>
      <c r="C6" s="665" t="str">
        <f>IF(INDEX('Master Lookup'!$B$240:$B$246,B6)=0,"",INDEX('Master Lookup'!$B$240:$B$246,B6))</f>
        <v/>
      </c>
      <c r="D6" s="734" t="str">
        <f>IFERROR(INDEX('Master Lookup'!$D$240:$D$246,MATCH(C6,'Master Lookup'!$B$240:$B$246,0)),"")</f>
        <v/>
      </c>
      <c r="E6" s="737" t="str">
        <f>IFERROR(INDEX('Master Lookup FY26'!E242:E243,MATCH(C6,'Master Lookup FY26'!B242:B243,0)),"")</f>
        <v/>
      </c>
      <c r="F6" s="733" t="str">
        <f>IFERROR(INDEX('Master Lookup'!$F$240:$F$246,MATCH(C6,'Master Lookup'!$B$240:$B$246,0)),"")</f>
        <v/>
      </c>
      <c r="G6" s="732">
        <f t="shared" si="0"/>
        <v>0</v>
      </c>
    </row>
    <row r="7" spans="2:7" ht="15" hidden="1" x14ac:dyDescent="0.25">
      <c r="B7" s="326">
        <v>4</v>
      </c>
      <c r="C7" s="665" t="str">
        <f>IF(INDEX('Master Lookup'!$B$240:$B$246,B7)=0,"",INDEX('Master Lookup'!$B$240:$B$246,B7))</f>
        <v/>
      </c>
      <c r="D7" s="734" t="str">
        <f>IFERROR(INDEX('Master Lookup'!$D$240:$D$246,MATCH(C7,'Master Lookup'!$B$240:$B$246,0)),"")</f>
        <v/>
      </c>
      <c r="E7" s="737" t="str">
        <f>IFERROR(INDEX('Master Lookup FY26'!E243:E244,MATCH(C7,'Master Lookup FY26'!B243:B244,0)),"")</f>
        <v/>
      </c>
      <c r="F7" s="733" t="str">
        <f>IFERROR(INDEX('Master Lookup'!$F$240:$F$246,MATCH(C7,'Master Lookup'!$B$240:$B$246,0)),"")</f>
        <v/>
      </c>
      <c r="G7" s="732">
        <f t="shared" si="0"/>
        <v>0</v>
      </c>
    </row>
    <row r="8" spans="2:7" ht="15" hidden="1" x14ac:dyDescent="0.25">
      <c r="B8" s="326">
        <v>5</v>
      </c>
      <c r="C8" s="665" t="str">
        <f>IF(INDEX('Master Lookup'!$B$240:$B$246,B8)=0,"",INDEX('Master Lookup'!$B$240:$B$246,B8))</f>
        <v/>
      </c>
      <c r="D8" s="734" t="str">
        <f>IFERROR(INDEX('Master Lookup'!$D$240:$D$246,MATCH(C8,'Master Lookup'!$B$240:$B$246,0)),"")</f>
        <v/>
      </c>
      <c r="E8" s="737" t="str">
        <f>IFERROR(INDEX('Master Lookup FY26'!E244:E245,MATCH(C8,'Master Lookup FY26'!B244:B245,0)),"")</f>
        <v/>
      </c>
      <c r="F8" s="733" t="str">
        <f>IFERROR(INDEX('Master Lookup'!$F$240:$F$246,MATCH(C8,'Master Lookup'!$B$240:$B$246,0)),"")</f>
        <v/>
      </c>
      <c r="G8" s="732">
        <f t="shared" si="0"/>
        <v>0</v>
      </c>
    </row>
    <row r="9" spans="2:7" ht="15" hidden="1" x14ac:dyDescent="0.25">
      <c r="B9" s="326">
        <v>6</v>
      </c>
      <c r="C9" s="665" t="str">
        <f>IF(INDEX('Master Lookup'!$B$240:$B$246,B9)=0,"",INDEX('Master Lookup'!$B$240:$B$246,B9))</f>
        <v/>
      </c>
      <c r="D9" s="734" t="str">
        <f>IFERROR(INDEX('Master Lookup'!$D$240:$D$246,MATCH(C9,'Master Lookup'!$B$240:$B$246,0)),"")</f>
        <v/>
      </c>
      <c r="E9" s="737" t="str">
        <f>IFERROR(INDEX('Master Lookup FY26'!E245:E246,MATCH(C9,'Master Lookup FY26'!B245:B246,0)),"")</f>
        <v/>
      </c>
      <c r="F9" s="733" t="str">
        <f>IFERROR(INDEX('Master Lookup'!$F$240:$F$246,MATCH(C9,'Master Lookup'!$B$240:$B$246,0)),"")</f>
        <v/>
      </c>
      <c r="G9" s="732">
        <f t="shared" si="0"/>
        <v>0</v>
      </c>
    </row>
    <row r="10" spans="2:7" x14ac:dyDescent="0.2">
      <c r="B10" s="340"/>
      <c r="C10" s="702" t="s">
        <v>457</v>
      </c>
      <c r="D10" s="688"/>
      <c r="E10" s="688"/>
      <c r="F10" s="701">
        <f>SUM(F4:F9)</f>
        <v>1.69</v>
      </c>
      <c r="G10" s="721">
        <f>SUM(G4:G9)</f>
        <v>113344.72032000001</v>
      </c>
    </row>
    <row r="11" spans="2:7" ht="15" x14ac:dyDescent="0.25">
      <c r="B11" s="340"/>
      <c r="C11" s="671" t="s">
        <v>322</v>
      </c>
      <c r="D11" s="688"/>
      <c r="E11" s="688"/>
      <c r="F11" s="530">
        <f>INDEX('Master Lookup FY26'!C262:C265,MATCH(C11,'Master Lookup FY26'!B262:B265,0))</f>
        <v>0.24970000000000001</v>
      </c>
      <c r="G11" s="731">
        <f>G10*F11</f>
        <v>28302.176663904003</v>
      </c>
    </row>
    <row r="12" spans="2:7" ht="15" x14ac:dyDescent="0.25">
      <c r="B12" s="340"/>
      <c r="C12" s="663" t="s">
        <v>550</v>
      </c>
      <c r="D12" s="688"/>
      <c r="E12" s="688"/>
      <c r="F12" s="688"/>
      <c r="G12" s="721">
        <f>SUM(G10:G11)</f>
        <v>141646.89698390401</v>
      </c>
    </row>
    <row r="13" spans="2:7" x14ac:dyDescent="0.2">
      <c r="B13" s="340"/>
      <c r="C13" s="698"/>
      <c r="D13" s="688"/>
      <c r="E13" s="688"/>
      <c r="F13" s="688"/>
      <c r="G13" s="697"/>
    </row>
    <row r="14" spans="2:7" ht="15" x14ac:dyDescent="0.25">
      <c r="B14" s="340"/>
      <c r="C14" s="696" t="s">
        <v>326</v>
      </c>
      <c r="D14" s="686"/>
      <c r="E14" s="686"/>
      <c r="F14" s="686"/>
      <c r="G14" s="695"/>
    </row>
    <row r="15" spans="2:7" ht="15" x14ac:dyDescent="0.25">
      <c r="B15" s="326">
        <v>1</v>
      </c>
      <c r="C15" s="730" t="str">
        <f>IF(INDEX('Master Lookup'!$B$249:$B$260,B15)=0,"",INDEX('Master Lookup'!$B$249:$B$260,B15))</f>
        <v>Total Occupancy</v>
      </c>
      <c r="F15" s="729">
        <f>IFERROR(INDEX('Master Lookup FY26'!C249:C255,MATCH(C15,'Master Lookup FY26'!B249:B255,0)),"")</f>
        <v>6392.9174203826224</v>
      </c>
      <c r="G15" s="728">
        <f t="shared" ref="G15:G21" si="1">F15*$F$5</f>
        <v>10420.455395223673</v>
      </c>
    </row>
    <row r="16" spans="2:7" ht="15" x14ac:dyDescent="0.25">
      <c r="B16" s="326">
        <v>2</v>
      </c>
      <c r="C16" s="730" t="str">
        <f>IF(INDEX('Master Lookup'!$B$249:$B$260,B16)=0,"",INDEX('Master Lookup'!$B$249:$B$260,B16))</f>
        <v>Staff Training 204</v>
      </c>
      <c r="F16" s="729">
        <f>IFERROR(INDEX('Master Lookup FY26'!C250:C256,MATCH(C16,'Master Lookup FY26'!B250:B256,0)),"")</f>
        <v>364.52871302241937</v>
      </c>
      <c r="G16" s="728">
        <f t="shared" si="1"/>
        <v>594.18180222654348</v>
      </c>
    </row>
    <row r="17" spans="2:7" ht="15" x14ac:dyDescent="0.25">
      <c r="B17" s="326">
        <v>3</v>
      </c>
      <c r="C17" s="730" t="str">
        <f>IF(INDEX('Master Lookup'!$B$249:$B$260,B17)=0,"",INDEX('Master Lookup'!$B$249:$B$260,B17))</f>
        <v>Staff Mileage / Travel 205</v>
      </c>
      <c r="F17" s="729">
        <f>IFERROR(INDEX('Master Lookup FY26'!C251:C257,MATCH(C17,'Master Lookup FY26'!B251:B257,0)),"")</f>
        <v>1059.8793475070393</v>
      </c>
      <c r="G17" s="728">
        <f t="shared" si="1"/>
        <v>1727.6033364364739</v>
      </c>
    </row>
    <row r="18" spans="2:7" ht="15" x14ac:dyDescent="0.25">
      <c r="B18" s="326">
        <v>4</v>
      </c>
      <c r="C18" s="730" t="str">
        <f>IF(INDEX('Master Lookup'!$B$249:$B$260,B18)=0,"",INDEX('Master Lookup'!$B$249:$B$260,B18))</f>
        <v>Client Transportation 208</v>
      </c>
      <c r="F18" s="729">
        <f>IFERROR(INDEX('Master Lookup FY26'!C252:C258,MATCH(C18,'Master Lookup FY26'!B252:B258,0)),"")</f>
        <v>1788.8934173999289</v>
      </c>
      <c r="G18" s="728">
        <f t="shared" si="1"/>
        <v>2915.896270361884</v>
      </c>
    </row>
    <row r="19" spans="2:7" ht="15" x14ac:dyDescent="0.25">
      <c r="B19" s="326">
        <v>5</v>
      </c>
      <c r="C19" s="730" t="str">
        <f>IF(INDEX('Master Lookup'!$B$249:$B$260,B19)=0,"",INDEX('Master Lookup'!$B$249:$B$260,B19))</f>
        <v>Program Supplies &amp; Materials 215</v>
      </c>
      <c r="F19" s="729">
        <f>IFERROR(INDEX('Master Lookup FY26'!C253:C259,MATCH(C19,'Master Lookup FY26'!B253:B259,0)),"")</f>
        <v>2947.5899663350119</v>
      </c>
      <c r="G19" s="728">
        <f t="shared" si="1"/>
        <v>4804.5716451260687</v>
      </c>
    </row>
    <row r="20" spans="2:7" ht="15" x14ac:dyDescent="0.25">
      <c r="B20" s="326">
        <v>6</v>
      </c>
      <c r="C20" s="730" t="str">
        <f>IF(INDEX('Master Lookup'!$B$249:$B$260,B20)=0,"",INDEX('Master Lookup'!$B$249:$B$260,B20))</f>
        <v>Other Expense</v>
      </c>
      <c r="F20" s="729">
        <f>IFERROR(INDEX('Master Lookup FY26'!C254:C260,MATCH(C20,'Master Lookup FY26'!B254:B260,0)),"")</f>
        <v>3236.4891574928697</v>
      </c>
      <c r="G20" s="728">
        <f t="shared" si="1"/>
        <v>5275.4773267133769</v>
      </c>
    </row>
    <row r="21" spans="2:7" ht="15" x14ac:dyDescent="0.25">
      <c r="B21" s="326">
        <v>7</v>
      </c>
      <c r="C21" s="730" t="str">
        <f>IF(INDEX('Master Lookup'!$B$249:$B$260,B21)=0,"",INDEX('Master Lookup'!$B$249:$B$260,B21))</f>
        <v xml:space="preserve">Flex Spending </v>
      </c>
      <c r="F21" s="729">
        <f>IFERROR(INDEX('Master Lookup FY26'!C255:C261,MATCH(C21,'Master Lookup FY26'!B255:B261,0)),"")</f>
        <v>1000</v>
      </c>
      <c r="G21" s="728">
        <f t="shared" si="1"/>
        <v>1630</v>
      </c>
    </row>
    <row r="22" spans="2:7" ht="15" hidden="1" x14ac:dyDescent="0.25">
      <c r="B22" s="326">
        <v>8</v>
      </c>
      <c r="C22" s="727" t="str">
        <f>IF(INDEX('Master Lookup'!$B$249:$B$260,B22)=0,"",INDEX('Master Lookup'!$B$249:$B$260,B22))</f>
        <v/>
      </c>
      <c r="D22" s="692"/>
      <c r="E22" s="692"/>
      <c r="F22" s="692" t="str">
        <f>IFERROR(INDEX('Master Lookup'!$C$249:$C$260,MATCH(C22,'Master Lookup'!$B$249:$B$260,0)),"")</f>
        <v/>
      </c>
      <c r="G22" s="689"/>
    </row>
    <row r="23" spans="2:7" ht="15" hidden="1" x14ac:dyDescent="0.25">
      <c r="B23" s="326">
        <v>9</v>
      </c>
      <c r="C23" s="727" t="str">
        <f>IF(INDEX('Master Lookup'!$B$249:$B$260,B23)=0,"",INDEX('Master Lookup'!$B$249:$B$260,B23))</f>
        <v/>
      </c>
      <c r="D23" s="692"/>
      <c r="E23" s="692"/>
      <c r="F23" s="692" t="str">
        <f>IFERROR(INDEX('Master Lookup'!$C$249:$C$260,MATCH(C23,'Master Lookup'!$B$249:$B$260,0)),"")</f>
        <v/>
      </c>
      <c r="G23" s="689"/>
    </row>
    <row r="24" spans="2:7" ht="15" hidden="1" x14ac:dyDescent="0.25">
      <c r="B24" s="326">
        <v>10</v>
      </c>
      <c r="C24" s="727" t="str">
        <f>IF(INDEX('Master Lookup'!$B$249:$B$260,B24)=0,"",INDEX('Master Lookup'!$B$249:$B$260,B24))</f>
        <v/>
      </c>
      <c r="D24" s="692"/>
      <c r="E24" s="692"/>
      <c r="F24" s="692" t="str">
        <f>IFERROR(INDEX('Master Lookup'!$C$249:$C$260,MATCH(C24,'Master Lookup'!$B$249:$B$260,0)),"")</f>
        <v/>
      </c>
      <c r="G24" s="689"/>
    </row>
    <row r="25" spans="2:7" ht="15" hidden="1" x14ac:dyDescent="0.25">
      <c r="B25" s="326">
        <v>11</v>
      </c>
      <c r="C25" s="727" t="str">
        <f>IF(INDEX('Master Lookup'!$B$249:$B$260,B25)=0,"",INDEX('Master Lookup'!$B$249:$B$260,B25))</f>
        <v/>
      </c>
      <c r="D25" s="692"/>
      <c r="E25" s="692"/>
      <c r="F25" s="692" t="str">
        <f>IFERROR(INDEX('Master Lookup'!$C$249:$C$260,MATCH(C25,'Master Lookup'!$B$249:$B$260,0)),"")</f>
        <v/>
      </c>
      <c r="G25" s="689"/>
    </row>
    <row r="26" spans="2:7" ht="15" hidden="1" x14ac:dyDescent="0.25">
      <c r="B26" s="326">
        <v>12</v>
      </c>
      <c r="C26" s="727" t="str">
        <f>IF(INDEX('Master Lookup'!$B$249:$B$260,B26)=0,"",INDEX('Master Lookup'!$B$249:$B$260,B26))</f>
        <v/>
      </c>
      <c r="D26" s="692"/>
      <c r="E26" s="692"/>
      <c r="F26" s="692" t="str">
        <f>IFERROR(INDEX('Master Lookup'!$C$249:$C$260,MATCH(C26,'Master Lookup'!$B$249:$B$260,0)),"")</f>
        <v/>
      </c>
      <c r="G26" s="689"/>
    </row>
    <row r="27" spans="2:7" ht="15" x14ac:dyDescent="0.25">
      <c r="C27" s="663" t="s">
        <v>492</v>
      </c>
      <c r="D27" s="688"/>
      <c r="E27" s="688"/>
      <c r="F27" s="688"/>
      <c r="G27" s="721">
        <f>SUM(G15:G26)</f>
        <v>27368.185776088023</v>
      </c>
    </row>
    <row r="28" spans="2:7" ht="15.75" x14ac:dyDescent="0.25">
      <c r="C28" s="669"/>
      <c r="D28" s="688"/>
      <c r="E28" s="688"/>
      <c r="F28" s="688"/>
      <c r="G28" s="697"/>
    </row>
    <row r="29" spans="2:7" ht="15" x14ac:dyDescent="0.25">
      <c r="C29" s="726" t="s">
        <v>491</v>
      </c>
      <c r="G29" s="725">
        <f>SUM(G27,G12)</f>
        <v>169015.08275999204</v>
      </c>
    </row>
    <row r="30" spans="2:7" ht="15" x14ac:dyDescent="0.25">
      <c r="C30" s="659" t="s">
        <v>320</v>
      </c>
      <c r="D30" s="686"/>
      <c r="E30" s="686"/>
      <c r="F30" s="495">
        <f>INDEX('Master Lookup FY26'!C262:C265,MATCH(C30,'Master Lookup FY26'!B262:B265,0))</f>
        <v>0.12</v>
      </c>
      <c r="G30" s="724">
        <f>G29*F30</f>
        <v>20281.809931199045</v>
      </c>
    </row>
    <row r="31" spans="2:7" ht="15" x14ac:dyDescent="0.25">
      <c r="C31" s="657" t="s">
        <v>321</v>
      </c>
      <c r="D31" s="684"/>
      <c r="E31" s="684"/>
      <c r="F31" s="495">
        <f>INDEX('Master Lookup FY26'!C263:C266,MATCH(C31,'Master Lookup FY26'!B263:B266,0))</f>
        <v>2.5282070971092779E-2</v>
      </c>
      <c r="G31" s="723">
        <f>(G29+G30)*F31</f>
        <v>4785.8174756260269</v>
      </c>
    </row>
    <row r="32" spans="2:7" ht="15" x14ac:dyDescent="0.25">
      <c r="C32" s="722" t="s">
        <v>453</v>
      </c>
      <c r="D32" s="688"/>
      <c r="E32" s="688"/>
      <c r="F32" s="688"/>
      <c r="G32" s="721">
        <f>SUM(G29:G31)</f>
        <v>194082.71016681712</v>
      </c>
    </row>
    <row r="33" spans="3:7" x14ac:dyDescent="0.2">
      <c r="C33" s="720" t="s">
        <v>394</v>
      </c>
      <c r="D33" s="688"/>
      <c r="E33" s="688"/>
      <c r="F33" s="688"/>
      <c r="G33" s="719">
        <f>INDEX('Master Lookup'!$C$262:$C$265,MATCH(C33,'Master Lookup'!$B$262:$B$265,0))</f>
        <v>35</v>
      </c>
    </row>
    <row r="34" spans="3:7" ht="13.5" thickBot="1" x14ac:dyDescent="0.25">
      <c r="C34" s="718" t="s">
        <v>555</v>
      </c>
      <c r="D34" s="717"/>
      <c r="E34" s="717"/>
      <c r="F34" s="717"/>
      <c r="G34" s="716">
        <f>ROUND((G32/G33)/12,2)</f>
        <v>462.1</v>
      </c>
    </row>
    <row r="35" spans="3:7" x14ac:dyDescent="0.2">
      <c r="F35" s="115" t="s">
        <v>718</v>
      </c>
      <c r="G35" s="751">
        <v>415.3</v>
      </c>
    </row>
    <row r="36" spans="3:7" x14ac:dyDescent="0.2">
      <c r="F36" s="115" t="s">
        <v>602</v>
      </c>
      <c r="G36" s="458">
        <f>(G34-G35)/G35</f>
        <v>0.11268962196002892</v>
      </c>
    </row>
  </sheetData>
  <mergeCells count="1">
    <mergeCell ref="C2:G2"/>
  </mergeCells>
  <pageMargins left="0.75" right="0.75" top="1" bottom="1" header="0.5" footer="0.5"/>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887D0-2E0D-47E5-BB38-964A0CDAF979}">
  <sheetPr>
    <pageSetUpPr fitToPage="1"/>
  </sheetPr>
  <dimension ref="A1:I27"/>
  <sheetViews>
    <sheetView zoomScaleNormal="100" workbookViewId="0">
      <selection activeCell="J37" sqref="J37"/>
    </sheetView>
  </sheetViews>
  <sheetFormatPr defaultColWidth="6.42578125" defaultRowHeight="12.75" x14ac:dyDescent="0.2"/>
  <cols>
    <col min="1" max="1" width="6.42578125" style="115"/>
    <col min="2" max="2" width="3.85546875" style="115" customWidth="1"/>
    <col min="3" max="3" width="32.140625" style="115" bestFit="1" customWidth="1"/>
    <col min="4" max="4" width="7.85546875" style="115" bestFit="1" customWidth="1"/>
    <col min="5" max="5" width="7.42578125" style="115" bestFit="1" customWidth="1"/>
    <col min="6" max="6" width="8.85546875" style="115" bestFit="1" customWidth="1"/>
    <col min="7" max="7" width="6.42578125" style="115"/>
    <col min="8" max="8" width="27.140625" style="115" bestFit="1" customWidth="1"/>
    <col min="9" max="9" width="16.140625" style="115" bestFit="1" customWidth="1"/>
    <col min="10" max="16384" width="6.42578125" style="115"/>
  </cols>
  <sheetData>
    <row r="1" spans="1:9" s="777" customFormat="1" x14ac:dyDescent="0.2">
      <c r="A1" s="628"/>
      <c r="B1" s="628"/>
    </row>
    <row r="2" spans="1:9" ht="13.5" thickBot="1" x14ac:dyDescent="0.25">
      <c r="A2" s="736"/>
      <c r="B2" s="736"/>
    </row>
    <row r="3" spans="1:9" ht="13.5" thickBot="1" x14ac:dyDescent="0.25">
      <c r="A3" s="469"/>
      <c r="B3" s="469"/>
      <c r="C3" s="1724" t="s">
        <v>556</v>
      </c>
      <c r="D3" s="1725"/>
      <c r="E3" s="1725"/>
      <c r="F3" s="1726"/>
      <c r="H3" s="1202" t="s">
        <v>531</v>
      </c>
      <c r="I3" s="1202" t="s">
        <v>538</v>
      </c>
    </row>
    <row r="4" spans="1:9" x14ac:dyDescent="0.2">
      <c r="A4" s="1203"/>
      <c r="B4" s="1203"/>
      <c r="C4" s="776"/>
      <c r="D4" s="775"/>
      <c r="E4" s="774" t="s">
        <v>43</v>
      </c>
      <c r="F4" s="773">
        <f>I9</f>
        <v>1775</v>
      </c>
      <c r="H4" s="1204" t="s">
        <v>527</v>
      </c>
      <c r="I4" s="551">
        <v>2080</v>
      </c>
    </row>
    <row r="5" spans="1:9" ht="18" customHeight="1" x14ac:dyDescent="0.2">
      <c r="A5" s="464"/>
      <c r="B5" s="464"/>
      <c r="C5" s="365"/>
      <c r="D5" s="469" t="s">
        <v>331</v>
      </c>
      <c r="E5" s="1205" t="s">
        <v>334</v>
      </c>
      <c r="F5" s="1206" t="s">
        <v>458</v>
      </c>
      <c r="H5" s="1207" t="s">
        <v>525</v>
      </c>
      <c r="I5" s="1190">
        <f>120*2</f>
        <v>240</v>
      </c>
    </row>
    <row r="6" spans="1:9" ht="17.25" customHeight="1" x14ac:dyDescent="0.2">
      <c r="A6" s="464"/>
      <c r="B6" s="331">
        <v>1</v>
      </c>
      <c r="C6" s="511" t="str">
        <f>IF(INDEX('Master Lookup'!$B$146:$B$152,B6)=0,"",INDEX('Master Lookup'!$B$146:$B$152,B6))</f>
        <v>Management</v>
      </c>
      <c r="D6" s="542">
        <f>IFERROR(INDEX('Master Lookup FY26'!D146:D147,MATCH(C6,'Master Lookup FY26'!B146:B147,0)),"")</f>
        <v>81486.911999999997</v>
      </c>
      <c r="E6" s="541">
        <f>IFERROR(INDEX('Master Lookup'!$E$146:$E$152,MATCH(C6,'Master Lookup'!$B$146:$B$152,0)),"")</f>
        <v>0.06</v>
      </c>
      <c r="F6" s="1200">
        <f>D6*E6</f>
        <v>4889.2147199999999</v>
      </c>
      <c r="H6" s="1208" t="s">
        <v>522</v>
      </c>
      <c r="I6" s="1190">
        <f>10*2.5</f>
        <v>25</v>
      </c>
    </row>
    <row r="7" spans="1:9" x14ac:dyDescent="0.2">
      <c r="A7" s="462"/>
      <c r="B7" s="331">
        <v>2</v>
      </c>
      <c r="C7" s="377" t="str">
        <f>IF(INDEX('Master Lookup'!$B$146:$B$152,B7)=0,"",INDEX('Master Lookup'!$B$146:$B$152,B7))</f>
        <v>Direct Care Staff</v>
      </c>
      <c r="D7" s="542">
        <f>IFERROR(INDEX('Master Lookup FY26'!D147:D148,MATCH(C7,'Master Lookup FY26'!B147:B148,0)),"")</f>
        <v>46842.432000000008</v>
      </c>
      <c r="E7" s="430">
        <f>IFERROR(INDEX('Master Lookup'!$E$146:$E$152,MATCH(C7,'Master Lookup'!$B$146:$B$152,0)),"")</f>
        <v>1</v>
      </c>
      <c r="F7" s="650">
        <f>D7*E7</f>
        <v>46842.432000000008</v>
      </c>
      <c r="H7" s="1207" t="s">
        <v>521</v>
      </c>
      <c r="I7" s="1190">
        <f>40*1</f>
        <v>40</v>
      </c>
    </row>
    <row r="8" spans="1:9" ht="18.75" customHeight="1" x14ac:dyDescent="0.2">
      <c r="A8" s="464"/>
      <c r="B8" s="331">
        <v>3</v>
      </c>
      <c r="C8" s="1191" t="s">
        <v>457</v>
      </c>
      <c r="D8" s="749"/>
      <c r="E8" s="1209">
        <f>SUM(E6:E7)</f>
        <v>1.06</v>
      </c>
      <c r="F8" s="1184">
        <f>SUM(F6:F7)</f>
        <v>51731.646720000004</v>
      </c>
      <c r="H8" s="1210" t="s">
        <v>518</v>
      </c>
      <c r="I8" s="551">
        <f>SUM(I5:I7)</f>
        <v>305</v>
      </c>
    </row>
    <row r="9" spans="1:9" ht="15" customHeight="1" x14ac:dyDescent="0.2">
      <c r="A9" s="464"/>
      <c r="B9" s="331">
        <v>4</v>
      </c>
      <c r="C9" s="1198" t="s">
        <v>322</v>
      </c>
      <c r="D9" s="495">
        <f>INDEX('Master Lookup FY26'!C160:C162,MATCH(C9,'Master Lookup FY26'!B160:B162,0))</f>
        <v>0.24970000000000001</v>
      </c>
      <c r="E9" s="1211"/>
      <c r="F9" s="1200">
        <f>F8*D9</f>
        <v>12917.392185984001</v>
      </c>
      <c r="H9" s="1210" t="s">
        <v>517</v>
      </c>
      <c r="I9" s="551">
        <f>I4-I8</f>
        <v>1775</v>
      </c>
    </row>
    <row r="10" spans="1:9" ht="16.5" customHeight="1" x14ac:dyDescent="0.2">
      <c r="A10" s="464"/>
      <c r="B10" s="331">
        <v>5</v>
      </c>
      <c r="C10" s="1212"/>
      <c r="D10" s="1213"/>
      <c r="E10" s="1214"/>
      <c r="F10" s="1215"/>
    </row>
    <row r="11" spans="1:9" ht="18" customHeight="1" x14ac:dyDescent="0.2">
      <c r="A11" s="464"/>
      <c r="B11" s="331">
        <v>6</v>
      </c>
      <c r="C11" s="1216" t="s">
        <v>456</v>
      </c>
      <c r="D11" s="1217"/>
      <c r="E11" s="1217"/>
      <c r="F11" s="1218">
        <f>SUM(F8:F10)</f>
        <v>64649.038905984009</v>
      </c>
    </row>
    <row r="12" spans="1:9" x14ac:dyDescent="0.2">
      <c r="A12" s="459"/>
      <c r="C12" s="1191" t="s">
        <v>326</v>
      </c>
      <c r="D12" s="686"/>
      <c r="E12" s="686"/>
      <c r="F12" s="695"/>
    </row>
    <row r="13" spans="1:9" x14ac:dyDescent="0.2">
      <c r="C13" s="427" t="s">
        <v>310</v>
      </c>
      <c r="D13" s="466"/>
      <c r="E13" s="379">
        <f>IFERROR(INDEX('Master Lookup FY26'!C155:C156,MATCH(C13,'Master Lookup FY26'!B155:B156,0)),"")</f>
        <v>364.52871302241937</v>
      </c>
      <c r="F13" s="650">
        <f>E8*E13</f>
        <v>386.40043580376454</v>
      </c>
      <c r="G13" s="759"/>
    </row>
    <row r="14" spans="1:9" x14ac:dyDescent="0.2">
      <c r="C14" s="427" t="s">
        <v>308</v>
      </c>
      <c r="D14" s="466"/>
      <c r="E14" s="379">
        <f>IFERROR(INDEX('Master Lookup FY26'!C156:C157,MATCH(C14,'Master Lookup FY26'!B156:B157,0)),"")</f>
        <v>1059.8793475070393</v>
      </c>
      <c r="F14" s="650">
        <f>E8*E14</f>
        <v>1123.4721083574616</v>
      </c>
    </row>
    <row r="15" spans="1:9" x14ac:dyDescent="0.2">
      <c r="C15" s="727"/>
      <c r="D15" s="692"/>
      <c r="E15" s="692"/>
      <c r="F15" s="691"/>
      <c r="G15" s="1219"/>
    </row>
    <row r="16" spans="1:9" x14ac:dyDescent="0.2">
      <c r="C16" s="727"/>
      <c r="D16" s="692"/>
      <c r="E16" s="692"/>
      <c r="F16" s="691"/>
    </row>
    <row r="17" spans="2:7" x14ac:dyDescent="0.2">
      <c r="B17" s="331">
        <v>1</v>
      </c>
      <c r="C17" s="1220" t="s">
        <v>492</v>
      </c>
      <c r="D17" s="340"/>
      <c r="E17" s="1192"/>
      <c r="F17" s="1074">
        <f>SUM(F11:F14)</f>
        <v>66158.911450145228</v>
      </c>
    </row>
    <row r="18" spans="2:7" x14ac:dyDescent="0.2">
      <c r="B18" s="331">
        <v>2</v>
      </c>
      <c r="C18" s="1198" t="s">
        <v>320</v>
      </c>
      <c r="D18" s="495">
        <f>INDEX('Master Lookup FY26'!C160:C162,MATCH(C18,'Master Lookup FY26'!B160:B162,0))</f>
        <v>0.12</v>
      </c>
      <c r="E18" s="1199"/>
      <c r="F18" s="1200">
        <f>F17*D18</f>
        <v>7939.0693740174274</v>
      </c>
      <c r="G18" s="651"/>
    </row>
    <row r="19" spans="2:7" x14ac:dyDescent="0.2">
      <c r="B19" s="331">
        <v>3</v>
      </c>
      <c r="C19" s="1221" t="s">
        <v>321</v>
      </c>
      <c r="D19" s="426">
        <f>INDEX('Master Lookup FY26'!C161:C163,MATCH(C19,'Master Lookup FY26'!B161:B163,0))</f>
        <v>2.5282070971092779E-2</v>
      </c>
      <c r="E19" s="502"/>
      <c r="F19" s="1215">
        <f>(F17+F18)*D19</f>
        <v>1873.3504100111522</v>
      </c>
      <c r="G19" s="651"/>
    </row>
    <row r="20" spans="2:7" x14ac:dyDescent="0.2">
      <c r="B20" s="331">
        <v>4</v>
      </c>
      <c r="C20" s="525" t="s">
        <v>453</v>
      </c>
      <c r="D20" s="1039"/>
      <c r="E20" s="1201"/>
      <c r="F20" s="1197">
        <f>SUM(F17:F19)</f>
        <v>75971.331234173806</v>
      </c>
      <c r="G20" s="651"/>
    </row>
    <row r="21" spans="2:7" x14ac:dyDescent="0.2">
      <c r="C21" s="1222" t="s">
        <v>535</v>
      </c>
      <c r="D21" s="1039"/>
      <c r="E21" s="1223"/>
      <c r="F21" s="1224">
        <f>ROUND((F20/F4)/4,2)</f>
        <v>10.7</v>
      </c>
    </row>
    <row r="22" spans="2:7" x14ac:dyDescent="0.2">
      <c r="C22" s="1225" t="s">
        <v>534</v>
      </c>
      <c r="D22" s="1188"/>
      <c r="E22" s="1188"/>
      <c r="F22" s="1226">
        <f>ROUND(F21/2,2)</f>
        <v>5.35</v>
      </c>
    </row>
    <row r="23" spans="2:7" ht="13.5" thickBot="1" x14ac:dyDescent="0.25">
      <c r="C23" s="743" t="s">
        <v>533</v>
      </c>
      <c r="D23" s="746"/>
      <c r="E23" s="746"/>
      <c r="F23" s="745">
        <f>ROUND(F21/5,2)</f>
        <v>2.14</v>
      </c>
    </row>
    <row r="24" spans="2:7" x14ac:dyDescent="0.2">
      <c r="G24" s="115" t="s">
        <v>602</v>
      </c>
    </row>
    <row r="25" spans="2:7" x14ac:dyDescent="0.2">
      <c r="E25" s="115" t="s">
        <v>718</v>
      </c>
      <c r="F25" s="115">
        <v>9.75</v>
      </c>
      <c r="G25" s="344">
        <f>(F21-F25)/F25</f>
        <v>9.7435897435897367E-2</v>
      </c>
    </row>
    <row r="26" spans="2:7" x14ac:dyDescent="0.2">
      <c r="E26" s="115" t="s">
        <v>718</v>
      </c>
      <c r="F26" s="115">
        <v>4.88</v>
      </c>
      <c r="G26" s="344">
        <f t="shared" ref="G26:G27" si="0">(F22-F26)/F26</f>
        <v>9.631147540983602E-2</v>
      </c>
    </row>
    <row r="27" spans="2:7" x14ac:dyDescent="0.2">
      <c r="E27" s="115" t="s">
        <v>718</v>
      </c>
      <c r="F27" s="115">
        <v>1.95</v>
      </c>
      <c r="G27" s="344">
        <f t="shared" si="0"/>
        <v>9.743589743589752E-2</v>
      </c>
    </row>
  </sheetData>
  <mergeCells count="1">
    <mergeCell ref="C3:F3"/>
  </mergeCells>
  <pageMargins left="0.75" right="0.75" top="1" bottom="1" header="0.5" footer="0.5"/>
  <pageSetup scale="62"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32E0B-41DC-4563-80B5-59DE9F0ABF61}">
  <sheetPr>
    <pageSetUpPr fitToPage="1"/>
  </sheetPr>
  <dimension ref="B1:BE196"/>
  <sheetViews>
    <sheetView topLeftCell="N9" zoomScaleNormal="100" workbookViewId="0">
      <selection activeCell="J37" sqref="J37"/>
    </sheetView>
  </sheetViews>
  <sheetFormatPr defaultColWidth="9.42578125" defaultRowHeight="12.75" x14ac:dyDescent="0.2"/>
  <cols>
    <col min="1" max="1" width="9.42578125" style="1258"/>
    <col min="2" max="2" width="16.140625" style="1258" bestFit="1" customWidth="1"/>
    <col min="3" max="3" width="17.5703125" style="1258" bestFit="1" customWidth="1"/>
    <col min="4" max="4" width="5.5703125" style="1258" bestFit="1" customWidth="1"/>
    <col min="5" max="5" width="17.5703125" style="1258" bestFit="1" customWidth="1"/>
    <col min="6" max="6" width="5.42578125" style="1258" bestFit="1" customWidth="1"/>
    <col min="7" max="7" width="5.42578125" style="1258" customWidth="1"/>
    <col min="8" max="8" width="4.5703125" style="1258" customWidth="1"/>
    <col min="9" max="9" width="21.28515625" style="1258" customWidth="1"/>
    <col min="10" max="10" width="7.42578125" style="1258" customWidth="1"/>
    <col min="11" max="11" width="10.28515625" style="1258" customWidth="1"/>
    <col min="12" max="12" width="11" style="1258" customWidth="1"/>
    <col min="13" max="13" width="10" style="1258" bestFit="1" customWidth="1"/>
    <col min="14" max="14" width="11" style="1258" customWidth="1"/>
    <col min="15" max="15" width="7.42578125" style="1258" customWidth="1"/>
    <col min="16" max="16" width="18.28515625" style="1258" customWidth="1"/>
    <col min="17" max="17" width="10.7109375" style="1329" customWidth="1"/>
    <col min="18" max="18" width="6.5703125" style="1329" customWidth="1"/>
    <col min="19" max="19" width="11" style="1329" customWidth="1"/>
    <col min="20" max="20" width="10" style="1329" customWidth="1"/>
    <col min="21" max="21" width="12.7109375" style="1329" customWidth="1"/>
    <col min="22" max="22" width="6.5703125" style="1329" bestFit="1" customWidth="1"/>
    <col min="23" max="23" width="34.42578125" style="1329" bestFit="1" customWidth="1"/>
    <col min="24" max="24" width="10.7109375" style="1329" bestFit="1" customWidth="1"/>
    <col min="25" max="25" width="6.5703125" style="1329" bestFit="1" customWidth="1"/>
    <col min="26" max="26" width="11" style="1329" bestFit="1" customWidth="1"/>
    <col min="27" max="27" width="15.5703125" style="1329" bestFit="1" customWidth="1"/>
    <col min="28" max="28" width="11" style="1329" bestFit="1" customWidth="1"/>
    <col min="29" max="29" width="7.42578125" style="1329" bestFit="1" customWidth="1"/>
    <col min="30" max="30" width="32.140625" style="1329" bestFit="1" customWidth="1"/>
    <col min="31" max="31" width="10.7109375" style="1329" bestFit="1" customWidth="1"/>
    <col min="32" max="32" width="6.5703125" style="1329" bestFit="1" customWidth="1"/>
    <col min="33" max="33" width="11" style="1329" bestFit="1" customWidth="1"/>
    <col min="34" max="34" width="15.5703125" style="1329" bestFit="1" customWidth="1"/>
    <col min="35" max="35" width="11" style="1329" bestFit="1" customWidth="1"/>
    <col min="36" max="36" width="7.85546875" style="1329" bestFit="1" customWidth="1"/>
    <col min="37" max="37" width="6.5703125" style="1329" bestFit="1" customWidth="1"/>
    <col min="38" max="38" width="6.85546875" style="1329" bestFit="1" customWidth="1"/>
    <col min="39" max="39" width="7.85546875" style="1329" bestFit="1" customWidth="1"/>
    <col min="40" max="40" width="5.42578125" style="1329" bestFit="1" customWidth="1"/>
    <col min="41" max="41" width="10.7109375" style="1329" customWidth="1"/>
    <col min="42" max="42" width="10.5703125" style="1329" customWidth="1"/>
    <col min="43" max="43" width="12.42578125" style="1329" customWidth="1"/>
    <col min="44" max="44" width="11.85546875" style="1329" customWidth="1"/>
    <col min="45" max="45" width="9.42578125" style="1329" customWidth="1"/>
    <col min="46" max="46" width="8.42578125" style="1450" customWidth="1"/>
    <col min="47" max="47" width="9.42578125" style="1329" customWidth="1"/>
    <col min="48" max="48" width="7.5703125" style="1258" customWidth="1"/>
    <col min="49" max="49" width="7.85546875" style="1258" bestFit="1" customWidth="1"/>
    <col min="50" max="50" width="10.28515625" style="1258" bestFit="1" customWidth="1"/>
    <col min="51" max="51" width="4.85546875" style="1258" customWidth="1"/>
    <col min="52" max="52" width="21.85546875" style="1258" bestFit="1" customWidth="1"/>
    <col min="53" max="53" width="8.85546875" style="1258" customWidth="1"/>
    <col min="54" max="54" width="7.5703125" style="1258" bestFit="1" customWidth="1"/>
    <col min="55" max="55" width="4.5703125" style="1258" customWidth="1"/>
    <col min="56" max="267" width="9.42578125" style="1258"/>
    <col min="268" max="268" width="2.42578125" style="1258" customWidth="1"/>
    <col min="269" max="269" width="29.7109375" style="1258" customWidth="1"/>
    <col min="270" max="270" width="9.28515625" style="1258" bestFit="1" customWidth="1"/>
    <col min="271" max="271" width="10.28515625" style="1258" customWidth="1"/>
    <col min="272" max="272" width="8.140625" style="1258" bestFit="1" customWidth="1"/>
    <col min="273" max="273" width="9.85546875" style="1258" bestFit="1" customWidth="1"/>
    <col min="274" max="274" width="9" style="1258" customWidth="1"/>
    <col min="275" max="275" width="11.7109375" style="1258" customWidth="1"/>
    <col min="276" max="276" width="12.42578125" style="1258" customWidth="1"/>
    <col min="277" max="277" width="2.85546875" style="1258" customWidth="1"/>
    <col min="278" max="278" width="29.85546875" style="1258" customWidth="1"/>
    <col min="279" max="279" width="9" style="1258" customWidth="1"/>
    <col min="280" max="280" width="10.85546875" style="1258" customWidth="1"/>
    <col min="281" max="281" width="8" style="1258" bestFit="1" customWidth="1"/>
    <col min="282" max="282" width="9" style="1258" bestFit="1" customWidth="1"/>
    <col min="283" max="283" width="11" style="1258" bestFit="1" customWidth="1"/>
    <col min="284" max="284" width="12.5703125" style="1258" bestFit="1" customWidth="1"/>
    <col min="285" max="285" width="12.140625" style="1258" customWidth="1"/>
    <col min="286" max="299" width="2.85546875" style="1258" customWidth="1"/>
    <col min="300" max="300" width="22.28515625" style="1258" customWidth="1"/>
    <col min="301" max="301" width="9.42578125" style="1258" customWidth="1"/>
    <col min="302" max="302" width="8.42578125" style="1258" customWidth="1"/>
    <col min="303" max="303" width="9.42578125" style="1258" customWidth="1"/>
    <col min="304" max="304" width="7.5703125" style="1258" customWidth="1"/>
    <col min="305" max="305" width="7.85546875" style="1258" bestFit="1" customWidth="1"/>
    <col min="306" max="306" width="10.28515625" style="1258" bestFit="1" customWidth="1"/>
    <col min="307" max="307" width="4.85546875" style="1258" customWidth="1"/>
    <col min="308" max="308" width="21.85546875" style="1258" bestFit="1" customWidth="1"/>
    <col min="309" max="309" width="8.85546875" style="1258" customWidth="1"/>
    <col min="310" max="310" width="7.5703125" style="1258" bestFit="1" customWidth="1"/>
    <col min="311" max="311" width="4.5703125" style="1258" customWidth="1"/>
    <col min="312" max="523" width="9.42578125" style="1258"/>
    <col min="524" max="524" width="2.42578125" style="1258" customWidth="1"/>
    <col min="525" max="525" width="29.7109375" style="1258" customWidth="1"/>
    <col min="526" max="526" width="9.28515625" style="1258" bestFit="1" customWidth="1"/>
    <col min="527" max="527" width="10.28515625" style="1258" customWidth="1"/>
    <col min="528" max="528" width="8.140625" style="1258" bestFit="1" customWidth="1"/>
    <col min="529" max="529" width="9.85546875" style="1258" bestFit="1" customWidth="1"/>
    <col min="530" max="530" width="9" style="1258" customWidth="1"/>
    <col min="531" max="531" width="11.7109375" style="1258" customWidth="1"/>
    <col min="532" max="532" width="12.42578125" style="1258" customWidth="1"/>
    <col min="533" max="533" width="2.85546875" style="1258" customWidth="1"/>
    <col min="534" max="534" width="29.85546875" style="1258" customWidth="1"/>
    <col min="535" max="535" width="9" style="1258" customWidth="1"/>
    <col min="536" max="536" width="10.85546875" style="1258" customWidth="1"/>
    <col min="537" max="537" width="8" style="1258" bestFit="1" customWidth="1"/>
    <col min="538" max="538" width="9" style="1258" bestFit="1" customWidth="1"/>
    <col min="539" max="539" width="11" style="1258" bestFit="1" customWidth="1"/>
    <col min="540" max="540" width="12.5703125" style="1258" bestFit="1" customWidth="1"/>
    <col min="541" max="541" width="12.140625" style="1258" customWidth="1"/>
    <col min="542" max="555" width="2.85546875" style="1258" customWidth="1"/>
    <col min="556" max="556" width="22.28515625" style="1258" customWidth="1"/>
    <col min="557" max="557" width="9.42578125" style="1258" customWidth="1"/>
    <col min="558" max="558" width="8.42578125" style="1258" customWidth="1"/>
    <col min="559" max="559" width="9.42578125" style="1258" customWidth="1"/>
    <col min="560" max="560" width="7.5703125" style="1258" customWidth="1"/>
    <col min="561" max="561" width="7.85546875" style="1258" bestFit="1" customWidth="1"/>
    <col min="562" max="562" width="10.28515625" style="1258" bestFit="1" customWidth="1"/>
    <col min="563" max="563" width="4.85546875" style="1258" customWidth="1"/>
    <col min="564" max="564" width="21.85546875" style="1258" bestFit="1" customWidth="1"/>
    <col min="565" max="565" width="8.85546875" style="1258" customWidth="1"/>
    <col min="566" max="566" width="7.5703125" style="1258" bestFit="1" customWidth="1"/>
    <col min="567" max="567" width="4.5703125" style="1258" customWidth="1"/>
    <col min="568" max="779" width="9.42578125" style="1258"/>
    <col min="780" max="780" width="2.42578125" style="1258" customWidth="1"/>
    <col min="781" max="781" width="29.7109375" style="1258" customWidth="1"/>
    <col min="782" max="782" width="9.28515625" style="1258" bestFit="1" customWidth="1"/>
    <col min="783" max="783" width="10.28515625" style="1258" customWidth="1"/>
    <col min="784" max="784" width="8.140625" style="1258" bestFit="1" customWidth="1"/>
    <col min="785" max="785" width="9.85546875" style="1258" bestFit="1" customWidth="1"/>
    <col min="786" max="786" width="9" style="1258" customWidth="1"/>
    <col min="787" max="787" width="11.7109375" style="1258" customWidth="1"/>
    <col min="788" max="788" width="12.42578125" style="1258" customWidth="1"/>
    <col min="789" max="789" width="2.85546875" style="1258" customWidth="1"/>
    <col min="790" max="790" width="29.85546875" style="1258" customWidth="1"/>
    <col min="791" max="791" width="9" style="1258" customWidth="1"/>
    <col min="792" max="792" width="10.85546875" style="1258" customWidth="1"/>
    <col min="793" max="793" width="8" style="1258" bestFit="1" customWidth="1"/>
    <col min="794" max="794" width="9" style="1258" bestFit="1" customWidth="1"/>
    <col min="795" max="795" width="11" style="1258" bestFit="1" customWidth="1"/>
    <col min="796" max="796" width="12.5703125" style="1258" bestFit="1" customWidth="1"/>
    <col min="797" max="797" width="12.140625" style="1258" customWidth="1"/>
    <col min="798" max="811" width="2.85546875" style="1258" customWidth="1"/>
    <col min="812" max="812" width="22.28515625" style="1258" customWidth="1"/>
    <col min="813" max="813" width="9.42578125" style="1258" customWidth="1"/>
    <col min="814" max="814" width="8.42578125" style="1258" customWidth="1"/>
    <col min="815" max="815" width="9.42578125" style="1258" customWidth="1"/>
    <col min="816" max="816" width="7.5703125" style="1258" customWidth="1"/>
    <col min="817" max="817" width="7.85546875" style="1258" bestFit="1" customWidth="1"/>
    <col min="818" max="818" width="10.28515625" style="1258" bestFit="1" customWidth="1"/>
    <col min="819" max="819" width="4.85546875" style="1258" customWidth="1"/>
    <col min="820" max="820" width="21.85546875" style="1258" bestFit="1" customWidth="1"/>
    <col min="821" max="821" width="8.85546875" style="1258" customWidth="1"/>
    <col min="822" max="822" width="7.5703125" style="1258" bestFit="1" customWidth="1"/>
    <col min="823" max="823" width="4.5703125" style="1258" customWidth="1"/>
    <col min="824" max="1035" width="9.42578125" style="1258"/>
    <col min="1036" max="1036" width="2.42578125" style="1258" customWidth="1"/>
    <col min="1037" max="1037" width="29.7109375" style="1258" customWidth="1"/>
    <col min="1038" max="1038" width="9.28515625" style="1258" bestFit="1" customWidth="1"/>
    <col min="1039" max="1039" width="10.28515625" style="1258" customWidth="1"/>
    <col min="1040" max="1040" width="8.140625" style="1258" bestFit="1" customWidth="1"/>
    <col min="1041" max="1041" width="9.85546875" style="1258" bestFit="1" customWidth="1"/>
    <col min="1042" max="1042" width="9" style="1258" customWidth="1"/>
    <col min="1043" max="1043" width="11.7109375" style="1258" customWidth="1"/>
    <col min="1044" max="1044" width="12.42578125" style="1258" customWidth="1"/>
    <col min="1045" max="1045" width="2.85546875" style="1258" customWidth="1"/>
    <col min="1046" max="1046" width="29.85546875" style="1258" customWidth="1"/>
    <col min="1047" max="1047" width="9" style="1258" customWidth="1"/>
    <col min="1048" max="1048" width="10.85546875" style="1258" customWidth="1"/>
    <col min="1049" max="1049" width="8" style="1258" bestFit="1" customWidth="1"/>
    <col min="1050" max="1050" width="9" style="1258" bestFit="1" customWidth="1"/>
    <col min="1051" max="1051" width="11" style="1258" bestFit="1" customWidth="1"/>
    <col min="1052" max="1052" width="12.5703125" style="1258" bestFit="1" customWidth="1"/>
    <col min="1053" max="1053" width="12.140625" style="1258" customWidth="1"/>
    <col min="1054" max="1067" width="2.85546875" style="1258" customWidth="1"/>
    <col min="1068" max="1068" width="22.28515625" style="1258" customWidth="1"/>
    <col min="1069" max="1069" width="9.42578125" style="1258" customWidth="1"/>
    <col min="1070" max="1070" width="8.42578125" style="1258" customWidth="1"/>
    <col min="1071" max="1071" width="9.42578125" style="1258" customWidth="1"/>
    <col min="1072" max="1072" width="7.5703125" style="1258" customWidth="1"/>
    <col min="1073" max="1073" width="7.85546875" style="1258" bestFit="1" customWidth="1"/>
    <col min="1074" max="1074" width="10.28515625" style="1258" bestFit="1" customWidth="1"/>
    <col min="1075" max="1075" width="4.85546875" style="1258" customWidth="1"/>
    <col min="1076" max="1076" width="21.85546875" style="1258" bestFit="1" customWidth="1"/>
    <col min="1077" max="1077" width="8.85546875" style="1258" customWidth="1"/>
    <col min="1078" max="1078" width="7.5703125" style="1258" bestFit="1" customWidth="1"/>
    <col min="1079" max="1079" width="4.5703125" style="1258" customWidth="1"/>
    <col min="1080" max="1291" width="9.42578125" style="1258"/>
    <col min="1292" max="1292" width="2.42578125" style="1258" customWidth="1"/>
    <col min="1293" max="1293" width="29.7109375" style="1258" customWidth="1"/>
    <col min="1294" max="1294" width="9.28515625" style="1258" bestFit="1" customWidth="1"/>
    <col min="1295" max="1295" width="10.28515625" style="1258" customWidth="1"/>
    <col min="1296" max="1296" width="8.140625" style="1258" bestFit="1" customWidth="1"/>
    <col min="1297" max="1297" width="9.85546875" style="1258" bestFit="1" customWidth="1"/>
    <col min="1298" max="1298" width="9" style="1258" customWidth="1"/>
    <col min="1299" max="1299" width="11.7109375" style="1258" customWidth="1"/>
    <col min="1300" max="1300" width="12.42578125" style="1258" customWidth="1"/>
    <col min="1301" max="1301" width="2.85546875" style="1258" customWidth="1"/>
    <col min="1302" max="1302" width="29.85546875" style="1258" customWidth="1"/>
    <col min="1303" max="1303" width="9" style="1258" customWidth="1"/>
    <col min="1304" max="1304" width="10.85546875" style="1258" customWidth="1"/>
    <col min="1305" max="1305" width="8" style="1258" bestFit="1" customWidth="1"/>
    <col min="1306" max="1306" width="9" style="1258" bestFit="1" customWidth="1"/>
    <col min="1307" max="1307" width="11" style="1258" bestFit="1" customWidth="1"/>
    <col min="1308" max="1308" width="12.5703125" style="1258" bestFit="1" customWidth="1"/>
    <col min="1309" max="1309" width="12.140625" style="1258" customWidth="1"/>
    <col min="1310" max="1323" width="2.85546875" style="1258" customWidth="1"/>
    <col min="1324" max="1324" width="22.28515625" style="1258" customWidth="1"/>
    <col min="1325" max="1325" width="9.42578125" style="1258" customWidth="1"/>
    <col min="1326" max="1326" width="8.42578125" style="1258" customWidth="1"/>
    <col min="1327" max="1327" width="9.42578125" style="1258" customWidth="1"/>
    <col min="1328" max="1328" width="7.5703125" style="1258" customWidth="1"/>
    <col min="1329" max="1329" width="7.85546875" style="1258" bestFit="1" customWidth="1"/>
    <col min="1330" max="1330" width="10.28515625" style="1258" bestFit="1" customWidth="1"/>
    <col min="1331" max="1331" width="4.85546875" style="1258" customWidth="1"/>
    <col min="1332" max="1332" width="21.85546875" style="1258" bestFit="1" customWidth="1"/>
    <col min="1333" max="1333" width="8.85546875" style="1258" customWidth="1"/>
    <col min="1334" max="1334" width="7.5703125" style="1258" bestFit="1" customWidth="1"/>
    <col min="1335" max="1335" width="4.5703125" style="1258" customWidth="1"/>
    <col min="1336" max="1547" width="9.42578125" style="1258"/>
    <col min="1548" max="1548" width="2.42578125" style="1258" customWidth="1"/>
    <col min="1549" max="1549" width="29.7109375" style="1258" customWidth="1"/>
    <col min="1550" max="1550" width="9.28515625" style="1258" bestFit="1" customWidth="1"/>
    <col min="1551" max="1551" width="10.28515625" style="1258" customWidth="1"/>
    <col min="1552" max="1552" width="8.140625" style="1258" bestFit="1" customWidth="1"/>
    <col min="1553" max="1553" width="9.85546875" style="1258" bestFit="1" customWidth="1"/>
    <col min="1554" max="1554" width="9" style="1258" customWidth="1"/>
    <col min="1555" max="1555" width="11.7109375" style="1258" customWidth="1"/>
    <col min="1556" max="1556" width="12.42578125" style="1258" customWidth="1"/>
    <col min="1557" max="1557" width="2.85546875" style="1258" customWidth="1"/>
    <col min="1558" max="1558" width="29.85546875" style="1258" customWidth="1"/>
    <col min="1559" max="1559" width="9" style="1258" customWidth="1"/>
    <col min="1560" max="1560" width="10.85546875" style="1258" customWidth="1"/>
    <col min="1561" max="1561" width="8" style="1258" bestFit="1" customWidth="1"/>
    <col min="1562" max="1562" width="9" style="1258" bestFit="1" customWidth="1"/>
    <col min="1563" max="1563" width="11" style="1258" bestFit="1" customWidth="1"/>
    <col min="1564" max="1564" width="12.5703125" style="1258" bestFit="1" customWidth="1"/>
    <col min="1565" max="1565" width="12.140625" style="1258" customWidth="1"/>
    <col min="1566" max="1579" width="2.85546875" style="1258" customWidth="1"/>
    <col min="1580" max="1580" width="22.28515625" style="1258" customWidth="1"/>
    <col min="1581" max="1581" width="9.42578125" style="1258" customWidth="1"/>
    <col min="1582" max="1582" width="8.42578125" style="1258" customWidth="1"/>
    <col min="1583" max="1583" width="9.42578125" style="1258" customWidth="1"/>
    <col min="1584" max="1584" width="7.5703125" style="1258" customWidth="1"/>
    <col min="1585" max="1585" width="7.85546875" style="1258" bestFit="1" customWidth="1"/>
    <col min="1586" max="1586" width="10.28515625" style="1258" bestFit="1" customWidth="1"/>
    <col min="1587" max="1587" width="4.85546875" style="1258" customWidth="1"/>
    <col min="1588" max="1588" width="21.85546875" style="1258" bestFit="1" customWidth="1"/>
    <col min="1589" max="1589" width="8.85546875" style="1258" customWidth="1"/>
    <col min="1590" max="1590" width="7.5703125" style="1258" bestFit="1" customWidth="1"/>
    <col min="1591" max="1591" width="4.5703125" style="1258" customWidth="1"/>
    <col min="1592" max="1803" width="9.42578125" style="1258"/>
    <col min="1804" max="1804" width="2.42578125" style="1258" customWidth="1"/>
    <col min="1805" max="1805" width="29.7109375" style="1258" customWidth="1"/>
    <col min="1806" max="1806" width="9.28515625" style="1258" bestFit="1" customWidth="1"/>
    <col min="1807" max="1807" width="10.28515625" style="1258" customWidth="1"/>
    <col min="1808" max="1808" width="8.140625" style="1258" bestFit="1" customWidth="1"/>
    <col min="1809" max="1809" width="9.85546875" style="1258" bestFit="1" customWidth="1"/>
    <col min="1810" max="1810" width="9" style="1258" customWidth="1"/>
    <col min="1811" max="1811" width="11.7109375" style="1258" customWidth="1"/>
    <col min="1812" max="1812" width="12.42578125" style="1258" customWidth="1"/>
    <col min="1813" max="1813" width="2.85546875" style="1258" customWidth="1"/>
    <col min="1814" max="1814" width="29.85546875" style="1258" customWidth="1"/>
    <col min="1815" max="1815" width="9" style="1258" customWidth="1"/>
    <col min="1816" max="1816" width="10.85546875" style="1258" customWidth="1"/>
    <col min="1817" max="1817" width="8" style="1258" bestFit="1" customWidth="1"/>
    <col min="1818" max="1818" width="9" style="1258" bestFit="1" customWidth="1"/>
    <col min="1819" max="1819" width="11" style="1258" bestFit="1" customWidth="1"/>
    <col min="1820" max="1820" width="12.5703125" style="1258" bestFit="1" customWidth="1"/>
    <col min="1821" max="1821" width="12.140625" style="1258" customWidth="1"/>
    <col min="1822" max="1835" width="2.85546875" style="1258" customWidth="1"/>
    <col min="1836" max="1836" width="22.28515625" style="1258" customWidth="1"/>
    <col min="1837" max="1837" width="9.42578125" style="1258" customWidth="1"/>
    <col min="1838" max="1838" width="8.42578125" style="1258" customWidth="1"/>
    <col min="1839" max="1839" width="9.42578125" style="1258" customWidth="1"/>
    <col min="1840" max="1840" width="7.5703125" style="1258" customWidth="1"/>
    <col min="1841" max="1841" width="7.85546875" style="1258" bestFit="1" customWidth="1"/>
    <col min="1842" max="1842" width="10.28515625" style="1258" bestFit="1" customWidth="1"/>
    <col min="1843" max="1843" width="4.85546875" style="1258" customWidth="1"/>
    <col min="1844" max="1844" width="21.85546875" style="1258" bestFit="1" customWidth="1"/>
    <col min="1845" max="1845" width="8.85546875" style="1258" customWidth="1"/>
    <col min="1846" max="1846" width="7.5703125" style="1258" bestFit="1" customWidth="1"/>
    <col min="1847" max="1847" width="4.5703125" style="1258" customWidth="1"/>
    <col min="1848" max="2059" width="9.42578125" style="1258"/>
    <col min="2060" max="2060" width="2.42578125" style="1258" customWidth="1"/>
    <col min="2061" max="2061" width="29.7109375" style="1258" customWidth="1"/>
    <col min="2062" max="2062" width="9.28515625" style="1258" bestFit="1" customWidth="1"/>
    <col min="2063" max="2063" width="10.28515625" style="1258" customWidth="1"/>
    <col min="2064" max="2064" width="8.140625" style="1258" bestFit="1" customWidth="1"/>
    <col min="2065" max="2065" width="9.85546875" style="1258" bestFit="1" customWidth="1"/>
    <col min="2066" max="2066" width="9" style="1258" customWidth="1"/>
    <col min="2067" max="2067" width="11.7109375" style="1258" customWidth="1"/>
    <col min="2068" max="2068" width="12.42578125" style="1258" customWidth="1"/>
    <col min="2069" max="2069" width="2.85546875" style="1258" customWidth="1"/>
    <col min="2070" max="2070" width="29.85546875" style="1258" customWidth="1"/>
    <col min="2071" max="2071" width="9" style="1258" customWidth="1"/>
    <col min="2072" max="2072" width="10.85546875" style="1258" customWidth="1"/>
    <col min="2073" max="2073" width="8" style="1258" bestFit="1" customWidth="1"/>
    <col min="2074" max="2074" width="9" style="1258" bestFit="1" customWidth="1"/>
    <col min="2075" max="2075" width="11" style="1258" bestFit="1" customWidth="1"/>
    <col min="2076" max="2076" width="12.5703125" style="1258" bestFit="1" customWidth="1"/>
    <col min="2077" max="2077" width="12.140625" style="1258" customWidth="1"/>
    <col min="2078" max="2091" width="2.85546875" style="1258" customWidth="1"/>
    <col min="2092" max="2092" width="22.28515625" style="1258" customWidth="1"/>
    <col min="2093" max="2093" width="9.42578125" style="1258" customWidth="1"/>
    <col min="2094" max="2094" width="8.42578125" style="1258" customWidth="1"/>
    <col min="2095" max="2095" width="9.42578125" style="1258" customWidth="1"/>
    <col min="2096" max="2096" width="7.5703125" style="1258" customWidth="1"/>
    <col min="2097" max="2097" width="7.85546875" style="1258" bestFit="1" customWidth="1"/>
    <col min="2098" max="2098" width="10.28515625" style="1258" bestFit="1" customWidth="1"/>
    <col min="2099" max="2099" width="4.85546875" style="1258" customWidth="1"/>
    <col min="2100" max="2100" width="21.85546875" style="1258" bestFit="1" customWidth="1"/>
    <col min="2101" max="2101" width="8.85546875" style="1258" customWidth="1"/>
    <col min="2102" max="2102" width="7.5703125" style="1258" bestFit="1" customWidth="1"/>
    <col min="2103" max="2103" width="4.5703125" style="1258" customWidth="1"/>
    <col min="2104" max="2315" width="9.42578125" style="1258"/>
    <col min="2316" max="2316" width="2.42578125" style="1258" customWidth="1"/>
    <col min="2317" max="2317" width="29.7109375" style="1258" customWidth="1"/>
    <col min="2318" max="2318" width="9.28515625" style="1258" bestFit="1" customWidth="1"/>
    <col min="2319" max="2319" width="10.28515625" style="1258" customWidth="1"/>
    <col min="2320" max="2320" width="8.140625" style="1258" bestFit="1" customWidth="1"/>
    <col min="2321" max="2321" width="9.85546875" style="1258" bestFit="1" customWidth="1"/>
    <col min="2322" max="2322" width="9" style="1258" customWidth="1"/>
    <col min="2323" max="2323" width="11.7109375" style="1258" customWidth="1"/>
    <col min="2324" max="2324" width="12.42578125" style="1258" customWidth="1"/>
    <col min="2325" max="2325" width="2.85546875" style="1258" customWidth="1"/>
    <col min="2326" max="2326" width="29.85546875" style="1258" customWidth="1"/>
    <col min="2327" max="2327" width="9" style="1258" customWidth="1"/>
    <col min="2328" max="2328" width="10.85546875" style="1258" customWidth="1"/>
    <col min="2329" max="2329" width="8" style="1258" bestFit="1" customWidth="1"/>
    <col min="2330" max="2330" width="9" style="1258" bestFit="1" customWidth="1"/>
    <col min="2331" max="2331" width="11" style="1258" bestFit="1" customWidth="1"/>
    <col min="2332" max="2332" width="12.5703125" style="1258" bestFit="1" customWidth="1"/>
    <col min="2333" max="2333" width="12.140625" style="1258" customWidth="1"/>
    <col min="2334" max="2347" width="2.85546875" style="1258" customWidth="1"/>
    <col min="2348" max="2348" width="22.28515625" style="1258" customWidth="1"/>
    <col min="2349" max="2349" width="9.42578125" style="1258" customWidth="1"/>
    <col min="2350" max="2350" width="8.42578125" style="1258" customWidth="1"/>
    <col min="2351" max="2351" width="9.42578125" style="1258" customWidth="1"/>
    <col min="2352" max="2352" width="7.5703125" style="1258" customWidth="1"/>
    <col min="2353" max="2353" width="7.85546875" style="1258" bestFit="1" customWidth="1"/>
    <col min="2354" max="2354" width="10.28515625" style="1258" bestFit="1" customWidth="1"/>
    <col min="2355" max="2355" width="4.85546875" style="1258" customWidth="1"/>
    <col min="2356" max="2356" width="21.85546875" style="1258" bestFit="1" customWidth="1"/>
    <col min="2357" max="2357" width="8.85546875" style="1258" customWidth="1"/>
    <col min="2358" max="2358" width="7.5703125" style="1258" bestFit="1" customWidth="1"/>
    <col min="2359" max="2359" width="4.5703125" style="1258" customWidth="1"/>
    <col min="2360" max="2571" width="9.42578125" style="1258"/>
    <col min="2572" max="2572" width="2.42578125" style="1258" customWidth="1"/>
    <col min="2573" max="2573" width="29.7109375" style="1258" customWidth="1"/>
    <col min="2574" max="2574" width="9.28515625" style="1258" bestFit="1" customWidth="1"/>
    <col min="2575" max="2575" width="10.28515625" style="1258" customWidth="1"/>
    <col min="2576" max="2576" width="8.140625" style="1258" bestFit="1" customWidth="1"/>
    <col min="2577" max="2577" width="9.85546875" style="1258" bestFit="1" customWidth="1"/>
    <col min="2578" max="2578" width="9" style="1258" customWidth="1"/>
    <col min="2579" max="2579" width="11.7109375" style="1258" customWidth="1"/>
    <col min="2580" max="2580" width="12.42578125" style="1258" customWidth="1"/>
    <col min="2581" max="2581" width="2.85546875" style="1258" customWidth="1"/>
    <col min="2582" max="2582" width="29.85546875" style="1258" customWidth="1"/>
    <col min="2583" max="2583" width="9" style="1258" customWidth="1"/>
    <col min="2584" max="2584" width="10.85546875" style="1258" customWidth="1"/>
    <col min="2585" max="2585" width="8" style="1258" bestFit="1" customWidth="1"/>
    <col min="2586" max="2586" width="9" style="1258" bestFit="1" customWidth="1"/>
    <col min="2587" max="2587" width="11" style="1258" bestFit="1" customWidth="1"/>
    <col min="2588" max="2588" width="12.5703125" style="1258" bestFit="1" customWidth="1"/>
    <col min="2589" max="2589" width="12.140625" style="1258" customWidth="1"/>
    <col min="2590" max="2603" width="2.85546875" style="1258" customWidth="1"/>
    <col min="2604" max="2604" width="22.28515625" style="1258" customWidth="1"/>
    <col min="2605" max="2605" width="9.42578125" style="1258" customWidth="1"/>
    <col min="2606" max="2606" width="8.42578125" style="1258" customWidth="1"/>
    <col min="2607" max="2607" width="9.42578125" style="1258" customWidth="1"/>
    <col min="2608" max="2608" width="7.5703125" style="1258" customWidth="1"/>
    <col min="2609" max="2609" width="7.85546875" style="1258" bestFit="1" customWidth="1"/>
    <col min="2610" max="2610" width="10.28515625" style="1258" bestFit="1" customWidth="1"/>
    <col min="2611" max="2611" width="4.85546875" style="1258" customWidth="1"/>
    <col min="2612" max="2612" width="21.85546875" style="1258" bestFit="1" customWidth="1"/>
    <col min="2613" max="2613" width="8.85546875" style="1258" customWidth="1"/>
    <col min="2614" max="2614" width="7.5703125" style="1258" bestFit="1" customWidth="1"/>
    <col min="2615" max="2615" width="4.5703125" style="1258" customWidth="1"/>
    <col min="2616" max="2827" width="9.42578125" style="1258"/>
    <col min="2828" max="2828" width="2.42578125" style="1258" customWidth="1"/>
    <col min="2829" max="2829" width="29.7109375" style="1258" customWidth="1"/>
    <col min="2830" max="2830" width="9.28515625" style="1258" bestFit="1" customWidth="1"/>
    <col min="2831" max="2831" width="10.28515625" style="1258" customWidth="1"/>
    <col min="2832" max="2832" width="8.140625" style="1258" bestFit="1" customWidth="1"/>
    <col min="2833" max="2833" width="9.85546875" style="1258" bestFit="1" customWidth="1"/>
    <col min="2834" max="2834" width="9" style="1258" customWidth="1"/>
    <col min="2835" max="2835" width="11.7109375" style="1258" customWidth="1"/>
    <col min="2836" max="2836" width="12.42578125" style="1258" customWidth="1"/>
    <col min="2837" max="2837" width="2.85546875" style="1258" customWidth="1"/>
    <col min="2838" max="2838" width="29.85546875" style="1258" customWidth="1"/>
    <col min="2839" max="2839" width="9" style="1258" customWidth="1"/>
    <col min="2840" max="2840" width="10.85546875" style="1258" customWidth="1"/>
    <col min="2841" max="2841" width="8" style="1258" bestFit="1" customWidth="1"/>
    <col min="2842" max="2842" width="9" style="1258" bestFit="1" customWidth="1"/>
    <col min="2843" max="2843" width="11" style="1258" bestFit="1" customWidth="1"/>
    <col min="2844" max="2844" width="12.5703125" style="1258" bestFit="1" customWidth="1"/>
    <col min="2845" max="2845" width="12.140625" style="1258" customWidth="1"/>
    <col min="2846" max="2859" width="2.85546875" style="1258" customWidth="1"/>
    <col min="2860" max="2860" width="22.28515625" style="1258" customWidth="1"/>
    <col min="2861" max="2861" width="9.42578125" style="1258" customWidth="1"/>
    <col min="2862" max="2862" width="8.42578125" style="1258" customWidth="1"/>
    <col min="2863" max="2863" width="9.42578125" style="1258" customWidth="1"/>
    <col min="2864" max="2864" width="7.5703125" style="1258" customWidth="1"/>
    <col min="2865" max="2865" width="7.85546875" style="1258" bestFit="1" customWidth="1"/>
    <col min="2866" max="2866" width="10.28515625" style="1258" bestFit="1" customWidth="1"/>
    <col min="2867" max="2867" width="4.85546875" style="1258" customWidth="1"/>
    <col min="2868" max="2868" width="21.85546875" style="1258" bestFit="1" customWidth="1"/>
    <col min="2869" max="2869" width="8.85546875" style="1258" customWidth="1"/>
    <col min="2870" max="2870" width="7.5703125" style="1258" bestFit="1" customWidth="1"/>
    <col min="2871" max="2871" width="4.5703125" style="1258" customWidth="1"/>
    <col min="2872" max="3083" width="9.42578125" style="1258"/>
    <col min="3084" max="3084" width="2.42578125" style="1258" customWidth="1"/>
    <col min="3085" max="3085" width="29.7109375" style="1258" customWidth="1"/>
    <col min="3086" max="3086" width="9.28515625" style="1258" bestFit="1" customWidth="1"/>
    <col min="3087" max="3087" width="10.28515625" style="1258" customWidth="1"/>
    <col min="3088" max="3088" width="8.140625" style="1258" bestFit="1" customWidth="1"/>
    <col min="3089" max="3089" width="9.85546875" style="1258" bestFit="1" customWidth="1"/>
    <col min="3090" max="3090" width="9" style="1258" customWidth="1"/>
    <col min="3091" max="3091" width="11.7109375" style="1258" customWidth="1"/>
    <col min="3092" max="3092" width="12.42578125" style="1258" customWidth="1"/>
    <col min="3093" max="3093" width="2.85546875" style="1258" customWidth="1"/>
    <col min="3094" max="3094" width="29.85546875" style="1258" customWidth="1"/>
    <col min="3095" max="3095" width="9" style="1258" customWidth="1"/>
    <col min="3096" max="3096" width="10.85546875" style="1258" customWidth="1"/>
    <col min="3097" max="3097" width="8" style="1258" bestFit="1" customWidth="1"/>
    <col min="3098" max="3098" width="9" style="1258" bestFit="1" customWidth="1"/>
    <col min="3099" max="3099" width="11" style="1258" bestFit="1" customWidth="1"/>
    <col min="3100" max="3100" width="12.5703125" style="1258" bestFit="1" customWidth="1"/>
    <col min="3101" max="3101" width="12.140625" style="1258" customWidth="1"/>
    <col min="3102" max="3115" width="2.85546875" style="1258" customWidth="1"/>
    <col min="3116" max="3116" width="22.28515625" style="1258" customWidth="1"/>
    <col min="3117" max="3117" width="9.42578125" style="1258" customWidth="1"/>
    <col min="3118" max="3118" width="8.42578125" style="1258" customWidth="1"/>
    <col min="3119" max="3119" width="9.42578125" style="1258" customWidth="1"/>
    <col min="3120" max="3120" width="7.5703125" style="1258" customWidth="1"/>
    <col min="3121" max="3121" width="7.85546875" style="1258" bestFit="1" customWidth="1"/>
    <col min="3122" max="3122" width="10.28515625" style="1258" bestFit="1" customWidth="1"/>
    <col min="3123" max="3123" width="4.85546875" style="1258" customWidth="1"/>
    <col min="3124" max="3124" width="21.85546875" style="1258" bestFit="1" customWidth="1"/>
    <col min="3125" max="3125" width="8.85546875" style="1258" customWidth="1"/>
    <col min="3126" max="3126" width="7.5703125" style="1258" bestFit="1" customWidth="1"/>
    <col min="3127" max="3127" width="4.5703125" style="1258" customWidth="1"/>
    <col min="3128" max="3339" width="9.42578125" style="1258"/>
    <col min="3340" max="3340" width="2.42578125" style="1258" customWidth="1"/>
    <col min="3341" max="3341" width="29.7109375" style="1258" customWidth="1"/>
    <col min="3342" max="3342" width="9.28515625" style="1258" bestFit="1" customWidth="1"/>
    <col min="3343" max="3343" width="10.28515625" style="1258" customWidth="1"/>
    <col min="3344" max="3344" width="8.140625" style="1258" bestFit="1" customWidth="1"/>
    <col min="3345" max="3345" width="9.85546875" style="1258" bestFit="1" customWidth="1"/>
    <col min="3346" max="3346" width="9" style="1258" customWidth="1"/>
    <col min="3347" max="3347" width="11.7109375" style="1258" customWidth="1"/>
    <col min="3348" max="3348" width="12.42578125" style="1258" customWidth="1"/>
    <col min="3349" max="3349" width="2.85546875" style="1258" customWidth="1"/>
    <col min="3350" max="3350" width="29.85546875" style="1258" customWidth="1"/>
    <col min="3351" max="3351" width="9" style="1258" customWidth="1"/>
    <col min="3352" max="3352" width="10.85546875" style="1258" customWidth="1"/>
    <col min="3353" max="3353" width="8" style="1258" bestFit="1" customWidth="1"/>
    <col min="3354" max="3354" width="9" style="1258" bestFit="1" customWidth="1"/>
    <col min="3355" max="3355" width="11" style="1258" bestFit="1" customWidth="1"/>
    <col min="3356" max="3356" width="12.5703125" style="1258" bestFit="1" customWidth="1"/>
    <col min="3357" max="3357" width="12.140625" style="1258" customWidth="1"/>
    <col min="3358" max="3371" width="2.85546875" style="1258" customWidth="1"/>
    <col min="3372" max="3372" width="22.28515625" style="1258" customWidth="1"/>
    <col min="3373" max="3373" width="9.42578125" style="1258" customWidth="1"/>
    <col min="3374" max="3374" width="8.42578125" style="1258" customWidth="1"/>
    <col min="3375" max="3375" width="9.42578125" style="1258" customWidth="1"/>
    <col min="3376" max="3376" width="7.5703125" style="1258" customWidth="1"/>
    <col min="3377" max="3377" width="7.85546875" style="1258" bestFit="1" customWidth="1"/>
    <col min="3378" max="3378" width="10.28515625" style="1258" bestFit="1" customWidth="1"/>
    <col min="3379" max="3379" width="4.85546875" style="1258" customWidth="1"/>
    <col min="3380" max="3380" width="21.85546875" style="1258" bestFit="1" customWidth="1"/>
    <col min="3381" max="3381" width="8.85546875" style="1258" customWidth="1"/>
    <col min="3382" max="3382" width="7.5703125" style="1258" bestFit="1" customWidth="1"/>
    <col min="3383" max="3383" width="4.5703125" style="1258" customWidth="1"/>
    <col min="3384" max="3595" width="9.42578125" style="1258"/>
    <col min="3596" max="3596" width="2.42578125" style="1258" customWidth="1"/>
    <col min="3597" max="3597" width="29.7109375" style="1258" customWidth="1"/>
    <col min="3598" max="3598" width="9.28515625" style="1258" bestFit="1" customWidth="1"/>
    <col min="3599" max="3599" width="10.28515625" style="1258" customWidth="1"/>
    <col min="3600" max="3600" width="8.140625" style="1258" bestFit="1" customWidth="1"/>
    <col min="3601" max="3601" width="9.85546875" style="1258" bestFit="1" customWidth="1"/>
    <col min="3602" max="3602" width="9" style="1258" customWidth="1"/>
    <col min="3603" max="3603" width="11.7109375" style="1258" customWidth="1"/>
    <col min="3604" max="3604" width="12.42578125" style="1258" customWidth="1"/>
    <col min="3605" max="3605" width="2.85546875" style="1258" customWidth="1"/>
    <col min="3606" max="3606" width="29.85546875" style="1258" customWidth="1"/>
    <col min="3607" max="3607" width="9" style="1258" customWidth="1"/>
    <col min="3608" max="3608" width="10.85546875" style="1258" customWidth="1"/>
    <col min="3609" max="3609" width="8" style="1258" bestFit="1" customWidth="1"/>
    <col min="3610" max="3610" width="9" style="1258" bestFit="1" customWidth="1"/>
    <col min="3611" max="3611" width="11" style="1258" bestFit="1" customWidth="1"/>
    <col min="3612" max="3612" width="12.5703125" style="1258" bestFit="1" customWidth="1"/>
    <col min="3613" max="3613" width="12.140625" style="1258" customWidth="1"/>
    <col min="3614" max="3627" width="2.85546875" style="1258" customWidth="1"/>
    <col min="3628" max="3628" width="22.28515625" style="1258" customWidth="1"/>
    <col min="3629" max="3629" width="9.42578125" style="1258" customWidth="1"/>
    <col min="3630" max="3630" width="8.42578125" style="1258" customWidth="1"/>
    <col min="3631" max="3631" width="9.42578125" style="1258" customWidth="1"/>
    <col min="3632" max="3632" width="7.5703125" style="1258" customWidth="1"/>
    <col min="3633" max="3633" width="7.85546875" style="1258" bestFit="1" customWidth="1"/>
    <col min="3634" max="3634" width="10.28515625" style="1258" bestFit="1" customWidth="1"/>
    <col min="3635" max="3635" width="4.85546875" style="1258" customWidth="1"/>
    <col min="3636" max="3636" width="21.85546875" style="1258" bestFit="1" customWidth="1"/>
    <col min="3637" max="3637" width="8.85546875" style="1258" customWidth="1"/>
    <col min="3638" max="3638" width="7.5703125" style="1258" bestFit="1" customWidth="1"/>
    <col min="3639" max="3639" width="4.5703125" style="1258" customWidth="1"/>
    <col min="3640" max="3851" width="9.42578125" style="1258"/>
    <col min="3852" max="3852" width="2.42578125" style="1258" customWidth="1"/>
    <col min="3853" max="3853" width="29.7109375" style="1258" customWidth="1"/>
    <col min="3854" max="3854" width="9.28515625" style="1258" bestFit="1" customWidth="1"/>
    <col min="3855" max="3855" width="10.28515625" style="1258" customWidth="1"/>
    <col min="3856" max="3856" width="8.140625" style="1258" bestFit="1" customWidth="1"/>
    <col min="3857" max="3857" width="9.85546875" style="1258" bestFit="1" customWidth="1"/>
    <col min="3858" max="3858" width="9" style="1258" customWidth="1"/>
    <col min="3859" max="3859" width="11.7109375" style="1258" customWidth="1"/>
    <col min="3860" max="3860" width="12.42578125" style="1258" customWidth="1"/>
    <col min="3861" max="3861" width="2.85546875" style="1258" customWidth="1"/>
    <col min="3862" max="3862" width="29.85546875" style="1258" customWidth="1"/>
    <col min="3863" max="3863" width="9" style="1258" customWidth="1"/>
    <col min="3864" max="3864" width="10.85546875" style="1258" customWidth="1"/>
    <col min="3865" max="3865" width="8" style="1258" bestFit="1" customWidth="1"/>
    <col min="3866" max="3866" width="9" style="1258" bestFit="1" customWidth="1"/>
    <col min="3867" max="3867" width="11" style="1258" bestFit="1" customWidth="1"/>
    <col min="3868" max="3868" width="12.5703125" style="1258" bestFit="1" customWidth="1"/>
    <col min="3869" max="3869" width="12.140625" style="1258" customWidth="1"/>
    <col min="3870" max="3883" width="2.85546875" style="1258" customWidth="1"/>
    <col min="3884" max="3884" width="22.28515625" style="1258" customWidth="1"/>
    <col min="3885" max="3885" width="9.42578125" style="1258" customWidth="1"/>
    <col min="3886" max="3886" width="8.42578125" style="1258" customWidth="1"/>
    <col min="3887" max="3887" width="9.42578125" style="1258" customWidth="1"/>
    <col min="3888" max="3888" width="7.5703125" style="1258" customWidth="1"/>
    <col min="3889" max="3889" width="7.85546875" style="1258" bestFit="1" customWidth="1"/>
    <col min="3890" max="3890" width="10.28515625" style="1258" bestFit="1" customWidth="1"/>
    <col min="3891" max="3891" width="4.85546875" style="1258" customWidth="1"/>
    <col min="3892" max="3892" width="21.85546875" style="1258" bestFit="1" customWidth="1"/>
    <col min="3893" max="3893" width="8.85546875" style="1258" customWidth="1"/>
    <col min="3894" max="3894" width="7.5703125" style="1258" bestFit="1" customWidth="1"/>
    <col min="3895" max="3895" width="4.5703125" style="1258" customWidth="1"/>
    <col min="3896" max="4107" width="9.42578125" style="1258"/>
    <col min="4108" max="4108" width="2.42578125" style="1258" customWidth="1"/>
    <col min="4109" max="4109" width="29.7109375" style="1258" customWidth="1"/>
    <col min="4110" max="4110" width="9.28515625" style="1258" bestFit="1" customWidth="1"/>
    <col min="4111" max="4111" width="10.28515625" style="1258" customWidth="1"/>
    <col min="4112" max="4112" width="8.140625" style="1258" bestFit="1" customWidth="1"/>
    <col min="4113" max="4113" width="9.85546875" style="1258" bestFit="1" customWidth="1"/>
    <col min="4114" max="4114" width="9" style="1258" customWidth="1"/>
    <col min="4115" max="4115" width="11.7109375" style="1258" customWidth="1"/>
    <col min="4116" max="4116" width="12.42578125" style="1258" customWidth="1"/>
    <col min="4117" max="4117" width="2.85546875" style="1258" customWidth="1"/>
    <col min="4118" max="4118" width="29.85546875" style="1258" customWidth="1"/>
    <col min="4119" max="4119" width="9" style="1258" customWidth="1"/>
    <col min="4120" max="4120" width="10.85546875" style="1258" customWidth="1"/>
    <col min="4121" max="4121" width="8" style="1258" bestFit="1" customWidth="1"/>
    <col min="4122" max="4122" width="9" style="1258" bestFit="1" customWidth="1"/>
    <col min="4123" max="4123" width="11" style="1258" bestFit="1" customWidth="1"/>
    <col min="4124" max="4124" width="12.5703125" style="1258" bestFit="1" customWidth="1"/>
    <col min="4125" max="4125" width="12.140625" style="1258" customWidth="1"/>
    <col min="4126" max="4139" width="2.85546875" style="1258" customWidth="1"/>
    <col min="4140" max="4140" width="22.28515625" style="1258" customWidth="1"/>
    <col min="4141" max="4141" width="9.42578125" style="1258" customWidth="1"/>
    <col min="4142" max="4142" width="8.42578125" style="1258" customWidth="1"/>
    <col min="4143" max="4143" width="9.42578125" style="1258" customWidth="1"/>
    <col min="4144" max="4144" width="7.5703125" style="1258" customWidth="1"/>
    <col min="4145" max="4145" width="7.85546875" style="1258" bestFit="1" customWidth="1"/>
    <col min="4146" max="4146" width="10.28515625" style="1258" bestFit="1" customWidth="1"/>
    <col min="4147" max="4147" width="4.85546875" style="1258" customWidth="1"/>
    <col min="4148" max="4148" width="21.85546875" style="1258" bestFit="1" customWidth="1"/>
    <col min="4149" max="4149" width="8.85546875" style="1258" customWidth="1"/>
    <col min="4150" max="4150" width="7.5703125" style="1258" bestFit="1" customWidth="1"/>
    <col min="4151" max="4151" width="4.5703125" style="1258" customWidth="1"/>
    <col min="4152" max="4363" width="9.42578125" style="1258"/>
    <col min="4364" max="4364" width="2.42578125" style="1258" customWidth="1"/>
    <col min="4365" max="4365" width="29.7109375" style="1258" customWidth="1"/>
    <col min="4366" max="4366" width="9.28515625" style="1258" bestFit="1" customWidth="1"/>
    <col min="4367" max="4367" width="10.28515625" style="1258" customWidth="1"/>
    <col min="4368" max="4368" width="8.140625" style="1258" bestFit="1" customWidth="1"/>
    <col min="4369" max="4369" width="9.85546875" style="1258" bestFit="1" customWidth="1"/>
    <col min="4370" max="4370" width="9" style="1258" customWidth="1"/>
    <col min="4371" max="4371" width="11.7109375" style="1258" customWidth="1"/>
    <col min="4372" max="4372" width="12.42578125" style="1258" customWidth="1"/>
    <col min="4373" max="4373" width="2.85546875" style="1258" customWidth="1"/>
    <col min="4374" max="4374" width="29.85546875" style="1258" customWidth="1"/>
    <col min="4375" max="4375" width="9" style="1258" customWidth="1"/>
    <col min="4376" max="4376" width="10.85546875" style="1258" customWidth="1"/>
    <col min="4377" max="4377" width="8" style="1258" bestFit="1" customWidth="1"/>
    <col min="4378" max="4378" width="9" style="1258" bestFit="1" customWidth="1"/>
    <col min="4379" max="4379" width="11" style="1258" bestFit="1" customWidth="1"/>
    <col min="4380" max="4380" width="12.5703125" style="1258" bestFit="1" customWidth="1"/>
    <col min="4381" max="4381" width="12.140625" style="1258" customWidth="1"/>
    <col min="4382" max="4395" width="2.85546875" style="1258" customWidth="1"/>
    <col min="4396" max="4396" width="22.28515625" style="1258" customWidth="1"/>
    <col min="4397" max="4397" width="9.42578125" style="1258" customWidth="1"/>
    <col min="4398" max="4398" width="8.42578125" style="1258" customWidth="1"/>
    <col min="4399" max="4399" width="9.42578125" style="1258" customWidth="1"/>
    <col min="4400" max="4400" width="7.5703125" style="1258" customWidth="1"/>
    <col min="4401" max="4401" width="7.85546875" style="1258" bestFit="1" customWidth="1"/>
    <col min="4402" max="4402" width="10.28515625" style="1258" bestFit="1" customWidth="1"/>
    <col min="4403" max="4403" width="4.85546875" style="1258" customWidth="1"/>
    <col min="4404" max="4404" width="21.85546875" style="1258" bestFit="1" customWidth="1"/>
    <col min="4405" max="4405" width="8.85546875" style="1258" customWidth="1"/>
    <col min="4406" max="4406" width="7.5703125" style="1258" bestFit="1" customWidth="1"/>
    <col min="4407" max="4407" width="4.5703125" style="1258" customWidth="1"/>
    <col min="4408" max="4619" width="9.42578125" style="1258"/>
    <col min="4620" max="4620" width="2.42578125" style="1258" customWidth="1"/>
    <col min="4621" max="4621" width="29.7109375" style="1258" customWidth="1"/>
    <col min="4622" max="4622" width="9.28515625" style="1258" bestFit="1" customWidth="1"/>
    <col min="4623" max="4623" width="10.28515625" style="1258" customWidth="1"/>
    <col min="4624" max="4624" width="8.140625" style="1258" bestFit="1" customWidth="1"/>
    <col min="4625" max="4625" width="9.85546875" style="1258" bestFit="1" customWidth="1"/>
    <col min="4626" max="4626" width="9" style="1258" customWidth="1"/>
    <col min="4627" max="4627" width="11.7109375" style="1258" customWidth="1"/>
    <col min="4628" max="4628" width="12.42578125" style="1258" customWidth="1"/>
    <col min="4629" max="4629" width="2.85546875" style="1258" customWidth="1"/>
    <col min="4630" max="4630" width="29.85546875" style="1258" customWidth="1"/>
    <col min="4631" max="4631" width="9" style="1258" customWidth="1"/>
    <col min="4632" max="4632" width="10.85546875" style="1258" customWidth="1"/>
    <col min="4633" max="4633" width="8" style="1258" bestFit="1" customWidth="1"/>
    <col min="4634" max="4634" width="9" style="1258" bestFit="1" customWidth="1"/>
    <col min="4635" max="4635" width="11" style="1258" bestFit="1" customWidth="1"/>
    <col min="4636" max="4636" width="12.5703125" style="1258" bestFit="1" customWidth="1"/>
    <col min="4637" max="4637" width="12.140625" style="1258" customWidth="1"/>
    <col min="4638" max="4651" width="2.85546875" style="1258" customWidth="1"/>
    <col min="4652" max="4652" width="22.28515625" style="1258" customWidth="1"/>
    <col min="4653" max="4653" width="9.42578125" style="1258" customWidth="1"/>
    <col min="4654" max="4654" width="8.42578125" style="1258" customWidth="1"/>
    <col min="4655" max="4655" width="9.42578125" style="1258" customWidth="1"/>
    <col min="4656" max="4656" width="7.5703125" style="1258" customWidth="1"/>
    <col min="4657" max="4657" width="7.85546875" style="1258" bestFit="1" customWidth="1"/>
    <col min="4658" max="4658" width="10.28515625" style="1258" bestFit="1" customWidth="1"/>
    <col min="4659" max="4659" width="4.85546875" style="1258" customWidth="1"/>
    <col min="4660" max="4660" width="21.85546875" style="1258" bestFit="1" customWidth="1"/>
    <col min="4661" max="4661" width="8.85546875" style="1258" customWidth="1"/>
    <col min="4662" max="4662" width="7.5703125" style="1258" bestFit="1" customWidth="1"/>
    <col min="4663" max="4663" width="4.5703125" style="1258" customWidth="1"/>
    <col min="4664" max="4875" width="9.42578125" style="1258"/>
    <col min="4876" max="4876" width="2.42578125" style="1258" customWidth="1"/>
    <col min="4877" max="4877" width="29.7109375" style="1258" customWidth="1"/>
    <col min="4878" max="4878" width="9.28515625" style="1258" bestFit="1" customWidth="1"/>
    <col min="4879" max="4879" width="10.28515625" style="1258" customWidth="1"/>
    <col min="4880" max="4880" width="8.140625" style="1258" bestFit="1" customWidth="1"/>
    <col min="4881" max="4881" width="9.85546875" style="1258" bestFit="1" customWidth="1"/>
    <col min="4882" max="4882" width="9" style="1258" customWidth="1"/>
    <col min="4883" max="4883" width="11.7109375" style="1258" customWidth="1"/>
    <col min="4884" max="4884" width="12.42578125" style="1258" customWidth="1"/>
    <col min="4885" max="4885" width="2.85546875" style="1258" customWidth="1"/>
    <col min="4886" max="4886" width="29.85546875" style="1258" customWidth="1"/>
    <col min="4887" max="4887" width="9" style="1258" customWidth="1"/>
    <col min="4888" max="4888" width="10.85546875" style="1258" customWidth="1"/>
    <col min="4889" max="4889" width="8" style="1258" bestFit="1" customWidth="1"/>
    <col min="4890" max="4890" width="9" style="1258" bestFit="1" customWidth="1"/>
    <col min="4891" max="4891" width="11" style="1258" bestFit="1" customWidth="1"/>
    <col min="4892" max="4892" width="12.5703125" style="1258" bestFit="1" customWidth="1"/>
    <col min="4893" max="4893" width="12.140625" style="1258" customWidth="1"/>
    <col min="4894" max="4907" width="2.85546875" style="1258" customWidth="1"/>
    <col min="4908" max="4908" width="22.28515625" style="1258" customWidth="1"/>
    <col min="4909" max="4909" width="9.42578125" style="1258" customWidth="1"/>
    <col min="4910" max="4910" width="8.42578125" style="1258" customWidth="1"/>
    <col min="4911" max="4911" width="9.42578125" style="1258" customWidth="1"/>
    <col min="4912" max="4912" width="7.5703125" style="1258" customWidth="1"/>
    <col min="4913" max="4913" width="7.85546875" style="1258" bestFit="1" customWidth="1"/>
    <col min="4914" max="4914" width="10.28515625" style="1258" bestFit="1" customWidth="1"/>
    <col min="4915" max="4915" width="4.85546875" style="1258" customWidth="1"/>
    <col min="4916" max="4916" width="21.85546875" style="1258" bestFit="1" customWidth="1"/>
    <col min="4917" max="4917" width="8.85546875" style="1258" customWidth="1"/>
    <col min="4918" max="4918" width="7.5703125" style="1258" bestFit="1" customWidth="1"/>
    <col min="4919" max="4919" width="4.5703125" style="1258" customWidth="1"/>
    <col min="4920" max="5131" width="9.42578125" style="1258"/>
    <col min="5132" max="5132" width="2.42578125" style="1258" customWidth="1"/>
    <col min="5133" max="5133" width="29.7109375" style="1258" customWidth="1"/>
    <col min="5134" max="5134" width="9.28515625" style="1258" bestFit="1" customWidth="1"/>
    <col min="5135" max="5135" width="10.28515625" style="1258" customWidth="1"/>
    <col min="5136" max="5136" width="8.140625" style="1258" bestFit="1" customWidth="1"/>
    <col min="5137" max="5137" width="9.85546875" style="1258" bestFit="1" customWidth="1"/>
    <col min="5138" max="5138" width="9" style="1258" customWidth="1"/>
    <col min="5139" max="5139" width="11.7109375" style="1258" customWidth="1"/>
    <col min="5140" max="5140" width="12.42578125" style="1258" customWidth="1"/>
    <col min="5141" max="5141" width="2.85546875" style="1258" customWidth="1"/>
    <col min="5142" max="5142" width="29.85546875" style="1258" customWidth="1"/>
    <col min="5143" max="5143" width="9" style="1258" customWidth="1"/>
    <col min="5144" max="5144" width="10.85546875" style="1258" customWidth="1"/>
    <col min="5145" max="5145" width="8" style="1258" bestFit="1" customWidth="1"/>
    <col min="5146" max="5146" width="9" style="1258" bestFit="1" customWidth="1"/>
    <col min="5147" max="5147" width="11" style="1258" bestFit="1" customWidth="1"/>
    <col min="5148" max="5148" width="12.5703125" style="1258" bestFit="1" customWidth="1"/>
    <col min="5149" max="5149" width="12.140625" style="1258" customWidth="1"/>
    <col min="5150" max="5163" width="2.85546875" style="1258" customWidth="1"/>
    <col min="5164" max="5164" width="22.28515625" style="1258" customWidth="1"/>
    <col min="5165" max="5165" width="9.42578125" style="1258" customWidth="1"/>
    <col min="5166" max="5166" width="8.42578125" style="1258" customWidth="1"/>
    <col min="5167" max="5167" width="9.42578125" style="1258" customWidth="1"/>
    <col min="5168" max="5168" width="7.5703125" style="1258" customWidth="1"/>
    <col min="5169" max="5169" width="7.85546875" style="1258" bestFit="1" customWidth="1"/>
    <col min="5170" max="5170" width="10.28515625" style="1258" bestFit="1" customWidth="1"/>
    <col min="5171" max="5171" width="4.85546875" style="1258" customWidth="1"/>
    <col min="5172" max="5172" width="21.85546875" style="1258" bestFit="1" customWidth="1"/>
    <col min="5173" max="5173" width="8.85546875" style="1258" customWidth="1"/>
    <col min="5174" max="5174" width="7.5703125" style="1258" bestFit="1" customWidth="1"/>
    <col min="5175" max="5175" width="4.5703125" style="1258" customWidth="1"/>
    <col min="5176" max="5387" width="9.42578125" style="1258"/>
    <col min="5388" max="5388" width="2.42578125" style="1258" customWidth="1"/>
    <col min="5389" max="5389" width="29.7109375" style="1258" customWidth="1"/>
    <col min="5390" max="5390" width="9.28515625" style="1258" bestFit="1" customWidth="1"/>
    <col min="5391" max="5391" width="10.28515625" style="1258" customWidth="1"/>
    <col min="5392" max="5392" width="8.140625" style="1258" bestFit="1" customWidth="1"/>
    <col min="5393" max="5393" width="9.85546875" style="1258" bestFit="1" customWidth="1"/>
    <col min="5394" max="5394" width="9" style="1258" customWidth="1"/>
    <col min="5395" max="5395" width="11.7109375" style="1258" customWidth="1"/>
    <col min="5396" max="5396" width="12.42578125" style="1258" customWidth="1"/>
    <col min="5397" max="5397" width="2.85546875" style="1258" customWidth="1"/>
    <col min="5398" max="5398" width="29.85546875" style="1258" customWidth="1"/>
    <col min="5399" max="5399" width="9" style="1258" customWidth="1"/>
    <col min="5400" max="5400" width="10.85546875" style="1258" customWidth="1"/>
    <col min="5401" max="5401" width="8" style="1258" bestFit="1" customWidth="1"/>
    <col min="5402" max="5402" width="9" style="1258" bestFit="1" customWidth="1"/>
    <col min="5403" max="5403" width="11" style="1258" bestFit="1" customWidth="1"/>
    <col min="5404" max="5404" width="12.5703125" style="1258" bestFit="1" customWidth="1"/>
    <col min="5405" max="5405" width="12.140625" style="1258" customWidth="1"/>
    <col min="5406" max="5419" width="2.85546875" style="1258" customWidth="1"/>
    <col min="5420" max="5420" width="22.28515625" style="1258" customWidth="1"/>
    <col min="5421" max="5421" width="9.42578125" style="1258" customWidth="1"/>
    <col min="5422" max="5422" width="8.42578125" style="1258" customWidth="1"/>
    <col min="5423" max="5423" width="9.42578125" style="1258" customWidth="1"/>
    <col min="5424" max="5424" width="7.5703125" style="1258" customWidth="1"/>
    <col min="5425" max="5425" width="7.85546875" style="1258" bestFit="1" customWidth="1"/>
    <col min="5426" max="5426" width="10.28515625" style="1258" bestFit="1" customWidth="1"/>
    <col min="5427" max="5427" width="4.85546875" style="1258" customWidth="1"/>
    <col min="5428" max="5428" width="21.85546875" style="1258" bestFit="1" customWidth="1"/>
    <col min="5429" max="5429" width="8.85546875" style="1258" customWidth="1"/>
    <col min="5430" max="5430" width="7.5703125" style="1258" bestFit="1" customWidth="1"/>
    <col min="5431" max="5431" width="4.5703125" style="1258" customWidth="1"/>
    <col min="5432" max="5643" width="9.42578125" style="1258"/>
    <col min="5644" max="5644" width="2.42578125" style="1258" customWidth="1"/>
    <col min="5645" max="5645" width="29.7109375" style="1258" customWidth="1"/>
    <col min="5646" max="5646" width="9.28515625" style="1258" bestFit="1" customWidth="1"/>
    <col min="5647" max="5647" width="10.28515625" style="1258" customWidth="1"/>
    <col min="5648" max="5648" width="8.140625" style="1258" bestFit="1" customWidth="1"/>
    <col min="5649" max="5649" width="9.85546875" style="1258" bestFit="1" customWidth="1"/>
    <col min="5650" max="5650" width="9" style="1258" customWidth="1"/>
    <col min="5651" max="5651" width="11.7109375" style="1258" customWidth="1"/>
    <col min="5652" max="5652" width="12.42578125" style="1258" customWidth="1"/>
    <col min="5653" max="5653" width="2.85546875" style="1258" customWidth="1"/>
    <col min="5654" max="5654" width="29.85546875" style="1258" customWidth="1"/>
    <col min="5655" max="5655" width="9" style="1258" customWidth="1"/>
    <col min="5656" max="5656" width="10.85546875" style="1258" customWidth="1"/>
    <col min="5657" max="5657" width="8" style="1258" bestFit="1" customWidth="1"/>
    <col min="5658" max="5658" width="9" style="1258" bestFit="1" customWidth="1"/>
    <col min="5659" max="5659" width="11" style="1258" bestFit="1" customWidth="1"/>
    <col min="5660" max="5660" width="12.5703125" style="1258" bestFit="1" customWidth="1"/>
    <col min="5661" max="5661" width="12.140625" style="1258" customWidth="1"/>
    <col min="5662" max="5675" width="2.85546875" style="1258" customWidth="1"/>
    <col min="5676" max="5676" width="22.28515625" style="1258" customWidth="1"/>
    <col min="5677" max="5677" width="9.42578125" style="1258" customWidth="1"/>
    <col min="5678" max="5678" width="8.42578125" style="1258" customWidth="1"/>
    <col min="5679" max="5679" width="9.42578125" style="1258" customWidth="1"/>
    <col min="5680" max="5680" width="7.5703125" style="1258" customWidth="1"/>
    <col min="5681" max="5681" width="7.85546875" style="1258" bestFit="1" customWidth="1"/>
    <col min="5682" max="5682" width="10.28515625" style="1258" bestFit="1" customWidth="1"/>
    <col min="5683" max="5683" width="4.85546875" style="1258" customWidth="1"/>
    <col min="5684" max="5684" width="21.85546875" style="1258" bestFit="1" customWidth="1"/>
    <col min="5685" max="5685" width="8.85546875" style="1258" customWidth="1"/>
    <col min="5686" max="5686" width="7.5703125" style="1258" bestFit="1" customWidth="1"/>
    <col min="5687" max="5687" width="4.5703125" style="1258" customWidth="1"/>
    <col min="5688" max="5899" width="9.42578125" style="1258"/>
    <col min="5900" max="5900" width="2.42578125" style="1258" customWidth="1"/>
    <col min="5901" max="5901" width="29.7109375" style="1258" customWidth="1"/>
    <col min="5902" max="5902" width="9.28515625" style="1258" bestFit="1" customWidth="1"/>
    <col min="5903" max="5903" width="10.28515625" style="1258" customWidth="1"/>
    <col min="5904" max="5904" width="8.140625" style="1258" bestFit="1" customWidth="1"/>
    <col min="5905" max="5905" width="9.85546875" style="1258" bestFit="1" customWidth="1"/>
    <col min="5906" max="5906" width="9" style="1258" customWidth="1"/>
    <col min="5907" max="5907" width="11.7109375" style="1258" customWidth="1"/>
    <col min="5908" max="5908" width="12.42578125" style="1258" customWidth="1"/>
    <col min="5909" max="5909" width="2.85546875" style="1258" customWidth="1"/>
    <col min="5910" max="5910" width="29.85546875" style="1258" customWidth="1"/>
    <col min="5911" max="5911" width="9" style="1258" customWidth="1"/>
    <col min="5912" max="5912" width="10.85546875" style="1258" customWidth="1"/>
    <col min="5913" max="5913" width="8" style="1258" bestFit="1" customWidth="1"/>
    <col min="5914" max="5914" width="9" style="1258" bestFit="1" customWidth="1"/>
    <col min="5915" max="5915" width="11" style="1258" bestFit="1" customWidth="1"/>
    <col min="5916" max="5916" width="12.5703125" style="1258" bestFit="1" customWidth="1"/>
    <col min="5917" max="5917" width="12.140625" style="1258" customWidth="1"/>
    <col min="5918" max="5931" width="2.85546875" style="1258" customWidth="1"/>
    <col min="5932" max="5932" width="22.28515625" style="1258" customWidth="1"/>
    <col min="5933" max="5933" width="9.42578125" style="1258" customWidth="1"/>
    <col min="5934" max="5934" width="8.42578125" style="1258" customWidth="1"/>
    <col min="5935" max="5935" width="9.42578125" style="1258" customWidth="1"/>
    <col min="5936" max="5936" width="7.5703125" style="1258" customWidth="1"/>
    <col min="5937" max="5937" width="7.85546875" style="1258" bestFit="1" customWidth="1"/>
    <col min="5938" max="5938" width="10.28515625" style="1258" bestFit="1" customWidth="1"/>
    <col min="5939" max="5939" width="4.85546875" style="1258" customWidth="1"/>
    <col min="5940" max="5940" width="21.85546875" style="1258" bestFit="1" customWidth="1"/>
    <col min="5941" max="5941" width="8.85546875" style="1258" customWidth="1"/>
    <col min="5942" max="5942" width="7.5703125" style="1258" bestFit="1" customWidth="1"/>
    <col min="5943" max="5943" width="4.5703125" style="1258" customWidth="1"/>
    <col min="5944" max="6155" width="9.42578125" style="1258"/>
    <col min="6156" max="6156" width="2.42578125" style="1258" customWidth="1"/>
    <col min="6157" max="6157" width="29.7109375" style="1258" customWidth="1"/>
    <col min="6158" max="6158" width="9.28515625" style="1258" bestFit="1" customWidth="1"/>
    <col min="6159" max="6159" width="10.28515625" style="1258" customWidth="1"/>
    <col min="6160" max="6160" width="8.140625" style="1258" bestFit="1" customWidth="1"/>
    <col min="6161" max="6161" width="9.85546875" style="1258" bestFit="1" customWidth="1"/>
    <col min="6162" max="6162" width="9" style="1258" customWidth="1"/>
    <col min="6163" max="6163" width="11.7109375" style="1258" customWidth="1"/>
    <col min="6164" max="6164" width="12.42578125" style="1258" customWidth="1"/>
    <col min="6165" max="6165" width="2.85546875" style="1258" customWidth="1"/>
    <col min="6166" max="6166" width="29.85546875" style="1258" customWidth="1"/>
    <col min="6167" max="6167" width="9" style="1258" customWidth="1"/>
    <col min="6168" max="6168" width="10.85546875" style="1258" customWidth="1"/>
    <col min="6169" max="6169" width="8" style="1258" bestFit="1" customWidth="1"/>
    <col min="6170" max="6170" width="9" style="1258" bestFit="1" customWidth="1"/>
    <col min="6171" max="6171" width="11" style="1258" bestFit="1" customWidth="1"/>
    <col min="6172" max="6172" width="12.5703125" style="1258" bestFit="1" customWidth="1"/>
    <col min="6173" max="6173" width="12.140625" style="1258" customWidth="1"/>
    <col min="6174" max="6187" width="2.85546875" style="1258" customWidth="1"/>
    <col min="6188" max="6188" width="22.28515625" style="1258" customWidth="1"/>
    <col min="6189" max="6189" width="9.42578125" style="1258" customWidth="1"/>
    <col min="6190" max="6190" width="8.42578125" style="1258" customWidth="1"/>
    <col min="6191" max="6191" width="9.42578125" style="1258" customWidth="1"/>
    <col min="6192" max="6192" width="7.5703125" style="1258" customWidth="1"/>
    <col min="6193" max="6193" width="7.85546875" style="1258" bestFit="1" customWidth="1"/>
    <col min="6194" max="6194" width="10.28515625" style="1258" bestFit="1" customWidth="1"/>
    <col min="6195" max="6195" width="4.85546875" style="1258" customWidth="1"/>
    <col min="6196" max="6196" width="21.85546875" style="1258" bestFit="1" customWidth="1"/>
    <col min="6197" max="6197" width="8.85546875" style="1258" customWidth="1"/>
    <col min="6198" max="6198" width="7.5703125" style="1258" bestFit="1" customWidth="1"/>
    <col min="6199" max="6199" width="4.5703125" style="1258" customWidth="1"/>
    <col min="6200" max="6411" width="9.42578125" style="1258"/>
    <col min="6412" max="6412" width="2.42578125" style="1258" customWidth="1"/>
    <col min="6413" max="6413" width="29.7109375" style="1258" customWidth="1"/>
    <col min="6414" max="6414" width="9.28515625" style="1258" bestFit="1" customWidth="1"/>
    <col min="6415" max="6415" width="10.28515625" style="1258" customWidth="1"/>
    <col min="6416" max="6416" width="8.140625" style="1258" bestFit="1" customWidth="1"/>
    <col min="6417" max="6417" width="9.85546875" style="1258" bestFit="1" customWidth="1"/>
    <col min="6418" max="6418" width="9" style="1258" customWidth="1"/>
    <col min="6419" max="6419" width="11.7109375" style="1258" customWidth="1"/>
    <col min="6420" max="6420" width="12.42578125" style="1258" customWidth="1"/>
    <col min="6421" max="6421" width="2.85546875" style="1258" customWidth="1"/>
    <col min="6422" max="6422" width="29.85546875" style="1258" customWidth="1"/>
    <col min="6423" max="6423" width="9" style="1258" customWidth="1"/>
    <col min="6424" max="6424" width="10.85546875" style="1258" customWidth="1"/>
    <col min="6425" max="6425" width="8" style="1258" bestFit="1" customWidth="1"/>
    <col min="6426" max="6426" width="9" style="1258" bestFit="1" customWidth="1"/>
    <col min="6427" max="6427" width="11" style="1258" bestFit="1" customWidth="1"/>
    <col min="6428" max="6428" width="12.5703125" style="1258" bestFit="1" customWidth="1"/>
    <col min="6429" max="6429" width="12.140625" style="1258" customWidth="1"/>
    <col min="6430" max="6443" width="2.85546875" style="1258" customWidth="1"/>
    <col min="6444" max="6444" width="22.28515625" style="1258" customWidth="1"/>
    <col min="6445" max="6445" width="9.42578125" style="1258" customWidth="1"/>
    <col min="6446" max="6446" width="8.42578125" style="1258" customWidth="1"/>
    <col min="6447" max="6447" width="9.42578125" style="1258" customWidth="1"/>
    <col min="6448" max="6448" width="7.5703125" style="1258" customWidth="1"/>
    <col min="6449" max="6449" width="7.85546875" style="1258" bestFit="1" customWidth="1"/>
    <col min="6450" max="6450" width="10.28515625" style="1258" bestFit="1" customWidth="1"/>
    <col min="6451" max="6451" width="4.85546875" style="1258" customWidth="1"/>
    <col min="6452" max="6452" width="21.85546875" style="1258" bestFit="1" customWidth="1"/>
    <col min="6453" max="6453" width="8.85546875" style="1258" customWidth="1"/>
    <col min="6454" max="6454" width="7.5703125" style="1258" bestFit="1" customWidth="1"/>
    <col min="6455" max="6455" width="4.5703125" style="1258" customWidth="1"/>
    <col min="6456" max="6667" width="9.42578125" style="1258"/>
    <col min="6668" max="6668" width="2.42578125" style="1258" customWidth="1"/>
    <col min="6669" max="6669" width="29.7109375" style="1258" customWidth="1"/>
    <col min="6670" max="6670" width="9.28515625" style="1258" bestFit="1" customWidth="1"/>
    <col min="6671" max="6671" width="10.28515625" style="1258" customWidth="1"/>
    <col min="6672" max="6672" width="8.140625" style="1258" bestFit="1" customWidth="1"/>
    <col min="6673" max="6673" width="9.85546875" style="1258" bestFit="1" customWidth="1"/>
    <col min="6674" max="6674" width="9" style="1258" customWidth="1"/>
    <col min="6675" max="6675" width="11.7109375" style="1258" customWidth="1"/>
    <col min="6676" max="6676" width="12.42578125" style="1258" customWidth="1"/>
    <col min="6677" max="6677" width="2.85546875" style="1258" customWidth="1"/>
    <col min="6678" max="6678" width="29.85546875" style="1258" customWidth="1"/>
    <col min="6679" max="6679" width="9" style="1258" customWidth="1"/>
    <col min="6680" max="6680" width="10.85546875" style="1258" customWidth="1"/>
    <col min="6681" max="6681" width="8" style="1258" bestFit="1" customWidth="1"/>
    <col min="6682" max="6682" width="9" style="1258" bestFit="1" customWidth="1"/>
    <col min="6683" max="6683" width="11" style="1258" bestFit="1" customWidth="1"/>
    <col min="6684" max="6684" width="12.5703125" style="1258" bestFit="1" customWidth="1"/>
    <col min="6685" max="6685" width="12.140625" style="1258" customWidth="1"/>
    <col min="6686" max="6699" width="2.85546875" style="1258" customWidth="1"/>
    <col min="6700" max="6700" width="22.28515625" style="1258" customWidth="1"/>
    <col min="6701" max="6701" width="9.42578125" style="1258" customWidth="1"/>
    <col min="6702" max="6702" width="8.42578125" style="1258" customWidth="1"/>
    <col min="6703" max="6703" width="9.42578125" style="1258" customWidth="1"/>
    <col min="6704" max="6704" width="7.5703125" style="1258" customWidth="1"/>
    <col min="6705" max="6705" width="7.85546875" style="1258" bestFit="1" customWidth="1"/>
    <col min="6706" max="6706" width="10.28515625" style="1258" bestFit="1" customWidth="1"/>
    <col min="6707" max="6707" width="4.85546875" style="1258" customWidth="1"/>
    <col min="6708" max="6708" width="21.85546875" style="1258" bestFit="1" customWidth="1"/>
    <col min="6709" max="6709" width="8.85546875" style="1258" customWidth="1"/>
    <col min="6710" max="6710" width="7.5703125" style="1258" bestFit="1" customWidth="1"/>
    <col min="6711" max="6711" width="4.5703125" style="1258" customWidth="1"/>
    <col min="6712" max="6923" width="9.42578125" style="1258"/>
    <col min="6924" max="6924" width="2.42578125" style="1258" customWidth="1"/>
    <col min="6925" max="6925" width="29.7109375" style="1258" customWidth="1"/>
    <col min="6926" max="6926" width="9.28515625" style="1258" bestFit="1" customWidth="1"/>
    <col min="6927" max="6927" width="10.28515625" style="1258" customWidth="1"/>
    <col min="6928" max="6928" width="8.140625" style="1258" bestFit="1" customWidth="1"/>
    <col min="6929" max="6929" width="9.85546875" style="1258" bestFit="1" customWidth="1"/>
    <col min="6930" max="6930" width="9" style="1258" customWidth="1"/>
    <col min="6931" max="6931" width="11.7109375" style="1258" customWidth="1"/>
    <col min="6932" max="6932" width="12.42578125" style="1258" customWidth="1"/>
    <col min="6933" max="6933" width="2.85546875" style="1258" customWidth="1"/>
    <col min="6934" max="6934" width="29.85546875" style="1258" customWidth="1"/>
    <col min="6935" max="6935" width="9" style="1258" customWidth="1"/>
    <col min="6936" max="6936" width="10.85546875" style="1258" customWidth="1"/>
    <col min="6937" max="6937" width="8" style="1258" bestFit="1" customWidth="1"/>
    <col min="6938" max="6938" width="9" style="1258" bestFit="1" customWidth="1"/>
    <col min="6939" max="6939" width="11" style="1258" bestFit="1" customWidth="1"/>
    <col min="6940" max="6940" width="12.5703125" style="1258" bestFit="1" customWidth="1"/>
    <col min="6941" max="6941" width="12.140625" style="1258" customWidth="1"/>
    <col min="6942" max="6955" width="2.85546875" style="1258" customWidth="1"/>
    <col min="6956" max="6956" width="22.28515625" style="1258" customWidth="1"/>
    <col min="6957" max="6957" width="9.42578125" style="1258" customWidth="1"/>
    <col min="6958" max="6958" width="8.42578125" style="1258" customWidth="1"/>
    <col min="6959" max="6959" width="9.42578125" style="1258" customWidth="1"/>
    <col min="6960" max="6960" width="7.5703125" style="1258" customWidth="1"/>
    <col min="6961" max="6961" width="7.85546875" style="1258" bestFit="1" customWidth="1"/>
    <col min="6962" max="6962" width="10.28515625" style="1258" bestFit="1" customWidth="1"/>
    <col min="6963" max="6963" width="4.85546875" style="1258" customWidth="1"/>
    <col min="6964" max="6964" width="21.85546875" style="1258" bestFit="1" customWidth="1"/>
    <col min="6965" max="6965" width="8.85546875" style="1258" customWidth="1"/>
    <col min="6966" max="6966" width="7.5703125" style="1258" bestFit="1" customWidth="1"/>
    <col min="6967" max="6967" width="4.5703125" style="1258" customWidth="1"/>
    <col min="6968" max="7179" width="9.42578125" style="1258"/>
    <col min="7180" max="7180" width="2.42578125" style="1258" customWidth="1"/>
    <col min="7181" max="7181" width="29.7109375" style="1258" customWidth="1"/>
    <col min="7182" max="7182" width="9.28515625" style="1258" bestFit="1" customWidth="1"/>
    <col min="7183" max="7183" width="10.28515625" style="1258" customWidth="1"/>
    <col min="7184" max="7184" width="8.140625" style="1258" bestFit="1" customWidth="1"/>
    <col min="7185" max="7185" width="9.85546875" style="1258" bestFit="1" customWidth="1"/>
    <col min="7186" max="7186" width="9" style="1258" customWidth="1"/>
    <col min="7187" max="7187" width="11.7109375" style="1258" customWidth="1"/>
    <col min="7188" max="7188" width="12.42578125" style="1258" customWidth="1"/>
    <col min="7189" max="7189" width="2.85546875" style="1258" customWidth="1"/>
    <col min="7190" max="7190" width="29.85546875" style="1258" customWidth="1"/>
    <col min="7191" max="7191" width="9" style="1258" customWidth="1"/>
    <col min="7192" max="7192" width="10.85546875" style="1258" customWidth="1"/>
    <col min="7193" max="7193" width="8" style="1258" bestFit="1" customWidth="1"/>
    <col min="7194" max="7194" width="9" style="1258" bestFit="1" customWidth="1"/>
    <col min="7195" max="7195" width="11" style="1258" bestFit="1" customWidth="1"/>
    <col min="7196" max="7196" width="12.5703125" style="1258" bestFit="1" customWidth="1"/>
    <col min="7197" max="7197" width="12.140625" style="1258" customWidth="1"/>
    <col min="7198" max="7211" width="2.85546875" style="1258" customWidth="1"/>
    <col min="7212" max="7212" width="22.28515625" style="1258" customWidth="1"/>
    <col min="7213" max="7213" width="9.42578125" style="1258" customWidth="1"/>
    <col min="7214" max="7214" width="8.42578125" style="1258" customWidth="1"/>
    <col min="7215" max="7215" width="9.42578125" style="1258" customWidth="1"/>
    <col min="7216" max="7216" width="7.5703125" style="1258" customWidth="1"/>
    <col min="7217" max="7217" width="7.85546875" style="1258" bestFit="1" customWidth="1"/>
    <col min="7218" max="7218" width="10.28515625" style="1258" bestFit="1" customWidth="1"/>
    <col min="7219" max="7219" width="4.85546875" style="1258" customWidth="1"/>
    <col min="7220" max="7220" width="21.85546875" style="1258" bestFit="1" customWidth="1"/>
    <col min="7221" max="7221" width="8.85546875" style="1258" customWidth="1"/>
    <col min="7222" max="7222" width="7.5703125" style="1258" bestFit="1" customWidth="1"/>
    <col min="7223" max="7223" width="4.5703125" style="1258" customWidth="1"/>
    <col min="7224" max="7435" width="9.42578125" style="1258"/>
    <col min="7436" max="7436" width="2.42578125" style="1258" customWidth="1"/>
    <col min="7437" max="7437" width="29.7109375" style="1258" customWidth="1"/>
    <col min="7438" max="7438" width="9.28515625" style="1258" bestFit="1" customWidth="1"/>
    <col min="7439" max="7439" width="10.28515625" style="1258" customWidth="1"/>
    <col min="7440" max="7440" width="8.140625" style="1258" bestFit="1" customWidth="1"/>
    <col min="7441" max="7441" width="9.85546875" style="1258" bestFit="1" customWidth="1"/>
    <col min="7442" max="7442" width="9" style="1258" customWidth="1"/>
    <col min="7443" max="7443" width="11.7109375" style="1258" customWidth="1"/>
    <col min="7444" max="7444" width="12.42578125" style="1258" customWidth="1"/>
    <col min="7445" max="7445" width="2.85546875" style="1258" customWidth="1"/>
    <col min="7446" max="7446" width="29.85546875" style="1258" customWidth="1"/>
    <col min="7447" max="7447" width="9" style="1258" customWidth="1"/>
    <col min="7448" max="7448" width="10.85546875" style="1258" customWidth="1"/>
    <col min="7449" max="7449" width="8" style="1258" bestFit="1" customWidth="1"/>
    <col min="7450" max="7450" width="9" style="1258" bestFit="1" customWidth="1"/>
    <col min="7451" max="7451" width="11" style="1258" bestFit="1" customWidth="1"/>
    <col min="7452" max="7452" width="12.5703125" style="1258" bestFit="1" customWidth="1"/>
    <col min="7453" max="7453" width="12.140625" style="1258" customWidth="1"/>
    <col min="7454" max="7467" width="2.85546875" style="1258" customWidth="1"/>
    <col min="7468" max="7468" width="22.28515625" style="1258" customWidth="1"/>
    <col min="7469" max="7469" width="9.42578125" style="1258" customWidth="1"/>
    <col min="7470" max="7470" width="8.42578125" style="1258" customWidth="1"/>
    <col min="7471" max="7471" width="9.42578125" style="1258" customWidth="1"/>
    <col min="7472" max="7472" width="7.5703125" style="1258" customWidth="1"/>
    <col min="7473" max="7473" width="7.85546875" style="1258" bestFit="1" customWidth="1"/>
    <col min="7474" max="7474" width="10.28515625" style="1258" bestFit="1" customWidth="1"/>
    <col min="7475" max="7475" width="4.85546875" style="1258" customWidth="1"/>
    <col min="7476" max="7476" width="21.85546875" style="1258" bestFit="1" customWidth="1"/>
    <col min="7477" max="7477" width="8.85546875" style="1258" customWidth="1"/>
    <col min="7478" max="7478" width="7.5703125" style="1258" bestFit="1" customWidth="1"/>
    <col min="7479" max="7479" width="4.5703125" style="1258" customWidth="1"/>
    <col min="7480" max="7691" width="9.42578125" style="1258"/>
    <col min="7692" max="7692" width="2.42578125" style="1258" customWidth="1"/>
    <col min="7693" max="7693" width="29.7109375" style="1258" customWidth="1"/>
    <col min="7694" max="7694" width="9.28515625" style="1258" bestFit="1" customWidth="1"/>
    <col min="7695" max="7695" width="10.28515625" style="1258" customWidth="1"/>
    <col min="7696" max="7696" width="8.140625" style="1258" bestFit="1" customWidth="1"/>
    <col min="7697" max="7697" width="9.85546875" style="1258" bestFit="1" customWidth="1"/>
    <col min="7698" max="7698" width="9" style="1258" customWidth="1"/>
    <col min="7699" max="7699" width="11.7109375" style="1258" customWidth="1"/>
    <col min="7700" max="7700" width="12.42578125" style="1258" customWidth="1"/>
    <col min="7701" max="7701" width="2.85546875" style="1258" customWidth="1"/>
    <col min="7702" max="7702" width="29.85546875" style="1258" customWidth="1"/>
    <col min="7703" max="7703" width="9" style="1258" customWidth="1"/>
    <col min="7704" max="7704" width="10.85546875" style="1258" customWidth="1"/>
    <col min="7705" max="7705" width="8" style="1258" bestFit="1" customWidth="1"/>
    <col min="7706" max="7706" width="9" style="1258" bestFit="1" customWidth="1"/>
    <col min="7707" max="7707" width="11" style="1258" bestFit="1" customWidth="1"/>
    <col min="7708" max="7708" width="12.5703125" style="1258" bestFit="1" customWidth="1"/>
    <col min="7709" max="7709" width="12.140625" style="1258" customWidth="1"/>
    <col min="7710" max="7723" width="2.85546875" style="1258" customWidth="1"/>
    <col min="7724" max="7724" width="22.28515625" style="1258" customWidth="1"/>
    <col min="7725" max="7725" width="9.42578125" style="1258" customWidth="1"/>
    <col min="7726" max="7726" width="8.42578125" style="1258" customWidth="1"/>
    <col min="7727" max="7727" width="9.42578125" style="1258" customWidth="1"/>
    <col min="7728" max="7728" width="7.5703125" style="1258" customWidth="1"/>
    <col min="7729" max="7729" width="7.85546875" style="1258" bestFit="1" customWidth="1"/>
    <col min="7730" max="7730" width="10.28515625" style="1258" bestFit="1" customWidth="1"/>
    <col min="7731" max="7731" width="4.85546875" style="1258" customWidth="1"/>
    <col min="7732" max="7732" width="21.85546875" style="1258" bestFit="1" customWidth="1"/>
    <col min="7733" max="7733" width="8.85546875" style="1258" customWidth="1"/>
    <col min="7734" max="7734" width="7.5703125" style="1258" bestFit="1" customWidth="1"/>
    <col min="7735" max="7735" width="4.5703125" style="1258" customWidth="1"/>
    <col min="7736" max="7947" width="9.42578125" style="1258"/>
    <col min="7948" max="7948" width="2.42578125" style="1258" customWidth="1"/>
    <col min="7949" max="7949" width="29.7109375" style="1258" customWidth="1"/>
    <col min="7950" max="7950" width="9.28515625" style="1258" bestFit="1" customWidth="1"/>
    <col min="7951" max="7951" width="10.28515625" style="1258" customWidth="1"/>
    <col min="7952" max="7952" width="8.140625" style="1258" bestFit="1" customWidth="1"/>
    <col min="7953" max="7953" width="9.85546875" style="1258" bestFit="1" customWidth="1"/>
    <col min="7954" max="7954" width="9" style="1258" customWidth="1"/>
    <col min="7955" max="7955" width="11.7109375" style="1258" customWidth="1"/>
    <col min="7956" max="7956" width="12.42578125" style="1258" customWidth="1"/>
    <col min="7957" max="7957" width="2.85546875" style="1258" customWidth="1"/>
    <col min="7958" max="7958" width="29.85546875" style="1258" customWidth="1"/>
    <col min="7959" max="7959" width="9" style="1258" customWidth="1"/>
    <col min="7960" max="7960" width="10.85546875" style="1258" customWidth="1"/>
    <col min="7961" max="7961" width="8" style="1258" bestFit="1" customWidth="1"/>
    <col min="7962" max="7962" width="9" style="1258" bestFit="1" customWidth="1"/>
    <col min="7963" max="7963" width="11" style="1258" bestFit="1" customWidth="1"/>
    <col min="7964" max="7964" width="12.5703125" style="1258" bestFit="1" customWidth="1"/>
    <col min="7965" max="7965" width="12.140625" style="1258" customWidth="1"/>
    <col min="7966" max="7979" width="2.85546875" style="1258" customWidth="1"/>
    <col min="7980" max="7980" width="22.28515625" style="1258" customWidth="1"/>
    <col min="7981" max="7981" width="9.42578125" style="1258" customWidth="1"/>
    <col min="7982" max="7982" width="8.42578125" style="1258" customWidth="1"/>
    <col min="7983" max="7983" width="9.42578125" style="1258" customWidth="1"/>
    <col min="7984" max="7984" width="7.5703125" style="1258" customWidth="1"/>
    <col min="7985" max="7985" width="7.85546875" style="1258" bestFit="1" customWidth="1"/>
    <col min="7986" max="7986" width="10.28515625" style="1258" bestFit="1" customWidth="1"/>
    <col min="7987" max="7987" width="4.85546875" style="1258" customWidth="1"/>
    <col min="7988" max="7988" width="21.85546875" style="1258" bestFit="1" customWidth="1"/>
    <col min="7989" max="7989" width="8.85546875" style="1258" customWidth="1"/>
    <col min="7990" max="7990" width="7.5703125" style="1258" bestFit="1" customWidth="1"/>
    <col min="7991" max="7991" width="4.5703125" style="1258" customWidth="1"/>
    <col min="7992" max="8203" width="9.42578125" style="1258"/>
    <col min="8204" max="8204" width="2.42578125" style="1258" customWidth="1"/>
    <col min="8205" max="8205" width="29.7109375" style="1258" customWidth="1"/>
    <col min="8206" max="8206" width="9.28515625" style="1258" bestFit="1" customWidth="1"/>
    <col min="8207" max="8207" width="10.28515625" style="1258" customWidth="1"/>
    <col min="8208" max="8208" width="8.140625" style="1258" bestFit="1" customWidth="1"/>
    <col min="8209" max="8209" width="9.85546875" style="1258" bestFit="1" customWidth="1"/>
    <col min="8210" max="8210" width="9" style="1258" customWidth="1"/>
    <col min="8211" max="8211" width="11.7109375" style="1258" customWidth="1"/>
    <col min="8212" max="8212" width="12.42578125" style="1258" customWidth="1"/>
    <col min="8213" max="8213" width="2.85546875" style="1258" customWidth="1"/>
    <col min="8214" max="8214" width="29.85546875" style="1258" customWidth="1"/>
    <col min="8215" max="8215" width="9" style="1258" customWidth="1"/>
    <col min="8216" max="8216" width="10.85546875" style="1258" customWidth="1"/>
    <col min="8217" max="8217" width="8" style="1258" bestFit="1" customWidth="1"/>
    <col min="8218" max="8218" width="9" style="1258" bestFit="1" customWidth="1"/>
    <col min="8219" max="8219" width="11" style="1258" bestFit="1" customWidth="1"/>
    <col min="8220" max="8220" width="12.5703125" style="1258" bestFit="1" customWidth="1"/>
    <col min="8221" max="8221" width="12.140625" style="1258" customWidth="1"/>
    <col min="8222" max="8235" width="2.85546875" style="1258" customWidth="1"/>
    <col min="8236" max="8236" width="22.28515625" style="1258" customWidth="1"/>
    <col min="8237" max="8237" width="9.42578125" style="1258" customWidth="1"/>
    <col min="8238" max="8238" width="8.42578125" style="1258" customWidth="1"/>
    <col min="8239" max="8239" width="9.42578125" style="1258" customWidth="1"/>
    <col min="8240" max="8240" width="7.5703125" style="1258" customWidth="1"/>
    <col min="8241" max="8241" width="7.85546875" style="1258" bestFit="1" customWidth="1"/>
    <col min="8242" max="8242" width="10.28515625" style="1258" bestFit="1" customWidth="1"/>
    <col min="8243" max="8243" width="4.85546875" style="1258" customWidth="1"/>
    <col min="8244" max="8244" width="21.85546875" style="1258" bestFit="1" customWidth="1"/>
    <col min="8245" max="8245" width="8.85546875" style="1258" customWidth="1"/>
    <col min="8246" max="8246" width="7.5703125" style="1258" bestFit="1" customWidth="1"/>
    <col min="8247" max="8247" width="4.5703125" style="1258" customWidth="1"/>
    <col min="8248" max="8459" width="9.42578125" style="1258"/>
    <col min="8460" max="8460" width="2.42578125" style="1258" customWidth="1"/>
    <col min="8461" max="8461" width="29.7109375" style="1258" customWidth="1"/>
    <col min="8462" max="8462" width="9.28515625" style="1258" bestFit="1" customWidth="1"/>
    <col min="8463" max="8463" width="10.28515625" style="1258" customWidth="1"/>
    <col min="8464" max="8464" width="8.140625" style="1258" bestFit="1" customWidth="1"/>
    <col min="8465" max="8465" width="9.85546875" style="1258" bestFit="1" customWidth="1"/>
    <col min="8466" max="8466" width="9" style="1258" customWidth="1"/>
    <col min="8467" max="8467" width="11.7109375" style="1258" customWidth="1"/>
    <col min="8468" max="8468" width="12.42578125" style="1258" customWidth="1"/>
    <col min="8469" max="8469" width="2.85546875" style="1258" customWidth="1"/>
    <col min="8470" max="8470" width="29.85546875" style="1258" customWidth="1"/>
    <col min="8471" max="8471" width="9" style="1258" customWidth="1"/>
    <col min="8472" max="8472" width="10.85546875" style="1258" customWidth="1"/>
    <col min="8473" max="8473" width="8" style="1258" bestFit="1" customWidth="1"/>
    <col min="8474" max="8474" width="9" style="1258" bestFit="1" customWidth="1"/>
    <col min="8475" max="8475" width="11" style="1258" bestFit="1" customWidth="1"/>
    <col min="8476" max="8476" width="12.5703125" style="1258" bestFit="1" customWidth="1"/>
    <col min="8477" max="8477" width="12.140625" style="1258" customWidth="1"/>
    <col min="8478" max="8491" width="2.85546875" style="1258" customWidth="1"/>
    <col min="8492" max="8492" width="22.28515625" style="1258" customWidth="1"/>
    <col min="8493" max="8493" width="9.42578125" style="1258" customWidth="1"/>
    <col min="8494" max="8494" width="8.42578125" style="1258" customWidth="1"/>
    <col min="8495" max="8495" width="9.42578125" style="1258" customWidth="1"/>
    <col min="8496" max="8496" width="7.5703125" style="1258" customWidth="1"/>
    <col min="8497" max="8497" width="7.85546875" style="1258" bestFit="1" customWidth="1"/>
    <col min="8498" max="8498" width="10.28515625" style="1258" bestFit="1" customWidth="1"/>
    <col min="8499" max="8499" width="4.85546875" style="1258" customWidth="1"/>
    <col min="8500" max="8500" width="21.85546875" style="1258" bestFit="1" customWidth="1"/>
    <col min="8501" max="8501" width="8.85546875" style="1258" customWidth="1"/>
    <col min="8502" max="8502" width="7.5703125" style="1258" bestFit="1" customWidth="1"/>
    <col min="8503" max="8503" width="4.5703125" style="1258" customWidth="1"/>
    <col min="8504" max="8715" width="9.42578125" style="1258"/>
    <col min="8716" max="8716" width="2.42578125" style="1258" customWidth="1"/>
    <col min="8717" max="8717" width="29.7109375" style="1258" customWidth="1"/>
    <col min="8718" max="8718" width="9.28515625" style="1258" bestFit="1" customWidth="1"/>
    <col min="8719" max="8719" width="10.28515625" style="1258" customWidth="1"/>
    <col min="8720" max="8720" width="8.140625" style="1258" bestFit="1" customWidth="1"/>
    <col min="8721" max="8721" width="9.85546875" style="1258" bestFit="1" customWidth="1"/>
    <col min="8722" max="8722" width="9" style="1258" customWidth="1"/>
    <col min="8723" max="8723" width="11.7109375" style="1258" customWidth="1"/>
    <col min="8724" max="8724" width="12.42578125" style="1258" customWidth="1"/>
    <col min="8725" max="8725" width="2.85546875" style="1258" customWidth="1"/>
    <col min="8726" max="8726" width="29.85546875" style="1258" customWidth="1"/>
    <col min="8727" max="8727" width="9" style="1258" customWidth="1"/>
    <col min="8728" max="8728" width="10.85546875" style="1258" customWidth="1"/>
    <col min="8729" max="8729" width="8" style="1258" bestFit="1" customWidth="1"/>
    <col min="8730" max="8730" width="9" style="1258" bestFit="1" customWidth="1"/>
    <col min="8731" max="8731" width="11" style="1258" bestFit="1" customWidth="1"/>
    <col min="8732" max="8732" width="12.5703125" style="1258" bestFit="1" customWidth="1"/>
    <col min="8733" max="8733" width="12.140625" style="1258" customWidth="1"/>
    <col min="8734" max="8747" width="2.85546875" style="1258" customWidth="1"/>
    <col min="8748" max="8748" width="22.28515625" style="1258" customWidth="1"/>
    <col min="8749" max="8749" width="9.42578125" style="1258" customWidth="1"/>
    <col min="8750" max="8750" width="8.42578125" style="1258" customWidth="1"/>
    <col min="8751" max="8751" width="9.42578125" style="1258" customWidth="1"/>
    <col min="8752" max="8752" width="7.5703125" style="1258" customWidth="1"/>
    <col min="8753" max="8753" width="7.85546875" style="1258" bestFit="1" customWidth="1"/>
    <col min="8754" max="8754" width="10.28515625" style="1258" bestFit="1" customWidth="1"/>
    <col min="8755" max="8755" width="4.85546875" style="1258" customWidth="1"/>
    <col min="8756" max="8756" width="21.85546875" style="1258" bestFit="1" customWidth="1"/>
    <col min="8757" max="8757" width="8.85546875" style="1258" customWidth="1"/>
    <col min="8758" max="8758" width="7.5703125" style="1258" bestFit="1" customWidth="1"/>
    <col min="8759" max="8759" width="4.5703125" style="1258" customWidth="1"/>
    <col min="8760" max="8971" width="9.42578125" style="1258"/>
    <col min="8972" max="8972" width="2.42578125" style="1258" customWidth="1"/>
    <col min="8973" max="8973" width="29.7109375" style="1258" customWidth="1"/>
    <col min="8974" max="8974" width="9.28515625" style="1258" bestFit="1" customWidth="1"/>
    <col min="8975" max="8975" width="10.28515625" style="1258" customWidth="1"/>
    <col min="8976" max="8976" width="8.140625" style="1258" bestFit="1" customWidth="1"/>
    <col min="8977" max="8977" width="9.85546875" style="1258" bestFit="1" customWidth="1"/>
    <col min="8978" max="8978" width="9" style="1258" customWidth="1"/>
    <col min="8979" max="8979" width="11.7109375" style="1258" customWidth="1"/>
    <col min="8980" max="8980" width="12.42578125" style="1258" customWidth="1"/>
    <col min="8981" max="8981" width="2.85546875" style="1258" customWidth="1"/>
    <col min="8982" max="8982" width="29.85546875" style="1258" customWidth="1"/>
    <col min="8983" max="8983" width="9" style="1258" customWidth="1"/>
    <col min="8984" max="8984" width="10.85546875" style="1258" customWidth="1"/>
    <col min="8985" max="8985" width="8" style="1258" bestFit="1" customWidth="1"/>
    <col min="8986" max="8986" width="9" style="1258" bestFit="1" customWidth="1"/>
    <col min="8987" max="8987" width="11" style="1258" bestFit="1" customWidth="1"/>
    <col min="8988" max="8988" width="12.5703125" style="1258" bestFit="1" customWidth="1"/>
    <col min="8989" max="8989" width="12.140625" style="1258" customWidth="1"/>
    <col min="8990" max="9003" width="2.85546875" style="1258" customWidth="1"/>
    <col min="9004" max="9004" width="22.28515625" style="1258" customWidth="1"/>
    <col min="9005" max="9005" width="9.42578125" style="1258" customWidth="1"/>
    <col min="9006" max="9006" width="8.42578125" style="1258" customWidth="1"/>
    <col min="9007" max="9007" width="9.42578125" style="1258" customWidth="1"/>
    <col min="9008" max="9008" width="7.5703125" style="1258" customWidth="1"/>
    <col min="9009" max="9009" width="7.85546875" style="1258" bestFit="1" customWidth="1"/>
    <col min="9010" max="9010" width="10.28515625" style="1258" bestFit="1" customWidth="1"/>
    <col min="9011" max="9011" width="4.85546875" style="1258" customWidth="1"/>
    <col min="9012" max="9012" width="21.85546875" style="1258" bestFit="1" customWidth="1"/>
    <col min="9013" max="9013" width="8.85546875" style="1258" customWidth="1"/>
    <col min="9014" max="9014" width="7.5703125" style="1258" bestFit="1" customWidth="1"/>
    <col min="9015" max="9015" width="4.5703125" style="1258" customWidth="1"/>
    <col min="9016" max="9227" width="9.42578125" style="1258"/>
    <col min="9228" max="9228" width="2.42578125" style="1258" customWidth="1"/>
    <col min="9229" max="9229" width="29.7109375" style="1258" customWidth="1"/>
    <col min="9230" max="9230" width="9.28515625" style="1258" bestFit="1" customWidth="1"/>
    <col min="9231" max="9231" width="10.28515625" style="1258" customWidth="1"/>
    <col min="9232" max="9232" width="8.140625" style="1258" bestFit="1" customWidth="1"/>
    <col min="9233" max="9233" width="9.85546875" style="1258" bestFit="1" customWidth="1"/>
    <col min="9234" max="9234" width="9" style="1258" customWidth="1"/>
    <col min="9235" max="9235" width="11.7109375" style="1258" customWidth="1"/>
    <col min="9236" max="9236" width="12.42578125" style="1258" customWidth="1"/>
    <col min="9237" max="9237" width="2.85546875" style="1258" customWidth="1"/>
    <col min="9238" max="9238" width="29.85546875" style="1258" customWidth="1"/>
    <col min="9239" max="9239" width="9" style="1258" customWidth="1"/>
    <col min="9240" max="9240" width="10.85546875" style="1258" customWidth="1"/>
    <col min="9241" max="9241" width="8" style="1258" bestFit="1" customWidth="1"/>
    <col min="9242" max="9242" width="9" style="1258" bestFit="1" customWidth="1"/>
    <col min="9243" max="9243" width="11" style="1258" bestFit="1" customWidth="1"/>
    <col min="9244" max="9244" width="12.5703125" style="1258" bestFit="1" customWidth="1"/>
    <col min="9245" max="9245" width="12.140625" style="1258" customWidth="1"/>
    <col min="9246" max="9259" width="2.85546875" style="1258" customWidth="1"/>
    <col min="9260" max="9260" width="22.28515625" style="1258" customWidth="1"/>
    <col min="9261" max="9261" width="9.42578125" style="1258" customWidth="1"/>
    <col min="9262" max="9262" width="8.42578125" style="1258" customWidth="1"/>
    <col min="9263" max="9263" width="9.42578125" style="1258" customWidth="1"/>
    <col min="9264" max="9264" width="7.5703125" style="1258" customWidth="1"/>
    <col min="9265" max="9265" width="7.85546875" style="1258" bestFit="1" customWidth="1"/>
    <col min="9266" max="9266" width="10.28515625" style="1258" bestFit="1" customWidth="1"/>
    <col min="9267" max="9267" width="4.85546875" style="1258" customWidth="1"/>
    <col min="9268" max="9268" width="21.85546875" style="1258" bestFit="1" customWidth="1"/>
    <col min="9269" max="9269" width="8.85546875" style="1258" customWidth="1"/>
    <col min="9270" max="9270" width="7.5703125" style="1258" bestFit="1" customWidth="1"/>
    <col min="9271" max="9271" width="4.5703125" style="1258" customWidth="1"/>
    <col min="9272" max="9483" width="9.42578125" style="1258"/>
    <col min="9484" max="9484" width="2.42578125" style="1258" customWidth="1"/>
    <col min="9485" max="9485" width="29.7109375" style="1258" customWidth="1"/>
    <col min="9486" max="9486" width="9.28515625" style="1258" bestFit="1" customWidth="1"/>
    <col min="9487" max="9487" width="10.28515625" style="1258" customWidth="1"/>
    <col min="9488" max="9488" width="8.140625" style="1258" bestFit="1" customWidth="1"/>
    <col min="9489" max="9489" width="9.85546875" style="1258" bestFit="1" customWidth="1"/>
    <col min="9490" max="9490" width="9" style="1258" customWidth="1"/>
    <col min="9491" max="9491" width="11.7109375" style="1258" customWidth="1"/>
    <col min="9492" max="9492" width="12.42578125" style="1258" customWidth="1"/>
    <col min="9493" max="9493" width="2.85546875" style="1258" customWidth="1"/>
    <col min="9494" max="9494" width="29.85546875" style="1258" customWidth="1"/>
    <col min="9495" max="9495" width="9" style="1258" customWidth="1"/>
    <col min="9496" max="9496" width="10.85546875" style="1258" customWidth="1"/>
    <col min="9497" max="9497" width="8" style="1258" bestFit="1" customWidth="1"/>
    <col min="9498" max="9498" width="9" style="1258" bestFit="1" customWidth="1"/>
    <col min="9499" max="9499" width="11" style="1258" bestFit="1" customWidth="1"/>
    <col min="9500" max="9500" width="12.5703125" style="1258" bestFit="1" customWidth="1"/>
    <col min="9501" max="9501" width="12.140625" style="1258" customWidth="1"/>
    <col min="9502" max="9515" width="2.85546875" style="1258" customWidth="1"/>
    <col min="9516" max="9516" width="22.28515625" style="1258" customWidth="1"/>
    <col min="9517" max="9517" width="9.42578125" style="1258" customWidth="1"/>
    <col min="9518" max="9518" width="8.42578125" style="1258" customWidth="1"/>
    <col min="9519" max="9519" width="9.42578125" style="1258" customWidth="1"/>
    <col min="9520" max="9520" width="7.5703125" style="1258" customWidth="1"/>
    <col min="9521" max="9521" width="7.85546875" style="1258" bestFit="1" customWidth="1"/>
    <col min="9522" max="9522" width="10.28515625" style="1258" bestFit="1" customWidth="1"/>
    <col min="9523" max="9523" width="4.85546875" style="1258" customWidth="1"/>
    <col min="9524" max="9524" width="21.85546875" style="1258" bestFit="1" customWidth="1"/>
    <col min="9525" max="9525" width="8.85546875" style="1258" customWidth="1"/>
    <col min="9526" max="9526" width="7.5703125" style="1258" bestFit="1" customWidth="1"/>
    <col min="9527" max="9527" width="4.5703125" style="1258" customWidth="1"/>
    <col min="9528" max="9739" width="9.42578125" style="1258"/>
    <col min="9740" max="9740" width="2.42578125" style="1258" customWidth="1"/>
    <col min="9741" max="9741" width="29.7109375" style="1258" customWidth="1"/>
    <col min="9742" max="9742" width="9.28515625" style="1258" bestFit="1" customWidth="1"/>
    <col min="9743" max="9743" width="10.28515625" style="1258" customWidth="1"/>
    <col min="9744" max="9744" width="8.140625" style="1258" bestFit="1" customWidth="1"/>
    <col min="9745" max="9745" width="9.85546875" style="1258" bestFit="1" customWidth="1"/>
    <col min="9746" max="9746" width="9" style="1258" customWidth="1"/>
    <col min="9747" max="9747" width="11.7109375" style="1258" customWidth="1"/>
    <col min="9748" max="9748" width="12.42578125" style="1258" customWidth="1"/>
    <col min="9749" max="9749" width="2.85546875" style="1258" customWidth="1"/>
    <col min="9750" max="9750" width="29.85546875" style="1258" customWidth="1"/>
    <col min="9751" max="9751" width="9" style="1258" customWidth="1"/>
    <col min="9752" max="9752" width="10.85546875" style="1258" customWidth="1"/>
    <col min="9753" max="9753" width="8" style="1258" bestFit="1" customWidth="1"/>
    <col min="9754" max="9754" width="9" style="1258" bestFit="1" customWidth="1"/>
    <col min="9755" max="9755" width="11" style="1258" bestFit="1" customWidth="1"/>
    <col min="9756" max="9756" width="12.5703125" style="1258" bestFit="1" customWidth="1"/>
    <col min="9757" max="9757" width="12.140625" style="1258" customWidth="1"/>
    <col min="9758" max="9771" width="2.85546875" style="1258" customWidth="1"/>
    <col min="9772" max="9772" width="22.28515625" style="1258" customWidth="1"/>
    <col min="9773" max="9773" width="9.42578125" style="1258" customWidth="1"/>
    <col min="9774" max="9774" width="8.42578125" style="1258" customWidth="1"/>
    <col min="9775" max="9775" width="9.42578125" style="1258" customWidth="1"/>
    <col min="9776" max="9776" width="7.5703125" style="1258" customWidth="1"/>
    <col min="9777" max="9777" width="7.85546875" style="1258" bestFit="1" customWidth="1"/>
    <col min="9778" max="9778" width="10.28515625" style="1258" bestFit="1" customWidth="1"/>
    <col min="9779" max="9779" width="4.85546875" style="1258" customWidth="1"/>
    <col min="9780" max="9780" width="21.85546875" style="1258" bestFit="1" customWidth="1"/>
    <col min="9781" max="9781" width="8.85546875" style="1258" customWidth="1"/>
    <col min="9782" max="9782" width="7.5703125" style="1258" bestFit="1" customWidth="1"/>
    <col min="9783" max="9783" width="4.5703125" style="1258" customWidth="1"/>
    <col min="9784" max="9995" width="9.42578125" style="1258"/>
    <col min="9996" max="9996" width="2.42578125" style="1258" customWidth="1"/>
    <col min="9997" max="9997" width="29.7109375" style="1258" customWidth="1"/>
    <col min="9998" max="9998" width="9.28515625" style="1258" bestFit="1" customWidth="1"/>
    <col min="9999" max="9999" width="10.28515625" style="1258" customWidth="1"/>
    <col min="10000" max="10000" width="8.140625" style="1258" bestFit="1" customWidth="1"/>
    <col min="10001" max="10001" width="9.85546875" style="1258" bestFit="1" customWidth="1"/>
    <col min="10002" max="10002" width="9" style="1258" customWidth="1"/>
    <col min="10003" max="10003" width="11.7109375" style="1258" customWidth="1"/>
    <col min="10004" max="10004" width="12.42578125" style="1258" customWidth="1"/>
    <col min="10005" max="10005" width="2.85546875" style="1258" customWidth="1"/>
    <col min="10006" max="10006" width="29.85546875" style="1258" customWidth="1"/>
    <col min="10007" max="10007" width="9" style="1258" customWidth="1"/>
    <col min="10008" max="10008" width="10.85546875" style="1258" customWidth="1"/>
    <col min="10009" max="10009" width="8" style="1258" bestFit="1" customWidth="1"/>
    <col min="10010" max="10010" width="9" style="1258" bestFit="1" customWidth="1"/>
    <col min="10011" max="10011" width="11" style="1258" bestFit="1" customWidth="1"/>
    <col min="10012" max="10012" width="12.5703125" style="1258" bestFit="1" customWidth="1"/>
    <col min="10013" max="10013" width="12.140625" style="1258" customWidth="1"/>
    <col min="10014" max="10027" width="2.85546875" style="1258" customWidth="1"/>
    <col min="10028" max="10028" width="22.28515625" style="1258" customWidth="1"/>
    <col min="10029" max="10029" width="9.42578125" style="1258" customWidth="1"/>
    <col min="10030" max="10030" width="8.42578125" style="1258" customWidth="1"/>
    <col min="10031" max="10031" width="9.42578125" style="1258" customWidth="1"/>
    <col min="10032" max="10032" width="7.5703125" style="1258" customWidth="1"/>
    <col min="10033" max="10033" width="7.85546875" style="1258" bestFit="1" customWidth="1"/>
    <col min="10034" max="10034" width="10.28515625" style="1258" bestFit="1" customWidth="1"/>
    <col min="10035" max="10035" width="4.85546875" style="1258" customWidth="1"/>
    <col min="10036" max="10036" width="21.85546875" style="1258" bestFit="1" customWidth="1"/>
    <col min="10037" max="10037" width="8.85546875" style="1258" customWidth="1"/>
    <col min="10038" max="10038" width="7.5703125" style="1258" bestFit="1" customWidth="1"/>
    <col min="10039" max="10039" width="4.5703125" style="1258" customWidth="1"/>
    <col min="10040" max="10251" width="9.42578125" style="1258"/>
    <col min="10252" max="10252" width="2.42578125" style="1258" customWidth="1"/>
    <col min="10253" max="10253" width="29.7109375" style="1258" customWidth="1"/>
    <col min="10254" max="10254" width="9.28515625" style="1258" bestFit="1" customWidth="1"/>
    <col min="10255" max="10255" width="10.28515625" style="1258" customWidth="1"/>
    <col min="10256" max="10256" width="8.140625" style="1258" bestFit="1" customWidth="1"/>
    <col min="10257" max="10257" width="9.85546875" style="1258" bestFit="1" customWidth="1"/>
    <col min="10258" max="10258" width="9" style="1258" customWidth="1"/>
    <col min="10259" max="10259" width="11.7109375" style="1258" customWidth="1"/>
    <col min="10260" max="10260" width="12.42578125" style="1258" customWidth="1"/>
    <col min="10261" max="10261" width="2.85546875" style="1258" customWidth="1"/>
    <col min="10262" max="10262" width="29.85546875" style="1258" customWidth="1"/>
    <col min="10263" max="10263" width="9" style="1258" customWidth="1"/>
    <col min="10264" max="10264" width="10.85546875" style="1258" customWidth="1"/>
    <col min="10265" max="10265" width="8" style="1258" bestFit="1" customWidth="1"/>
    <col min="10266" max="10266" width="9" style="1258" bestFit="1" customWidth="1"/>
    <col min="10267" max="10267" width="11" style="1258" bestFit="1" customWidth="1"/>
    <col min="10268" max="10268" width="12.5703125" style="1258" bestFit="1" customWidth="1"/>
    <col min="10269" max="10269" width="12.140625" style="1258" customWidth="1"/>
    <col min="10270" max="10283" width="2.85546875" style="1258" customWidth="1"/>
    <col min="10284" max="10284" width="22.28515625" style="1258" customWidth="1"/>
    <col min="10285" max="10285" width="9.42578125" style="1258" customWidth="1"/>
    <col min="10286" max="10286" width="8.42578125" style="1258" customWidth="1"/>
    <col min="10287" max="10287" width="9.42578125" style="1258" customWidth="1"/>
    <col min="10288" max="10288" width="7.5703125" style="1258" customWidth="1"/>
    <col min="10289" max="10289" width="7.85546875" style="1258" bestFit="1" customWidth="1"/>
    <col min="10290" max="10290" width="10.28515625" style="1258" bestFit="1" customWidth="1"/>
    <col min="10291" max="10291" width="4.85546875" style="1258" customWidth="1"/>
    <col min="10292" max="10292" width="21.85546875" style="1258" bestFit="1" customWidth="1"/>
    <col min="10293" max="10293" width="8.85546875" style="1258" customWidth="1"/>
    <col min="10294" max="10294" width="7.5703125" style="1258" bestFit="1" customWidth="1"/>
    <col min="10295" max="10295" width="4.5703125" style="1258" customWidth="1"/>
    <col min="10296" max="10507" width="9.42578125" style="1258"/>
    <col min="10508" max="10508" width="2.42578125" style="1258" customWidth="1"/>
    <col min="10509" max="10509" width="29.7109375" style="1258" customWidth="1"/>
    <col min="10510" max="10510" width="9.28515625" style="1258" bestFit="1" customWidth="1"/>
    <col min="10511" max="10511" width="10.28515625" style="1258" customWidth="1"/>
    <col min="10512" max="10512" width="8.140625" style="1258" bestFit="1" customWidth="1"/>
    <col min="10513" max="10513" width="9.85546875" style="1258" bestFit="1" customWidth="1"/>
    <col min="10514" max="10514" width="9" style="1258" customWidth="1"/>
    <col min="10515" max="10515" width="11.7109375" style="1258" customWidth="1"/>
    <col min="10516" max="10516" width="12.42578125" style="1258" customWidth="1"/>
    <col min="10517" max="10517" width="2.85546875" style="1258" customWidth="1"/>
    <col min="10518" max="10518" width="29.85546875" style="1258" customWidth="1"/>
    <col min="10519" max="10519" width="9" style="1258" customWidth="1"/>
    <col min="10520" max="10520" width="10.85546875" style="1258" customWidth="1"/>
    <col min="10521" max="10521" width="8" style="1258" bestFit="1" customWidth="1"/>
    <col min="10522" max="10522" width="9" style="1258" bestFit="1" customWidth="1"/>
    <col min="10523" max="10523" width="11" style="1258" bestFit="1" customWidth="1"/>
    <col min="10524" max="10524" width="12.5703125" style="1258" bestFit="1" customWidth="1"/>
    <col min="10525" max="10525" width="12.140625" style="1258" customWidth="1"/>
    <col min="10526" max="10539" width="2.85546875" style="1258" customWidth="1"/>
    <col min="10540" max="10540" width="22.28515625" style="1258" customWidth="1"/>
    <col min="10541" max="10541" width="9.42578125" style="1258" customWidth="1"/>
    <col min="10542" max="10542" width="8.42578125" style="1258" customWidth="1"/>
    <col min="10543" max="10543" width="9.42578125" style="1258" customWidth="1"/>
    <col min="10544" max="10544" width="7.5703125" style="1258" customWidth="1"/>
    <col min="10545" max="10545" width="7.85546875" style="1258" bestFit="1" customWidth="1"/>
    <col min="10546" max="10546" width="10.28515625" style="1258" bestFit="1" customWidth="1"/>
    <col min="10547" max="10547" width="4.85546875" style="1258" customWidth="1"/>
    <col min="10548" max="10548" width="21.85546875" style="1258" bestFit="1" customWidth="1"/>
    <col min="10549" max="10549" width="8.85546875" style="1258" customWidth="1"/>
    <col min="10550" max="10550" width="7.5703125" style="1258" bestFit="1" customWidth="1"/>
    <col min="10551" max="10551" width="4.5703125" style="1258" customWidth="1"/>
    <col min="10552" max="10763" width="9.42578125" style="1258"/>
    <col min="10764" max="10764" width="2.42578125" style="1258" customWidth="1"/>
    <col min="10765" max="10765" width="29.7109375" style="1258" customWidth="1"/>
    <col min="10766" max="10766" width="9.28515625" style="1258" bestFit="1" customWidth="1"/>
    <col min="10767" max="10767" width="10.28515625" style="1258" customWidth="1"/>
    <col min="10768" max="10768" width="8.140625" style="1258" bestFit="1" customWidth="1"/>
    <col min="10769" max="10769" width="9.85546875" style="1258" bestFit="1" customWidth="1"/>
    <col min="10770" max="10770" width="9" style="1258" customWidth="1"/>
    <col min="10771" max="10771" width="11.7109375" style="1258" customWidth="1"/>
    <col min="10772" max="10772" width="12.42578125" style="1258" customWidth="1"/>
    <col min="10773" max="10773" width="2.85546875" style="1258" customWidth="1"/>
    <col min="10774" max="10774" width="29.85546875" style="1258" customWidth="1"/>
    <col min="10775" max="10775" width="9" style="1258" customWidth="1"/>
    <col min="10776" max="10776" width="10.85546875" style="1258" customWidth="1"/>
    <col min="10777" max="10777" width="8" style="1258" bestFit="1" customWidth="1"/>
    <col min="10778" max="10778" width="9" style="1258" bestFit="1" customWidth="1"/>
    <col min="10779" max="10779" width="11" style="1258" bestFit="1" customWidth="1"/>
    <col min="10780" max="10780" width="12.5703125" style="1258" bestFit="1" customWidth="1"/>
    <col min="10781" max="10781" width="12.140625" style="1258" customWidth="1"/>
    <col min="10782" max="10795" width="2.85546875" style="1258" customWidth="1"/>
    <col min="10796" max="10796" width="22.28515625" style="1258" customWidth="1"/>
    <col min="10797" max="10797" width="9.42578125" style="1258" customWidth="1"/>
    <col min="10798" max="10798" width="8.42578125" style="1258" customWidth="1"/>
    <col min="10799" max="10799" width="9.42578125" style="1258" customWidth="1"/>
    <col min="10800" max="10800" width="7.5703125" style="1258" customWidth="1"/>
    <col min="10801" max="10801" width="7.85546875" style="1258" bestFit="1" customWidth="1"/>
    <col min="10802" max="10802" width="10.28515625" style="1258" bestFit="1" customWidth="1"/>
    <col min="10803" max="10803" width="4.85546875" style="1258" customWidth="1"/>
    <col min="10804" max="10804" width="21.85546875" style="1258" bestFit="1" customWidth="1"/>
    <col min="10805" max="10805" width="8.85546875" style="1258" customWidth="1"/>
    <col min="10806" max="10806" width="7.5703125" style="1258" bestFit="1" customWidth="1"/>
    <col min="10807" max="10807" width="4.5703125" style="1258" customWidth="1"/>
    <col min="10808" max="11019" width="9.42578125" style="1258"/>
    <col min="11020" max="11020" width="2.42578125" style="1258" customWidth="1"/>
    <col min="11021" max="11021" width="29.7109375" style="1258" customWidth="1"/>
    <col min="11022" max="11022" width="9.28515625" style="1258" bestFit="1" customWidth="1"/>
    <col min="11023" max="11023" width="10.28515625" style="1258" customWidth="1"/>
    <col min="11024" max="11024" width="8.140625" style="1258" bestFit="1" customWidth="1"/>
    <col min="11025" max="11025" width="9.85546875" style="1258" bestFit="1" customWidth="1"/>
    <col min="11026" max="11026" width="9" style="1258" customWidth="1"/>
    <col min="11027" max="11027" width="11.7109375" style="1258" customWidth="1"/>
    <col min="11028" max="11028" width="12.42578125" style="1258" customWidth="1"/>
    <col min="11029" max="11029" width="2.85546875" style="1258" customWidth="1"/>
    <col min="11030" max="11030" width="29.85546875" style="1258" customWidth="1"/>
    <col min="11031" max="11031" width="9" style="1258" customWidth="1"/>
    <col min="11032" max="11032" width="10.85546875" style="1258" customWidth="1"/>
    <col min="11033" max="11033" width="8" style="1258" bestFit="1" customWidth="1"/>
    <col min="11034" max="11034" width="9" style="1258" bestFit="1" customWidth="1"/>
    <col min="11035" max="11035" width="11" style="1258" bestFit="1" customWidth="1"/>
    <col min="11036" max="11036" width="12.5703125" style="1258" bestFit="1" customWidth="1"/>
    <col min="11037" max="11037" width="12.140625" style="1258" customWidth="1"/>
    <col min="11038" max="11051" width="2.85546875" style="1258" customWidth="1"/>
    <col min="11052" max="11052" width="22.28515625" style="1258" customWidth="1"/>
    <col min="11053" max="11053" width="9.42578125" style="1258" customWidth="1"/>
    <col min="11054" max="11054" width="8.42578125" style="1258" customWidth="1"/>
    <col min="11055" max="11055" width="9.42578125" style="1258" customWidth="1"/>
    <col min="11056" max="11056" width="7.5703125" style="1258" customWidth="1"/>
    <col min="11057" max="11057" width="7.85546875" style="1258" bestFit="1" customWidth="1"/>
    <col min="11058" max="11058" width="10.28515625" style="1258" bestFit="1" customWidth="1"/>
    <col min="11059" max="11059" width="4.85546875" style="1258" customWidth="1"/>
    <col min="11060" max="11060" width="21.85546875" style="1258" bestFit="1" customWidth="1"/>
    <col min="11061" max="11061" width="8.85546875" style="1258" customWidth="1"/>
    <col min="11062" max="11062" width="7.5703125" style="1258" bestFit="1" customWidth="1"/>
    <col min="11063" max="11063" width="4.5703125" style="1258" customWidth="1"/>
    <col min="11064" max="11275" width="9.42578125" style="1258"/>
    <col min="11276" max="11276" width="2.42578125" style="1258" customWidth="1"/>
    <col min="11277" max="11277" width="29.7109375" style="1258" customWidth="1"/>
    <col min="11278" max="11278" width="9.28515625" style="1258" bestFit="1" customWidth="1"/>
    <col min="11279" max="11279" width="10.28515625" style="1258" customWidth="1"/>
    <col min="11280" max="11280" width="8.140625" style="1258" bestFit="1" customWidth="1"/>
    <col min="11281" max="11281" width="9.85546875" style="1258" bestFit="1" customWidth="1"/>
    <col min="11282" max="11282" width="9" style="1258" customWidth="1"/>
    <col min="11283" max="11283" width="11.7109375" style="1258" customWidth="1"/>
    <col min="11284" max="11284" width="12.42578125" style="1258" customWidth="1"/>
    <col min="11285" max="11285" width="2.85546875" style="1258" customWidth="1"/>
    <col min="11286" max="11286" width="29.85546875" style="1258" customWidth="1"/>
    <col min="11287" max="11287" width="9" style="1258" customWidth="1"/>
    <col min="11288" max="11288" width="10.85546875" style="1258" customWidth="1"/>
    <col min="11289" max="11289" width="8" style="1258" bestFit="1" customWidth="1"/>
    <col min="11290" max="11290" width="9" style="1258" bestFit="1" customWidth="1"/>
    <col min="11291" max="11291" width="11" style="1258" bestFit="1" customWidth="1"/>
    <col min="11292" max="11292" width="12.5703125" style="1258" bestFit="1" customWidth="1"/>
    <col min="11293" max="11293" width="12.140625" style="1258" customWidth="1"/>
    <col min="11294" max="11307" width="2.85546875" style="1258" customWidth="1"/>
    <col min="11308" max="11308" width="22.28515625" style="1258" customWidth="1"/>
    <col min="11309" max="11309" width="9.42578125" style="1258" customWidth="1"/>
    <col min="11310" max="11310" width="8.42578125" style="1258" customWidth="1"/>
    <col min="11311" max="11311" width="9.42578125" style="1258" customWidth="1"/>
    <col min="11312" max="11312" width="7.5703125" style="1258" customWidth="1"/>
    <col min="11313" max="11313" width="7.85546875" style="1258" bestFit="1" customWidth="1"/>
    <col min="11314" max="11314" width="10.28515625" style="1258" bestFit="1" customWidth="1"/>
    <col min="11315" max="11315" width="4.85546875" style="1258" customWidth="1"/>
    <col min="11316" max="11316" width="21.85546875" style="1258" bestFit="1" customWidth="1"/>
    <col min="11317" max="11317" width="8.85546875" style="1258" customWidth="1"/>
    <col min="11318" max="11318" width="7.5703125" style="1258" bestFit="1" customWidth="1"/>
    <col min="11319" max="11319" width="4.5703125" style="1258" customWidth="1"/>
    <col min="11320" max="11531" width="9.42578125" style="1258"/>
    <col min="11532" max="11532" width="2.42578125" style="1258" customWidth="1"/>
    <col min="11533" max="11533" width="29.7109375" style="1258" customWidth="1"/>
    <col min="11534" max="11534" width="9.28515625" style="1258" bestFit="1" customWidth="1"/>
    <col min="11535" max="11535" width="10.28515625" style="1258" customWidth="1"/>
    <col min="11536" max="11536" width="8.140625" style="1258" bestFit="1" customWidth="1"/>
    <col min="11537" max="11537" width="9.85546875" style="1258" bestFit="1" customWidth="1"/>
    <col min="11538" max="11538" width="9" style="1258" customWidth="1"/>
    <col min="11539" max="11539" width="11.7109375" style="1258" customWidth="1"/>
    <col min="11540" max="11540" width="12.42578125" style="1258" customWidth="1"/>
    <col min="11541" max="11541" width="2.85546875" style="1258" customWidth="1"/>
    <col min="11542" max="11542" width="29.85546875" style="1258" customWidth="1"/>
    <col min="11543" max="11543" width="9" style="1258" customWidth="1"/>
    <col min="11544" max="11544" width="10.85546875" style="1258" customWidth="1"/>
    <col min="11545" max="11545" width="8" style="1258" bestFit="1" customWidth="1"/>
    <col min="11546" max="11546" width="9" style="1258" bestFit="1" customWidth="1"/>
    <col min="11547" max="11547" width="11" style="1258" bestFit="1" customWidth="1"/>
    <col min="11548" max="11548" width="12.5703125" style="1258" bestFit="1" customWidth="1"/>
    <col min="11549" max="11549" width="12.140625" style="1258" customWidth="1"/>
    <col min="11550" max="11563" width="2.85546875" style="1258" customWidth="1"/>
    <col min="11564" max="11564" width="22.28515625" style="1258" customWidth="1"/>
    <col min="11565" max="11565" width="9.42578125" style="1258" customWidth="1"/>
    <col min="11566" max="11566" width="8.42578125" style="1258" customWidth="1"/>
    <col min="11567" max="11567" width="9.42578125" style="1258" customWidth="1"/>
    <col min="11568" max="11568" width="7.5703125" style="1258" customWidth="1"/>
    <col min="11569" max="11569" width="7.85546875" style="1258" bestFit="1" customWidth="1"/>
    <col min="11570" max="11570" width="10.28515625" style="1258" bestFit="1" customWidth="1"/>
    <col min="11571" max="11571" width="4.85546875" style="1258" customWidth="1"/>
    <col min="11572" max="11572" width="21.85546875" style="1258" bestFit="1" customWidth="1"/>
    <col min="11573" max="11573" width="8.85546875" style="1258" customWidth="1"/>
    <col min="11574" max="11574" width="7.5703125" style="1258" bestFit="1" customWidth="1"/>
    <col min="11575" max="11575" width="4.5703125" style="1258" customWidth="1"/>
    <col min="11576" max="11787" width="9.42578125" style="1258"/>
    <col min="11788" max="11788" width="2.42578125" style="1258" customWidth="1"/>
    <col min="11789" max="11789" width="29.7109375" style="1258" customWidth="1"/>
    <col min="11790" max="11790" width="9.28515625" style="1258" bestFit="1" customWidth="1"/>
    <col min="11791" max="11791" width="10.28515625" style="1258" customWidth="1"/>
    <col min="11792" max="11792" width="8.140625" style="1258" bestFit="1" customWidth="1"/>
    <col min="11793" max="11793" width="9.85546875" style="1258" bestFit="1" customWidth="1"/>
    <col min="11794" max="11794" width="9" style="1258" customWidth="1"/>
    <col min="11795" max="11795" width="11.7109375" style="1258" customWidth="1"/>
    <col min="11796" max="11796" width="12.42578125" style="1258" customWidth="1"/>
    <col min="11797" max="11797" width="2.85546875" style="1258" customWidth="1"/>
    <col min="11798" max="11798" width="29.85546875" style="1258" customWidth="1"/>
    <col min="11799" max="11799" width="9" style="1258" customWidth="1"/>
    <col min="11800" max="11800" width="10.85546875" style="1258" customWidth="1"/>
    <col min="11801" max="11801" width="8" style="1258" bestFit="1" customWidth="1"/>
    <col min="11802" max="11802" width="9" style="1258" bestFit="1" customWidth="1"/>
    <col min="11803" max="11803" width="11" style="1258" bestFit="1" customWidth="1"/>
    <col min="11804" max="11804" width="12.5703125" style="1258" bestFit="1" customWidth="1"/>
    <col min="11805" max="11805" width="12.140625" style="1258" customWidth="1"/>
    <col min="11806" max="11819" width="2.85546875" style="1258" customWidth="1"/>
    <col min="11820" max="11820" width="22.28515625" style="1258" customWidth="1"/>
    <col min="11821" max="11821" width="9.42578125" style="1258" customWidth="1"/>
    <col min="11822" max="11822" width="8.42578125" style="1258" customWidth="1"/>
    <col min="11823" max="11823" width="9.42578125" style="1258" customWidth="1"/>
    <col min="11824" max="11824" width="7.5703125" style="1258" customWidth="1"/>
    <col min="11825" max="11825" width="7.85546875" style="1258" bestFit="1" customWidth="1"/>
    <col min="11826" max="11826" width="10.28515625" style="1258" bestFit="1" customWidth="1"/>
    <col min="11827" max="11827" width="4.85546875" style="1258" customWidth="1"/>
    <col min="11828" max="11828" width="21.85546875" style="1258" bestFit="1" customWidth="1"/>
    <col min="11829" max="11829" width="8.85546875" style="1258" customWidth="1"/>
    <col min="11830" max="11830" width="7.5703125" style="1258" bestFit="1" customWidth="1"/>
    <col min="11831" max="11831" width="4.5703125" style="1258" customWidth="1"/>
    <col min="11832" max="12043" width="9.42578125" style="1258"/>
    <col min="12044" max="12044" width="2.42578125" style="1258" customWidth="1"/>
    <col min="12045" max="12045" width="29.7109375" style="1258" customWidth="1"/>
    <col min="12046" max="12046" width="9.28515625" style="1258" bestFit="1" customWidth="1"/>
    <col min="12047" max="12047" width="10.28515625" style="1258" customWidth="1"/>
    <col min="12048" max="12048" width="8.140625" style="1258" bestFit="1" customWidth="1"/>
    <col min="12049" max="12049" width="9.85546875" style="1258" bestFit="1" customWidth="1"/>
    <col min="12050" max="12050" width="9" style="1258" customWidth="1"/>
    <col min="12051" max="12051" width="11.7109375" style="1258" customWidth="1"/>
    <col min="12052" max="12052" width="12.42578125" style="1258" customWidth="1"/>
    <col min="12053" max="12053" width="2.85546875" style="1258" customWidth="1"/>
    <col min="12054" max="12054" width="29.85546875" style="1258" customWidth="1"/>
    <col min="12055" max="12055" width="9" style="1258" customWidth="1"/>
    <col min="12056" max="12056" width="10.85546875" style="1258" customWidth="1"/>
    <col min="12057" max="12057" width="8" style="1258" bestFit="1" customWidth="1"/>
    <col min="12058" max="12058" width="9" style="1258" bestFit="1" customWidth="1"/>
    <col min="12059" max="12059" width="11" style="1258" bestFit="1" customWidth="1"/>
    <col min="12060" max="12060" width="12.5703125" style="1258" bestFit="1" customWidth="1"/>
    <col min="12061" max="12061" width="12.140625" style="1258" customWidth="1"/>
    <col min="12062" max="12075" width="2.85546875" style="1258" customWidth="1"/>
    <col min="12076" max="12076" width="22.28515625" style="1258" customWidth="1"/>
    <col min="12077" max="12077" width="9.42578125" style="1258" customWidth="1"/>
    <col min="12078" max="12078" width="8.42578125" style="1258" customWidth="1"/>
    <col min="12079" max="12079" width="9.42578125" style="1258" customWidth="1"/>
    <col min="12080" max="12080" width="7.5703125" style="1258" customWidth="1"/>
    <col min="12081" max="12081" width="7.85546875" style="1258" bestFit="1" customWidth="1"/>
    <col min="12082" max="12082" width="10.28515625" style="1258" bestFit="1" customWidth="1"/>
    <col min="12083" max="12083" width="4.85546875" style="1258" customWidth="1"/>
    <col min="12084" max="12084" width="21.85546875" style="1258" bestFit="1" customWidth="1"/>
    <col min="12085" max="12085" width="8.85546875" style="1258" customWidth="1"/>
    <col min="12086" max="12086" width="7.5703125" style="1258" bestFit="1" customWidth="1"/>
    <col min="12087" max="12087" width="4.5703125" style="1258" customWidth="1"/>
    <col min="12088" max="12299" width="9.42578125" style="1258"/>
    <col min="12300" max="12300" width="2.42578125" style="1258" customWidth="1"/>
    <col min="12301" max="12301" width="29.7109375" style="1258" customWidth="1"/>
    <col min="12302" max="12302" width="9.28515625" style="1258" bestFit="1" customWidth="1"/>
    <col min="12303" max="12303" width="10.28515625" style="1258" customWidth="1"/>
    <col min="12304" max="12304" width="8.140625" style="1258" bestFit="1" customWidth="1"/>
    <col min="12305" max="12305" width="9.85546875" style="1258" bestFit="1" customWidth="1"/>
    <col min="12306" max="12306" width="9" style="1258" customWidth="1"/>
    <col min="12307" max="12307" width="11.7109375" style="1258" customWidth="1"/>
    <col min="12308" max="12308" width="12.42578125" style="1258" customWidth="1"/>
    <col min="12309" max="12309" width="2.85546875" style="1258" customWidth="1"/>
    <col min="12310" max="12310" width="29.85546875" style="1258" customWidth="1"/>
    <col min="12311" max="12311" width="9" style="1258" customWidth="1"/>
    <col min="12312" max="12312" width="10.85546875" style="1258" customWidth="1"/>
    <col min="12313" max="12313" width="8" style="1258" bestFit="1" customWidth="1"/>
    <col min="12314" max="12314" width="9" style="1258" bestFit="1" customWidth="1"/>
    <col min="12315" max="12315" width="11" style="1258" bestFit="1" customWidth="1"/>
    <col min="12316" max="12316" width="12.5703125" style="1258" bestFit="1" customWidth="1"/>
    <col min="12317" max="12317" width="12.140625" style="1258" customWidth="1"/>
    <col min="12318" max="12331" width="2.85546875" style="1258" customWidth="1"/>
    <col min="12332" max="12332" width="22.28515625" style="1258" customWidth="1"/>
    <col min="12333" max="12333" width="9.42578125" style="1258" customWidth="1"/>
    <col min="12334" max="12334" width="8.42578125" style="1258" customWidth="1"/>
    <col min="12335" max="12335" width="9.42578125" style="1258" customWidth="1"/>
    <col min="12336" max="12336" width="7.5703125" style="1258" customWidth="1"/>
    <col min="12337" max="12337" width="7.85546875" style="1258" bestFit="1" customWidth="1"/>
    <col min="12338" max="12338" width="10.28515625" style="1258" bestFit="1" customWidth="1"/>
    <col min="12339" max="12339" width="4.85546875" style="1258" customWidth="1"/>
    <col min="12340" max="12340" width="21.85546875" style="1258" bestFit="1" customWidth="1"/>
    <col min="12341" max="12341" width="8.85546875" style="1258" customWidth="1"/>
    <col min="12342" max="12342" width="7.5703125" style="1258" bestFit="1" customWidth="1"/>
    <col min="12343" max="12343" width="4.5703125" style="1258" customWidth="1"/>
    <col min="12344" max="12555" width="9.42578125" style="1258"/>
    <col min="12556" max="12556" width="2.42578125" style="1258" customWidth="1"/>
    <col min="12557" max="12557" width="29.7109375" style="1258" customWidth="1"/>
    <col min="12558" max="12558" width="9.28515625" style="1258" bestFit="1" customWidth="1"/>
    <col min="12559" max="12559" width="10.28515625" style="1258" customWidth="1"/>
    <col min="12560" max="12560" width="8.140625" style="1258" bestFit="1" customWidth="1"/>
    <col min="12561" max="12561" width="9.85546875" style="1258" bestFit="1" customWidth="1"/>
    <col min="12562" max="12562" width="9" style="1258" customWidth="1"/>
    <col min="12563" max="12563" width="11.7109375" style="1258" customWidth="1"/>
    <col min="12564" max="12564" width="12.42578125" style="1258" customWidth="1"/>
    <col min="12565" max="12565" width="2.85546875" style="1258" customWidth="1"/>
    <col min="12566" max="12566" width="29.85546875" style="1258" customWidth="1"/>
    <col min="12567" max="12567" width="9" style="1258" customWidth="1"/>
    <col min="12568" max="12568" width="10.85546875" style="1258" customWidth="1"/>
    <col min="12569" max="12569" width="8" style="1258" bestFit="1" customWidth="1"/>
    <col min="12570" max="12570" width="9" style="1258" bestFit="1" customWidth="1"/>
    <col min="12571" max="12571" width="11" style="1258" bestFit="1" customWidth="1"/>
    <col min="12572" max="12572" width="12.5703125" style="1258" bestFit="1" customWidth="1"/>
    <col min="12573" max="12573" width="12.140625" style="1258" customWidth="1"/>
    <col min="12574" max="12587" width="2.85546875" style="1258" customWidth="1"/>
    <col min="12588" max="12588" width="22.28515625" style="1258" customWidth="1"/>
    <col min="12589" max="12589" width="9.42578125" style="1258" customWidth="1"/>
    <col min="12590" max="12590" width="8.42578125" style="1258" customWidth="1"/>
    <col min="12591" max="12591" width="9.42578125" style="1258" customWidth="1"/>
    <col min="12592" max="12592" width="7.5703125" style="1258" customWidth="1"/>
    <col min="12593" max="12593" width="7.85546875" style="1258" bestFit="1" customWidth="1"/>
    <col min="12594" max="12594" width="10.28515625" style="1258" bestFit="1" customWidth="1"/>
    <col min="12595" max="12595" width="4.85546875" style="1258" customWidth="1"/>
    <col min="12596" max="12596" width="21.85546875" style="1258" bestFit="1" customWidth="1"/>
    <col min="12597" max="12597" width="8.85546875" style="1258" customWidth="1"/>
    <col min="12598" max="12598" width="7.5703125" style="1258" bestFit="1" customWidth="1"/>
    <col min="12599" max="12599" width="4.5703125" style="1258" customWidth="1"/>
    <col min="12600" max="12811" width="9.42578125" style="1258"/>
    <col min="12812" max="12812" width="2.42578125" style="1258" customWidth="1"/>
    <col min="12813" max="12813" width="29.7109375" style="1258" customWidth="1"/>
    <col min="12814" max="12814" width="9.28515625" style="1258" bestFit="1" customWidth="1"/>
    <col min="12815" max="12815" width="10.28515625" style="1258" customWidth="1"/>
    <col min="12816" max="12816" width="8.140625" style="1258" bestFit="1" customWidth="1"/>
    <col min="12817" max="12817" width="9.85546875" style="1258" bestFit="1" customWidth="1"/>
    <col min="12818" max="12818" width="9" style="1258" customWidth="1"/>
    <col min="12819" max="12819" width="11.7109375" style="1258" customWidth="1"/>
    <col min="12820" max="12820" width="12.42578125" style="1258" customWidth="1"/>
    <col min="12821" max="12821" width="2.85546875" style="1258" customWidth="1"/>
    <col min="12822" max="12822" width="29.85546875" style="1258" customWidth="1"/>
    <col min="12823" max="12823" width="9" style="1258" customWidth="1"/>
    <col min="12824" max="12824" width="10.85546875" style="1258" customWidth="1"/>
    <col min="12825" max="12825" width="8" style="1258" bestFit="1" customWidth="1"/>
    <col min="12826" max="12826" width="9" style="1258" bestFit="1" customWidth="1"/>
    <col min="12827" max="12827" width="11" style="1258" bestFit="1" customWidth="1"/>
    <col min="12828" max="12828" width="12.5703125" style="1258" bestFit="1" customWidth="1"/>
    <col min="12829" max="12829" width="12.140625" style="1258" customWidth="1"/>
    <col min="12830" max="12843" width="2.85546875" style="1258" customWidth="1"/>
    <col min="12844" max="12844" width="22.28515625" style="1258" customWidth="1"/>
    <col min="12845" max="12845" width="9.42578125" style="1258" customWidth="1"/>
    <col min="12846" max="12846" width="8.42578125" style="1258" customWidth="1"/>
    <col min="12847" max="12847" width="9.42578125" style="1258" customWidth="1"/>
    <col min="12848" max="12848" width="7.5703125" style="1258" customWidth="1"/>
    <col min="12849" max="12849" width="7.85546875" style="1258" bestFit="1" customWidth="1"/>
    <col min="12850" max="12850" width="10.28515625" style="1258" bestFit="1" customWidth="1"/>
    <col min="12851" max="12851" width="4.85546875" style="1258" customWidth="1"/>
    <col min="12852" max="12852" width="21.85546875" style="1258" bestFit="1" customWidth="1"/>
    <col min="12853" max="12853" width="8.85546875" style="1258" customWidth="1"/>
    <col min="12854" max="12854" width="7.5703125" style="1258" bestFit="1" customWidth="1"/>
    <col min="12855" max="12855" width="4.5703125" style="1258" customWidth="1"/>
    <col min="12856" max="13067" width="9.42578125" style="1258"/>
    <col min="13068" max="13068" width="2.42578125" style="1258" customWidth="1"/>
    <col min="13069" max="13069" width="29.7109375" style="1258" customWidth="1"/>
    <col min="13070" max="13070" width="9.28515625" style="1258" bestFit="1" customWidth="1"/>
    <col min="13071" max="13071" width="10.28515625" style="1258" customWidth="1"/>
    <col min="13072" max="13072" width="8.140625" style="1258" bestFit="1" customWidth="1"/>
    <col min="13073" max="13073" width="9.85546875" style="1258" bestFit="1" customWidth="1"/>
    <col min="13074" max="13074" width="9" style="1258" customWidth="1"/>
    <col min="13075" max="13075" width="11.7109375" style="1258" customWidth="1"/>
    <col min="13076" max="13076" width="12.42578125" style="1258" customWidth="1"/>
    <col min="13077" max="13077" width="2.85546875" style="1258" customWidth="1"/>
    <col min="13078" max="13078" width="29.85546875" style="1258" customWidth="1"/>
    <col min="13079" max="13079" width="9" style="1258" customWidth="1"/>
    <col min="13080" max="13080" width="10.85546875" style="1258" customWidth="1"/>
    <col min="13081" max="13081" width="8" style="1258" bestFit="1" customWidth="1"/>
    <col min="13082" max="13082" width="9" style="1258" bestFit="1" customWidth="1"/>
    <col min="13083" max="13083" width="11" style="1258" bestFit="1" customWidth="1"/>
    <col min="13084" max="13084" width="12.5703125" style="1258" bestFit="1" customWidth="1"/>
    <col min="13085" max="13085" width="12.140625" style="1258" customWidth="1"/>
    <col min="13086" max="13099" width="2.85546875" style="1258" customWidth="1"/>
    <col min="13100" max="13100" width="22.28515625" style="1258" customWidth="1"/>
    <col min="13101" max="13101" width="9.42578125" style="1258" customWidth="1"/>
    <col min="13102" max="13102" width="8.42578125" style="1258" customWidth="1"/>
    <col min="13103" max="13103" width="9.42578125" style="1258" customWidth="1"/>
    <col min="13104" max="13104" width="7.5703125" style="1258" customWidth="1"/>
    <col min="13105" max="13105" width="7.85546875" style="1258" bestFit="1" customWidth="1"/>
    <col min="13106" max="13106" width="10.28515625" style="1258" bestFit="1" customWidth="1"/>
    <col min="13107" max="13107" width="4.85546875" style="1258" customWidth="1"/>
    <col min="13108" max="13108" width="21.85546875" style="1258" bestFit="1" customWidth="1"/>
    <col min="13109" max="13109" width="8.85546875" style="1258" customWidth="1"/>
    <col min="13110" max="13110" width="7.5703125" style="1258" bestFit="1" customWidth="1"/>
    <col min="13111" max="13111" width="4.5703125" style="1258" customWidth="1"/>
    <col min="13112" max="13323" width="9.42578125" style="1258"/>
    <col min="13324" max="13324" width="2.42578125" style="1258" customWidth="1"/>
    <col min="13325" max="13325" width="29.7109375" style="1258" customWidth="1"/>
    <col min="13326" max="13326" width="9.28515625" style="1258" bestFit="1" customWidth="1"/>
    <col min="13327" max="13327" width="10.28515625" style="1258" customWidth="1"/>
    <col min="13328" max="13328" width="8.140625" style="1258" bestFit="1" customWidth="1"/>
    <col min="13329" max="13329" width="9.85546875" style="1258" bestFit="1" customWidth="1"/>
    <col min="13330" max="13330" width="9" style="1258" customWidth="1"/>
    <col min="13331" max="13331" width="11.7109375" style="1258" customWidth="1"/>
    <col min="13332" max="13332" width="12.42578125" style="1258" customWidth="1"/>
    <col min="13333" max="13333" width="2.85546875" style="1258" customWidth="1"/>
    <col min="13334" max="13334" width="29.85546875" style="1258" customWidth="1"/>
    <col min="13335" max="13335" width="9" style="1258" customWidth="1"/>
    <col min="13336" max="13336" width="10.85546875" style="1258" customWidth="1"/>
    <col min="13337" max="13337" width="8" style="1258" bestFit="1" customWidth="1"/>
    <col min="13338" max="13338" width="9" style="1258" bestFit="1" customWidth="1"/>
    <col min="13339" max="13339" width="11" style="1258" bestFit="1" customWidth="1"/>
    <col min="13340" max="13340" width="12.5703125" style="1258" bestFit="1" customWidth="1"/>
    <col min="13341" max="13341" width="12.140625" style="1258" customWidth="1"/>
    <col min="13342" max="13355" width="2.85546875" style="1258" customWidth="1"/>
    <col min="13356" max="13356" width="22.28515625" style="1258" customWidth="1"/>
    <col min="13357" max="13357" width="9.42578125" style="1258" customWidth="1"/>
    <col min="13358" max="13358" width="8.42578125" style="1258" customWidth="1"/>
    <col min="13359" max="13359" width="9.42578125" style="1258" customWidth="1"/>
    <col min="13360" max="13360" width="7.5703125" style="1258" customWidth="1"/>
    <col min="13361" max="13361" width="7.85546875" style="1258" bestFit="1" customWidth="1"/>
    <col min="13362" max="13362" width="10.28515625" style="1258" bestFit="1" customWidth="1"/>
    <col min="13363" max="13363" width="4.85546875" style="1258" customWidth="1"/>
    <col min="13364" max="13364" width="21.85546875" style="1258" bestFit="1" customWidth="1"/>
    <col min="13365" max="13365" width="8.85546875" style="1258" customWidth="1"/>
    <col min="13366" max="13366" width="7.5703125" style="1258" bestFit="1" customWidth="1"/>
    <col min="13367" max="13367" width="4.5703125" style="1258" customWidth="1"/>
    <col min="13368" max="13579" width="9.42578125" style="1258"/>
    <col min="13580" max="13580" width="2.42578125" style="1258" customWidth="1"/>
    <col min="13581" max="13581" width="29.7109375" style="1258" customWidth="1"/>
    <col min="13582" max="13582" width="9.28515625" style="1258" bestFit="1" customWidth="1"/>
    <col min="13583" max="13583" width="10.28515625" style="1258" customWidth="1"/>
    <col min="13584" max="13584" width="8.140625" style="1258" bestFit="1" customWidth="1"/>
    <col min="13585" max="13585" width="9.85546875" style="1258" bestFit="1" customWidth="1"/>
    <col min="13586" max="13586" width="9" style="1258" customWidth="1"/>
    <col min="13587" max="13587" width="11.7109375" style="1258" customWidth="1"/>
    <col min="13588" max="13588" width="12.42578125" style="1258" customWidth="1"/>
    <col min="13589" max="13589" width="2.85546875" style="1258" customWidth="1"/>
    <col min="13590" max="13590" width="29.85546875" style="1258" customWidth="1"/>
    <col min="13591" max="13591" width="9" style="1258" customWidth="1"/>
    <col min="13592" max="13592" width="10.85546875" style="1258" customWidth="1"/>
    <col min="13593" max="13593" width="8" style="1258" bestFit="1" customWidth="1"/>
    <col min="13594" max="13594" width="9" style="1258" bestFit="1" customWidth="1"/>
    <col min="13595" max="13595" width="11" style="1258" bestFit="1" customWidth="1"/>
    <col min="13596" max="13596" width="12.5703125" style="1258" bestFit="1" customWidth="1"/>
    <col min="13597" max="13597" width="12.140625" style="1258" customWidth="1"/>
    <col min="13598" max="13611" width="2.85546875" style="1258" customWidth="1"/>
    <col min="13612" max="13612" width="22.28515625" style="1258" customWidth="1"/>
    <col min="13613" max="13613" width="9.42578125" style="1258" customWidth="1"/>
    <col min="13614" max="13614" width="8.42578125" style="1258" customWidth="1"/>
    <col min="13615" max="13615" width="9.42578125" style="1258" customWidth="1"/>
    <col min="13616" max="13616" width="7.5703125" style="1258" customWidth="1"/>
    <col min="13617" max="13617" width="7.85546875" style="1258" bestFit="1" customWidth="1"/>
    <col min="13618" max="13618" width="10.28515625" style="1258" bestFit="1" customWidth="1"/>
    <col min="13619" max="13619" width="4.85546875" style="1258" customWidth="1"/>
    <col min="13620" max="13620" width="21.85546875" style="1258" bestFit="1" customWidth="1"/>
    <col min="13621" max="13621" width="8.85546875" style="1258" customWidth="1"/>
    <col min="13622" max="13622" width="7.5703125" style="1258" bestFit="1" customWidth="1"/>
    <col min="13623" max="13623" width="4.5703125" style="1258" customWidth="1"/>
    <col min="13624" max="13835" width="9.42578125" style="1258"/>
    <col min="13836" max="13836" width="2.42578125" style="1258" customWidth="1"/>
    <col min="13837" max="13837" width="29.7109375" style="1258" customWidth="1"/>
    <col min="13838" max="13838" width="9.28515625" style="1258" bestFit="1" customWidth="1"/>
    <col min="13839" max="13839" width="10.28515625" style="1258" customWidth="1"/>
    <col min="13840" max="13840" width="8.140625" style="1258" bestFit="1" customWidth="1"/>
    <col min="13841" max="13841" width="9.85546875" style="1258" bestFit="1" customWidth="1"/>
    <col min="13842" max="13842" width="9" style="1258" customWidth="1"/>
    <col min="13843" max="13843" width="11.7109375" style="1258" customWidth="1"/>
    <col min="13844" max="13844" width="12.42578125" style="1258" customWidth="1"/>
    <col min="13845" max="13845" width="2.85546875" style="1258" customWidth="1"/>
    <col min="13846" max="13846" width="29.85546875" style="1258" customWidth="1"/>
    <col min="13847" max="13847" width="9" style="1258" customWidth="1"/>
    <col min="13848" max="13848" width="10.85546875" style="1258" customWidth="1"/>
    <col min="13849" max="13849" width="8" style="1258" bestFit="1" customWidth="1"/>
    <col min="13850" max="13850" width="9" style="1258" bestFit="1" customWidth="1"/>
    <col min="13851" max="13851" width="11" style="1258" bestFit="1" customWidth="1"/>
    <col min="13852" max="13852" width="12.5703125" style="1258" bestFit="1" customWidth="1"/>
    <col min="13853" max="13853" width="12.140625" style="1258" customWidth="1"/>
    <col min="13854" max="13867" width="2.85546875" style="1258" customWidth="1"/>
    <col min="13868" max="13868" width="22.28515625" style="1258" customWidth="1"/>
    <col min="13869" max="13869" width="9.42578125" style="1258" customWidth="1"/>
    <col min="13870" max="13870" width="8.42578125" style="1258" customWidth="1"/>
    <col min="13871" max="13871" width="9.42578125" style="1258" customWidth="1"/>
    <col min="13872" max="13872" width="7.5703125" style="1258" customWidth="1"/>
    <col min="13873" max="13873" width="7.85546875" style="1258" bestFit="1" customWidth="1"/>
    <col min="13874" max="13874" width="10.28515625" style="1258" bestFit="1" customWidth="1"/>
    <col min="13875" max="13875" width="4.85546875" style="1258" customWidth="1"/>
    <col min="13876" max="13876" width="21.85546875" style="1258" bestFit="1" customWidth="1"/>
    <col min="13877" max="13877" width="8.85546875" style="1258" customWidth="1"/>
    <col min="13878" max="13878" width="7.5703125" style="1258" bestFit="1" customWidth="1"/>
    <col min="13879" max="13879" width="4.5703125" style="1258" customWidth="1"/>
    <col min="13880" max="14091" width="9.42578125" style="1258"/>
    <col min="14092" max="14092" width="2.42578125" style="1258" customWidth="1"/>
    <col min="14093" max="14093" width="29.7109375" style="1258" customWidth="1"/>
    <col min="14094" max="14094" width="9.28515625" style="1258" bestFit="1" customWidth="1"/>
    <col min="14095" max="14095" width="10.28515625" style="1258" customWidth="1"/>
    <col min="14096" max="14096" width="8.140625" style="1258" bestFit="1" customWidth="1"/>
    <col min="14097" max="14097" width="9.85546875" style="1258" bestFit="1" customWidth="1"/>
    <col min="14098" max="14098" width="9" style="1258" customWidth="1"/>
    <col min="14099" max="14099" width="11.7109375" style="1258" customWidth="1"/>
    <col min="14100" max="14100" width="12.42578125" style="1258" customWidth="1"/>
    <col min="14101" max="14101" width="2.85546875" style="1258" customWidth="1"/>
    <col min="14102" max="14102" width="29.85546875" style="1258" customWidth="1"/>
    <col min="14103" max="14103" width="9" style="1258" customWidth="1"/>
    <col min="14104" max="14104" width="10.85546875" style="1258" customWidth="1"/>
    <col min="14105" max="14105" width="8" style="1258" bestFit="1" customWidth="1"/>
    <col min="14106" max="14106" width="9" style="1258" bestFit="1" customWidth="1"/>
    <col min="14107" max="14107" width="11" style="1258" bestFit="1" customWidth="1"/>
    <col min="14108" max="14108" width="12.5703125" style="1258" bestFit="1" customWidth="1"/>
    <col min="14109" max="14109" width="12.140625" style="1258" customWidth="1"/>
    <col min="14110" max="14123" width="2.85546875" style="1258" customWidth="1"/>
    <col min="14124" max="14124" width="22.28515625" style="1258" customWidth="1"/>
    <col min="14125" max="14125" width="9.42578125" style="1258" customWidth="1"/>
    <col min="14126" max="14126" width="8.42578125" style="1258" customWidth="1"/>
    <col min="14127" max="14127" width="9.42578125" style="1258" customWidth="1"/>
    <col min="14128" max="14128" width="7.5703125" style="1258" customWidth="1"/>
    <col min="14129" max="14129" width="7.85546875" style="1258" bestFit="1" customWidth="1"/>
    <col min="14130" max="14130" width="10.28515625" style="1258" bestFit="1" customWidth="1"/>
    <col min="14131" max="14131" width="4.85546875" style="1258" customWidth="1"/>
    <col min="14132" max="14132" width="21.85546875" style="1258" bestFit="1" customWidth="1"/>
    <col min="14133" max="14133" width="8.85546875" style="1258" customWidth="1"/>
    <col min="14134" max="14134" width="7.5703125" style="1258" bestFit="1" customWidth="1"/>
    <col min="14135" max="14135" width="4.5703125" style="1258" customWidth="1"/>
    <col min="14136" max="14347" width="9.42578125" style="1258"/>
    <col min="14348" max="14348" width="2.42578125" style="1258" customWidth="1"/>
    <col min="14349" max="14349" width="29.7109375" style="1258" customWidth="1"/>
    <col min="14350" max="14350" width="9.28515625" style="1258" bestFit="1" customWidth="1"/>
    <col min="14351" max="14351" width="10.28515625" style="1258" customWidth="1"/>
    <col min="14352" max="14352" width="8.140625" style="1258" bestFit="1" customWidth="1"/>
    <col min="14353" max="14353" width="9.85546875" style="1258" bestFit="1" customWidth="1"/>
    <col min="14354" max="14354" width="9" style="1258" customWidth="1"/>
    <col min="14355" max="14355" width="11.7109375" style="1258" customWidth="1"/>
    <col min="14356" max="14356" width="12.42578125" style="1258" customWidth="1"/>
    <col min="14357" max="14357" width="2.85546875" style="1258" customWidth="1"/>
    <col min="14358" max="14358" width="29.85546875" style="1258" customWidth="1"/>
    <col min="14359" max="14359" width="9" style="1258" customWidth="1"/>
    <col min="14360" max="14360" width="10.85546875" style="1258" customWidth="1"/>
    <col min="14361" max="14361" width="8" style="1258" bestFit="1" customWidth="1"/>
    <col min="14362" max="14362" width="9" style="1258" bestFit="1" customWidth="1"/>
    <col min="14363" max="14363" width="11" style="1258" bestFit="1" customWidth="1"/>
    <col min="14364" max="14364" width="12.5703125" style="1258" bestFit="1" customWidth="1"/>
    <col min="14365" max="14365" width="12.140625" style="1258" customWidth="1"/>
    <col min="14366" max="14379" width="2.85546875" style="1258" customWidth="1"/>
    <col min="14380" max="14380" width="22.28515625" style="1258" customWidth="1"/>
    <col min="14381" max="14381" width="9.42578125" style="1258" customWidth="1"/>
    <col min="14382" max="14382" width="8.42578125" style="1258" customWidth="1"/>
    <col min="14383" max="14383" width="9.42578125" style="1258" customWidth="1"/>
    <col min="14384" max="14384" width="7.5703125" style="1258" customWidth="1"/>
    <col min="14385" max="14385" width="7.85546875" style="1258" bestFit="1" customWidth="1"/>
    <col min="14386" max="14386" width="10.28515625" style="1258" bestFit="1" customWidth="1"/>
    <col min="14387" max="14387" width="4.85546875" style="1258" customWidth="1"/>
    <col min="14388" max="14388" width="21.85546875" style="1258" bestFit="1" customWidth="1"/>
    <col min="14389" max="14389" width="8.85546875" style="1258" customWidth="1"/>
    <col min="14390" max="14390" width="7.5703125" style="1258" bestFit="1" customWidth="1"/>
    <col min="14391" max="14391" width="4.5703125" style="1258" customWidth="1"/>
    <col min="14392" max="14603" width="9.42578125" style="1258"/>
    <col min="14604" max="14604" width="2.42578125" style="1258" customWidth="1"/>
    <col min="14605" max="14605" width="29.7109375" style="1258" customWidth="1"/>
    <col min="14606" max="14606" width="9.28515625" style="1258" bestFit="1" customWidth="1"/>
    <col min="14607" max="14607" width="10.28515625" style="1258" customWidth="1"/>
    <col min="14608" max="14608" width="8.140625" style="1258" bestFit="1" customWidth="1"/>
    <col min="14609" max="14609" width="9.85546875" style="1258" bestFit="1" customWidth="1"/>
    <col min="14610" max="14610" width="9" style="1258" customWidth="1"/>
    <col min="14611" max="14611" width="11.7109375" style="1258" customWidth="1"/>
    <col min="14612" max="14612" width="12.42578125" style="1258" customWidth="1"/>
    <col min="14613" max="14613" width="2.85546875" style="1258" customWidth="1"/>
    <col min="14614" max="14614" width="29.85546875" style="1258" customWidth="1"/>
    <col min="14615" max="14615" width="9" style="1258" customWidth="1"/>
    <col min="14616" max="14616" width="10.85546875" style="1258" customWidth="1"/>
    <col min="14617" max="14617" width="8" style="1258" bestFit="1" customWidth="1"/>
    <col min="14618" max="14618" width="9" style="1258" bestFit="1" customWidth="1"/>
    <col min="14619" max="14619" width="11" style="1258" bestFit="1" customWidth="1"/>
    <col min="14620" max="14620" width="12.5703125" style="1258" bestFit="1" customWidth="1"/>
    <col min="14621" max="14621" width="12.140625" style="1258" customWidth="1"/>
    <col min="14622" max="14635" width="2.85546875" style="1258" customWidth="1"/>
    <col min="14636" max="14636" width="22.28515625" style="1258" customWidth="1"/>
    <col min="14637" max="14637" width="9.42578125" style="1258" customWidth="1"/>
    <col min="14638" max="14638" width="8.42578125" style="1258" customWidth="1"/>
    <col min="14639" max="14639" width="9.42578125" style="1258" customWidth="1"/>
    <col min="14640" max="14640" width="7.5703125" style="1258" customWidth="1"/>
    <col min="14641" max="14641" width="7.85546875" style="1258" bestFit="1" customWidth="1"/>
    <col min="14642" max="14642" width="10.28515625" style="1258" bestFit="1" customWidth="1"/>
    <col min="14643" max="14643" width="4.85546875" style="1258" customWidth="1"/>
    <col min="14644" max="14644" width="21.85546875" style="1258" bestFit="1" customWidth="1"/>
    <col min="14645" max="14645" width="8.85546875" style="1258" customWidth="1"/>
    <col min="14646" max="14646" width="7.5703125" style="1258" bestFit="1" customWidth="1"/>
    <col min="14647" max="14647" width="4.5703125" style="1258" customWidth="1"/>
    <col min="14648" max="14859" width="9.42578125" style="1258"/>
    <col min="14860" max="14860" width="2.42578125" style="1258" customWidth="1"/>
    <col min="14861" max="14861" width="29.7109375" style="1258" customWidth="1"/>
    <col min="14862" max="14862" width="9.28515625" style="1258" bestFit="1" customWidth="1"/>
    <col min="14863" max="14863" width="10.28515625" style="1258" customWidth="1"/>
    <col min="14864" max="14864" width="8.140625" style="1258" bestFit="1" customWidth="1"/>
    <col min="14865" max="14865" width="9.85546875" style="1258" bestFit="1" customWidth="1"/>
    <col min="14866" max="14866" width="9" style="1258" customWidth="1"/>
    <col min="14867" max="14867" width="11.7109375" style="1258" customWidth="1"/>
    <col min="14868" max="14868" width="12.42578125" style="1258" customWidth="1"/>
    <col min="14869" max="14869" width="2.85546875" style="1258" customWidth="1"/>
    <col min="14870" max="14870" width="29.85546875" style="1258" customWidth="1"/>
    <col min="14871" max="14871" width="9" style="1258" customWidth="1"/>
    <col min="14872" max="14872" width="10.85546875" style="1258" customWidth="1"/>
    <col min="14873" max="14873" width="8" style="1258" bestFit="1" customWidth="1"/>
    <col min="14874" max="14874" width="9" style="1258" bestFit="1" customWidth="1"/>
    <col min="14875" max="14875" width="11" style="1258" bestFit="1" customWidth="1"/>
    <col min="14876" max="14876" width="12.5703125" style="1258" bestFit="1" customWidth="1"/>
    <col min="14877" max="14877" width="12.140625" style="1258" customWidth="1"/>
    <col min="14878" max="14891" width="2.85546875" style="1258" customWidth="1"/>
    <col min="14892" max="14892" width="22.28515625" style="1258" customWidth="1"/>
    <col min="14893" max="14893" width="9.42578125" style="1258" customWidth="1"/>
    <col min="14894" max="14894" width="8.42578125" style="1258" customWidth="1"/>
    <col min="14895" max="14895" width="9.42578125" style="1258" customWidth="1"/>
    <col min="14896" max="14896" width="7.5703125" style="1258" customWidth="1"/>
    <col min="14897" max="14897" width="7.85546875" style="1258" bestFit="1" customWidth="1"/>
    <col min="14898" max="14898" width="10.28515625" style="1258" bestFit="1" customWidth="1"/>
    <col min="14899" max="14899" width="4.85546875" style="1258" customWidth="1"/>
    <col min="14900" max="14900" width="21.85546875" style="1258" bestFit="1" customWidth="1"/>
    <col min="14901" max="14901" width="8.85546875" style="1258" customWidth="1"/>
    <col min="14902" max="14902" width="7.5703125" style="1258" bestFit="1" customWidth="1"/>
    <col min="14903" max="14903" width="4.5703125" style="1258" customWidth="1"/>
    <col min="14904" max="15115" width="9.42578125" style="1258"/>
    <col min="15116" max="15116" width="2.42578125" style="1258" customWidth="1"/>
    <col min="15117" max="15117" width="29.7109375" style="1258" customWidth="1"/>
    <col min="15118" max="15118" width="9.28515625" style="1258" bestFit="1" customWidth="1"/>
    <col min="15119" max="15119" width="10.28515625" style="1258" customWidth="1"/>
    <col min="15120" max="15120" width="8.140625" style="1258" bestFit="1" customWidth="1"/>
    <col min="15121" max="15121" width="9.85546875" style="1258" bestFit="1" customWidth="1"/>
    <col min="15122" max="15122" width="9" style="1258" customWidth="1"/>
    <col min="15123" max="15123" width="11.7109375" style="1258" customWidth="1"/>
    <col min="15124" max="15124" width="12.42578125" style="1258" customWidth="1"/>
    <col min="15125" max="15125" width="2.85546875" style="1258" customWidth="1"/>
    <col min="15126" max="15126" width="29.85546875" style="1258" customWidth="1"/>
    <col min="15127" max="15127" width="9" style="1258" customWidth="1"/>
    <col min="15128" max="15128" width="10.85546875" style="1258" customWidth="1"/>
    <col min="15129" max="15129" width="8" style="1258" bestFit="1" customWidth="1"/>
    <col min="15130" max="15130" width="9" style="1258" bestFit="1" customWidth="1"/>
    <col min="15131" max="15131" width="11" style="1258" bestFit="1" customWidth="1"/>
    <col min="15132" max="15132" width="12.5703125" style="1258" bestFit="1" customWidth="1"/>
    <col min="15133" max="15133" width="12.140625" style="1258" customWidth="1"/>
    <col min="15134" max="15147" width="2.85546875" style="1258" customWidth="1"/>
    <col min="15148" max="15148" width="22.28515625" style="1258" customWidth="1"/>
    <col min="15149" max="15149" width="9.42578125" style="1258" customWidth="1"/>
    <col min="15150" max="15150" width="8.42578125" style="1258" customWidth="1"/>
    <col min="15151" max="15151" width="9.42578125" style="1258" customWidth="1"/>
    <col min="15152" max="15152" width="7.5703125" style="1258" customWidth="1"/>
    <col min="15153" max="15153" width="7.85546875" style="1258" bestFit="1" customWidth="1"/>
    <col min="15154" max="15154" width="10.28515625" style="1258" bestFit="1" customWidth="1"/>
    <col min="15155" max="15155" width="4.85546875" style="1258" customWidth="1"/>
    <col min="15156" max="15156" width="21.85546875" style="1258" bestFit="1" customWidth="1"/>
    <col min="15157" max="15157" width="8.85546875" style="1258" customWidth="1"/>
    <col min="15158" max="15158" width="7.5703125" style="1258" bestFit="1" customWidth="1"/>
    <col min="15159" max="15159" width="4.5703125" style="1258" customWidth="1"/>
    <col min="15160" max="15371" width="9.42578125" style="1258"/>
    <col min="15372" max="15372" width="2.42578125" style="1258" customWidth="1"/>
    <col min="15373" max="15373" width="29.7109375" style="1258" customWidth="1"/>
    <col min="15374" max="15374" width="9.28515625" style="1258" bestFit="1" customWidth="1"/>
    <col min="15375" max="15375" width="10.28515625" style="1258" customWidth="1"/>
    <col min="15376" max="15376" width="8.140625" style="1258" bestFit="1" customWidth="1"/>
    <col min="15377" max="15377" width="9.85546875" style="1258" bestFit="1" customWidth="1"/>
    <col min="15378" max="15378" width="9" style="1258" customWidth="1"/>
    <col min="15379" max="15379" width="11.7109375" style="1258" customWidth="1"/>
    <col min="15380" max="15380" width="12.42578125" style="1258" customWidth="1"/>
    <col min="15381" max="15381" width="2.85546875" style="1258" customWidth="1"/>
    <col min="15382" max="15382" width="29.85546875" style="1258" customWidth="1"/>
    <col min="15383" max="15383" width="9" style="1258" customWidth="1"/>
    <col min="15384" max="15384" width="10.85546875" style="1258" customWidth="1"/>
    <col min="15385" max="15385" width="8" style="1258" bestFit="1" customWidth="1"/>
    <col min="15386" max="15386" width="9" style="1258" bestFit="1" customWidth="1"/>
    <col min="15387" max="15387" width="11" style="1258" bestFit="1" customWidth="1"/>
    <col min="15388" max="15388" width="12.5703125" style="1258" bestFit="1" customWidth="1"/>
    <col min="15389" max="15389" width="12.140625" style="1258" customWidth="1"/>
    <col min="15390" max="15403" width="2.85546875" style="1258" customWidth="1"/>
    <col min="15404" max="15404" width="22.28515625" style="1258" customWidth="1"/>
    <col min="15405" max="15405" width="9.42578125" style="1258" customWidth="1"/>
    <col min="15406" max="15406" width="8.42578125" style="1258" customWidth="1"/>
    <col min="15407" max="15407" width="9.42578125" style="1258" customWidth="1"/>
    <col min="15408" max="15408" width="7.5703125" style="1258" customWidth="1"/>
    <col min="15409" max="15409" width="7.85546875" style="1258" bestFit="1" customWidth="1"/>
    <col min="15410" max="15410" width="10.28515625" style="1258" bestFit="1" customWidth="1"/>
    <col min="15411" max="15411" width="4.85546875" style="1258" customWidth="1"/>
    <col min="15412" max="15412" width="21.85546875" style="1258" bestFit="1" customWidth="1"/>
    <col min="15413" max="15413" width="8.85546875" style="1258" customWidth="1"/>
    <col min="15414" max="15414" width="7.5703125" style="1258" bestFit="1" customWidth="1"/>
    <col min="15415" max="15415" width="4.5703125" style="1258" customWidth="1"/>
    <col min="15416" max="15627" width="9.42578125" style="1258"/>
    <col min="15628" max="15628" width="2.42578125" style="1258" customWidth="1"/>
    <col min="15629" max="15629" width="29.7109375" style="1258" customWidth="1"/>
    <col min="15630" max="15630" width="9.28515625" style="1258" bestFit="1" customWidth="1"/>
    <col min="15631" max="15631" width="10.28515625" style="1258" customWidth="1"/>
    <col min="15632" max="15632" width="8.140625" style="1258" bestFit="1" customWidth="1"/>
    <col min="15633" max="15633" width="9.85546875" style="1258" bestFit="1" customWidth="1"/>
    <col min="15634" max="15634" width="9" style="1258" customWidth="1"/>
    <col min="15635" max="15635" width="11.7109375" style="1258" customWidth="1"/>
    <col min="15636" max="15636" width="12.42578125" style="1258" customWidth="1"/>
    <col min="15637" max="15637" width="2.85546875" style="1258" customWidth="1"/>
    <col min="15638" max="15638" width="29.85546875" style="1258" customWidth="1"/>
    <col min="15639" max="15639" width="9" style="1258" customWidth="1"/>
    <col min="15640" max="15640" width="10.85546875" style="1258" customWidth="1"/>
    <col min="15641" max="15641" width="8" style="1258" bestFit="1" customWidth="1"/>
    <col min="15642" max="15642" width="9" style="1258" bestFit="1" customWidth="1"/>
    <col min="15643" max="15643" width="11" style="1258" bestFit="1" customWidth="1"/>
    <col min="15644" max="15644" width="12.5703125" style="1258" bestFit="1" customWidth="1"/>
    <col min="15645" max="15645" width="12.140625" style="1258" customWidth="1"/>
    <col min="15646" max="15659" width="2.85546875" style="1258" customWidth="1"/>
    <col min="15660" max="15660" width="22.28515625" style="1258" customWidth="1"/>
    <col min="15661" max="15661" width="9.42578125" style="1258" customWidth="1"/>
    <col min="15662" max="15662" width="8.42578125" style="1258" customWidth="1"/>
    <col min="15663" max="15663" width="9.42578125" style="1258" customWidth="1"/>
    <col min="15664" max="15664" width="7.5703125" style="1258" customWidth="1"/>
    <col min="15665" max="15665" width="7.85546875" style="1258" bestFit="1" customWidth="1"/>
    <col min="15666" max="15666" width="10.28515625" style="1258" bestFit="1" customWidth="1"/>
    <col min="15667" max="15667" width="4.85546875" style="1258" customWidth="1"/>
    <col min="15668" max="15668" width="21.85546875" style="1258" bestFit="1" customWidth="1"/>
    <col min="15669" max="15669" width="8.85546875" style="1258" customWidth="1"/>
    <col min="15670" max="15670" width="7.5703125" style="1258" bestFit="1" customWidth="1"/>
    <col min="15671" max="15671" width="4.5703125" style="1258" customWidth="1"/>
    <col min="15672" max="15883" width="9.42578125" style="1258"/>
    <col min="15884" max="15884" width="2.42578125" style="1258" customWidth="1"/>
    <col min="15885" max="15885" width="29.7109375" style="1258" customWidth="1"/>
    <col min="15886" max="15886" width="9.28515625" style="1258" bestFit="1" customWidth="1"/>
    <col min="15887" max="15887" width="10.28515625" style="1258" customWidth="1"/>
    <col min="15888" max="15888" width="8.140625" style="1258" bestFit="1" customWidth="1"/>
    <col min="15889" max="15889" width="9.85546875" style="1258" bestFit="1" customWidth="1"/>
    <col min="15890" max="15890" width="9" style="1258" customWidth="1"/>
    <col min="15891" max="15891" width="11.7109375" style="1258" customWidth="1"/>
    <col min="15892" max="15892" width="12.42578125" style="1258" customWidth="1"/>
    <col min="15893" max="15893" width="2.85546875" style="1258" customWidth="1"/>
    <col min="15894" max="15894" width="29.85546875" style="1258" customWidth="1"/>
    <col min="15895" max="15895" width="9" style="1258" customWidth="1"/>
    <col min="15896" max="15896" width="10.85546875" style="1258" customWidth="1"/>
    <col min="15897" max="15897" width="8" style="1258" bestFit="1" customWidth="1"/>
    <col min="15898" max="15898" width="9" style="1258" bestFit="1" customWidth="1"/>
    <col min="15899" max="15899" width="11" style="1258" bestFit="1" customWidth="1"/>
    <col min="15900" max="15900" width="12.5703125" style="1258" bestFit="1" customWidth="1"/>
    <col min="15901" max="15901" width="12.140625" style="1258" customWidth="1"/>
    <col min="15902" max="15915" width="2.85546875" style="1258" customWidth="1"/>
    <col min="15916" max="15916" width="22.28515625" style="1258" customWidth="1"/>
    <col min="15917" max="15917" width="9.42578125" style="1258" customWidth="1"/>
    <col min="15918" max="15918" width="8.42578125" style="1258" customWidth="1"/>
    <col min="15919" max="15919" width="9.42578125" style="1258" customWidth="1"/>
    <col min="15920" max="15920" width="7.5703125" style="1258" customWidth="1"/>
    <col min="15921" max="15921" width="7.85546875" style="1258" bestFit="1" customWidth="1"/>
    <col min="15922" max="15922" width="10.28515625" style="1258" bestFit="1" customWidth="1"/>
    <col min="15923" max="15923" width="4.85546875" style="1258" customWidth="1"/>
    <col min="15924" max="15924" width="21.85546875" style="1258" bestFit="1" customWidth="1"/>
    <col min="15925" max="15925" width="8.85546875" style="1258" customWidth="1"/>
    <col min="15926" max="15926" width="7.5703125" style="1258" bestFit="1" customWidth="1"/>
    <col min="15927" max="15927" width="4.5703125" style="1258" customWidth="1"/>
    <col min="15928" max="16139" width="9.42578125" style="1258"/>
    <col min="16140" max="16140" width="2.42578125" style="1258" customWidth="1"/>
    <col min="16141" max="16141" width="29.7109375" style="1258" customWidth="1"/>
    <col min="16142" max="16142" width="9.28515625" style="1258" bestFit="1" customWidth="1"/>
    <col min="16143" max="16143" width="10.28515625" style="1258" customWidth="1"/>
    <col min="16144" max="16144" width="8.140625" style="1258" bestFit="1" customWidth="1"/>
    <col min="16145" max="16145" width="9.85546875" style="1258" bestFit="1" customWidth="1"/>
    <col min="16146" max="16146" width="9" style="1258" customWidth="1"/>
    <col min="16147" max="16147" width="11.7109375" style="1258" customWidth="1"/>
    <col min="16148" max="16148" width="12.42578125" style="1258" customWidth="1"/>
    <col min="16149" max="16149" width="2.85546875" style="1258" customWidth="1"/>
    <col min="16150" max="16150" width="29.85546875" style="1258" customWidth="1"/>
    <col min="16151" max="16151" width="9" style="1258" customWidth="1"/>
    <col min="16152" max="16152" width="10.85546875" style="1258" customWidth="1"/>
    <col min="16153" max="16153" width="8" style="1258" bestFit="1" customWidth="1"/>
    <col min="16154" max="16154" width="9" style="1258" bestFit="1" customWidth="1"/>
    <col min="16155" max="16155" width="11" style="1258" bestFit="1" customWidth="1"/>
    <col min="16156" max="16156" width="12.5703125" style="1258" bestFit="1" customWidth="1"/>
    <col min="16157" max="16157" width="12.140625" style="1258" customWidth="1"/>
    <col min="16158" max="16171" width="2.85546875" style="1258" customWidth="1"/>
    <col min="16172" max="16172" width="22.28515625" style="1258" customWidth="1"/>
    <col min="16173" max="16173" width="9.42578125" style="1258" customWidth="1"/>
    <col min="16174" max="16174" width="8.42578125" style="1258" customWidth="1"/>
    <col min="16175" max="16175" width="9.42578125" style="1258" customWidth="1"/>
    <col min="16176" max="16176" width="7.5703125" style="1258" customWidth="1"/>
    <col min="16177" max="16177" width="7.85546875" style="1258" bestFit="1" customWidth="1"/>
    <col min="16178" max="16178" width="10.28515625" style="1258" bestFit="1" customWidth="1"/>
    <col min="16179" max="16179" width="4.85546875" style="1258" customWidth="1"/>
    <col min="16180" max="16180" width="21.85546875" style="1258" bestFit="1" customWidth="1"/>
    <col min="16181" max="16181" width="8.85546875" style="1258" customWidth="1"/>
    <col min="16182" max="16182" width="7.5703125" style="1258" bestFit="1" customWidth="1"/>
    <col min="16183" max="16183" width="4.5703125" style="1258" customWidth="1"/>
    <col min="16184" max="16384" width="9.42578125" style="1258"/>
  </cols>
  <sheetData>
    <row r="1" spans="2:50" x14ac:dyDescent="0.2">
      <c r="I1" s="1327"/>
      <c r="J1" s="1327"/>
      <c r="K1" s="1327"/>
      <c r="L1" s="1328"/>
      <c r="M1" s="1329"/>
      <c r="N1" s="1327"/>
      <c r="O1" s="1330"/>
      <c r="W1" s="1331"/>
      <c r="X1" s="1331"/>
      <c r="Y1" s="1331"/>
      <c r="Z1" s="1331"/>
      <c r="AA1" s="1331"/>
      <c r="AB1" s="1331"/>
      <c r="AC1" s="1331"/>
      <c r="AD1" s="1331"/>
      <c r="AE1" s="1331"/>
      <c r="AF1" s="1331"/>
      <c r="AG1" s="1331"/>
      <c r="AH1" s="1331"/>
      <c r="AI1" s="1331"/>
      <c r="AJ1" s="1331"/>
      <c r="AN1" s="1258"/>
      <c r="AO1" s="1258"/>
      <c r="AP1" s="1258"/>
      <c r="AQ1" s="1258"/>
      <c r="AR1" s="1258"/>
      <c r="AS1" s="1258"/>
      <c r="AT1" s="1258"/>
      <c r="AU1" s="1258"/>
      <c r="AV1" s="1330"/>
      <c r="AW1" s="1330"/>
    </row>
    <row r="2" spans="2:50" x14ac:dyDescent="0.2">
      <c r="B2" s="1332" t="s">
        <v>781</v>
      </c>
      <c r="W2" s="1258"/>
      <c r="X2" s="1258"/>
      <c r="Y2" s="1258"/>
      <c r="Z2" s="1258"/>
      <c r="AA2" s="1258"/>
      <c r="AB2" s="1258"/>
      <c r="AC2" s="1258"/>
      <c r="AD2" s="1258"/>
      <c r="AE2" s="1258"/>
      <c r="AF2" s="1258"/>
      <c r="AG2" s="1258"/>
      <c r="AH2" s="1258"/>
      <c r="AI2" s="1258"/>
      <c r="AJ2" s="1258"/>
      <c r="AN2" s="1258"/>
      <c r="AO2" s="1258"/>
      <c r="AP2" s="1258"/>
      <c r="AQ2" s="1258"/>
      <c r="AR2" s="1258"/>
      <c r="AS2" s="1258"/>
      <c r="AT2" s="1258"/>
      <c r="AU2" s="1258"/>
      <c r="AV2" s="1330"/>
      <c r="AW2" s="1330"/>
      <c r="AX2" s="1330"/>
    </row>
    <row r="3" spans="2:50" s="1333" customFormat="1" ht="13.5" thickBot="1" x14ac:dyDescent="0.25">
      <c r="I3" s="1258"/>
      <c r="J3" s="1258"/>
      <c r="K3" s="1258"/>
      <c r="L3" s="1258"/>
      <c r="M3" s="1258"/>
      <c r="N3" s="1258"/>
      <c r="O3" s="1258"/>
      <c r="P3" s="1258"/>
      <c r="V3" s="344"/>
      <c r="W3" s="344"/>
      <c r="X3" s="344"/>
      <c r="Y3" s="344"/>
      <c r="Z3" s="344"/>
      <c r="AA3" s="344"/>
      <c r="AB3" s="344"/>
      <c r="AC3" s="344"/>
      <c r="AD3" s="344"/>
      <c r="AE3" s="344"/>
      <c r="AF3" s="344"/>
      <c r="AG3" s="344"/>
      <c r="AH3" s="344"/>
      <c r="AI3" s="344"/>
      <c r="AJ3" s="466"/>
      <c r="AK3" s="1329"/>
      <c r="AL3" s="1329"/>
      <c r="AN3" s="1258"/>
      <c r="AO3" s="1258"/>
      <c r="AP3" s="1258"/>
      <c r="AQ3" s="1258"/>
      <c r="AR3" s="1258"/>
      <c r="AS3" s="1258"/>
      <c r="AT3" s="1258"/>
      <c r="AU3" s="1258"/>
      <c r="AV3" s="1258"/>
      <c r="AW3" s="1258"/>
    </row>
    <row r="4" spans="2:50" s="1333" customFormat="1" ht="13.5" thickBot="1" x14ac:dyDescent="0.25">
      <c r="I4" s="1827" t="s">
        <v>385</v>
      </c>
      <c r="J4" s="1828"/>
      <c r="K4" s="1828"/>
      <c r="L4" s="1828"/>
      <c r="M4" s="1828"/>
      <c r="N4" s="1829"/>
      <c r="P4" s="1827" t="s">
        <v>382</v>
      </c>
      <c r="Q4" s="1828"/>
      <c r="R4" s="1828"/>
      <c r="S4" s="1828"/>
      <c r="T4" s="1828"/>
      <c r="U4" s="1829"/>
      <c r="V4" s="1335"/>
      <c r="W4" s="1827" t="s">
        <v>379</v>
      </c>
      <c r="X4" s="1828"/>
      <c r="Y4" s="1828"/>
      <c r="Z4" s="1828"/>
      <c r="AA4" s="1828"/>
      <c r="AB4" s="1829"/>
      <c r="AC4" s="1335"/>
      <c r="AD4" s="1830" t="s">
        <v>376</v>
      </c>
      <c r="AE4" s="1831"/>
      <c r="AF4" s="1831"/>
      <c r="AG4" s="1831"/>
      <c r="AH4" s="1831"/>
      <c r="AI4" s="1832"/>
      <c r="AK4" s="1329"/>
      <c r="AL4" s="1329"/>
      <c r="AM4" s="1329"/>
      <c r="AN4" s="1330"/>
    </row>
    <row r="5" spans="2:50" s="1330" customFormat="1" ht="13.5" thickBot="1" x14ac:dyDescent="0.25">
      <c r="I5" s="1336" t="s">
        <v>782</v>
      </c>
      <c r="J5" s="1337"/>
      <c r="K5" s="1337">
        <v>5</v>
      </c>
      <c r="L5" s="1338" t="s">
        <v>649</v>
      </c>
      <c r="M5" s="1339">
        <v>365</v>
      </c>
      <c r="N5" s="1340">
        <v>1775</v>
      </c>
      <c r="O5" s="1333"/>
      <c r="P5" s="1336" t="s">
        <v>782</v>
      </c>
      <c r="Q5" s="1337"/>
      <c r="R5" s="1337">
        <v>5</v>
      </c>
      <c r="S5" s="1338" t="s">
        <v>649</v>
      </c>
      <c r="T5" s="1339">
        <v>365</v>
      </c>
      <c r="U5" s="1340">
        <v>1775</v>
      </c>
      <c r="V5" s="1333"/>
      <c r="W5" s="1341" t="s">
        <v>782</v>
      </c>
      <c r="X5" s="1342"/>
      <c r="Y5" s="1343">
        <v>5</v>
      </c>
      <c r="Z5" s="1344" t="s">
        <v>649</v>
      </c>
      <c r="AA5" s="1345">
        <v>104</v>
      </c>
      <c r="AB5" s="1346">
        <f>AA5*Y5</f>
        <v>520</v>
      </c>
      <c r="AC5" s="1335"/>
      <c r="AD5" s="1347" t="s">
        <v>782</v>
      </c>
      <c r="AE5" s="1348"/>
      <c r="AF5" s="1349">
        <v>5</v>
      </c>
      <c r="AG5" s="1350" t="s">
        <v>649</v>
      </c>
      <c r="AH5" s="1351">
        <v>104</v>
      </c>
      <c r="AI5" s="1352">
        <f>AH5*AF5</f>
        <v>520</v>
      </c>
      <c r="AK5" s="1329"/>
      <c r="AL5" s="1329"/>
      <c r="AM5" s="1329"/>
    </row>
    <row r="6" spans="2:50" s="1330" customFormat="1" ht="51" x14ac:dyDescent="0.2">
      <c r="I6" s="1353"/>
      <c r="J6" s="1354" t="s">
        <v>783</v>
      </c>
      <c r="K6" s="1354" t="s">
        <v>784</v>
      </c>
      <c r="L6" s="1355" t="s">
        <v>645</v>
      </c>
      <c r="M6" s="1356" t="s">
        <v>334</v>
      </c>
      <c r="N6" s="1357" t="s">
        <v>459</v>
      </c>
      <c r="P6" s="1353"/>
      <c r="Q6" s="1354" t="s">
        <v>783</v>
      </c>
      <c r="R6" s="1354" t="s">
        <v>784</v>
      </c>
      <c r="S6" s="1355" t="s">
        <v>645</v>
      </c>
      <c r="T6" s="1356" t="s">
        <v>334</v>
      </c>
      <c r="U6" s="1357" t="s">
        <v>459</v>
      </c>
      <c r="V6" s="1358"/>
      <c r="W6" s="1359"/>
      <c r="X6" s="1360" t="s">
        <v>783</v>
      </c>
      <c r="Y6" s="1360" t="s">
        <v>784</v>
      </c>
      <c r="Z6" s="1361" t="s">
        <v>645</v>
      </c>
      <c r="AA6" s="1362" t="s">
        <v>334</v>
      </c>
      <c r="AB6" s="1363" t="s">
        <v>459</v>
      </c>
      <c r="AC6" s="1335"/>
      <c r="AD6" s="1359"/>
      <c r="AE6" s="1360" t="s">
        <v>783</v>
      </c>
      <c r="AF6" s="1360" t="s">
        <v>784</v>
      </c>
      <c r="AG6" s="1361" t="s">
        <v>645</v>
      </c>
      <c r="AH6" s="1362" t="s">
        <v>334</v>
      </c>
      <c r="AI6" s="1363" t="s">
        <v>459</v>
      </c>
      <c r="AK6" s="1329"/>
      <c r="AL6" s="1329"/>
      <c r="AM6" s="1329"/>
      <c r="AN6" s="1258"/>
    </row>
    <row r="7" spans="2:50" s="1330" customFormat="1" ht="15" x14ac:dyDescent="0.2">
      <c r="H7" s="454">
        <v>1</v>
      </c>
      <c r="I7" s="666" t="str">
        <f>IF(INDEX('[17]Master Lookup'!$B$300:$B$307,H7)=0,"",INDEX('[17]Master Lookup'!$B$300:$B$307,H7))</f>
        <v>Management</v>
      </c>
      <c r="J7" s="197">
        <f>IFERROR(INDEX('[17]Master Lookup'!$E$300:$E$307,MATCH(I7,'[17]Master Lookup'!$B$300:$B$307,0)),"")</f>
        <v>8</v>
      </c>
      <c r="K7" s="197">
        <f>IFERROR(INDEX('[17]Master Lookup'!$F$300:$F$307,MATCH(I7,'[17]Master Lookup'!$B$300:$B$307,0)),"")</f>
        <v>5</v>
      </c>
      <c r="L7" s="1319">
        <f>'M2024 BLS SALARY CHART (53_PCT)'!C22</f>
        <v>81486.911999999997</v>
      </c>
      <c r="M7" s="1243">
        <f>IFERROR(INDEX('[17]Master Lookup'!$G$300:$G$307,MATCH(I7,'[17]Master Lookup'!$B$300:$B$307,0)),"")</f>
        <v>0.625</v>
      </c>
      <c r="N7" s="1364">
        <f>IFERROR(L7*M7,0)</f>
        <v>50929.32</v>
      </c>
      <c r="P7" s="666" t="str">
        <f>IF(INDEX('[17]Master Lookup'!$B$300:$B$307,H7)=0,"",INDEX('[17]Master Lookup'!$B$300:$B$307,H7))</f>
        <v>Management</v>
      </c>
      <c r="Q7" s="197">
        <f>IFERROR(INDEX('[17]Master Lookup'!$H$300:$H$307,MATCH(P7,'[17]Master Lookup'!$B$300:$B$307,0)),"")</f>
        <v>8</v>
      </c>
      <c r="R7" s="197">
        <f>IFERROR(INDEX('[17]Master Lookup'!$I$300:$I$307,MATCH(P7,'[17]Master Lookup'!$B$300:$B$307,0)),"")</f>
        <v>5</v>
      </c>
      <c r="S7" s="1319">
        <f>L7</f>
        <v>81486.911999999997</v>
      </c>
      <c r="T7" s="1243">
        <f>IFERROR(INDEX('[17]Master Lookup'!$J$300:$J$307,MATCH(P7,'[17]Master Lookup'!$B$300:$B$307,0)),"")</f>
        <v>0.625</v>
      </c>
      <c r="U7" s="1364">
        <f>IFERROR(S7*T7,0)</f>
        <v>50929.32</v>
      </c>
      <c r="W7" s="377" t="str">
        <f>IF(INDEX('[17]Master Lookup'!$B$300:$B$307,H7)=0,"",INDEX('[17]Master Lookup'!$B$300:$B$307,H7))</f>
        <v>Management</v>
      </c>
      <c r="X7" s="197">
        <f>IFERROR(INDEX('[17]Master Lookup'!$K$300:$K$307,MATCH(W7,'[17]Master Lookup'!$B$300:$B$307,0)),"")</f>
        <v>8</v>
      </c>
      <c r="Y7" s="197">
        <f>IFERROR(INDEX('[17]Master Lookup'!$L$300:$L$307,MATCH(W7,'[17]Master Lookup'!$B$300:$B$307,0)),"")</f>
        <v>2</v>
      </c>
      <c r="Z7" s="1319">
        <f>S7</f>
        <v>81486.911999999997</v>
      </c>
      <c r="AA7" s="1243">
        <f>IFERROR(INDEX('[17]Master Lookup'!$M$300:$M$307,MATCH(W7,'[17]Master Lookup'!$B$300:$B$307,0)),"")</f>
        <v>0.25</v>
      </c>
      <c r="AB7" s="1364">
        <f>IFERROR(Z7*AA7,0)</f>
        <v>20371.727999999999</v>
      </c>
      <c r="AC7" s="1258"/>
      <c r="AD7" s="377" t="str">
        <f>IF(INDEX('[17]Master Lookup'!$B$300:$B$307,H7)=0,"",INDEX('[17]Master Lookup'!$B$300:$B$307,H7))</f>
        <v>Management</v>
      </c>
      <c r="AE7" s="197">
        <f>IFERROR(INDEX('[17]Master Lookup'!$N$300:$N$307,MATCH(AD7,'[17]Master Lookup'!$B$300:$B$307,0)),"")</f>
        <v>8</v>
      </c>
      <c r="AF7" s="197">
        <f>IFERROR(INDEX('[17]Master Lookup'!$O$300:$O$307,MATCH(AD7,'[17]Master Lookup'!$B$300:$B$307,0)),"")</f>
        <v>2</v>
      </c>
      <c r="AG7" s="1319">
        <f>Z7</f>
        <v>81486.911999999997</v>
      </c>
      <c r="AH7" s="1243">
        <f>IFERROR(INDEX('[17]Master Lookup'!$P$300:$P$307,MATCH(AD7,'[17]Master Lookup'!$B$300:$B$307,0)),"")</f>
        <v>0.25</v>
      </c>
      <c r="AI7" s="1364">
        <f>IFERROR(AG7*AH7,0)</f>
        <v>20371.727999999999</v>
      </c>
      <c r="AJ7" s="1258"/>
      <c r="AK7" s="1329"/>
      <c r="AL7" s="1329"/>
      <c r="AM7" s="1329"/>
      <c r="AN7" s="1258"/>
    </row>
    <row r="8" spans="2:50" ht="15.75" thickBot="1" x14ac:dyDescent="0.25">
      <c r="H8" s="454">
        <v>2</v>
      </c>
      <c r="I8" s="666" t="str">
        <f>IF(INDEX('[17]Master Lookup'!$B$300:$B$307,H8)=0,"",INDEX('[17]Master Lookup'!$B$300:$B$307,H8))</f>
        <v>Med-Nurse</v>
      </c>
      <c r="J8" s="197">
        <f>IFERROR(INDEX('[17]Master Lookup'!$E$300:$E$307,MATCH(I8,'[17]Master Lookup'!$B$300:$B$307,0)),"")</f>
        <v>0</v>
      </c>
      <c r="K8" s="197">
        <f>IFERROR(INDEX('[17]Master Lookup'!$F$300:$F$307,MATCH(I8,'[17]Master Lookup'!$B$300:$B$307,0)),"")</f>
        <v>0</v>
      </c>
      <c r="L8" s="1319">
        <f>'M2024 BLS SALARY CHART (53_PCT)'!C57</f>
        <v>91400.19200000001</v>
      </c>
      <c r="M8" s="1243">
        <f>IFERROR(INDEX('[17]Master Lookup'!$G$300:$G$307,MATCH(I8,'[17]Master Lookup'!$B$300:$B$307,0)),"")</f>
        <v>0</v>
      </c>
      <c r="N8" s="1364">
        <f t="shared" ref="N8:N14" si="0">IFERROR(L8*M8,0)</f>
        <v>0</v>
      </c>
      <c r="O8" s="1330"/>
      <c r="P8" s="666" t="str">
        <f>IF(INDEX('[17]Master Lookup'!$B$300:$B$307,H8)=0,"",INDEX('[17]Master Lookup'!$B$300:$B$307,H8))</f>
        <v>Med-Nurse</v>
      </c>
      <c r="Q8" s="197">
        <f>IFERROR(INDEX('[17]Master Lookup'!$H$300:$H$307,MATCH(P8,'[17]Master Lookup'!$B$300:$B$307,0)),"")</f>
        <v>5</v>
      </c>
      <c r="R8" s="197">
        <f>IFERROR(INDEX('[17]Master Lookup'!$I$300:$I$307,MATCH(P8,'[17]Master Lookup'!$B$300:$B$307,0)),"")</f>
        <v>5</v>
      </c>
      <c r="S8" s="1319">
        <f t="shared" ref="S8:S10" si="1">L8</f>
        <v>91400.19200000001</v>
      </c>
      <c r="T8" s="1243">
        <f>IFERROR(INDEX('[17]Master Lookup'!$J$300:$J$307,MATCH(P8,'[17]Master Lookup'!$B$300:$B$307,0)),"")</f>
        <v>1</v>
      </c>
      <c r="U8" s="1364">
        <f t="shared" ref="U8:U14" si="2">IFERROR(S8*T8,0)</f>
        <v>91400.19200000001</v>
      </c>
      <c r="W8" s="377" t="str">
        <f>IF(INDEX('[17]Master Lookup'!$B$300:$B$307,H8)=0,"",INDEX('[17]Master Lookup'!$B$300:$B$307,H8))</f>
        <v>Med-Nurse</v>
      </c>
      <c r="X8" s="197">
        <f>IFERROR(INDEX('[17]Master Lookup'!$K$300:$K$307,MATCH(W8,'[17]Master Lookup'!$B$300:$B$307,0)),"")</f>
        <v>10</v>
      </c>
      <c r="Y8" s="197">
        <f>IFERROR(INDEX('[17]Master Lookup'!$L$300:$L$307,MATCH(W8,'[17]Master Lookup'!$B$300:$B$307,0)),"")</f>
        <v>2</v>
      </c>
      <c r="Z8" s="1319">
        <f t="shared" ref="Z8:Z10" si="3">S8</f>
        <v>91400.19200000001</v>
      </c>
      <c r="AA8" s="1243">
        <f>IFERROR(INDEX('[17]Master Lookup'!$M$300:$M$307,MATCH(W8,'[17]Master Lookup'!$B$300:$B$307,0)),"")</f>
        <v>0.2</v>
      </c>
      <c r="AB8" s="1364">
        <f t="shared" ref="AB8:AB14" si="4">IFERROR(Z8*AA8,0)</f>
        <v>18280.038400000001</v>
      </c>
      <c r="AC8" s="1335"/>
      <c r="AD8" s="377" t="str">
        <f>IF(INDEX('[17]Master Lookup'!$B$300:$B$307,H8)=0,"",INDEX('[17]Master Lookup'!$B$300:$B$307,H8))</f>
        <v>Med-Nurse</v>
      </c>
      <c r="AE8" s="197">
        <f>IFERROR(INDEX('[17]Master Lookup'!$N$300:$N$307,MATCH(AD8,'[17]Master Lookup'!$B$300:$B$307,0)),"")</f>
        <v>10</v>
      </c>
      <c r="AF8" s="197">
        <f>IFERROR(INDEX('[17]Master Lookup'!$O$300:$O$307,MATCH(AD8,'[17]Master Lookup'!$B$300:$B$307,0)),"")</f>
        <v>2</v>
      </c>
      <c r="AG8" s="1319">
        <f t="shared" ref="AG8:AG10" si="5">Z8</f>
        <v>91400.19200000001</v>
      </c>
      <c r="AH8" s="1243">
        <f>IFERROR(INDEX('[17]Master Lookup'!$P$300:$P$307,MATCH(AD8,'[17]Master Lookup'!$B$300:$B$307,0)),"")</f>
        <v>0.2</v>
      </c>
      <c r="AI8" s="1364">
        <f t="shared" ref="AI8:AI14" si="6">IFERROR(AG8*AH8,0)</f>
        <v>18280.038400000001</v>
      </c>
      <c r="AJ8" s="1335"/>
      <c r="AN8" s="1258"/>
      <c r="AO8" s="1258"/>
      <c r="AP8" s="1258"/>
      <c r="AQ8" s="1258"/>
      <c r="AR8" s="1258"/>
      <c r="AS8" s="1258"/>
      <c r="AT8" s="1258"/>
      <c r="AU8" s="1258"/>
    </row>
    <row r="9" spans="2:50" ht="15.75" thickBot="1" x14ac:dyDescent="0.25">
      <c r="B9" s="1365" t="s">
        <v>47</v>
      </c>
      <c r="C9" s="1334" t="s">
        <v>44</v>
      </c>
      <c r="D9" s="1366" t="s">
        <v>43</v>
      </c>
      <c r="E9" s="1334" t="s">
        <v>44</v>
      </c>
      <c r="F9" s="1366" t="s">
        <v>43</v>
      </c>
      <c r="H9" s="454">
        <v>3</v>
      </c>
      <c r="I9" s="666" t="str">
        <f>IF(INDEX('[17]Master Lookup'!$B$300:$B$307,H9)=0,"",INDEX('[17]Master Lookup'!$B$300:$B$307,H9))</f>
        <v>DC- Support</v>
      </c>
      <c r="J9" s="197">
        <f>IFERROR(INDEX('[17]Master Lookup'!$E$300:$E$307,MATCH(I9,'[17]Master Lookup'!$B$300:$B$307,0)),"")</f>
        <v>25</v>
      </c>
      <c r="K9" s="197">
        <f>IFERROR(INDEX('[17]Master Lookup'!$F$300:$F$307,MATCH(I9,'[17]Master Lookup'!$B$300:$B$307,0)),"")</f>
        <v>5</v>
      </c>
      <c r="L9" s="1319">
        <f>'M2024 BLS SALARY CHART (53_PCT)'!C6</f>
        <v>46842.432000000008</v>
      </c>
      <c r="M9" s="1243">
        <f>IFERROR(INDEX('[17]Master Lookup'!$G$300:$G$307,MATCH(I9,'[17]Master Lookup'!$B$300:$B$307,0)),"")</f>
        <v>0.2</v>
      </c>
      <c r="N9" s="1364">
        <f t="shared" si="0"/>
        <v>9368.4864000000016</v>
      </c>
      <c r="P9" s="666" t="str">
        <f>IF(INDEX('[17]Master Lookup'!$B$300:$B$307,H9)=0,"",INDEX('[17]Master Lookup'!$B$300:$B$307,H9))</f>
        <v>DC- Support</v>
      </c>
      <c r="Q9" s="197">
        <f>IFERROR(INDEX('[17]Master Lookup'!$H$300:$H$307,MATCH(P9,'[17]Master Lookup'!$B$300:$B$307,0)),"")</f>
        <v>25</v>
      </c>
      <c r="R9" s="197">
        <f>IFERROR(INDEX('[17]Master Lookup'!$I$300:$I$307,MATCH(P9,'[17]Master Lookup'!$B$300:$B$307,0)),"")</f>
        <v>5</v>
      </c>
      <c r="S9" s="1319">
        <f t="shared" si="1"/>
        <v>46842.432000000008</v>
      </c>
      <c r="T9" s="1243">
        <f>IFERROR(INDEX('[17]Master Lookup'!$J$300:$J$307,MATCH(P9,'[17]Master Lookup'!$B$300:$B$307,0)),"")</f>
        <v>0.2</v>
      </c>
      <c r="U9" s="1364">
        <f t="shared" si="2"/>
        <v>9368.4864000000016</v>
      </c>
      <c r="W9" s="377" t="str">
        <f>IF(INDEX('[17]Master Lookup'!$B$300:$B$307,H9)=0,"",INDEX('[17]Master Lookup'!$B$300:$B$307,H9))</f>
        <v>DC- Support</v>
      </c>
      <c r="X9" s="197">
        <f>IFERROR(INDEX('[17]Master Lookup'!$K$300:$K$307,MATCH(W9,'[17]Master Lookup'!$B$300:$B$307,0)),"")</f>
        <v>25</v>
      </c>
      <c r="Y9" s="197">
        <f>IFERROR(INDEX('[17]Master Lookup'!$L$300:$L$307,MATCH(W9,'[17]Master Lookup'!$B$300:$B$307,0)),"")</f>
        <v>2</v>
      </c>
      <c r="Z9" s="1319">
        <f t="shared" si="3"/>
        <v>46842.432000000008</v>
      </c>
      <c r="AA9" s="1243">
        <f>IFERROR(INDEX('[17]Master Lookup'!$M$300:$M$307,MATCH(W9,'[17]Master Lookup'!$B$300:$B$307,0)),"")</f>
        <v>8.0000000000000016E-2</v>
      </c>
      <c r="AB9" s="1364">
        <f t="shared" si="4"/>
        <v>3747.3945600000015</v>
      </c>
      <c r="AC9" s="1335"/>
      <c r="AD9" s="377" t="str">
        <f>IF(INDEX('[17]Master Lookup'!$B$300:$B$307,H9)=0,"",INDEX('[17]Master Lookup'!$B$300:$B$307,H9))</f>
        <v>DC- Support</v>
      </c>
      <c r="AE9" s="197">
        <f>IFERROR(INDEX('[17]Master Lookup'!$N$300:$N$307,MATCH(AD9,'[17]Master Lookup'!$B$300:$B$307,0)),"")</f>
        <v>25</v>
      </c>
      <c r="AF9" s="197">
        <f>IFERROR(INDEX('[17]Master Lookup'!$O$300:$O$307,MATCH(AD9,'[17]Master Lookup'!$B$300:$B$307,0)),"")</f>
        <v>2</v>
      </c>
      <c r="AG9" s="1319">
        <f t="shared" si="5"/>
        <v>46842.432000000008</v>
      </c>
      <c r="AH9" s="1243">
        <f>IFERROR(INDEX('[17]Master Lookup'!$P$300:$P$307,MATCH(AD9,'[17]Master Lookup'!$B$300:$B$307,0)),"")</f>
        <v>8.0000000000000016E-2</v>
      </c>
      <c r="AI9" s="1364">
        <f t="shared" si="6"/>
        <v>3747.3945600000015</v>
      </c>
      <c r="AJ9" s="1335"/>
      <c r="AN9" s="1258"/>
      <c r="AO9" s="1258"/>
      <c r="AP9" s="1258"/>
      <c r="AQ9" s="1258"/>
      <c r="AR9" s="1258"/>
      <c r="AS9" s="1258"/>
      <c r="AT9" s="1258"/>
      <c r="AU9" s="1258"/>
    </row>
    <row r="10" spans="2:50" ht="15.75" thickBot="1" x14ac:dyDescent="0.25">
      <c r="B10" s="1367"/>
      <c r="C10" s="1825" t="s">
        <v>785</v>
      </c>
      <c r="D10" s="1826"/>
      <c r="E10" s="1825" t="s">
        <v>786</v>
      </c>
      <c r="F10" s="1826"/>
      <c r="H10" s="454">
        <v>4</v>
      </c>
      <c r="I10" s="666" t="str">
        <f>IF(INDEX('[17]Master Lookup'!$B$300:$B$307,H10)=0,"",INDEX('[17]Master Lookup'!$B$300:$B$307,H10))</f>
        <v>Direct Care</v>
      </c>
      <c r="J10" s="197">
        <f>IFERROR(INDEX('[17]Master Lookup'!$E$300:$E$307,MATCH(I10,'[17]Master Lookup'!$B$300:$B$307,0)),"")</f>
        <v>2.5</v>
      </c>
      <c r="K10" s="197">
        <f>IFERROR(INDEX('[17]Master Lookup'!$F$300:$F$307,MATCH(I10,'[17]Master Lookup'!$B$300:$B$307,0)),"")</f>
        <v>7</v>
      </c>
      <c r="L10" s="1319">
        <f>'M2024 BLS SALARY CHART (53_PCT)'!C6</f>
        <v>46842.432000000008</v>
      </c>
      <c r="M10" s="1243">
        <f>IFERROR(INDEX('[17]Master Lookup'!$G$300:$G$307,MATCH(I10,'[17]Master Lookup'!$B$300:$B$307,0)),"")</f>
        <v>7</v>
      </c>
      <c r="N10" s="1364">
        <f t="shared" si="0"/>
        <v>327897.02400000003</v>
      </c>
      <c r="P10" s="666" t="str">
        <f>IF(INDEX('[17]Master Lookup'!$B$300:$B$307,H10)=0,"",INDEX('[17]Master Lookup'!$B$300:$B$307,H10))</f>
        <v>Direct Care</v>
      </c>
      <c r="Q10" s="197">
        <f>IFERROR(INDEX('[17]Master Lookup'!$H$300:$H$307,MATCH(P10,'[17]Master Lookup'!$B$300:$B$307,0)),"")</f>
        <v>2.5</v>
      </c>
      <c r="R10" s="197">
        <f>IFERROR(INDEX('[17]Master Lookup'!$I$300:$I$307,MATCH(P10,'[17]Master Lookup'!$B$300:$B$307,0)),"")</f>
        <v>7</v>
      </c>
      <c r="S10" s="1319">
        <f t="shared" si="1"/>
        <v>46842.432000000008</v>
      </c>
      <c r="T10" s="1243">
        <f>IFERROR(INDEX('[17]Master Lookup'!$J$300:$J$307,MATCH(P10,'[17]Master Lookup'!$B$300:$B$307,0)),"")</f>
        <v>7.3</v>
      </c>
      <c r="U10" s="1364">
        <f t="shared" si="2"/>
        <v>341949.75360000005</v>
      </c>
      <c r="W10" s="377" t="str">
        <f>IF(INDEX('[17]Master Lookup'!$B$300:$B$307,H10)=0,"",INDEX('[17]Master Lookup'!$B$300:$B$307,H10))</f>
        <v>Direct Care</v>
      </c>
      <c r="X10" s="197">
        <f>IFERROR(INDEX('[17]Master Lookup'!$K$300:$K$307,MATCH(W10,'[17]Master Lookup'!$B$300:$B$307,0)),"")</f>
        <v>2.5</v>
      </c>
      <c r="Y10" s="197">
        <f>IFERROR(INDEX('[17]Master Lookup'!$L$300:$L$307,MATCH(W10,'[17]Master Lookup'!$B$300:$B$307,0)),"")</f>
        <v>2</v>
      </c>
      <c r="Z10" s="1319">
        <f t="shared" si="3"/>
        <v>46842.432000000008</v>
      </c>
      <c r="AA10" s="1243">
        <f>IFERROR(INDEX('[17]Master Lookup'!$M$300:$M$307,MATCH(W10,'[17]Master Lookup'!$B$300:$B$307,0)),"")</f>
        <v>2.63</v>
      </c>
      <c r="AB10" s="1364">
        <f t="shared" si="4"/>
        <v>123195.59616000002</v>
      </c>
      <c r="AC10" s="1327"/>
      <c r="AD10" s="377" t="str">
        <f>IF(INDEX('[17]Master Lookup'!$B$300:$B$307,H10)=0,"",INDEX('[17]Master Lookup'!$B$300:$B$307,H10))</f>
        <v>Direct Care</v>
      </c>
      <c r="AE10" s="197">
        <f>IFERROR(INDEX('[17]Master Lookup'!$N$300:$N$307,MATCH(AD10,'[17]Master Lookup'!$B$300:$B$307,0)),"")</f>
        <v>2</v>
      </c>
      <c r="AF10" s="197">
        <f>IFERROR(INDEX('[17]Master Lookup'!$O$300:$O$307,MATCH(AD10,'[17]Master Lookup'!$B$300:$B$307,0)),"")</f>
        <v>2</v>
      </c>
      <c r="AG10" s="1319">
        <f t="shared" si="5"/>
        <v>46842.432000000008</v>
      </c>
      <c r="AH10" s="1243">
        <f>IFERROR(INDEX('[17]Master Lookup'!$P$300:$P$307,MATCH(AD10,'[17]Master Lookup'!$B$300:$B$307,0)),"")</f>
        <v>3.69</v>
      </c>
      <c r="AI10" s="1364">
        <f t="shared" si="6"/>
        <v>172848.57408000002</v>
      </c>
      <c r="AJ10" s="1327"/>
      <c r="AN10" s="1258"/>
      <c r="AO10" s="1258"/>
      <c r="AP10" s="1258"/>
      <c r="AQ10" s="1258"/>
      <c r="AR10" s="1258"/>
      <c r="AS10" s="1258"/>
      <c r="AT10" s="1258"/>
      <c r="AU10" s="1258"/>
    </row>
    <row r="11" spans="2:50" ht="15" x14ac:dyDescent="0.2">
      <c r="B11" s="1368" t="s">
        <v>39</v>
      </c>
      <c r="C11" s="1369">
        <v>15</v>
      </c>
      <c r="D11" s="1370">
        <f>C11*8</f>
        <v>120</v>
      </c>
      <c r="E11" s="1369">
        <v>15</v>
      </c>
      <c r="F11" s="1370">
        <f>E11*8</f>
        <v>120</v>
      </c>
      <c r="H11" s="454">
        <v>5</v>
      </c>
      <c r="I11" s="665" t="str">
        <f>IF(INDEX('[17]Master Lookup'!$B$300:$B$307,H11)=0,"",INDEX('[17]Master Lookup'!$B$300:$B$307,H11))</f>
        <v/>
      </c>
      <c r="J11" s="1371" t="str">
        <f>IFERROR(INDEX('[17]Master Lookup'!$E$300:$E$307,MATCH(I11,'[17]Master Lookup'!$B$300:$B$307,0)),"")</f>
        <v/>
      </c>
      <c r="K11" s="1371" t="str">
        <f>IFERROR(INDEX('[17]Master Lookup'!$F$300:$F$307,MATCH(I11,'[17]Master Lookup'!$B$300:$B$307,0)),"")</f>
        <v/>
      </c>
      <c r="L11" s="386" t="str">
        <f>IFERROR(INDEX('[17]Master Lookup'!$D$300:$D$307,MATCH(I11,'[17]Master Lookup'!$B$300:$B$307,0)),"")</f>
        <v/>
      </c>
      <c r="M11" s="1372" t="str">
        <f>IFERROR(INDEX('[17]Master Lookup'!$G$300:$G$307,MATCH(I11,'[17]Master Lookup'!$B$300:$B$307,0)),"")</f>
        <v/>
      </c>
      <c r="N11" s="1373">
        <f t="shared" si="0"/>
        <v>0</v>
      </c>
      <c r="P11" s="665" t="str">
        <f>IF(INDEX('[17]Master Lookup'!$B$300:$B$307,H11)=0,"",INDEX('[17]Master Lookup'!$B$300:$B$307,H11))</f>
        <v/>
      </c>
      <c r="Q11" s="1371" t="str">
        <f>IFERROR(INDEX('[17]Master Lookup'!$H$300:$H$307,MATCH(P11,'[17]Master Lookup'!$B$300:$B$307,0)),"")</f>
        <v/>
      </c>
      <c r="R11" s="1371" t="str">
        <f>IFERROR(INDEX('[17]Master Lookup'!$I$300:$I$307,MATCH(P11,'[17]Master Lookup'!$B$300:$B$307,0)),"")</f>
        <v/>
      </c>
      <c r="S11" s="386" t="str">
        <f>IFERROR(INDEX('[17]Master Lookup'!$D$300:$D$307,MATCH(P11,'[17]Master Lookup'!$B$300:$B$307,0)),"")</f>
        <v/>
      </c>
      <c r="T11" s="1372" t="str">
        <f>IFERROR(INDEX('[17]Master Lookup'!$J$300:$J$307,MATCH(P11,'[17]Master Lookup'!$B$300:$B$307,0)),"")</f>
        <v/>
      </c>
      <c r="U11" s="1373">
        <f t="shared" si="2"/>
        <v>0</v>
      </c>
      <c r="W11" s="387" t="str">
        <f>IF(INDEX('[17]Master Lookup'!$B$300:$B$307,H11)=0,"",INDEX('[17]Master Lookup'!$B$300:$B$307,H11))</f>
        <v/>
      </c>
      <c r="X11" s="1371" t="str">
        <f>IFERROR(INDEX('[17]Master Lookup'!$K$300:$K$307,MATCH(W11,'[17]Master Lookup'!$B$300:$B$307,0)),"")</f>
        <v/>
      </c>
      <c r="Y11" s="1371" t="str">
        <f>IFERROR(INDEX('[17]Master Lookup'!$L$300:$L$307,MATCH(W11,'[17]Master Lookup'!$B$300:$B$307,0)),"")</f>
        <v/>
      </c>
      <c r="Z11" s="386" t="str">
        <f>IFERROR(INDEX('[17]Master Lookup'!$D$300:$D$307,MATCH(W11,'[17]Master Lookup'!$B$300:$B$307,0)),"")</f>
        <v/>
      </c>
      <c r="AA11" s="1372" t="str">
        <f>IFERROR(INDEX('[17]Master Lookup'!$M$300:$M$307,MATCH(W11,'[17]Master Lookup'!$B$300:$B$307,0)),"")</f>
        <v/>
      </c>
      <c r="AB11" s="1373">
        <f t="shared" si="4"/>
        <v>0</v>
      </c>
      <c r="AC11" s="1327"/>
      <c r="AD11" s="387" t="str">
        <f>IF(INDEX('[17]Master Lookup'!$B$300:$B$307,H11)=0,"",INDEX('[17]Master Lookup'!$B$300:$B$307,H11))</f>
        <v/>
      </c>
      <c r="AE11" s="1371" t="str">
        <f>IFERROR(INDEX('[17]Master Lookup'!$N$300:$N$307,MATCH(AD11,'[17]Master Lookup'!$B$300:$B$307,0)),"")</f>
        <v/>
      </c>
      <c r="AF11" s="1371" t="str">
        <f>IFERROR(INDEX('[17]Master Lookup'!$O$300:$O$307,MATCH(AD11,'[17]Master Lookup'!$B$300:$B$307,0)),"")</f>
        <v/>
      </c>
      <c r="AG11" s="386" t="str">
        <f>IFERROR(INDEX('[17]Master Lookup'!$D$300:$D$307,MATCH(AD11,'[17]Master Lookup'!$B$300:$B$307,0)),"")</f>
        <v/>
      </c>
      <c r="AH11" s="1372" t="str">
        <f>IFERROR(INDEX('[17]Master Lookup'!$P$300:$P$307,MATCH(AD11,'[17]Master Lookup'!$B$300:$B$307,0)),"")</f>
        <v/>
      </c>
      <c r="AI11" s="1373">
        <f t="shared" si="6"/>
        <v>0</v>
      </c>
      <c r="AJ11" s="1327"/>
      <c r="AO11" s="1258"/>
      <c r="AP11" s="1258"/>
      <c r="AQ11" s="1258"/>
      <c r="AR11" s="1258"/>
      <c r="AS11" s="1258"/>
      <c r="AT11" s="1258"/>
      <c r="AU11" s="1258"/>
    </row>
    <row r="12" spans="2:50" ht="15" x14ac:dyDescent="0.2">
      <c r="B12" s="1368" t="s">
        <v>37</v>
      </c>
      <c r="C12" s="1369">
        <v>10</v>
      </c>
      <c r="D12" s="1370">
        <f>C12*8</f>
        <v>80</v>
      </c>
      <c r="E12" s="1369">
        <v>10</v>
      </c>
      <c r="F12" s="1370">
        <f>E12*8</f>
        <v>80</v>
      </c>
      <c r="H12" s="454">
        <v>6</v>
      </c>
      <c r="I12" s="665" t="str">
        <f>IF(INDEX('[17]Master Lookup'!$B$300:$B$307,H12)=0,"",INDEX('[17]Master Lookup'!$B$300:$B$307,H12))</f>
        <v/>
      </c>
      <c r="J12" s="1371" t="str">
        <f>IFERROR(INDEX('[17]Master Lookup'!$E$300:$E$307,MATCH(I12,'[17]Master Lookup'!$B$300:$B$307,0)),"")</f>
        <v/>
      </c>
      <c r="K12" s="1371" t="str">
        <f>IFERROR(INDEX('[17]Master Lookup'!$F$300:$F$307,MATCH(I12,'[17]Master Lookup'!$B$300:$B$307,0)),"")</f>
        <v/>
      </c>
      <c r="L12" s="386" t="str">
        <f>IFERROR(INDEX('[17]Master Lookup'!$D$300:$D$307,MATCH(I12,'[17]Master Lookup'!$B$300:$B$307,0)),"")</f>
        <v/>
      </c>
      <c r="M12" s="1372" t="str">
        <f>IFERROR(INDEX('[17]Master Lookup'!$G$300:$G$307,MATCH(I12,'[17]Master Lookup'!$B$300:$B$307,0)),"")</f>
        <v/>
      </c>
      <c r="N12" s="1373">
        <f t="shared" si="0"/>
        <v>0</v>
      </c>
      <c r="P12" s="665" t="str">
        <f>IF(INDEX('[17]Master Lookup'!$B$300:$B$307,H12)=0,"",INDEX('[17]Master Lookup'!$B$300:$B$307,H12))</f>
        <v/>
      </c>
      <c r="Q12" s="1371" t="str">
        <f>IFERROR(INDEX('[17]Master Lookup'!$H$300:$H$307,MATCH(P12,'[17]Master Lookup'!$B$300:$B$307,0)),"")</f>
        <v/>
      </c>
      <c r="R12" s="1371" t="str">
        <f>IFERROR(INDEX('[17]Master Lookup'!$I$300:$I$307,MATCH(P12,'[17]Master Lookup'!$B$300:$B$307,0)),"")</f>
        <v/>
      </c>
      <c r="S12" s="386" t="str">
        <f>IFERROR(INDEX('[17]Master Lookup'!$D$300:$D$307,MATCH(P12,'[17]Master Lookup'!$B$300:$B$307,0)),"")</f>
        <v/>
      </c>
      <c r="T12" s="1372" t="str">
        <f>IFERROR(INDEX('[17]Master Lookup'!$J$300:$J$307,MATCH(P12,'[17]Master Lookup'!$B$300:$B$307,0)),"")</f>
        <v/>
      </c>
      <c r="U12" s="1373">
        <f t="shared" si="2"/>
        <v>0</v>
      </c>
      <c r="W12" s="387" t="str">
        <f>IF(INDEX('[17]Master Lookup'!$B$300:$B$307,H12)=0,"",INDEX('[17]Master Lookup'!$B$300:$B$307,H12))</f>
        <v/>
      </c>
      <c r="X12" s="1371" t="str">
        <f>IFERROR(INDEX('[17]Master Lookup'!$K$300:$K$307,MATCH(W12,'[17]Master Lookup'!$B$300:$B$307,0)),"")</f>
        <v/>
      </c>
      <c r="Y12" s="1371" t="str">
        <f>IFERROR(INDEX('[17]Master Lookup'!$L$300:$L$307,MATCH(W12,'[17]Master Lookup'!$B$300:$B$307,0)),"")</f>
        <v/>
      </c>
      <c r="Z12" s="386" t="str">
        <f>IFERROR(INDEX('[17]Master Lookup'!$D$300:$D$307,MATCH(W12,'[17]Master Lookup'!$B$300:$B$307,0)),"")</f>
        <v/>
      </c>
      <c r="AA12" s="1372" t="str">
        <f>IFERROR(INDEX('[17]Master Lookup'!$M$300:$M$307,MATCH(W12,'[17]Master Lookup'!$B$300:$B$307,0)),"")</f>
        <v/>
      </c>
      <c r="AB12" s="1373">
        <f t="shared" si="4"/>
        <v>0</v>
      </c>
      <c r="AC12" s="1327"/>
      <c r="AD12" s="387" t="str">
        <f>IF(INDEX('[17]Master Lookup'!$B$300:$B$307,H12)=0,"",INDEX('[17]Master Lookup'!$B$300:$B$307,H12))</f>
        <v/>
      </c>
      <c r="AE12" s="1371" t="str">
        <f>IFERROR(INDEX('[17]Master Lookup'!$N$300:$N$307,MATCH(AD12,'[17]Master Lookup'!$B$300:$B$307,0)),"")</f>
        <v/>
      </c>
      <c r="AF12" s="1371" t="str">
        <f>IFERROR(INDEX('[17]Master Lookup'!$O$300:$O$307,MATCH(AD12,'[17]Master Lookup'!$B$300:$B$307,0)),"")</f>
        <v/>
      </c>
      <c r="AG12" s="386" t="str">
        <f>IFERROR(INDEX('[17]Master Lookup'!$D$300:$D$307,MATCH(AD12,'[17]Master Lookup'!$B$300:$B$307,0)),"")</f>
        <v/>
      </c>
      <c r="AH12" s="1372" t="str">
        <f>IFERROR(INDEX('[17]Master Lookup'!$P$300:$P$307,MATCH(AD12,'[17]Master Lookup'!$B$300:$B$307,0)),"")</f>
        <v/>
      </c>
      <c r="AI12" s="1373">
        <f t="shared" si="6"/>
        <v>0</v>
      </c>
      <c r="AJ12" s="1327"/>
      <c r="AO12" s="1258"/>
      <c r="AP12" s="1258"/>
      <c r="AQ12" s="1258"/>
      <c r="AR12" s="1258"/>
      <c r="AS12" s="1258"/>
      <c r="AT12" s="1258"/>
      <c r="AU12" s="1258"/>
    </row>
    <row r="13" spans="2:50" ht="15" x14ac:dyDescent="0.2">
      <c r="B13" s="1368" t="s">
        <v>36</v>
      </c>
      <c r="C13" s="1369">
        <v>12</v>
      </c>
      <c r="D13" s="1370">
        <f>C13*8</f>
        <v>96</v>
      </c>
      <c r="E13" s="1369">
        <v>0</v>
      </c>
      <c r="F13" s="1370">
        <f>E13*8</f>
        <v>0</v>
      </c>
      <c r="H13" s="454">
        <v>7</v>
      </c>
      <c r="I13" s="665" t="str">
        <f>IF(INDEX('[17]Master Lookup'!$B$300:$B$307,H13)=0,"",INDEX('[17]Master Lookup'!$B$300:$B$307,H13))</f>
        <v/>
      </c>
      <c r="J13" s="1371" t="str">
        <f>IFERROR(INDEX('[17]Master Lookup'!$E$300:$E$307,MATCH(I13,'[17]Master Lookup'!$B$300:$B$307,0)),"")</f>
        <v/>
      </c>
      <c r="K13" s="1371" t="str">
        <f>IFERROR(INDEX('[17]Master Lookup'!$F$300:$F$307,MATCH(I13,'[17]Master Lookup'!$B$300:$B$307,0)),"")</f>
        <v/>
      </c>
      <c r="L13" s="386" t="str">
        <f>IFERROR(INDEX('[17]Master Lookup'!$D$300:$D$307,MATCH(I13,'[17]Master Lookup'!$B$300:$B$307,0)),"")</f>
        <v/>
      </c>
      <c r="M13" s="1372" t="str">
        <f>IFERROR(INDEX('[17]Master Lookup'!$G$300:$G$307,MATCH(I13,'[17]Master Lookup'!$B$300:$B$307,0)),"")</f>
        <v/>
      </c>
      <c r="N13" s="1373">
        <f t="shared" si="0"/>
        <v>0</v>
      </c>
      <c r="P13" s="665" t="str">
        <f>IF(INDEX('[17]Master Lookup'!$B$300:$B$307,H13)=0,"",INDEX('[17]Master Lookup'!$B$300:$B$307,H13))</f>
        <v/>
      </c>
      <c r="Q13" s="1371" t="str">
        <f>IFERROR(INDEX('[17]Master Lookup'!$H$300:$H$307,MATCH(P13,'[17]Master Lookup'!$B$300:$B$307,0)),"")</f>
        <v/>
      </c>
      <c r="R13" s="1371" t="str">
        <f>IFERROR(INDEX('[17]Master Lookup'!$I$300:$I$307,MATCH(P13,'[17]Master Lookup'!$B$300:$B$307,0)),"")</f>
        <v/>
      </c>
      <c r="S13" s="386" t="str">
        <f>IFERROR(INDEX('[17]Master Lookup'!$D$300:$D$307,MATCH(P13,'[17]Master Lookup'!$B$300:$B$307,0)),"")</f>
        <v/>
      </c>
      <c r="T13" s="1372" t="str">
        <f>IFERROR(INDEX('[17]Master Lookup'!$J$300:$J$307,MATCH(P13,'[17]Master Lookup'!$B$300:$B$307,0)),"")</f>
        <v/>
      </c>
      <c r="U13" s="1373">
        <f t="shared" si="2"/>
        <v>0</v>
      </c>
      <c r="W13" s="387" t="str">
        <f>IF(INDEX('[17]Master Lookup'!$B$300:$B$307,H13)=0,"",INDEX('[17]Master Lookup'!$B$300:$B$307,H13))</f>
        <v/>
      </c>
      <c r="X13" s="1371" t="str">
        <f>IFERROR(INDEX('[17]Master Lookup'!$K$300:$K$307,MATCH(W13,'[17]Master Lookup'!$B$300:$B$307,0)),"")</f>
        <v/>
      </c>
      <c r="Y13" s="1371" t="str">
        <f>IFERROR(INDEX('[17]Master Lookup'!$L$300:$L$307,MATCH(W13,'[17]Master Lookup'!$B$300:$B$307,0)),"")</f>
        <v/>
      </c>
      <c r="Z13" s="386" t="str">
        <f>IFERROR(INDEX('[17]Master Lookup'!$D$300:$D$307,MATCH(W13,'[17]Master Lookup'!$B$300:$B$307,0)),"")</f>
        <v/>
      </c>
      <c r="AA13" s="1372" t="str">
        <f>IFERROR(INDEX('[17]Master Lookup'!$M$300:$M$307,MATCH(W13,'[17]Master Lookup'!$B$300:$B$307,0)),"")</f>
        <v/>
      </c>
      <c r="AB13" s="1373">
        <f t="shared" si="4"/>
        <v>0</v>
      </c>
      <c r="AC13" s="1327"/>
      <c r="AD13" s="387" t="str">
        <f>IF(INDEX('[17]Master Lookup'!$B$300:$B$307,H13)=0,"",INDEX('[17]Master Lookup'!$B$300:$B$307,H13))</f>
        <v/>
      </c>
      <c r="AE13" s="1371" t="str">
        <f>IFERROR(INDEX('[17]Master Lookup'!$N$300:$N$307,MATCH(AD13,'[17]Master Lookup'!$B$300:$B$307,0)),"")</f>
        <v/>
      </c>
      <c r="AF13" s="1371" t="str">
        <f>IFERROR(INDEX('[17]Master Lookup'!$O$300:$O$307,MATCH(AD13,'[17]Master Lookup'!$B$300:$B$307,0)),"")</f>
        <v/>
      </c>
      <c r="AG13" s="386" t="str">
        <f>IFERROR(INDEX('[17]Master Lookup'!$D$300:$D$307,MATCH(AD13,'[17]Master Lookup'!$B$300:$B$307,0)),"")</f>
        <v/>
      </c>
      <c r="AH13" s="1372" t="str">
        <f>IFERROR(INDEX('[17]Master Lookup'!$P$300:$P$307,MATCH(AD13,'[17]Master Lookup'!$B$300:$B$307,0)),"")</f>
        <v/>
      </c>
      <c r="AI13" s="1373">
        <f t="shared" si="6"/>
        <v>0</v>
      </c>
      <c r="AJ13" s="1327"/>
      <c r="AO13" s="1258"/>
      <c r="AP13" s="1258"/>
      <c r="AQ13" s="1258"/>
      <c r="AR13" s="1258"/>
      <c r="AS13" s="1258"/>
      <c r="AT13" s="1258"/>
      <c r="AU13" s="1258"/>
    </row>
    <row r="14" spans="2:50" ht="15" x14ac:dyDescent="0.2">
      <c r="B14" s="1374"/>
      <c r="C14" s="1375"/>
      <c r="D14" s="1376"/>
      <c r="E14" s="1375"/>
      <c r="F14" s="1376"/>
      <c r="H14" s="454">
        <v>8</v>
      </c>
      <c r="I14" s="665" t="str">
        <f>IF(INDEX('[17]Master Lookup'!$B$300:$B$307,H14)=0,"",INDEX('[17]Master Lookup'!$B$300:$B$307,H14))</f>
        <v/>
      </c>
      <c r="J14" s="1371" t="str">
        <f>IFERROR(INDEX('[17]Master Lookup'!$E$300:$E$307,MATCH(I14,'[17]Master Lookup'!$B$300:$B$307,0)),"")</f>
        <v/>
      </c>
      <c r="K14" s="1371" t="str">
        <f>IFERROR(INDEX('[17]Master Lookup'!$F$300:$F$307,MATCH(I14,'[17]Master Lookup'!$B$300:$B$307,0)),"")</f>
        <v/>
      </c>
      <c r="L14" s="386" t="str">
        <f>IFERROR(INDEX('[17]Master Lookup'!$D$300:$D$307,MATCH(I14,'[17]Master Lookup'!$B$300:$B$307,0)),"")</f>
        <v/>
      </c>
      <c r="M14" s="1372" t="str">
        <f>IFERROR(INDEX('[17]Master Lookup'!$G$300:$G$307,MATCH(I14,'[17]Master Lookup'!$B$300:$B$307,0)),"")</f>
        <v/>
      </c>
      <c r="N14" s="1373">
        <f t="shared" si="0"/>
        <v>0</v>
      </c>
      <c r="P14" s="665" t="str">
        <f>IF(INDEX('[17]Master Lookup'!$B$300:$B$307,H14)=0,"",INDEX('[17]Master Lookup'!$B$300:$B$307,H14))</f>
        <v/>
      </c>
      <c r="Q14" s="1371" t="str">
        <f>IFERROR(INDEX('[17]Master Lookup'!$H$300:$H$307,MATCH(P14,'[17]Master Lookup'!$B$300:$B$307,0)),"")</f>
        <v/>
      </c>
      <c r="R14" s="1371" t="str">
        <f>IFERROR(INDEX('[17]Master Lookup'!$I$300:$I$307,MATCH(P14,'[17]Master Lookup'!$B$300:$B$307,0)),"")</f>
        <v/>
      </c>
      <c r="S14" s="386" t="str">
        <f>IFERROR(INDEX('[17]Master Lookup'!$D$300:$D$307,MATCH(P14,'[17]Master Lookup'!$B$300:$B$307,0)),"")</f>
        <v/>
      </c>
      <c r="T14" s="1372" t="str">
        <f>IFERROR(INDEX('[17]Master Lookup'!$J$300:$J$307,MATCH(P14,'[17]Master Lookup'!$B$300:$B$307,0)),"")</f>
        <v/>
      </c>
      <c r="U14" s="1373">
        <f t="shared" si="2"/>
        <v>0</v>
      </c>
      <c r="W14" s="387" t="str">
        <f>IF(INDEX('[17]Master Lookup'!$B$300:$B$307,H14)=0,"",INDEX('[17]Master Lookup'!$B$300:$B$307,H14))</f>
        <v/>
      </c>
      <c r="X14" s="1371" t="str">
        <f>IFERROR(INDEX('[17]Master Lookup'!$K$300:$K$307,MATCH(W14,'[17]Master Lookup'!$B$300:$B$307,0)),"")</f>
        <v/>
      </c>
      <c r="Y14" s="1371" t="str">
        <f>IFERROR(INDEX('[17]Master Lookup'!$L$300:$L$307,MATCH(W14,'[17]Master Lookup'!$B$300:$B$307,0)),"")</f>
        <v/>
      </c>
      <c r="Z14" s="386" t="str">
        <f>IFERROR(INDEX('[17]Master Lookup'!$D$300:$D$307,MATCH(W14,'[17]Master Lookup'!$B$300:$B$307,0)),"")</f>
        <v/>
      </c>
      <c r="AA14" s="1372" t="str">
        <f>IFERROR(INDEX('[17]Master Lookup'!$M$300:$M$307,MATCH(W14,'[17]Master Lookup'!$B$300:$B$307,0)),"")</f>
        <v/>
      </c>
      <c r="AB14" s="1373">
        <f t="shared" si="4"/>
        <v>0</v>
      </c>
      <c r="AC14" s="1327"/>
      <c r="AD14" s="387" t="str">
        <f>IF(INDEX('[17]Master Lookup'!$B$300:$B$307,H14)=0,"",INDEX('[17]Master Lookup'!$B$300:$B$307,H14))</f>
        <v/>
      </c>
      <c r="AE14" s="1371" t="str">
        <f>IFERROR(INDEX('[17]Master Lookup'!$N$300:$N$307,MATCH(AD14,'[17]Master Lookup'!$B$300:$B$307,0)),"")</f>
        <v/>
      </c>
      <c r="AF14" s="1371" t="str">
        <f>IFERROR(INDEX('[17]Master Lookup'!$O$300:$O$307,MATCH(AD14,'[17]Master Lookup'!$B$300:$B$307,0)),"")</f>
        <v/>
      </c>
      <c r="AG14" s="386" t="str">
        <f>IFERROR(INDEX('[17]Master Lookup'!$D$300:$D$307,MATCH(AD14,'[17]Master Lookup'!$B$300:$B$307,0)),"")</f>
        <v/>
      </c>
      <c r="AH14" s="1372" t="str">
        <f>IFERROR(INDEX('[17]Master Lookup'!$P$300:$P$307,MATCH(AD14,'[17]Master Lookup'!$B$300:$B$307,0)),"")</f>
        <v/>
      </c>
      <c r="AI14" s="1373">
        <f t="shared" si="6"/>
        <v>0</v>
      </c>
      <c r="AJ14" s="1327"/>
      <c r="AO14" s="1258"/>
      <c r="AP14" s="1258"/>
      <c r="AQ14" s="1258"/>
      <c r="AR14" s="1258"/>
      <c r="AS14" s="1258"/>
      <c r="AT14" s="1258"/>
      <c r="AU14" s="1258"/>
    </row>
    <row r="15" spans="2:50" ht="15" x14ac:dyDescent="0.2">
      <c r="B15" s="1377"/>
      <c r="C15" s="1378" t="s">
        <v>33</v>
      </c>
      <c r="D15" s="1379">
        <f>SUM(D11:D14)</f>
        <v>296</v>
      </c>
      <c r="E15" s="1378" t="s">
        <v>33</v>
      </c>
      <c r="F15" s="1379">
        <f>SUM(F11:F14)</f>
        <v>200</v>
      </c>
      <c r="H15" s="454"/>
      <c r="I15" s="676" t="s">
        <v>457</v>
      </c>
      <c r="J15" s="1248"/>
      <c r="K15" s="1248"/>
      <c r="L15" s="1248"/>
      <c r="M15" s="1380">
        <f>SUM(M7:M14)</f>
        <v>7.8250000000000002</v>
      </c>
      <c r="N15" s="1381">
        <f>SUM(N7:N14)</f>
        <v>388194.83040000004</v>
      </c>
      <c r="P15" s="702" t="s">
        <v>457</v>
      </c>
      <c r="Q15" s="1382"/>
      <c r="R15" s="1382"/>
      <c r="S15" s="1382"/>
      <c r="T15" s="1249">
        <f>SUM(T7:T14)</f>
        <v>9.125</v>
      </c>
      <c r="U15" s="1383">
        <f>SUM(U7:U14)</f>
        <v>493647.75200000009</v>
      </c>
      <c r="W15" s="536" t="s">
        <v>457</v>
      </c>
      <c r="X15" s="1382"/>
      <c r="Y15" s="1382"/>
      <c r="Z15" s="1382"/>
      <c r="AA15" s="1249">
        <f>SUM(AA7:AA14)</f>
        <v>3.16</v>
      </c>
      <c r="AB15" s="1383">
        <f>SUM(AB7:AB14)</f>
        <v>165594.75712000002</v>
      </c>
      <c r="AC15" s="1258"/>
      <c r="AD15" s="536" t="s">
        <v>457</v>
      </c>
      <c r="AE15" s="1382"/>
      <c r="AF15" s="1382"/>
      <c r="AG15" s="1382"/>
      <c r="AH15" s="1249">
        <f>SUM(AH7:AH14)</f>
        <v>4.22</v>
      </c>
      <c r="AI15" s="1383">
        <f>SUM(AI7:AI14)</f>
        <v>215247.73504000003</v>
      </c>
      <c r="AJ15" s="1258"/>
      <c r="AO15" s="1258"/>
      <c r="AP15" s="1258"/>
      <c r="AQ15" s="1258"/>
      <c r="AR15" s="1258"/>
      <c r="AS15" s="1258"/>
      <c r="AT15" s="1258"/>
      <c r="AU15" s="1258"/>
    </row>
    <row r="16" spans="2:50" ht="15.75" thickBot="1" x14ac:dyDescent="0.3">
      <c r="B16" s="1384"/>
      <c r="C16" s="1385" t="s">
        <v>787</v>
      </c>
      <c r="D16" s="1386">
        <f>D15/(52*40)</f>
        <v>0.1423076923076923</v>
      </c>
      <c r="E16" s="1385" t="s">
        <v>787</v>
      </c>
      <c r="F16" s="1386">
        <f>F15/(52*40)</f>
        <v>9.6153846153846159E-2</v>
      </c>
      <c r="I16" s="671" t="s">
        <v>322</v>
      </c>
      <c r="J16" s="1252"/>
      <c r="K16" s="1252"/>
      <c r="L16" s="1252"/>
      <c r="M16" s="530">
        <f>'M2024 BLS SALARY CHART (53_PCT)'!C40</f>
        <v>0.24970000000000001</v>
      </c>
      <c r="N16" s="1387">
        <f>N15*M16</f>
        <v>96932.249150880016</v>
      </c>
      <c r="P16" s="671" t="s">
        <v>322</v>
      </c>
      <c r="Q16" s="1382"/>
      <c r="R16" s="1382"/>
      <c r="S16" s="1382"/>
      <c r="T16" s="530">
        <f>M16</f>
        <v>0.24970000000000001</v>
      </c>
      <c r="U16" s="1387">
        <f>U15*T16</f>
        <v>123263.84367440002</v>
      </c>
      <c r="W16" s="531" t="s">
        <v>322</v>
      </c>
      <c r="X16" s="1382"/>
      <c r="Y16" s="1382"/>
      <c r="Z16" s="1382"/>
      <c r="AA16" s="530">
        <f>T16</f>
        <v>0.24970000000000001</v>
      </c>
      <c r="AB16" s="1388">
        <f>AB15*AA16</f>
        <v>41349.010852864005</v>
      </c>
      <c r="AC16" s="1258"/>
      <c r="AD16" s="531" t="s">
        <v>322</v>
      </c>
      <c r="AE16" s="1382"/>
      <c r="AF16" s="1382"/>
      <c r="AG16" s="1382"/>
      <c r="AH16" s="530">
        <f>AA16</f>
        <v>0.24970000000000001</v>
      </c>
      <c r="AI16" s="1388">
        <f>AI15*AH16</f>
        <v>53747.359439488006</v>
      </c>
      <c r="AJ16" s="1258"/>
      <c r="AO16" s="1258"/>
      <c r="AP16" s="1258"/>
      <c r="AQ16" s="1258"/>
      <c r="AR16" s="1258"/>
      <c r="AS16" s="1258"/>
      <c r="AT16" s="1258"/>
      <c r="AU16" s="1258"/>
    </row>
    <row r="17" spans="8:47" ht="15" x14ac:dyDescent="0.25">
      <c r="I17" s="663" t="s">
        <v>550</v>
      </c>
      <c r="J17" s="1252"/>
      <c r="K17" s="1252"/>
      <c r="L17" s="1252"/>
      <c r="M17" s="1252"/>
      <c r="N17" s="1389">
        <f>SUM(N15:N16)</f>
        <v>485127.07955088007</v>
      </c>
      <c r="P17" s="663" t="s">
        <v>550</v>
      </c>
      <c r="Q17" s="1382"/>
      <c r="R17" s="1382"/>
      <c r="S17" s="1382"/>
      <c r="T17" s="1382"/>
      <c r="U17" s="1389">
        <f>SUM(U15:U16)</f>
        <v>616911.5956744001</v>
      </c>
      <c r="W17" s="1390" t="s">
        <v>550</v>
      </c>
      <c r="X17" s="1382"/>
      <c r="Y17" s="1382"/>
      <c r="Z17" s="1382"/>
      <c r="AA17" s="1382"/>
      <c r="AB17" s="1389">
        <f>SUM(AB15:AB16)</f>
        <v>206943.76797286404</v>
      </c>
      <c r="AC17" s="1258"/>
      <c r="AD17" s="1390" t="s">
        <v>550</v>
      </c>
      <c r="AE17" s="1382"/>
      <c r="AF17" s="1382"/>
      <c r="AG17" s="1382"/>
      <c r="AH17" s="1382"/>
      <c r="AI17" s="1389">
        <f>SUM(AI15:AI16)</f>
        <v>268995.09447948803</v>
      </c>
      <c r="AJ17" s="1258"/>
      <c r="AO17" s="1258"/>
      <c r="AP17" s="1258"/>
      <c r="AQ17" s="1258"/>
      <c r="AR17" s="1258"/>
      <c r="AS17" s="1258"/>
      <c r="AT17" s="1258"/>
      <c r="AU17" s="1258"/>
    </row>
    <row r="18" spans="8:47" x14ac:dyDescent="0.2">
      <c r="I18" s="698"/>
      <c r="J18" s="1252"/>
      <c r="K18" s="1252"/>
      <c r="L18" s="1252"/>
      <c r="M18" s="1252"/>
      <c r="N18" s="1391"/>
      <c r="P18" s="698"/>
      <c r="Q18" s="1382"/>
      <c r="R18" s="1382"/>
      <c r="S18" s="1382"/>
      <c r="T18" s="1382"/>
      <c r="U18" s="1383"/>
      <c r="W18" s="698"/>
      <c r="X18" s="1382"/>
      <c r="Y18" s="1382"/>
      <c r="Z18" s="1382"/>
      <c r="AA18" s="1382"/>
      <c r="AB18" s="1383"/>
      <c r="AC18" s="1258"/>
      <c r="AD18" s="698"/>
      <c r="AE18" s="1382"/>
      <c r="AF18" s="1382"/>
      <c r="AG18" s="1382"/>
      <c r="AH18" s="1382"/>
      <c r="AI18" s="1383"/>
      <c r="AJ18" s="1258"/>
      <c r="AO18" s="1258"/>
      <c r="AP18" s="1258"/>
      <c r="AQ18" s="1258"/>
      <c r="AR18" s="1258"/>
      <c r="AS18" s="1258"/>
      <c r="AT18" s="1258"/>
      <c r="AU18" s="1258"/>
    </row>
    <row r="19" spans="8:47" ht="30" x14ac:dyDescent="0.25">
      <c r="I19" s="667" t="s">
        <v>326</v>
      </c>
      <c r="N19" s="1392"/>
      <c r="P19" s="667" t="s">
        <v>326</v>
      </c>
      <c r="U19" s="1393"/>
      <c r="W19" s="1394" t="s">
        <v>326</v>
      </c>
      <c r="AB19" s="1393"/>
      <c r="AC19" s="1258"/>
      <c r="AD19" s="1394" t="s">
        <v>326</v>
      </c>
      <c r="AI19" s="1393"/>
      <c r="AJ19" s="1258"/>
      <c r="AO19" s="1258"/>
      <c r="AP19" s="1258"/>
      <c r="AQ19" s="1258"/>
      <c r="AR19" s="1258"/>
      <c r="AS19" s="1258"/>
      <c r="AT19" s="1258"/>
      <c r="AU19" s="1258"/>
    </row>
    <row r="20" spans="8:47" ht="15" x14ac:dyDescent="0.2">
      <c r="H20" s="454">
        <v>1</v>
      </c>
      <c r="I20" s="666" t="str">
        <f>IF(INDEX('[17]Master Lookup'!$B$311:$B$316,H20)=0,"",INDEX('[17]Master Lookup'!$B$311:$B$316,H20))</f>
        <v>Total Occupancy</v>
      </c>
      <c r="M20" s="1319">
        <f>AA20</f>
        <v>6392.9174203826224</v>
      </c>
      <c r="N20" s="1395">
        <f>M20*M15</f>
        <v>50024.578814494023</v>
      </c>
      <c r="P20" s="666" t="str">
        <f>IF(INDEX('[17]Master Lookup'!$B$311:$B$316,H20)=0,"",INDEX('[17]Master Lookup'!$B$311:$B$316,H20))</f>
        <v>Total Occupancy</v>
      </c>
      <c r="T20" s="1319">
        <f>M20</f>
        <v>6392.9174203826224</v>
      </c>
      <c r="U20" s="1395">
        <f>T20*T15</f>
        <v>58335.371460991431</v>
      </c>
      <c r="W20" s="377" t="str">
        <f>IF(INDEX('[17]Master Lookup'!$B$311:$B$316,H20)=0,"",INDEX('[17]Master Lookup'!$B$311:$B$316,H20))</f>
        <v>Total Occupancy</v>
      </c>
      <c r="AA20" s="1319">
        <f>'Master Lookup FY26'!C311</f>
        <v>6392.9174203826224</v>
      </c>
      <c r="AB20" s="1395">
        <f>AA20*AA15</f>
        <v>20201.619048409088</v>
      </c>
      <c r="AC20" s="1182"/>
      <c r="AD20" s="377" t="str">
        <f>IF(INDEX('[17]Master Lookup'!$B$311:$B$316,H20)=0,"",INDEX('[17]Master Lookup'!$B$311:$B$316,H20))</f>
        <v>Total Occupancy</v>
      </c>
      <c r="AH20" s="1319">
        <f>AA20</f>
        <v>6392.9174203826224</v>
      </c>
      <c r="AI20" s="1395">
        <f>AH20*AH15</f>
        <v>26978.111514014665</v>
      </c>
      <c r="AJ20" s="1182"/>
      <c r="AO20" s="1258"/>
      <c r="AP20" s="1258"/>
      <c r="AQ20" s="1258"/>
      <c r="AR20" s="1258"/>
      <c r="AS20" s="1258"/>
      <c r="AT20" s="1258"/>
      <c r="AU20" s="1258"/>
    </row>
    <row r="21" spans="8:47" ht="15" x14ac:dyDescent="0.2">
      <c r="H21" s="454">
        <v>2</v>
      </c>
      <c r="I21" s="666" t="str">
        <f>IF(INDEX('[17]Master Lookup'!$B$311:$B$316,H21)=0,"",INDEX('[17]Master Lookup'!$B$311:$B$316,H21))</f>
        <v>Other Expense</v>
      </c>
      <c r="M21" s="1319">
        <f>AA21</f>
        <v>3236.4891574928697</v>
      </c>
      <c r="N21" s="1395">
        <f>M21*M15</f>
        <v>25325.527657381706</v>
      </c>
      <c r="P21" s="666" t="str">
        <f>IF(INDEX('[17]Master Lookup'!$B$311:$B$316,H21)=0,"",INDEX('[17]Master Lookup'!$B$311:$B$316,H21))</f>
        <v>Other Expense</v>
      </c>
      <c r="T21" s="1319">
        <f>M21</f>
        <v>3236.4891574928697</v>
      </c>
      <c r="U21" s="1395">
        <f>T21*T15</f>
        <v>29532.963562122437</v>
      </c>
      <c r="W21" s="377" t="str">
        <f>IF(INDEX('[17]Master Lookup'!$B$311:$B$316,H21)=0,"",INDEX('[17]Master Lookup'!$B$311:$B$316,H21))</f>
        <v>Other Expense</v>
      </c>
      <c r="AA21" s="1319">
        <f>'Master Lookup FY26'!C312</f>
        <v>3236.4891574928697</v>
      </c>
      <c r="AB21" s="1395">
        <f>AA21*AA15</f>
        <v>10227.305737677469</v>
      </c>
      <c r="AC21" s="1258"/>
      <c r="AD21" s="377" t="str">
        <f>IF(INDEX('[17]Master Lookup'!$B$311:$B$316,H21)=0,"",INDEX('[17]Master Lookup'!$B$311:$B$316,H21))</f>
        <v>Other Expense</v>
      </c>
      <c r="AH21" s="1319">
        <f>AA21</f>
        <v>3236.4891574928697</v>
      </c>
      <c r="AI21" s="1395">
        <f>AH21*AH15</f>
        <v>13657.984244619909</v>
      </c>
      <c r="AJ21" s="1258"/>
      <c r="AO21" s="1258"/>
      <c r="AP21" s="1258"/>
      <c r="AQ21" s="1258"/>
      <c r="AR21" s="1258"/>
      <c r="AS21" s="1258"/>
      <c r="AT21" s="1258"/>
      <c r="AU21" s="1258"/>
    </row>
    <row r="22" spans="8:47" ht="15" x14ac:dyDescent="0.2">
      <c r="H22" s="454">
        <v>3</v>
      </c>
      <c r="I22" s="665" t="str">
        <f>IF(INDEX('[17]Master Lookup'!$B$311:$B$316,H22)=0,"",INDEX('[17]Master Lookup'!$B$311:$B$316,H22))</f>
        <v/>
      </c>
      <c r="J22" s="1396"/>
      <c r="K22" s="1396"/>
      <c r="L22" s="1396"/>
      <c r="M22" s="386" t="str">
        <f>IFERROR(INDEX('[17]Master Lookup'!$C$311:$C$316,MATCH(I22,'[17]Master Lookup'!$B$311:$B$316,0)),"")</f>
        <v/>
      </c>
      <c r="N22" s="1397"/>
      <c r="P22" s="665" t="str">
        <f>IF(INDEX('[17]Master Lookup'!$B$311:$B$316,H22)=0,"",INDEX('[17]Master Lookup'!$B$311:$B$316,H22))</f>
        <v/>
      </c>
      <c r="Q22" s="1398"/>
      <c r="R22" s="1398"/>
      <c r="S22" s="1398"/>
      <c r="T22" s="1398"/>
      <c r="U22" s="1399"/>
      <c r="W22" s="387" t="str">
        <f>IF(INDEX('[17]Master Lookup'!$B$311:$B$316,H22)=0,"",INDEX('[17]Master Lookup'!$B$311:$B$316,H22))</f>
        <v/>
      </c>
      <c r="X22" s="1398"/>
      <c r="Y22" s="1398"/>
      <c r="Z22" s="1398"/>
      <c r="AA22" s="1398"/>
      <c r="AB22" s="1399"/>
      <c r="AC22" s="1182"/>
      <c r="AD22" s="387" t="str">
        <f>IF(INDEX('[17]Master Lookup'!$B$311:$B$316,H22)=0,"",INDEX('[17]Master Lookup'!$B$311:$B$316,H22))</f>
        <v/>
      </c>
      <c r="AE22" s="1398"/>
      <c r="AF22" s="1398"/>
      <c r="AG22" s="1398"/>
      <c r="AH22" s="1398"/>
      <c r="AI22" s="1399"/>
      <c r="AJ22" s="1182"/>
      <c r="AK22" s="1258"/>
      <c r="AL22" s="1258"/>
      <c r="AM22" s="1258"/>
      <c r="AO22" s="1258"/>
      <c r="AP22" s="1258"/>
      <c r="AQ22" s="1258"/>
      <c r="AR22" s="1258"/>
      <c r="AS22" s="1258"/>
      <c r="AT22" s="1258"/>
      <c r="AU22" s="1258"/>
    </row>
    <row r="23" spans="8:47" ht="15" x14ac:dyDescent="0.2">
      <c r="H23" s="454">
        <v>4</v>
      </c>
      <c r="I23" s="665" t="str">
        <f>IF(INDEX('[17]Master Lookup'!$B$311:$B$316,H23)=0,"",INDEX('[17]Master Lookup'!$B$311:$B$316,H23))</f>
        <v/>
      </c>
      <c r="J23" s="1396"/>
      <c r="K23" s="1396"/>
      <c r="L23" s="1396"/>
      <c r="M23" s="386" t="str">
        <f>IFERROR(INDEX('[17]Master Lookup'!$C$311:$C$316,MATCH(I23,'[17]Master Lookup'!$B$311:$B$316,0)),"")</f>
        <v/>
      </c>
      <c r="N23" s="1397"/>
      <c r="P23" s="665" t="str">
        <f>IF(INDEX('[17]Master Lookup'!$B$311:$B$316,H23)=0,"",INDEX('[17]Master Lookup'!$B$311:$B$316,H23))</f>
        <v/>
      </c>
      <c r="Q23" s="1400"/>
      <c r="R23" s="1400"/>
      <c r="S23" s="1400"/>
      <c r="T23" s="1401"/>
      <c r="U23" s="1399"/>
      <c r="V23" s="1327"/>
      <c r="W23" s="387" t="str">
        <f>IF(INDEX('[17]Master Lookup'!$B$311:$B$316,H23)=0,"",INDEX('[17]Master Lookup'!$B$311:$B$316,H23))</f>
        <v/>
      </c>
      <c r="X23" s="1400"/>
      <c r="Y23" s="1400"/>
      <c r="Z23" s="1400"/>
      <c r="AA23" s="1401"/>
      <c r="AB23" s="1399"/>
      <c r="AC23" s="1327"/>
      <c r="AD23" s="387" t="str">
        <f>IF(INDEX('[17]Master Lookup'!$B$311:$B$316,H23)=0,"",INDEX('[17]Master Lookup'!$B$311:$B$316,H23))</f>
        <v/>
      </c>
      <c r="AE23" s="1400"/>
      <c r="AF23" s="1400"/>
      <c r="AG23" s="1400"/>
      <c r="AH23" s="1401"/>
      <c r="AI23" s="1399"/>
      <c r="AJ23" s="1327"/>
      <c r="AK23" s="1258"/>
      <c r="AL23" s="1258"/>
      <c r="AM23" s="1258"/>
      <c r="AO23" s="1258"/>
      <c r="AP23" s="1258"/>
      <c r="AQ23" s="1258"/>
      <c r="AR23" s="1258"/>
      <c r="AS23" s="1258"/>
      <c r="AT23" s="1258"/>
      <c r="AU23" s="1258"/>
    </row>
    <row r="24" spans="8:47" ht="15" x14ac:dyDescent="0.2">
      <c r="H24" s="454">
        <v>5</v>
      </c>
      <c r="I24" s="665" t="str">
        <f>IF(INDEX('[17]Master Lookup'!$B$311:$B$316,H24)=0,"",INDEX('[17]Master Lookup'!$B$311:$B$316,H24))</f>
        <v/>
      </c>
      <c r="J24" s="1400"/>
      <c r="K24" s="1400"/>
      <c r="L24" s="1401"/>
      <c r="M24" s="386" t="str">
        <f>IFERROR(INDEX('[17]Master Lookup'!$C$311:$C$316,MATCH(I24,'[17]Master Lookup'!$B$311:$B$316,0)),"")</f>
        <v/>
      </c>
      <c r="N24" s="1373"/>
      <c r="O24" s="1402"/>
      <c r="P24" s="665" t="str">
        <f>IF(INDEX('[17]Master Lookup'!$B$311:$B$316,H24)=0,"",INDEX('[17]Master Lookup'!$B$311:$B$316,H24))</f>
        <v/>
      </c>
      <c r="Q24" s="1400"/>
      <c r="R24" s="1400"/>
      <c r="S24" s="1400"/>
      <c r="T24" s="1401"/>
      <c r="U24" s="1399"/>
      <c r="V24" s="1327"/>
      <c r="W24" s="387" t="str">
        <f>IF(INDEX('[17]Master Lookup'!$B$311:$B$316,H24)=0,"",INDEX('[17]Master Lookup'!$B$311:$B$316,H24))</f>
        <v/>
      </c>
      <c r="X24" s="1400"/>
      <c r="Y24" s="1400"/>
      <c r="Z24" s="1400"/>
      <c r="AA24" s="1401"/>
      <c r="AB24" s="1399"/>
      <c r="AC24" s="1327"/>
      <c r="AD24" s="387" t="str">
        <f>IF(INDEX('[17]Master Lookup'!$B$311:$B$316,H24)=0,"",INDEX('[17]Master Lookup'!$B$311:$B$316,H24))</f>
        <v/>
      </c>
      <c r="AE24" s="1400"/>
      <c r="AF24" s="1400"/>
      <c r="AG24" s="1400"/>
      <c r="AH24" s="1401"/>
      <c r="AI24" s="1399"/>
      <c r="AJ24" s="1327"/>
      <c r="AK24" s="1258"/>
      <c r="AL24" s="1258"/>
      <c r="AM24" s="1258"/>
      <c r="AO24" s="1258"/>
      <c r="AP24" s="1258"/>
      <c r="AQ24" s="1258"/>
      <c r="AR24" s="1258"/>
      <c r="AS24" s="1258"/>
      <c r="AT24" s="1258"/>
      <c r="AU24" s="1258"/>
    </row>
    <row r="25" spans="8:47" ht="15" x14ac:dyDescent="0.2">
      <c r="H25" s="454">
        <v>6</v>
      </c>
      <c r="I25" s="665" t="str">
        <f>IF(INDEX('[17]Master Lookup'!$B$311:$B$316,H25)=0,"",INDEX('[17]Master Lookup'!$B$311:$B$316,H25))</f>
        <v/>
      </c>
      <c r="J25" s="1400"/>
      <c r="K25" s="1400"/>
      <c r="L25" s="1401"/>
      <c r="M25" s="386" t="str">
        <f>IFERROR(INDEX('[17]Master Lookup'!$C$311:$C$316,MATCH(I25,'[17]Master Lookup'!$B$311:$B$316,0)),"")</f>
        <v/>
      </c>
      <c r="N25" s="1373"/>
      <c r="O25" s="1403"/>
      <c r="P25" s="665" t="str">
        <f>IF(INDEX('[17]Master Lookup'!$B$311:$B$316,H25)=0,"",INDEX('[17]Master Lookup'!$B$311:$B$316,H25))</f>
        <v/>
      </c>
      <c r="Q25" s="1400"/>
      <c r="R25" s="1400"/>
      <c r="S25" s="1400"/>
      <c r="T25" s="1400"/>
      <c r="U25" s="1373"/>
      <c r="V25" s="1327"/>
      <c r="W25" s="387" t="str">
        <f>IF(INDEX('[17]Master Lookup'!$B$311:$B$316,H25)=0,"",INDEX('[17]Master Lookup'!$B$311:$B$316,H25))</f>
        <v/>
      </c>
      <c r="X25" s="1400"/>
      <c r="Y25" s="1400"/>
      <c r="Z25" s="1400"/>
      <c r="AA25" s="1400"/>
      <c r="AB25" s="1373"/>
      <c r="AC25" s="1327"/>
      <c r="AD25" s="387" t="str">
        <f>IF(INDEX('[17]Master Lookup'!$B$311:$B$316,H25)=0,"",INDEX('[17]Master Lookup'!$B$311:$B$316,H25))</f>
        <v/>
      </c>
      <c r="AE25" s="1400"/>
      <c r="AF25" s="1400"/>
      <c r="AG25" s="1400"/>
      <c r="AH25" s="1400"/>
      <c r="AI25" s="1373"/>
      <c r="AJ25" s="1327"/>
      <c r="AL25" s="1258"/>
      <c r="AM25" s="1258"/>
      <c r="AO25" s="1258"/>
      <c r="AP25" s="1258"/>
      <c r="AQ25" s="1258"/>
      <c r="AR25" s="1258"/>
      <c r="AS25" s="1258"/>
      <c r="AT25" s="1258"/>
      <c r="AU25" s="1258"/>
    </row>
    <row r="26" spans="8:47" ht="30" x14ac:dyDescent="0.25">
      <c r="I26" s="663" t="s">
        <v>492</v>
      </c>
      <c r="J26" s="1404"/>
      <c r="K26" s="1404"/>
      <c r="L26" s="1405"/>
      <c r="M26" s="1406"/>
      <c r="N26" s="1389">
        <f>SUM(N20:N25)</f>
        <v>75350.106471875726</v>
      </c>
      <c r="O26" s="1407"/>
      <c r="P26" s="663" t="s">
        <v>492</v>
      </c>
      <c r="Q26" s="1408"/>
      <c r="R26" s="1408"/>
      <c r="S26" s="1408"/>
      <c r="T26" s="1408"/>
      <c r="U26" s="1389">
        <f>SUM(U20:U25)</f>
        <v>87868.335023113876</v>
      </c>
      <c r="V26" s="1327"/>
      <c r="W26" s="1390" t="s">
        <v>492</v>
      </c>
      <c r="X26" s="1408"/>
      <c r="Y26" s="1408"/>
      <c r="Z26" s="1408"/>
      <c r="AA26" s="1408"/>
      <c r="AB26" s="1389">
        <f>SUM(AB20:AB25)</f>
        <v>30428.924786086558</v>
      </c>
      <c r="AC26" s="1327"/>
      <c r="AD26" s="1390" t="s">
        <v>492</v>
      </c>
      <c r="AE26" s="1408"/>
      <c r="AF26" s="1408"/>
      <c r="AG26" s="1408"/>
      <c r="AH26" s="1408"/>
      <c r="AI26" s="1389">
        <f>SUM(AI20:AI25)</f>
        <v>40636.095758634576</v>
      </c>
      <c r="AJ26" s="1327"/>
      <c r="AL26" s="1258"/>
      <c r="AM26" s="1258"/>
      <c r="AO26" s="1258"/>
      <c r="AP26" s="1258"/>
      <c r="AQ26" s="1258"/>
      <c r="AR26" s="1258"/>
      <c r="AS26" s="1258"/>
      <c r="AT26" s="1258"/>
      <c r="AU26" s="1258"/>
    </row>
    <row r="27" spans="8:47" ht="15.75" x14ac:dyDescent="0.25">
      <c r="I27" s="1409"/>
      <c r="J27" s="1410"/>
      <c r="K27" s="1410"/>
      <c r="L27" s="1410"/>
      <c r="M27" s="1410"/>
      <c r="N27" s="1411"/>
      <c r="O27" s="336"/>
      <c r="P27" s="1412"/>
      <c r="U27" s="1393"/>
      <c r="V27" s="1327"/>
      <c r="W27" s="1413"/>
      <c r="AB27" s="1393"/>
      <c r="AC27" s="1327"/>
      <c r="AD27" s="1413"/>
      <c r="AI27" s="1393"/>
      <c r="AJ27" s="1327"/>
      <c r="AL27" s="1258"/>
      <c r="AM27" s="1258"/>
      <c r="AO27" s="1258"/>
      <c r="AP27" s="1258"/>
      <c r="AQ27" s="1258"/>
      <c r="AR27" s="1258"/>
      <c r="AS27" s="1258"/>
      <c r="AT27" s="1258"/>
      <c r="AU27" s="1258"/>
    </row>
    <row r="28" spans="8:47" ht="45" x14ac:dyDescent="0.25">
      <c r="I28" s="372" t="s">
        <v>491</v>
      </c>
      <c r="J28" s="1410"/>
      <c r="K28" s="1410"/>
      <c r="L28" s="1410"/>
      <c r="M28" s="1410"/>
      <c r="N28" s="1389">
        <f>SUM(N17,N26)</f>
        <v>560477.18602275581</v>
      </c>
      <c r="O28" s="1327"/>
      <c r="P28" s="372" t="s">
        <v>491</v>
      </c>
      <c r="Q28" s="1410"/>
      <c r="R28" s="1410"/>
      <c r="S28" s="1410"/>
      <c r="T28" s="1410"/>
      <c r="U28" s="1389">
        <f>SUM(U17,U26)</f>
        <v>704779.93069751398</v>
      </c>
      <c r="V28" s="1327"/>
      <c r="W28" s="1414" t="s">
        <v>491</v>
      </c>
      <c r="X28" s="1410"/>
      <c r="Y28" s="1410"/>
      <c r="Z28" s="1410"/>
      <c r="AA28" s="1410"/>
      <c r="AB28" s="1389">
        <f>SUM(AB17,AB26)</f>
        <v>237372.69275895058</v>
      </c>
      <c r="AC28" s="1327"/>
      <c r="AD28" s="1414" t="s">
        <v>491</v>
      </c>
      <c r="AE28" s="1410"/>
      <c r="AF28" s="1410"/>
      <c r="AG28" s="1410"/>
      <c r="AH28" s="1410"/>
      <c r="AI28" s="1389">
        <f>SUM(AI17,AI26)</f>
        <v>309631.1902381226</v>
      </c>
      <c r="AJ28" s="1327"/>
      <c r="AO28" s="1258"/>
      <c r="AP28" s="1258"/>
      <c r="AQ28" s="1258"/>
      <c r="AR28" s="1258"/>
      <c r="AS28" s="1258"/>
      <c r="AT28" s="1258"/>
      <c r="AU28" s="1258"/>
    </row>
    <row r="29" spans="8:47" ht="15" x14ac:dyDescent="0.25">
      <c r="I29" s="659" t="s">
        <v>320</v>
      </c>
      <c r="J29" s="1248"/>
      <c r="K29" s="1248"/>
      <c r="L29" s="1248"/>
      <c r="M29" s="495">
        <f>INDEX('[17]Master Lookup'!$C$318:$C$320,MATCH(I29,'[17]Master Lookup'!$B$318:$B$320,0))</f>
        <v>0.12</v>
      </c>
      <c r="N29" s="1415">
        <f>N28*M29</f>
        <v>67257.26232273069</v>
      </c>
      <c r="O29" s="1327"/>
      <c r="P29" s="659" t="s">
        <v>320</v>
      </c>
      <c r="Q29" s="1248"/>
      <c r="R29" s="1248"/>
      <c r="S29" s="1248"/>
      <c r="T29" s="495">
        <f>INDEX('[17]Master Lookup'!$C$318:$C$320,MATCH(P29,'[17]Master Lookup'!$B$318:$B$320,0))</f>
        <v>0.12</v>
      </c>
      <c r="U29" s="1415">
        <f>U28*T29</f>
        <v>84573.59168370167</v>
      </c>
      <c r="V29" s="1327"/>
      <c r="W29" s="284" t="s">
        <v>320</v>
      </c>
      <c r="X29" s="1248"/>
      <c r="Y29" s="1248"/>
      <c r="Z29" s="1248"/>
      <c r="AA29" s="495">
        <f>INDEX('[17]Master Lookup'!$C$318:$C$320,MATCH(W29,'[17]Master Lookup'!$B$318:$B$320,0))</f>
        <v>0.12</v>
      </c>
      <c r="AB29" s="1416">
        <f>AB28*AA29</f>
        <v>28484.723131074068</v>
      </c>
      <c r="AC29" s="1327"/>
      <c r="AD29" s="284" t="s">
        <v>320</v>
      </c>
      <c r="AE29" s="1248"/>
      <c r="AF29" s="1248"/>
      <c r="AG29" s="1248"/>
      <c r="AH29" s="495">
        <f>INDEX('[17]Master Lookup'!$C$318:$C$320,MATCH(AD29,'[17]Master Lookup'!$B$318:$B$320,0))</f>
        <v>0.12</v>
      </c>
      <c r="AI29" s="1416">
        <f>AI28*AH29</f>
        <v>37155.742828574708</v>
      </c>
      <c r="AJ29" s="1327"/>
      <c r="AO29" s="1258"/>
      <c r="AP29" s="1258"/>
      <c r="AQ29" s="1258"/>
      <c r="AR29" s="1258"/>
      <c r="AS29" s="1258"/>
      <c r="AT29" s="1258"/>
      <c r="AU29" s="1258"/>
    </row>
    <row r="30" spans="8:47" ht="15" x14ac:dyDescent="0.25">
      <c r="I30" s="657" t="s">
        <v>321</v>
      </c>
      <c r="J30" s="1417"/>
      <c r="K30" s="1417"/>
      <c r="L30" s="1417"/>
      <c r="M30" s="491">
        <f>'CAF Spring 2025'!CT26</f>
        <v>2.5282070971092779E-2</v>
      </c>
      <c r="N30" s="1418">
        <f>M30*(N29+N28)</f>
        <v>15870.426874070365</v>
      </c>
      <c r="P30" s="1419" t="s">
        <v>321</v>
      </c>
      <c r="Q30" s="1258"/>
      <c r="R30" s="1258"/>
      <c r="S30" s="1258"/>
      <c r="T30" s="426">
        <f>M30</f>
        <v>2.5282070971092779E-2</v>
      </c>
      <c r="U30" s="1420">
        <f>T30*(U29+U28)</f>
        <v>19956.491774123966</v>
      </c>
      <c r="V30" s="1327"/>
      <c r="W30" s="116" t="s">
        <v>321</v>
      </c>
      <c r="X30" s="1258"/>
      <c r="Y30" s="1258"/>
      <c r="Z30" s="1258"/>
      <c r="AA30" s="426">
        <f>T30</f>
        <v>2.5282070971092779E-2</v>
      </c>
      <c r="AB30" s="1421">
        <f>AA30*(AB29+AB28)</f>
        <v>6721.4260567229321</v>
      </c>
      <c r="AC30" s="1327"/>
      <c r="AD30" s="116" t="s">
        <v>321</v>
      </c>
      <c r="AE30" s="1258"/>
      <c r="AF30" s="1258"/>
      <c r="AG30" s="1258"/>
      <c r="AH30" s="426">
        <f>AA30</f>
        <v>2.5282070971092779E-2</v>
      </c>
      <c r="AI30" s="1421">
        <f>AH30*(AI29+AI28)</f>
        <v>8767.4918536398436</v>
      </c>
      <c r="AJ30" s="1327"/>
      <c r="AO30" s="1258"/>
      <c r="AP30" s="1258"/>
      <c r="AQ30" s="1258"/>
      <c r="AR30" s="1258"/>
      <c r="AS30" s="1258"/>
      <c r="AT30" s="1258"/>
      <c r="AU30" s="1258"/>
    </row>
    <row r="31" spans="8:47" ht="15" x14ac:dyDescent="0.25">
      <c r="I31" s="1422" t="s">
        <v>453</v>
      </c>
      <c r="J31" s="1248"/>
      <c r="K31" s="1248"/>
      <c r="L31" s="1248"/>
      <c r="M31" s="1248"/>
      <c r="N31" s="1423">
        <f>SUM(N28:N30)</f>
        <v>643604.87521955685</v>
      </c>
      <c r="P31" s="722" t="s">
        <v>453</v>
      </c>
      <c r="Q31" s="1252"/>
      <c r="R31" s="1252"/>
      <c r="S31" s="1252"/>
      <c r="T31" s="1252"/>
      <c r="U31" s="1424">
        <f>SUM(U28:U30)</f>
        <v>809310.01415533957</v>
      </c>
      <c r="V31" s="1258"/>
      <c r="W31" s="722" t="s">
        <v>453</v>
      </c>
      <c r="X31" s="1252"/>
      <c r="Y31" s="1252"/>
      <c r="Z31" s="1252"/>
      <c r="AA31" s="1252"/>
      <c r="AB31" s="1424">
        <f>SUM(AB28:AB30)</f>
        <v>272578.84194674756</v>
      </c>
      <c r="AC31" s="1258"/>
      <c r="AD31" s="722" t="s">
        <v>453</v>
      </c>
      <c r="AE31" s="1252"/>
      <c r="AF31" s="1252"/>
      <c r="AG31" s="1252"/>
      <c r="AH31" s="1252"/>
      <c r="AI31" s="1424">
        <f>SUM(AI28:AI30)</f>
        <v>355554.42492033716</v>
      </c>
      <c r="AJ31" s="1258"/>
      <c r="AO31" s="1258"/>
      <c r="AP31" s="1258"/>
      <c r="AQ31" s="1258"/>
      <c r="AR31" s="1258"/>
      <c r="AS31" s="1258"/>
      <c r="AT31" s="1258"/>
      <c r="AU31" s="1258"/>
    </row>
    <row r="32" spans="8:47" ht="13.5" thickBot="1" x14ac:dyDescent="0.25">
      <c r="I32" s="1425" t="s">
        <v>788</v>
      </c>
      <c r="J32" s="1252"/>
      <c r="K32" s="1252"/>
      <c r="L32" s="1252"/>
      <c r="M32" s="1252"/>
      <c r="N32" s="1426">
        <f>ROUND(N31/N5,2)</f>
        <v>362.59</v>
      </c>
      <c r="P32" s="1425" t="s">
        <v>788</v>
      </c>
      <c r="Q32" s="1382"/>
      <c r="R32" s="1382"/>
      <c r="S32" s="1382"/>
      <c r="T32" s="1382"/>
      <c r="U32" s="1426">
        <f>ROUND(U31/U5,2)</f>
        <v>455.95</v>
      </c>
      <c r="V32" s="344"/>
      <c r="W32" s="1425" t="s">
        <v>788</v>
      </c>
      <c r="X32" s="1382"/>
      <c r="Y32" s="1382"/>
      <c r="Z32" s="1382"/>
      <c r="AA32" s="1382"/>
      <c r="AB32" s="1427">
        <f>ROUND(AB31/AB5,2)</f>
        <v>524.19000000000005</v>
      </c>
      <c r="AC32" s="344"/>
      <c r="AD32" s="1428" t="s">
        <v>788</v>
      </c>
      <c r="AE32" s="1429"/>
      <c r="AF32" s="1429"/>
      <c r="AG32" s="1429"/>
      <c r="AH32" s="1429"/>
      <c r="AI32" s="1430">
        <f>ROUND(AI31/AI5,2)</f>
        <v>683.76</v>
      </c>
      <c r="AJ32" s="344"/>
      <c r="AO32" s="1258"/>
      <c r="AP32" s="1258"/>
      <c r="AQ32" s="1258"/>
      <c r="AR32" s="1258"/>
      <c r="AS32" s="1258"/>
      <c r="AT32" s="1258"/>
      <c r="AU32" s="1258"/>
    </row>
    <row r="33" spans="8:57" ht="13.5" thickBot="1" x14ac:dyDescent="0.25">
      <c r="I33" s="1431" t="s">
        <v>789</v>
      </c>
      <c r="J33" s="1432"/>
      <c r="K33" s="1432"/>
      <c r="L33" s="1432"/>
      <c r="M33" s="1433">
        <f>'[17]Master Lookup'!$C$322</f>
        <v>0.9</v>
      </c>
      <c r="N33" s="1501">
        <f>ROUND(N32*M33,2)</f>
        <v>326.33</v>
      </c>
      <c r="P33" s="1434" t="s">
        <v>789</v>
      </c>
      <c r="Q33" s="1435"/>
      <c r="R33" s="1435"/>
      <c r="S33" s="1435"/>
      <c r="T33" s="1436">
        <f>'[17]Master Lookup'!$C$322</f>
        <v>0.9</v>
      </c>
      <c r="U33" s="1502">
        <f>ROUND(U32*T33,2)</f>
        <v>410.36</v>
      </c>
      <c r="V33" s="1327"/>
      <c r="W33" s="1437" t="s">
        <v>789</v>
      </c>
      <c r="AA33" s="1438">
        <f>'[17]Master Lookup'!$C$322</f>
        <v>0.9</v>
      </c>
      <c r="AB33" s="1491">
        <f>ROUND(AB32*AA33,2)</f>
        <v>471.77</v>
      </c>
      <c r="AC33" s="1327"/>
      <c r="AD33" s="1439" t="s">
        <v>789</v>
      </c>
      <c r="AE33" s="1440"/>
      <c r="AF33" s="1440"/>
      <c r="AG33" s="1440"/>
      <c r="AH33" s="1441">
        <f>'[17]Master Lookup'!$C$322</f>
        <v>0.9</v>
      </c>
      <c r="AI33" s="1492">
        <f>ROUND(AI32*AH33,2)</f>
        <v>615.38</v>
      </c>
      <c r="AJ33" s="1327"/>
      <c r="AO33" s="1258"/>
      <c r="AP33" s="1258"/>
      <c r="AQ33" s="1258"/>
      <c r="AR33" s="1258"/>
      <c r="AS33" s="1258"/>
      <c r="AT33" s="1258"/>
      <c r="AU33" s="1258"/>
    </row>
    <row r="34" spans="8:57" ht="13.5" thickBot="1" x14ac:dyDescent="0.25">
      <c r="M34" s="1327" t="s">
        <v>718</v>
      </c>
      <c r="N34" s="1442">
        <v>302.19</v>
      </c>
      <c r="T34" s="1327" t="s">
        <v>718</v>
      </c>
      <c r="U34" s="1442">
        <v>380.96</v>
      </c>
      <c r="V34" s="344"/>
      <c r="W34" s="1439" t="s">
        <v>790</v>
      </c>
      <c r="X34" s="1443"/>
      <c r="Y34" s="1443"/>
      <c r="Z34" s="1443"/>
      <c r="AA34" s="1444"/>
      <c r="AB34" s="1445">
        <f>ROUND(AB33/8,2)</f>
        <v>58.97</v>
      </c>
      <c r="AC34" s="344"/>
      <c r="AD34" s="1434" t="s">
        <v>790</v>
      </c>
      <c r="AE34" s="1446"/>
      <c r="AF34" s="1446"/>
      <c r="AG34" s="1446"/>
      <c r="AH34" s="1447"/>
      <c r="AI34" s="1448">
        <f>ROUND(AI33/8,2)</f>
        <v>76.92</v>
      </c>
      <c r="AJ34" s="344"/>
      <c r="AO34" s="1258"/>
      <c r="AP34" s="1258"/>
      <c r="AQ34" s="1258"/>
      <c r="AR34" s="1258"/>
      <c r="AS34" s="1258"/>
      <c r="AT34" s="1258"/>
      <c r="AU34" s="1258"/>
    </row>
    <row r="35" spans="8:57" ht="13.5" thickBot="1" x14ac:dyDescent="0.25">
      <c r="M35" s="1258" t="s">
        <v>602</v>
      </c>
      <c r="N35" s="1182">
        <f>(N33-N34)/N34</f>
        <v>7.9883516992620487E-2</v>
      </c>
      <c r="T35" s="1258" t="s">
        <v>602</v>
      </c>
      <c r="U35" s="1182">
        <f>(U33-U34)/U34</f>
        <v>7.7173456530869475E-2</v>
      </c>
      <c r="V35" s="344"/>
      <c r="W35" s="1439" t="s">
        <v>791</v>
      </c>
      <c r="X35" s="1443"/>
      <c r="Y35" s="1443"/>
      <c r="Z35" s="1443"/>
      <c r="AA35" s="1444"/>
      <c r="AB35" s="1490">
        <f>ROUND(AB34/2,2)</f>
        <v>29.49</v>
      </c>
      <c r="AC35" s="344"/>
      <c r="AD35" s="1439" t="s">
        <v>791</v>
      </c>
      <c r="AE35" s="1443"/>
      <c r="AF35" s="1443"/>
      <c r="AG35" s="1443"/>
      <c r="AH35" s="1444"/>
      <c r="AI35" s="1490">
        <f>ROUND(AI34/2,2)</f>
        <v>38.46</v>
      </c>
      <c r="AJ35" s="344"/>
      <c r="AO35" s="1258"/>
      <c r="AP35" s="1258"/>
      <c r="AQ35" s="1258"/>
      <c r="AR35" s="1258"/>
      <c r="AS35" s="1258"/>
      <c r="AT35" s="1258"/>
      <c r="AU35" s="1258"/>
    </row>
    <row r="36" spans="8:57" x14ac:dyDescent="0.2">
      <c r="T36" s="1786" t="s">
        <v>798</v>
      </c>
      <c r="U36" s="1788"/>
      <c r="V36" s="1327"/>
      <c r="X36" s="1327"/>
      <c r="Y36" s="1327"/>
      <c r="Z36" s="1327"/>
      <c r="AA36" s="1327" t="s">
        <v>792</v>
      </c>
      <c r="AB36" s="1442">
        <v>437.8</v>
      </c>
      <c r="AC36" s="1327"/>
      <c r="AD36" s="1327"/>
      <c r="AE36" s="1327"/>
      <c r="AF36" s="1327"/>
      <c r="AG36" s="1327"/>
      <c r="AH36" s="1327" t="s">
        <v>792</v>
      </c>
      <c r="AI36" s="1258">
        <v>569.44000000000005</v>
      </c>
      <c r="AJ36" s="1327"/>
      <c r="AO36" s="1258"/>
      <c r="AP36" s="1258"/>
      <c r="AQ36" s="1258"/>
      <c r="AR36" s="1258"/>
      <c r="AS36" s="1258"/>
      <c r="AT36" s="1258"/>
      <c r="AU36" s="1258"/>
    </row>
    <row r="37" spans="8:57" x14ac:dyDescent="0.2">
      <c r="T37" s="1789"/>
      <c r="U37" s="1791"/>
      <c r="V37" s="1327"/>
      <c r="X37" s="1327"/>
      <c r="Y37" s="1327"/>
      <c r="Z37" s="1327"/>
      <c r="AA37" s="1258" t="s">
        <v>602</v>
      </c>
      <c r="AB37" s="1182">
        <f>(AB33-AB36)/AB36</f>
        <v>7.7592507994517973E-2</v>
      </c>
      <c r="AC37" s="1327"/>
      <c r="AD37" s="1327"/>
      <c r="AE37" s="1327"/>
      <c r="AF37" s="1327"/>
      <c r="AG37" s="1327"/>
      <c r="AH37" s="1258" t="s">
        <v>602</v>
      </c>
      <c r="AI37" s="1182">
        <f>(AI33-AI36)/AI36</f>
        <v>8.0675751615622252E-2</v>
      </c>
      <c r="AJ37" s="1327"/>
      <c r="AN37" s="1258"/>
      <c r="AO37" s="1258"/>
      <c r="AP37" s="1258"/>
      <c r="AQ37" s="1258"/>
      <c r="AR37" s="1258"/>
      <c r="AS37" s="1258"/>
      <c r="AT37" s="1258"/>
      <c r="AU37" s="1258"/>
    </row>
    <row r="38" spans="8:57" x14ac:dyDescent="0.2">
      <c r="T38" s="1789"/>
      <c r="U38" s="1791"/>
      <c r="V38" s="1327"/>
      <c r="W38" s="1327"/>
      <c r="X38" s="1327"/>
      <c r="Y38" s="1327"/>
      <c r="Z38" s="1327"/>
      <c r="AA38" s="1327"/>
      <c r="AB38" s="1327"/>
      <c r="AC38" s="1327"/>
      <c r="AD38" s="1327"/>
      <c r="AE38" s="1327"/>
      <c r="AF38" s="1327"/>
      <c r="AG38" s="1327"/>
      <c r="AH38" s="1327"/>
      <c r="AI38" s="1327"/>
      <c r="AJ38" s="1327"/>
      <c r="AN38" s="1258"/>
      <c r="AO38" s="1258"/>
      <c r="AP38" s="1258"/>
      <c r="AQ38" s="1258"/>
      <c r="AR38" s="1258"/>
      <c r="AS38" s="1258"/>
      <c r="AT38" s="1258"/>
      <c r="AU38" s="1258"/>
    </row>
    <row r="39" spans="8:57" x14ac:dyDescent="0.2">
      <c r="T39" s="1789"/>
      <c r="U39" s="1791"/>
      <c r="V39" s="1327"/>
      <c r="W39" s="1327"/>
      <c r="X39" s="1327"/>
      <c r="Y39" s="1327"/>
      <c r="Z39" s="1327"/>
      <c r="AA39" s="1327" t="s">
        <v>793</v>
      </c>
      <c r="AB39" s="1449">
        <v>27.37</v>
      </c>
      <c r="AC39" s="1327"/>
      <c r="AD39" s="1327"/>
      <c r="AE39" s="1327"/>
      <c r="AF39" s="1327"/>
      <c r="AG39" s="1327"/>
      <c r="AH39" s="1327" t="s">
        <v>793</v>
      </c>
      <c r="AI39" s="1442">
        <v>35.590000000000003</v>
      </c>
      <c r="AJ39" s="1327"/>
      <c r="AN39" s="1258"/>
      <c r="AO39" s="1258"/>
      <c r="AP39" s="1258"/>
      <c r="AQ39" s="1258"/>
      <c r="AR39" s="1258"/>
      <c r="AS39" s="1258"/>
      <c r="AT39" s="1258"/>
      <c r="AU39" s="1258"/>
    </row>
    <row r="40" spans="8:57" ht="13.5" thickBot="1" x14ac:dyDescent="0.25">
      <c r="T40" s="1792"/>
      <c r="U40" s="1794"/>
      <c r="V40" s="1327"/>
      <c r="W40" s="1327"/>
      <c r="X40" s="1327"/>
      <c r="Y40" s="1327"/>
      <c r="Z40" s="1327"/>
      <c r="AA40" s="1258" t="s">
        <v>602</v>
      </c>
      <c r="AB40" s="1182">
        <f>(AB35-AB39)/AB39</f>
        <v>7.7457069784435423E-2</v>
      </c>
      <c r="AC40" s="1327"/>
      <c r="AD40" s="1327"/>
      <c r="AE40" s="1327"/>
      <c r="AF40" s="1327"/>
      <c r="AG40" s="1327"/>
      <c r="AH40" s="1258" t="s">
        <v>602</v>
      </c>
      <c r="AI40" s="1182">
        <f>(AI35-AI39)/AI39</f>
        <v>8.0640629390278093E-2</v>
      </c>
      <c r="AJ40" s="1327"/>
      <c r="AN40" s="1258"/>
      <c r="AO40" s="1258"/>
      <c r="AP40" s="1258"/>
      <c r="AQ40" s="1258"/>
      <c r="AR40" s="1258"/>
      <c r="AS40" s="1258"/>
      <c r="AT40" s="1258"/>
      <c r="AU40" s="1258"/>
    </row>
    <row r="41" spans="8:57" x14ac:dyDescent="0.2">
      <c r="V41" s="1327"/>
      <c r="W41" s="1327"/>
      <c r="X41" s="1327"/>
      <c r="Y41" s="1327"/>
      <c r="Z41" s="1327"/>
      <c r="AA41" s="1327"/>
      <c r="AB41" s="1327"/>
      <c r="AC41" s="1327"/>
      <c r="AD41" s="1327"/>
      <c r="AE41" s="1327"/>
      <c r="AF41" s="1327"/>
      <c r="AG41" s="1327"/>
      <c r="AH41" s="1327"/>
      <c r="AI41" s="1327"/>
      <c r="AJ41" s="1327"/>
      <c r="AN41" s="1258"/>
      <c r="AO41" s="1258"/>
      <c r="AP41" s="1258"/>
      <c r="AQ41" s="1258"/>
      <c r="AR41" s="1258"/>
      <c r="AS41" s="1258"/>
      <c r="AT41" s="1258"/>
      <c r="AU41" s="1258"/>
    </row>
    <row r="42" spans="8:57" x14ac:dyDescent="0.2">
      <c r="V42" s="1327"/>
      <c r="W42" s="1327"/>
      <c r="X42" s="1327"/>
      <c r="Y42" s="1327"/>
      <c r="Z42" s="1327"/>
      <c r="AA42" s="1327"/>
      <c r="AB42" s="1327"/>
      <c r="AC42" s="1327"/>
      <c r="AD42" s="1327"/>
      <c r="AE42" s="1327"/>
      <c r="AF42" s="1327"/>
      <c r="AG42" s="1327"/>
      <c r="AH42" s="1327"/>
      <c r="AI42" s="1327"/>
      <c r="AJ42" s="1327"/>
      <c r="AN42" s="1258"/>
      <c r="AO42" s="1258"/>
      <c r="AP42" s="1258"/>
      <c r="AQ42" s="1258"/>
      <c r="AR42" s="1258"/>
      <c r="AS42" s="1258"/>
      <c r="AT42" s="1258"/>
      <c r="AU42" s="1258"/>
    </row>
    <row r="43" spans="8:57" x14ac:dyDescent="0.2">
      <c r="AO43" s="1258"/>
      <c r="AP43" s="1258"/>
      <c r="AQ43" s="1258"/>
      <c r="AR43" s="1258"/>
      <c r="AS43" s="1333"/>
      <c r="AT43" s="1333"/>
      <c r="AU43" s="1333"/>
    </row>
    <row r="44" spans="8:57" s="1329" customFormat="1" x14ac:dyDescent="0.2">
      <c r="H44" s="1258"/>
      <c r="I44" s="1258"/>
      <c r="J44" s="1258"/>
      <c r="K44" s="1258"/>
      <c r="L44" s="1258"/>
      <c r="M44" s="1258"/>
      <c r="N44" s="1258"/>
      <c r="O44" s="1258"/>
      <c r="P44" s="1258"/>
      <c r="AT44" s="1450"/>
      <c r="AV44" s="1258"/>
      <c r="AW44" s="1258"/>
      <c r="AX44" s="1258"/>
      <c r="AY44" s="1258"/>
      <c r="AZ44" s="1258"/>
      <c r="BA44" s="1258"/>
      <c r="BB44" s="1258"/>
      <c r="BC44" s="1258"/>
      <c r="BD44" s="1258"/>
      <c r="BE44" s="1258"/>
    </row>
    <row r="45" spans="8:57" s="1329" customFormat="1" x14ac:dyDescent="0.2">
      <c r="H45" s="1258"/>
      <c r="I45" s="1258"/>
      <c r="J45" s="1258"/>
      <c r="K45" s="1258"/>
      <c r="L45" s="1258"/>
      <c r="M45" s="1258"/>
      <c r="N45" s="1258"/>
      <c r="O45" s="1258"/>
      <c r="P45" s="1258"/>
      <c r="AT45" s="1450"/>
      <c r="AV45" s="1258"/>
      <c r="AW45" s="1258"/>
      <c r="AX45" s="1258"/>
      <c r="AY45" s="1258"/>
      <c r="AZ45" s="1258"/>
      <c r="BA45" s="1258"/>
      <c r="BB45" s="1258"/>
      <c r="BC45" s="1258"/>
      <c r="BD45" s="1258"/>
      <c r="BE45" s="1258"/>
    </row>
    <row r="46" spans="8:57" s="1329" customFormat="1" x14ac:dyDescent="0.2">
      <c r="H46" s="1258"/>
      <c r="I46" s="1258"/>
      <c r="J46" s="1258"/>
      <c r="K46" s="1258"/>
      <c r="L46" s="1258"/>
      <c r="M46" s="1258"/>
      <c r="N46" s="1258"/>
      <c r="O46" s="1258"/>
      <c r="P46" s="1258"/>
      <c r="AT46" s="1450"/>
      <c r="AV46" s="1258"/>
      <c r="AW46" s="1258"/>
      <c r="AX46" s="1258"/>
      <c r="AY46" s="1258"/>
      <c r="AZ46" s="1258"/>
      <c r="BA46" s="1258"/>
      <c r="BB46" s="1258"/>
      <c r="BC46" s="1258"/>
      <c r="BD46" s="1258"/>
      <c r="BE46" s="1258"/>
    </row>
    <row r="47" spans="8:57" s="1329" customFormat="1" x14ac:dyDescent="0.2">
      <c r="H47" s="1258"/>
      <c r="I47" s="1258"/>
      <c r="J47" s="1258"/>
      <c r="K47" s="1258"/>
      <c r="L47" s="1258"/>
      <c r="M47" s="1258"/>
      <c r="N47" s="1258"/>
      <c r="O47" s="1258"/>
      <c r="P47" s="1258"/>
      <c r="AT47" s="1450"/>
      <c r="AV47" s="1258"/>
      <c r="AW47" s="1258"/>
      <c r="AX47" s="1258"/>
      <c r="AY47" s="1258"/>
      <c r="AZ47" s="1258"/>
      <c r="BA47" s="1258"/>
      <c r="BB47" s="1258"/>
      <c r="BC47" s="1258"/>
      <c r="BD47" s="1258"/>
      <c r="BE47" s="1258"/>
    </row>
    <row r="154" spans="37:39" ht="13.5" thickBot="1" x14ac:dyDescent="0.25"/>
    <row r="155" spans="37:39" x14ac:dyDescent="0.2">
      <c r="AK155" s="1451"/>
      <c r="AL155" s="1451"/>
      <c r="AM155" s="1451"/>
    </row>
    <row r="156" spans="37:39" x14ac:dyDescent="0.2">
      <c r="AK156" s="1452"/>
      <c r="AL156" s="1453" t="s">
        <v>649</v>
      </c>
      <c r="AM156" s="1454">
        <v>104</v>
      </c>
    </row>
    <row r="157" spans="37:39" x14ac:dyDescent="0.2">
      <c r="AK157" s="1452" t="s">
        <v>794</v>
      </c>
      <c r="AL157" s="1455" t="s">
        <v>645</v>
      </c>
      <c r="AM157" s="1454" t="s">
        <v>334</v>
      </c>
    </row>
    <row r="158" spans="37:39" x14ac:dyDescent="0.2">
      <c r="AK158" s="1456"/>
      <c r="AL158" s="1457">
        <v>46052.497065501666</v>
      </c>
      <c r="AM158" s="1458" t="e">
        <f>(#REF!/#REF!)*(2/5)</f>
        <v>#REF!</v>
      </c>
    </row>
    <row r="159" spans="37:39" x14ac:dyDescent="0.2">
      <c r="AK159" s="1456"/>
      <c r="AL159" s="1457">
        <v>26813.53787707692</v>
      </c>
      <c r="AM159" s="1458" t="e">
        <f>ROUNDUP((#REF!/#REF!),0)*(#REF!/5)</f>
        <v>#REF!</v>
      </c>
    </row>
    <row r="160" spans="37:39" x14ac:dyDescent="0.2">
      <c r="AK160" s="1456"/>
      <c r="AL160" s="1457">
        <v>26813.53787707692</v>
      </c>
      <c r="AM160" s="1458" t="e">
        <f>ROUNDUP((#REF!/#REF!),0)*(#REF!/5)</f>
        <v>#REF!</v>
      </c>
    </row>
    <row r="161" spans="37:40" x14ac:dyDescent="0.2">
      <c r="AK161" s="1456"/>
      <c r="AL161" s="1457">
        <v>26813.53787707692</v>
      </c>
      <c r="AM161" s="1458" t="e">
        <f>ROUNDUP((#REF!/#REF!),0)*(#REF!/5)</f>
        <v>#REF!</v>
      </c>
    </row>
    <row r="162" spans="37:40" x14ac:dyDescent="0.2">
      <c r="AK162" s="1459">
        <f>$F$16</f>
        <v>9.6153846153846159E-2</v>
      </c>
      <c r="AL162" s="1457">
        <v>26813.53787707692</v>
      </c>
      <c r="AM162" s="1458" t="e">
        <f>SUM(AM159:AM161)*AK162</f>
        <v>#REF!</v>
      </c>
    </row>
    <row r="163" spans="37:40" x14ac:dyDescent="0.2">
      <c r="AK163" s="1460"/>
      <c r="AL163" s="1457">
        <v>32423.441303659107</v>
      </c>
      <c r="AM163" s="1458" t="e">
        <f>(#REF!/#REF!)*(2/5)</f>
        <v>#REF!</v>
      </c>
    </row>
    <row r="164" spans="37:40" x14ac:dyDescent="0.2">
      <c r="AK164" s="1461"/>
      <c r="AL164" s="1462"/>
      <c r="AM164" s="1463" t="e">
        <f>SUM(AM158:AM163)</f>
        <v>#REF!</v>
      </c>
    </row>
    <row r="165" spans="37:40" x14ac:dyDescent="0.2">
      <c r="AK165" s="1452"/>
      <c r="AL165" s="1455"/>
      <c r="AM165" s="1464"/>
    </row>
    <row r="166" spans="37:40" x14ac:dyDescent="0.2">
      <c r="AK166" s="1452"/>
      <c r="AL166" s="1455"/>
      <c r="AM166" s="1454" t="s">
        <v>627</v>
      </c>
    </row>
    <row r="167" spans="37:40" x14ac:dyDescent="0.2">
      <c r="AK167" s="1465">
        <v>0.22</v>
      </c>
      <c r="AL167" s="1466"/>
      <c r="AM167" s="1467"/>
    </row>
    <row r="168" spans="37:40" x14ac:dyDescent="0.2">
      <c r="AK168" s="1468"/>
      <c r="AL168" s="1469"/>
      <c r="AM168" s="1470" t="e">
        <f>AN183/AN171</f>
        <v>#REF!</v>
      </c>
    </row>
    <row r="169" spans="37:40" ht="13.5" thickBot="1" x14ac:dyDescent="0.25">
      <c r="AK169" s="1466"/>
      <c r="AL169" s="1457"/>
      <c r="AM169" s="1467"/>
    </row>
    <row r="170" spans="37:40" x14ac:dyDescent="0.2">
      <c r="AK170" s="1466"/>
      <c r="AL170" s="1457"/>
      <c r="AM170" s="1458">
        <v>50.470562508471446</v>
      </c>
      <c r="AN170" s="1471"/>
    </row>
    <row r="171" spans="37:40" x14ac:dyDescent="0.2">
      <c r="AK171" s="1466"/>
      <c r="AL171" s="1457"/>
      <c r="AM171" s="1458">
        <v>11.59</v>
      </c>
      <c r="AN171" s="1472" t="e">
        <f>AM156*#REF!</f>
        <v>#REF!</v>
      </c>
    </row>
    <row r="172" spans="37:40" x14ac:dyDescent="0.2">
      <c r="AK172" s="1466"/>
      <c r="AL172" s="1457"/>
      <c r="AM172" s="1463">
        <f>SUM(AM170:AM171)</f>
        <v>62.060562508471449</v>
      </c>
      <c r="AN172" s="1473" t="s">
        <v>459</v>
      </c>
    </row>
    <row r="173" spans="37:40" x14ac:dyDescent="0.2">
      <c r="AK173" s="1474"/>
      <c r="AL173" s="1462"/>
      <c r="AM173" s="1463"/>
      <c r="AN173" s="1475" t="e">
        <f t="shared" ref="AN173:AN178" si="7">AL158*AM158</f>
        <v>#REF!</v>
      </c>
    </row>
    <row r="174" spans="37:40" x14ac:dyDescent="0.2">
      <c r="AK174" s="1465">
        <v>0.11</v>
      </c>
      <c r="AL174" s="1452"/>
      <c r="AM174" s="1458"/>
      <c r="AN174" s="1475" t="e">
        <f t="shared" si="7"/>
        <v>#REF!</v>
      </c>
    </row>
    <row r="175" spans="37:40" ht="13.5" thickBot="1" x14ac:dyDescent="0.25">
      <c r="AK175" s="1476"/>
      <c r="AL175" s="1477"/>
      <c r="AM175" s="1478"/>
      <c r="AN175" s="1475" t="e">
        <f t="shared" si="7"/>
        <v>#REF!</v>
      </c>
    </row>
    <row r="176" spans="37:40" ht="13.5" thickTop="1" x14ac:dyDescent="0.2">
      <c r="AK176" s="1452"/>
      <c r="AL176" s="1455"/>
      <c r="AM176" s="1464"/>
      <c r="AN176" s="1475" t="e">
        <f t="shared" si="7"/>
        <v>#REF!</v>
      </c>
    </row>
    <row r="177" spans="37:40" x14ac:dyDescent="0.2">
      <c r="AK177" s="1452"/>
      <c r="AL177" s="1455"/>
      <c r="AM177" s="1464"/>
      <c r="AN177" s="1475" t="e">
        <f t="shared" si="7"/>
        <v>#REF!</v>
      </c>
    </row>
    <row r="178" spans="37:40" x14ac:dyDescent="0.2">
      <c r="AK178" s="1479"/>
      <c r="AL178" s="1479"/>
      <c r="AM178" s="1479"/>
      <c r="AN178" s="1475" t="e">
        <f t="shared" si="7"/>
        <v>#REF!</v>
      </c>
    </row>
    <row r="179" spans="37:40" ht="13.5" thickBot="1" x14ac:dyDescent="0.25">
      <c r="AK179" s="1465" t="e">
        <f>#REF!</f>
        <v>#REF!</v>
      </c>
      <c r="AL179" s="1466"/>
      <c r="AM179" s="1479"/>
      <c r="AN179" s="1480" t="e">
        <f>SUM(AN173:AN178)</f>
        <v>#REF!</v>
      </c>
    </row>
    <row r="180" spans="37:40" ht="13.5" thickBot="1" x14ac:dyDescent="0.25">
      <c r="AK180" s="1481">
        <v>0.85</v>
      </c>
      <c r="AL180" s="1482"/>
      <c r="AM180" s="1483"/>
      <c r="AN180" s="1473"/>
    </row>
    <row r="181" spans="37:40" ht="13.5" thickBot="1" x14ac:dyDescent="0.25">
      <c r="AK181" s="1484">
        <v>0.95</v>
      </c>
      <c r="AL181" s="1482"/>
      <c r="AM181" s="1483"/>
      <c r="AN181" s="1473"/>
    </row>
    <row r="182" spans="37:40" x14ac:dyDescent="0.2">
      <c r="AN182" s="1475" t="e">
        <f>AK167*AN179</f>
        <v>#REF!</v>
      </c>
    </row>
    <row r="183" spans="37:40" x14ac:dyDescent="0.2">
      <c r="AN183" s="1480" t="e">
        <f>AN179+AN182</f>
        <v>#REF!</v>
      </c>
    </row>
    <row r="184" spans="37:40" x14ac:dyDescent="0.2">
      <c r="AN184" s="1475"/>
    </row>
    <row r="185" spans="37:40" x14ac:dyDescent="0.2">
      <c r="AN185" s="1475" t="e">
        <f>AM170*AN171</f>
        <v>#REF!</v>
      </c>
    </row>
    <row r="186" spans="37:40" x14ac:dyDescent="0.2">
      <c r="AN186" s="1485" t="e">
        <f>AM171*AN171</f>
        <v>#REF!</v>
      </c>
    </row>
    <row r="187" spans="37:40" x14ac:dyDescent="0.2">
      <c r="AN187" s="1473" t="e">
        <f>SUM(AN185:AN186)</f>
        <v>#REF!</v>
      </c>
    </row>
    <row r="188" spans="37:40" x14ac:dyDescent="0.2">
      <c r="AN188" s="1480" t="e">
        <f>AN183+AN187</f>
        <v>#REF!</v>
      </c>
    </row>
    <row r="189" spans="37:40" x14ac:dyDescent="0.2">
      <c r="AN189" s="1475" t="e">
        <f>AK174*AN188</f>
        <v>#REF!</v>
      </c>
    </row>
    <row r="190" spans="37:40" ht="13.5" thickBot="1" x14ac:dyDescent="0.25">
      <c r="AN190" s="1486" t="e">
        <f>AN188+AN189</f>
        <v>#REF!</v>
      </c>
    </row>
    <row r="191" spans="37:40" ht="13.5" thickTop="1" x14ac:dyDescent="0.2">
      <c r="AN191" s="1473"/>
    </row>
    <row r="192" spans="37:40" x14ac:dyDescent="0.2">
      <c r="AN192" s="1473"/>
    </row>
    <row r="193" spans="40:40" x14ac:dyDescent="0.2">
      <c r="AN193" s="1487" t="e">
        <f>AN190/AN171</f>
        <v>#REF!</v>
      </c>
    </row>
    <row r="194" spans="40:40" ht="13.5" thickBot="1" x14ac:dyDescent="0.25">
      <c r="AN194" s="1487" t="e">
        <f>AN193*(1+AK179)</f>
        <v>#REF!</v>
      </c>
    </row>
    <row r="195" spans="40:40" ht="13.5" thickBot="1" x14ac:dyDescent="0.25">
      <c r="AN195" s="1488" t="e">
        <f>AN194/AK180</f>
        <v>#REF!</v>
      </c>
    </row>
    <row r="196" spans="40:40" ht="13.5" thickBot="1" x14ac:dyDescent="0.25">
      <c r="AN196" s="1489" t="e">
        <f>AN194/AK181</f>
        <v>#REF!</v>
      </c>
    </row>
  </sheetData>
  <mergeCells count="7">
    <mergeCell ref="W4:AB4"/>
    <mergeCell ref="AD4:AI4"/>
    <mergeCell ref="C10:D10"/>
    <mergeCell ref="E10:F10"/>
    <mergeCell ref="T36:U40"/>
    <mergeCell ref="I4:N4"/>
    <mergeCell ref="P4:U4"/>
  </mergeCells>
  <pageMargins left="0.17" right="0.17" top="0.4" bottom="0.49" header="0.34" footer="0.5"/>
  <pageSetup scale="41" orientation="landscape" r:id="rId1"/>
  <headerFooter alignWithMargins="0">
    <oddHeader>&amp;F</oddHeader>
    <oddFooter>&amp;LDRAFT&amp;RPage 7</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7A2EA-3633-40C9-A570-1FD304B74397}">
  <sheetPr>
    <pageSetUpPr fitToPage="1"/>
  </sheetPr>
  <dimension ref="B1:P32"/>
  <sheetViews>
    <sheetView zoomScaleNormal="100" workbookViewId="0">
      <selection activeCell="J37" sqref="J37"/>
    </sheetView>
  </sheetViews>
  <sheetFormatPr defaultRowHeight="12.75" x14ac:dyDescent="0.2"/>
  <cols>
    <col min="1" max="1" width="4.140625" style="115" customWidth="1"/>
    <col min="2" max="2" width="5.140625" style="778" customWidth="1"/>
    <col min="3" max="3" width="32.5703125" style="115" customWidth="1"/>
    <col min="4" max="4" width="8.5703125" style="115" customWidth="1"/>
    <col min="5" max="5" width="10.7109375" style="115" bestFit="1" customWidth="1"/>
    <col min="6" max="6" width="10.140625" style="115" customWidth="1"/>
    <col min="7" max="7" width="5.7109375" style="115" customWidth="1"/>
    <col min="8" max="8" width="32.5703125" style="115" customWidth="1"/>
    <col min="9" max="9" width="9.140625" style="115" customWidth="1"/>
    <col min="10" max="11" width="9.140625" style="115"/>
    <col min="12" max="12" width="5.7109375" style="115" customWidth="1"/>
    <col min="13" max="13" width="32.7109375" style="115" customWidth="1"/>
    <col min="14" max="14" width="9.140625" style="115" customWidth="1"/>
    <col min="15" max="245" width="9.140625" style="115"/>
    <col min="246" max="246" width="36.140625" style="115" customWidth="1"/>
    <col min="247" max="247" width="28.140625" style="115" bestFit="1" customWidth="1"/>
    <col min="248" max="248" width="10.7109375" style="115" bestFit="1" customWidth="1"/>
    <col min="249" max="249" width="8.7109375" style="115" bestFit="1" customWidth="1"/>
    <col min="250" max="250" width="10.140625" style="115" bestFit="1" customWidth="1"/>
    <col min="251" max="251" width="19.5703125" style="115" customWidth="1"/>
    <col min="252" max="252" width="9.140625" style="115"/>
    <col min="253" max="253" width="22.85546875" style="115" bestFit="1" customWidth="1"/>
    <col min="254" max="254" width="28.140625" style="115" bestFit="1" customWidth="1"/>
    <col min="255" max="255" width="10.7109375" style="115" bestFit="1" customWidth="1"/>
    <col min="256" max="256" width="7" style="115" bestFit="1" customWidth="1"/>
    <col min="257" max="257" width="9.140625" style="115"/>
    <col min="258" max="258" width="15.5703125" style="115" bestFit="1" customWidth="1"/>
    <col min="259" max="259" width="9.140625" style="115"/>
    <col min="260" max="260" width="22.85546875" style="115" bestFit="1" customWidth="1"/>
    <col min="261" max="261" width="28.140625" style="115" bestFit="1" customWidth="1"/>
    <col min="262" max="262" width="10.7109375" style="115" bestFit="1" customWidth="1"/>
    <col min="263" max="263" width="7" style="115" bestFit="1" customWidth="1"/>
    <col min="264" max="501" width="9.140625" style="115"/>
    <col min="502" max="502" width="36.140625" style="115" customWidth="1"/>
    <col min="503" max="503" width="28.140625" style="115" bestFit="1" customWidth="1"/>
    <col min="504" max="504" width="10.7109375" style="115" bestFit="1" customWidth="1"/>
    <col min="505" max="505" width="8.7109375" style="115" bestFit="1" customWidth="1"/>
    <col min="506" max="506" width="10.140625" style="115" bestFit="1" customWidth="1"/>
    <col min="507" max="507" width="19.5703125" style="115" customWidth="1"/>
    <col min="508" max="508" width="9.140625" style="115"/>
    <col min="509" max="509" width="22.85546875" style="115" bestFit="1" customWidth="1"/>
    <col min="510" max="510" width="28.140625" style="115" bestFit="1" customWidth="1"/>
    <col min="511" max="511" width="10.7109375" style="115" bestFit="1" customWidth="1"/>
    <col min="512" max="512" width="7" style="115" bestFit="1" customWidth="1"/>
    <col min="513" max="513" width="9.140625" style="115"/>
    <col min="514" max="514" width="15.5703125" style="115" bestFit="1" customWidth="1"/>
    <col min="515" max="515" width="9.140625" style="115"/>
    <col min="516" max="516" width="22.85546875" style="115" bestFit="1" customWidth="1"/>
    <col min="517" max="517" width="28.140625" style="115" bestFit="1" customWidth="1"/>
    <col min="518" max="518" width="10.7109375" style="115" bestFit="1" customWidth="1"/>
    <col min="519" max="519" width="7" style="115" bestFit="1" customWidth="1"/>
    <col min="520" max="757" width="9.140625" style="115"/>
    <col min="758" max="758" width="36.140625" style="115" customWidth="1"/>
    <col min="759" max="759" width="28.140625" style="115" bestFit="1" customWidth="1"/>
    <col min="760" max="760" width="10.7109375" style="115" bestFit="1" customWidth="1"/>
    <col min="761" max="761" width="8.7109375" style="115" bestFit="1" customWidth="1"/>
    <col min="762" max="762" width="10.140625" style="115" bestFit="1" customWidth="1"/>
    <col min="763" max="763" width="19.5703125" style="115" customWidth="1"/>
    <col min="764" max="764" width="9.140625" style="115"/>
    <col min="765" max="765" width="22.85546875" style="115" bestFit="1" customWidth="1"/>
    <col min="766" max="766" width="28.140625" style="115" bestFit="1" customWidth="1"/>
    <col min="767" max="767" width="10.7109375" style="115" bestFit="1" customWidth="1"/>
    <col min="768" max="768" width="7" style="115" bestFit="1" customWidth="1"/>
    <col min="769" max="769" width="9.140625" style="115"/>
    <col min="770" max="770" width="15.5703125" style="115" bestFit="1" customWidth="1"/>
    <col min="771" max="771" width="9.140625" style="115"/>
    <col min="772" max="772" width="22.85546875" style="115" bestFit="1" customWidth="1"/>
    <col min="773" max="773" width="28.140625" style="115" bestFit="1" customWidth="1"/>
    <col min="774" max="774" width="10.7109375" style="115" bestFit="1" customWidth="1"/>
    <col min="775" max="775" width="7" style="115" bestFit="1" customWidth="1"/>
    <col min="776" max="1013" width="9.140625" style="115"/>
    <col min="1014" max="1014" width="36.140625" style="115" customWidth="1"/>
    <col min="1015" max="1015" width="28.140625" style="115" bestFit="1" customWidth="1"/>
    <col min="1016" max="1016" width="10.7109375" style="115" bestFit="1" customWidth="1"/>
    <col min="1017" max="1017" width="8.7109375" style="115" bestFit="1" customWidth="1"/>
    <col min="1018" max="1018" width="10.140625" style="115" bestFit="1" customWidth="1"/>
    <col min="1019" max="1019" width="19.5703125" style="115" customWidth="1"/>
    <col min="1020" max="1020" width="9.140625" style="115"/>
    <col min="1021" max="1021" width="22.85546875" style="115" bestFit="1" customWidth="1"/>
    <col min="1022" max="1022" width="28.140625" style="115" bestFit="1" customWidth="1"/>
    <col min="1023" max="1023" width="10.7109375" style="115" bestFit="1" customWidth="1"/>
    <col min="1024" max="1024" width="7" style="115" bestFit="1" customWidth="1"/>
    <col min="1025" max="1025" width="9.140625" style="115"/>
    <col min="1026" max="1026" width="15.5703125" style="115" bestFit="1" customWidth="1"/>
    <col min="1027" max="1027" width="9.140625" style="115"/>
    <col min="1028" max="1028" width="22.85546875" style="115" bestFit="1" customWidth="1"/>
    <col min="1029" max="1029" width="28.140625" style="115" bestFit="1" customWidth="1"/>
    <col min="1030" max="1030" width="10.7109375" style="115" bestFit="1" customWidth="1"/>
    <col min="1031" max="1031" width="7" style="115" bestFit="1" customWidth="1"/>
    <col min="1032" max="1269" width="9.140625" style="115"/>
    <col min="1270" max="1270" width="36.140625" style="115" customWidth="1"/>
    <col min="1271" max="1271" width="28.140625" style="115" bestFit="1" customWidth="1"/>
    <col min="1272" max="1272" width="10.7109375" style="115" bestFit="1" customWidth="1"/>
    <col min="1273" max="1273" width="8.7109375" style="115" bestFit="1" customWidth="1"/>
    <col min="1274" max="1274" width="10.140625" style="115" bestFit="1" customWidth="1"/>
    <col min="1275" max="1275" width="19.5703125" style="115" customWidth="1"/>
    <col min="1276" max="1276" width="9.140625" style="115"/>
    <col min="1277" max="1277" width="22.85546875" style="115" bestFit="1" customWidth="1"/>
    <col min="1278" max="1278" width="28.140625" style="115" bestFit="1" customWidth="1"/>
    <col min="1279" max="1279" width="10.7109375" style="115" bestFit="1" customWidth="1"/>
    <col min="1280" max="1280" width="7" style="115" bestFit="1" customWidth="1"/>
    <col min="1281" max="1281" width="9.140625" style="115"/>
    <col min="1282" max="1282" width="15.5703125" style="115" bestFit="1" customWidth="1"/>
    <col min="1283" max="1283" width="9.140625" style="115"/>
    <col min="1284" max="1284" width="22.85546875" style="115" bestFit="1" customWidth="1"/>
    <col min="1285" max="1285" width="28.140625" style="115" bestFit="1" customWidth="1"/>
    <col min="1286" max="1286" width="10.7109375" style="115" bestFit="1" customWidth="1"/>
    <col min="1287" max="1287" width="7" style="115" bestFit="1" customWidth="1"/>
    <col min="1288" max="1525" width="9.140625" style="115"/>
    <col min="1526" max="1526" width="36.140625" style="115" customWidth="1"/>
    <col min="1527" max="1527" width="28.140625" style="115" bestFit="1" customWidth="1"/>
    <col min="1528" max="1528" width="10.7109375" style="115" bestFit="1" customWidth="1"/>
    <col min="1529" max="1529" width="8.7109375" style="115" bestFit="1" customWidth="1"/>
    <col min="1530" max="1530" width="10.140625" style="115" bestFit="1" customWidth="1"/>
    <col min="1531" max="1531" width="19.5703125" style="115" customWidth="1"/>
    <col min="1532" max="1532" width="9.140625" style="115"/>
    <col min="1533" max="1533" width="22.85546875" style="115" bestFit="1" customWidth="1"/>
    <col min="1534" max="1534" width="28.140625" style="115" bestFit="1" customWidth="1"/>
    <col min="1535" max="1535" width="10.7109375" style="115" bestFit="1" customWidth="1"/>
    <col min="1536" max="1536" width="7" style="115" bestFit="1" customWidth="1"/>
    <col min="1537" max="1537" width="9.140625" style="115"/>
    <col min="1538" max="1538" width="15.5703125" style="115" bestFit="1" customWidth="1"/>
    <col min="1539" max="1539" width="9.140625" style="115"/>
    <col min="1540" max="1540" width="22.85546875" style="115" bestFit="1" customWidth="1"/>
    <col min="1541" max="1541" width="28.140625" style="115" bestFit="1" customWidth="1"/>
    <col min="1542" max="1542" width="10.7109375" style="115" bestFit="1" customWidth="1"/>
    <col min="1543" max="1543" width="7" style="115" bestFit="1" customWidth="1"/>
    <col min="1544" max="1781" width="9.140625" style="115"/>
    <col min="1782" max="1782" width="36.140625" style="115" customWidth="1"/>
    <col min="1783" max="1783" width="28.140625" style="115" bestFit="1" customWidth="1"/>
    <col min="1784" max="1784" width="10.7109375" style="115" bestFit="1" customWidth="1"/>
    <col min="1785" max="1785" width="8.7109375" style="115" bestFit="1" customWidth="1"/>
    <col min="1786" max="1786" width="10.140625" style="115" bestFit="1" customWidth="1"/>
    <col min="1787" max="1787" width="19.5703125" style="115" customWidth="1"/>
    <col min="1788" max="1788" width="9.140625" style="115"/>
    <col min="1789" max="1789" width="22.85546875" style="115" bestFit="1" customWidth="1"/>
    <col min="1790" max="1790" width="28.140625" style="115" bestFit="1" customWidth="1"/>
    <col min="1791" max="1791" width="10.7109375" style="115" bestFit="1" customWidth="1"/>
    <col min="1792" max="1792" width="7" style="115" bestFit="1" customWidth="1"/>
    <col min="1793" max="1793" width="9.140625" style="115"/>
    <col min="1794" max="1794" width="15.5703125" style="115" bestFit="1" customWidth="1"/>
    <col min="1795" max="1795" width="9.140625" style="115"/>
    <col min="1796" max="1796" width="22.85546875" style="115" bestFit="1" customWidth="1"/>
    <col min="1797" max="1797" width="28.140625" style="115" bestFit="1" customWidth="1"/>
    <col min="1798" max="1798" width="10.7109375" style="115" bestFit="1" customWidth="1"/>
    <col min="1799" max="1799" width="7" style="115" bestFit="1" customWidth="1"/>
    <col min="1800" max="2037" width="9.140625" style="115"/>
    <col min="2038" max="2038" width="36.140625" style="115" customWidth="1"/>
    <col min="2039" max="2039" width="28.140625" style="115" bestFit="1" customWidth="1"/>
    <col min="2040" max="2040" width="10.7109375" style="115" bestFit="1" customWidth="1"/>
    <col min="2041" max="2041" width="8.7109375" style="115" bestFit="1" customWidth="1"/>
    <col min="2042" max="2042" width="10.140625" style="115" bestFit="1" customWidth="1"/>
    <col min="2043" max="2043" width="19.5703125" style="115" customWidth="1"/>
    <col min="2044" max="2044" width="9.140625" style="115"/>
    <col min="2045" max="2045" width="22.85546875" style="115" bestFit="1" customWidth="1"/>
    <col min="2046" max="2046" width="28.140625" style="115" bestFit="1" customWidth="1"/>
    <col min="2047" max="2047" width="10.7109375" style="115" bestFit="1" customWidth="1"/>
    <col min="2048" max="2048" width="7" style="115" bestFit="1" customWidth="1"/>
    <col min="2049" max="2049" width="9.140625" style="115"/>
    <col min="2050" max="2050" width="15.5703125" style="115" bestFit="1" customWidth="1"/>
    <col min="2051" max="2051" width="9.140625" style="115"/>
    <col min="2052" max="2052" width="22.85546875" style="115" bestFit="1" customWidth="1"/>
    <col min="2053" max="2053" width="28.140625" style="115" bestFit="1" customWidth="1"/>
    <col min="2054" max="2054" width="10.7109375" style="115" bestFit="1" customWidth="1"/>
    <col min="2055" max="2055" width="7" style="115" bestFit="1" customWidth="1"/>
    <col min="2056" max="2293" width="9.140625" style="115"/>
    <col min="2294" max="2294" width="36.140625" style="115" customWidth="1"/>
    <col min="2295" max="2295" width="28.140625" style="115" bestFit="1" customWidth="1"/>
    <col min="2296" max="2296" width="10.7109375" style="115" bestFit="1" customWidth="1"/>
    <col min="2297" max="2297" width="8.7109375" style="115" bestFit="1" customWidth="1"/>
    <col min="2298" max="2298" width="10.140625" style="115" bestFit="1" customWidth="1"/>
    <col min="2299" max="2299" width="19.5703125" style="115" customWidth="1"/>
    <col min="2300" max="2300" width="9.140625" style="115"/>
    <col min="2301" max="2301" width="22.85546875" style="115" bestFit="1" customWidth="1"/>
    <col min="2302" max="2302" width="28.140625" style="115" bestFit="1" customWidth="1"/>
    <col min="2303" max="2303" width="10.7109375" style="115" bestFit="1" customWidth="1"/>
    <col min="2304" max="2304" width="7" style="115" bestFit="1" customWidth="1"/>
    <col min="2305" max="2305" width="9.140625" style="115"/>
    <col min="2306" max="2306" width="15.5703125" style="115" bestFit="1" customWidth="1"/>
    <col min="2307" max="2307" width="9.140625" style="115"/>
    <col min="2308" max="2308" width="22.85546875" style="115" bestFit="1" customWidth="1"/>
    <col min="2309" max="2309" width="28.140625" style="115" bestFit="1" customWidth="1"/>
    <col min="2310" max="2310" width="10.7109375" style="115" bestFit="1" customWidth="1"/>
    <col min="2311" max="2311" width="7" style="115" bestFit="1" customWidth="1"/>
    <col min="2312" max="2549" width="9.140625" style="115"/>
    <col min="2550" max="2550" width="36.140625" style="115" customWidth="1"/>
    <col min="2551" max="2551" width="28.140625" style="115" bestFit="1" customWidth="1"/>
    <col min="2552" max="2552" width="10.7109375" style="115" bestFit="1" customWidth="1"/>
    <col min="2553" max="2553" width="8.7109375" style="115" bestFit="1" customWidth="1"/>
    <col min="2554" max="2554" width="10.140625" style="115" bestFit="1" customWidth="1"/>
    <col min="2555" max="2555" width="19.5703125" style="115" customWidth="1"/>
    <col min="2556" max="2556" width="9.140625" style="115"/>
    <col min="2557" max="2557" width="22.85546875" style="115" bestFit="1" customWidth="1"/>
    <col min="2558" max="2558" width="28.140625" style="115" bestFit="1" customWidth="1"/>
    <col min="2559" max="2559" width="10.7109375" style="115" bestFit="1" customWidth="1"/>
    <col min="2560" max="2560" width="7" style="115" bestFit="1" customWidth="1"/>
    <col min="2561" max="2561" width="9.140625" style="115"/>
    <col min="2562" max="2562" width="15.5703125" style="115" bestFit="1" customWidth="1"/>
    <col min="2563" max="2563" width="9.140625" style="115"/>
    <col min="2564" max="2564" width="22.85546875" style="115" bestFit="1" customWidth="1"/>
    <col min="2565" max="2565" width="28.140625" style="115" bestFit="1" customWidth="1"/>
    <col min="2566" max="2566" width="10.7109375" style="115" bestFit="1" customWidth="1"/>
    <col min="2567" max="2567" width="7" style="115" bestFit="1" customWidth="1"/>
    <col min="2568" max="2805" width="9.140625" style="115"/>
    <col min="2806" max="2806" width="36.140625" style="115" customWidth="1"/>
    <col min="2807" max="2807" width="28.140625" style="115" bestFit="1" customWidth="1"/>
    <col min="2808" max="2808" width="10.7109375" style="115" bestFit="1" customWidth="1"/>
    <col min="2809" max="2809" width="8.7109375" style="115" bestFit="1" customWidth="1"/>
    <col min="2810" max="2810" width="10.140625" style="115" bestFit="1" customWidth="1"/>
    <col min="2811" max="2811" width="19.5703125" style="115" customWidth="1"/>
    <col min="2812" max="2812" width="9.140625" style="115"/>
    <col min="2813" max="2813" width="22.85546875" style="115" bestFit="1" customWidth="1"/>
    <col min="2814" max="2814" width="28.140625" style="115" bestFit="1" customWidth="1"/>
    <col min="2815" max="2815" width="10.7109375" style="115" bestFit="1" customWidth="1"/>
    <col min="2816" max="2816" width="7" style="115" bestFit="1" customWidth="1"/>
    <col min="2817" max="2817" width="9.140625" style="115"/>
    <col min="2818" max="2818" width="15.5703125" style="115" bestFit="1" customWidth="1"/>
    <col min="2819" max="2819" width="9.140625" style="115"/>
    <col min="2820" max="2820" width="22.85546875" style="115" bestFit="1" customWidth="1"/>
    <col min="2821" max="2821" width="28.140625" style="115" bestFit="1" customWidth="1"/>
    <col min="2822" max="2822" width="10.7109375" style="115" bestFit="1" customWidth="1"/>
    <col min="2823" max="2823" width="7" style="115" bestFit="1" customWidth="1"/>
    <col min="2824" max="3061" width="9.140625" style="115"/>
    <col min="3062" max="3062" width="36.140625" style="115" customWidth="1"/>
    <col min="3063" max="3063" width="28.140625" style="115" bestFit="1" customWidth="1"/>
    <col min="3064" max="3064" width="10.7109375" style="115" bestFit="1" customWidth="1"/>
    <col min="3065" max="3065" width="8.7109375" style="115" bestFit="1" customWidth="1"/>
    <col min="3066" max="3066" width="10.140625" style="115" bestFit="1" customWidth="1"/>
    <col min="3067" max="3067" width="19.5703125" style="115" customWidth="1"/>
    <col min="3068" max="3068" width="9.140625" style="115"/>
    <col min="3069" max="3069" width="22.85546875" style="115" bestFit="1" customWidth="1"/>
    <col min="3070" max="3070" width="28.140625" style="115" bestFit="1" customWidth="1"/>
    <col min="3071" max="3071" width="10.7109375" style="115" bestFit="1" customWidth="1"/>
    <col min="3072" max="3072" width="7" style="115" bestFit="1" customWidth="1"/>
    <col min="3073" max="3073" width="9.140625" style="115"/>
    <col min="3074" max="3074" width="15.5703125" style="115" bestFit="1" customWidth="1"/>
    <col min="3075" max="3075" width="9.140625" style="115"/>
    <col min="3076" max="3076" width="22.85546875" style="115" bestFit="1" customWidth="1"/>
    <col min="3077" max="3077" width="28.140625" style="115" bestFit="1" customWidth="1"/>
    <col min="3078" max="3078" width="10.7109375" style="115" bestFit="1" customWidth="1"/>
    <col min="3079" max="3079" width="7" style="115" bestFit="1" customWidth="1"/>
    <col min="3080" max="3317" width="9.140625" style="115"/>
    <col min="3318" max="3318" width="36.140625" style="115" customWidth="1"/>
    <col min="3319" max="3319" width="28.140625" style="115" bestFit="1" customWidth="1"/>
    <col min="3320" max="3320" width="10.7109375" style="115" bestFit="1" customWidth="1"/>
    <col min="3321" max="3321" width="8.7109375" style="115" bestFit="1" customWidth="1"/>
    <col min="3322" max="3322" width="10.140625" style="115" bestFit="1" customWidth="1"/>
    <col min="3323" max="3323" width="19.5703125" style="115" customWidth="1"/>
    <col min="3324" max="3324" width="9.140625" style="115"/>
    <col min="3325" max="3325" width="22.85546875" style="115" bestFit="1" customWidth="1"/>
    <col min="3326" max="3326" width="28.140625" style="115" bestFit="1" customWidth="1"/>
    <col min="3327" max="3327" width="10.7109375" style="115" bestFit="1" customWidth="1"/>
    <col min="3328" max="3328" width="7" style="115" bestFit="1" customWidth="1"/>
    <col min="3329" max="3329" width="9.140625" style="115"/>
    <col min="3330" max="3330" width="15.5703125" style="115" bestFit="1" customWidth="1"/>
    <col min="3331" max="3331" width="9.140625" style="115"/>
    <col min="3332" max="3332" width="22.85546875" style="115" bestFit="1" customWidth="1"/>
    <col min="3333" max="3333" width="28.140625" style="115" bestFit="1" customWidth="1"/>
    <col min="3334" max="3334" width="10.7109375" style="115" bestFit="1" customWidth="1"/>
    <col min="3335" max="3335" width="7" style="115" bestFit="1" customWidth="1"/>
    <col min="3336" max="3573" width="9.140625" style="115"/>
    <col min="3574" max="3574" width="36.140625" style="115" customWidth="1"/>
    <col min="3575" max="3575" width="28.140625" style="115" bestFit="1" customWidth="1"/>
    <col min="3576" max="3576" width="10.7109375" style="115" bestFit="1" customWidth="1"/>
    <col min="3577" max="3577" width="8.7109375" style="115" bestFit="1" customWidth="1"/>
    <col min="3578" max="3578" width="10.140625" style="115" bestFit="1" customWidth="1"/>
    <col min="3579" max="3579" width="19.5703125" style="115" customWidth="1"/>
    <col min="3580" max="3580" width="9.140625" style="115"/>
    <col min="3581" max="3581" width="22.85546875" style="115" bestFit="1" customWidth="1"/>
    <col min="3582" max="3582" width="28.140625" style="115" bestFit="1" customWidth="1"/>
    <col min="3583" max="3583" width="10.7109375" style="115" bestFit="1" customWidth="1"/>
    <col min="3584" max="3584" width="7" style="115" bestFit="1" customWidth="1"/>
    <col min="3585" max="3585" width="9.140625" style="115"/>
    <col min="3586" max="3586" width="15.5703125" style="115" bestFit="1" customWidth="1"/>
    <col min="3587" max="3587" width="9.140625" style="115"/>
    <col min="3588" max="3588" width="22.85546875" style="115" bestFit="1" customWidth="1"/>
    <col min="3589" max="3589" width="28.140625" style="115" bestFit="1" customWidth="1"/>
    <col min="3590" max="3590" width="10.7109375" style="115" bestFit="1" customWidth="1"/>
    <col min="3591" max="3591" width="7" style="115" bestFit="1" customWidth="1"/>
    <col min="3592" max="3829" width="9.140625" style="115"/>
    <col min="3830" max="3830" width="36.140625" style="115" customWidth="1"/>
    <col min="3831" max="3831" width="28.140625" style="115" bestFit="1" customWidth="1"/>
    <col min="3832" max="3832" width="10.7109375" style="115" bestFit="1" customWidth="1"/>
    <col min="3833" max="3833" width="8.7109375" style="115" bestFit="1" customWidth="1"/>
    <col min="3834" max="3834" width="10.140625" style="115" bestFit="1" customWidth="1"/>
    <col min="3835" max="3835" width="19.5703125" style="115" customWidth="1"/>
    <col min="3836" max="3836" width="9.140625" style="115"/>
    <col min="3837" max="3837" width="22.85546875" style="115" bestFit="1" customWidth="1"/>
    <col min="3838" max="3838" width="28.140625" style="115" bestFit="1" customWidth="1"/>
    <col min="3839" max="3839" width="10.7109375" style="115" bestFit="1" customWidth="1"/>
    <col min="3840" max="3840" width="7" style="115" bestFit="1" customWidth="1"/>
    <col min="3841" max="3841" width="9.140625" style="115"/>
    <col min="3842" max="3842" width="15.5703125" style="115" bestFit="1" customWidth="1"/>
    <col min="3843" max="3843" width="9.140625" style="115"/>
    <col min="3844" max="3844" width="22.85546875" style="115" bestFit="1" customWidth="1"/>
    <col min="3845" max="3845" width="28.140625" style="115" bestFit="1" customWidth="1"/>
    <col min="3846" max="3846" width="10.7109375" style="115" bestFit="1" customWidth="1"/>
    <col min="3847" max="3847" width="7" style="115" bestFit="1" customWidth="1"/>
    <col min="3848" max="4085" width="9.140625" style="115"/>
    <col min="4086" max="4086" width="36.140625" style="115" customWidth="1"/>
    <col min="4087" max="4087" width="28.140625" style="115" bestFit="1" customWidth="1"/>
    <col min="4088" max="4088" width="10.7109375" style="115" bestFit="1" customWidth="1"/>
    <col min="4089" max="4089" width="8.7109375" style="115" bestFit="1" customWidth="1"/>
    <col min="4090" max="4090" width="10.140625" style="115" bestFit="1" customWidth="1"/>
    <col min="4091" max="4091" width="19.5703125" style="115" customWidth="1"/>
    <col min="4092" max="4092" width="9.140625" style="115"/>
    <col min="4093" max="4093" width="22.85546875" style="115" bestFit="1" customWidth="1"/>
    <col min="4094" max="4094" width="28.140625" style="115" bestFit="1" customWidth="1"/>
    <col min="4095" max="4095" width="10.7109375" style="115" bestFit="1" customWidth="1"/>
    <col min="4096" max="4096" width="7" style="115" bestFit="1" customWidth="1"/>
    <col min="4097" max="4097" width="9.140625" style="115"/>
    <col min="4098" max="4098" width="15.5703125" style="115" bestFit="1" customWidth="1"/>
    <col min="4099" max="4099" width="9.140625" style="115"/>
    <col min="4100" max="4100" width="22.85546875" style="115" bestFit="1" customWidth="1"/>
    <col min="4101" max="4101" width="28.140625" style="115" bestFit="1" customWidth="1"/>
    <col min="4102" max="4102" width="10.7109375" style="115" bestFit="1" customWidth="1"/>
    <col min="4103" max="4103" width="7" style="115" bestFit="1" customWidth="1"/>
    <col min="4104" max="4341" width="9.140625" style="115"/>
    <col min="4342" max="4342" width="36.140625" style="115" customWidth="1"/>
    <col min="4343" max="4343" width="28.140625" style="115" bestFit="1" customWidth="1"/>
    <col min="4344" max="4344" width="10.7109375" style="115" bestFit="1" customWidth="1"/>
    <col min="4345" max="4345" width="8.7109375" style="115" bestFit="1" customWidth="1"/>
    <col min="4346" max="4346" width="10.140625" style="115" bestFit="1" customWidth="1"/>
    <col min="4347" max="4347" width="19.5703125" style="115" customWidth="1"/>
    <col min="4348" max="4348" width="9.140625" style="115"/>
    <col min="4349" max="4349" width="22.85546875" style="115" bestFit="1" customWidth="1"/>
    <col min="4350" max="4350" width="28.140625" style="115" bestFit="1" customWidth="1"/>
    <col min="4351" max="4351" width="10.7109375" style="115" bestFit="1" customWidth="1"/>
    <col min="4352" max="4352" width="7" style="115" bestFit="1" customWidth="1"/>
    <col min="4353" max="4353" width="9.140625" style="115"/>
    <col min="4354" max="4354" width="15.5703125" style="115" bestFit="1" customWidth="1"/>
    <col min="4355" max="4355" width="9.140625" style="115"/>
    <col min="4356" max="4356" width="22.85546875" style="115" bestFit="1" customWidth="1"/>
    <col min="4357" max="4357" width="28.140625" style="115" bestFit="1" customWidth="1"/>
    <col min="4358" max="4358" width="10.7109375" style="115" bestFit="1" customWidth="1"/>
    <col min="4359" max="4359" width="7" style="115" bestFit="1" customWidth="1"/>
    <col min="4360" max="4597" width="9.140625" style="115"/>
    <col min="4598" max="4598" width="36.140625" style="115" customWidth="1"/>
    <col min="4599" max="4599" width="28.140625" style="115" bestFit="1" customWidth="1"/>
    <col min="4600" max="4600" width="10.7109375" style="115" bestFit="1" customWidth="1"/>
    <col min="4601" max="4601" width="8.7109375" style="115" bestFit="1" customWidth="1"/>
    <col min="4602" max="4602" width="10.140625" style="115" bestFit="1" customWidth="1"/>
    <col min="4603" max="4603" width="19.5703125" style="115" customWidth="1"/>
    <col min="4604" max="4604" width="9.140625" style="115"/>
    <col min="4605" max="4605" width="22.85546875" style="115" bestFit="1" customWidth="1"/>
    <col min="4606" max="4606" width="28.140625" style="115" bestFit="1" customWidth="1"/>
    <col min="4607" max="4607" width="10.7109375" style="115" bestFit="1" customWidth="1"/>
    <col min="4608" max="4608" width="7" style="115" bestFit="1" customWidth="1"/>
    <col min="4609" max="4609" width="9.140625" style="115"/>
    <col min="4610" max="4610" width="15.5703125" style="115" bestFit="1" customWidth="1"/>
    <col min="4611" max="4611" width="9.140625" style="115"/>
    <col min="4612" max="4612" width="22.85546875" style="115" bestFit="1" customWidth="1"/>
    <col min="4613" max="4613" width="28.140625" style="115" bestFit="1" customWidth="1"/>
    <col min="4614" max="4614" width="10.7109375" style="115" bestFit="1" customWidth="1"/>
    <col min="4615" max="4615" width="7" style="115" bestFit="1" customWidth="1"/>
    <col min="4616" max="4853" width="9.140625" style="115"/>
    <col min="4854" max="4854" width="36.140625" style="115" customWidth="1"/>
    <col min="4855" max="4855" width="28.140625" style="115" bestFit="1" customWidth="1"/>
    <col min="4856" max="4856" width="10.7109375" style="115" bestFit="1" customWidth="1"/>
    <col min="4857" max="4857" width="8.7109375" style="115" bestFit="1" customWidth="1"/>
    <col min="4858" max="4858" width="10.140625" style="115" bestFit="1" customWidth="1"/>
    <col min="4859" max="4859" width="19.5703125" style="115" customWidth="1"/>
    <col min="4860" max="4860" width="9.140625" style="115"/>
    <col min="4861" max="4861" width="22.85546875" style="115" bestFit="1" customWidth="1"/>
    <col min="4862" max="4862" width="28.140625" style="115" bestFit="1" customWidth="1"/>
    <col min="4863" max="4863" width="10.7109375" style="115" bestFit="1" customWidth="1"/>
    <col min="4864" max="4864" width="7" style="115" bestFit="1" customWidth="1"/>
    <col min="4865" max="4865" width="9.140625" style="115"/>
    <col min="4866" max="4866" width="15.5703125" style="115" bestFit="1" customWidth="1"/>
    <col min="4867" max="4867" width="9.140625" style="115"/>
    <col min="4868" max="4868" width="22.85546875" style="115" bestFit="1" customWidth="1"/>
    <col min="4869" max="4869" width="28.140625" style="115" bestFit="1" customWidth="1"/>
    <col min="4870" max="4870" width="10.7109375" style="115" bestFit="1" customWidth="1"/>
    <col min="4871" max="4871" width="7" style="115" bestFit="1" customWidth="1"/>
    <col min="4872" max="5109" width="9.140625" style="115"/>
    <col min="5110" max="5110" width="36.140625" style="115" customWidth="1"/>
    <col min="5111" max="5111" width="28.140625" style="115" bestFit="1" customWidth="1"/>
    <col min="5112" max="5112" width="10.7109375" style="115" bestFit="1" customWidth="1"/>
    <col min="5113" max="5113" width="8.7109375" style="115" bestFit="1" customWidth="1"/>
    <col min="5114" max="5114" width="10.140625" style="115" bestFit="1" customWidth="1"/>
    <col min="5115" max="5115" width="19.5703125" style="115" customWidth="1"/>
    <col min="5116" max="5116" width="9.140625" style="115"/>
    <col min="5117" max="5117" width="22.85546875" style="115" bestFit="1" customWidth="1"/>
    <col min="5118" max="5118" width="28.140625" style="115" bestFit="1" customWidth="1"/>
    <col min="5119" max="5119" width="10.7109375" style="115" bestFit="1" customWidth="1"/>
    <col min="5120" max="5120" width="7" style="115" bestFit="1" customWidth="1"/>
    <col min="5121" max="5121" width="9.140625" style="115"/>
    <col min="5122" max="5122" width="15.5703125" style="115" bestFit="1" customWidth="1"/>
    <col min="5123" max="5123" width="9.140625" style="115"/>
    <col min="5124" max="5124" width="22.85546875" style="115" bestFit="1" customWidth="1"/>
    <col min="5125" max="5125" width="28.140625" style="115" bestFit="1" customWidth="1"/>
    <col min="5126" max="5126" width="10.7109375" style="115" bestFit="1" customWidth="1"/>
    <col min="5127" max="5127" width="7" style="115" bestFit="1" customWidth="1"/>
    <col min="5128" max="5365" width="9.140625" style="115"/>
    <col min="5366" max="5366" width="36.140625" style="115" customWidth="1"/>
    <col min="5367" max="5367" width="28.140625" style="115" bestFit="1" customWidth="1"/>
    <col min="5368" max="5368" width="10.7109375" style="115" bestFit="1" customWidth="1"/>
    <col min="5369" max="5369" width="8.7109375" style="115" bestFit="1" customWidth="1"/>
    <col min="5370" max="5370" width="10.140625" style="115" bestFit="1" customWidth="1"/>
    <col min="5371" max="5371" width="19.5703125" style="115" customWidth="1"/>
    <col min="5372" max="5372" width="9.140625" style="115"/>
    <col min="5373" max="5373" width="22.85546875" style="115" bestFit="1" customWidth="1"/>
    <col min="5374" max="5374" width="28.140625" style="115" bestFit="1" customWidth="1"/>
    <col min="5375" max="5375" width="10.7109375" style="115" bestFit="1" customWidth="1"/>
    <col min="5376" max="5376" width="7" style="115" bestFit="1" customWidth="1"/>
    <col min="5377" max="5377" width="9.140625" style="115"/>
    <col min="5378" max="5378" width="15.5703125" style="115" bestFit="1" customWidth="1"/>
    <col min="5379" max="5379" width="9.140625" style="115"/>
    <col min="5380" max="5380" width="22.85546875" style="115" bestFit="1" customWidth="1"/>
    <col min="5381" max="5381" width="28.140625" style="115" bestFit="1" customWidth="1"/>
    <col min="5382" max="5382" width="10.7109375" style="115" bestFit="1" customWidth="1"/>
    <col min="5383" max="5383" width="7" style="115" bestFit="1" customWidth="1"/>
    <col min="5384" max="5621" width="9.140625" style="115"/>
    <col min="5622" max="5622" width="36.140625" style="115" customWidth="1"/>
    <col min="5623" max="5623" width="28.140625" style="115" bestFit="1" customWidth="1"/>
    <col min="5624" max="5624" width="10.7109375" style="115" bestFit="1" customWidth="1"/>
    <col min="5625" max="5625" width="8.7109375" style="115" bestFit="1" customWidth="1"/>
    <col min="5626" max="5626" width="10.140625" style="115" bestFit="1" customWidth="1"/>
    <col min="5627" max="5627" width="19.5703125" style="115" customWidth="1"/>
    <col min="5628" max="5628" width="9.140625" style="115"/>
    <col min="5629" max="5629" width="22.85546875" style="115" bestFit="1" customWidth="1"/>
    <col min="5630" max="5630" width="28.140625" style="115" bestFit="1" customWidth="1"/>
    <col min="5631" max="5631" width="10.7109375" style="115" bestFit="1" customWidth="1"/>
    <col min="5632" max="5632" width="7" style="115" bestFit="1" customWidth="1"/>
    <col min="5633" max="5633" width="9.140625" style="115"/>
    <col min="5634" max="5634" width="15.5703125" style="115" bestFit="1" customWidth="1"/>
    <col min="5635" max="5635" width="9.140625" style="115"/>
    <col min="5636" max="5636" width="22.85546875" style="115" bestFit="1" customWidth="1"/>
    <col min="5637" max="5637" width="28.140625" style="115" bestFit="1" customWidth="1"/>
    <col min="5638" max="5638" width="10.7109375" style="115" bestFit="1" customWidth="1"/>
    <col min="5639" max="5639" width="7" style="115" bestFit="1" customWidth="1"/>
    <col min="5640" max="5877" width="9.140625" style="115"/>
    <col min="5878" max="5878" width="36.140625" style="115" customWidth="1"/>
    <col min="5879" max="5879" width="28.140625" style="115" bestFit="1" customWidth="1"/>
    <col min="5880" max="5880" width="10.7109375" style="115" bestFit="1" customWidth="1"/>
    <col min="5881" max="5881" width="8.7109375" style="115" bestFit="1" customWidth="1"/>
    <col min="5882" max="5882" width="10.140625" style="115" bestFit="1" customWidth="1"/>
    <col min="5883" max="5883" width="19.5703125" style="115" customWidth="1"/>
    <col min="5884" max="5884" width="9.140625" style="115"/>
    <col min="5885" max="5885" width="22.85546875" style="115" bestFit="1" customWidth="1"/>
    <col min="5886" max="5886" width="28.140625" style="115" bestFit="1" customWidth="1"/>
    <col min="5887" max="5887" width="10.7109375" style="115" bestFit="1" customWidth="1"/>
    <col min="5888" max="5888" width="7" style="115" bestFit="1" customWidth="1"/>
    <col min="5889" max="5889" width="9.140625" style="115"/>
    <col min="5890" max="5890" width="15.5703125" style="115" bestFit="1" customWidth="1"/>
    <col min="5891" max="5891" width="9.140625" style="115"/>
    <col min="5892" max="5892" width="22.85546875" style="115" bestFit="1" customWidth="1"/>
    <col min="5893" max="5893" width="28.140625" style="115" bestFit="1" customWidth="1"/>
    <col min="5894" max="5894" width="10.7109375" style="115" bestFit="1" customWidth="1"/>
    <col min="5895" max="5895" width="7" style="115" bestFit="1" customWidth="1"/>
    <col min="5896" max="6133" width="9.140625" style="115"/>
    <col min="6134" max="6134" width="36.140625" style="115" customWidth="1"/>
    <col min="6135" max="6135" width="28.140625" style="115" bestFit="1" customWidth="1"/>
    <col min="6136" max="6136" width="10.7109375" style="115" bestFit="1" customWidth="1"/>
    <col min="6137" max="6137" width="8.7109375" style="115" bestFit="1" customWidth="1"/>
    <col min="6138" max="6138" width="10.140625" style="115" bestFit="1" customWidth="1"/>
    <col min="6139" max="6139" width="19.5703125" style="115" customWidth="1"/>
    <col min="6140" max="6140" width="9.140625" style="115"/>
    <col min="6141" max="6141" width="22.85546875" style="115" bestFit="1" customWidth="1"/>
    <col min="6142" max="6142" width="28.140625" style="115" bestFit="1" customWidth="1"/>
    <col min="6143" max="6143" width="10.7109375" style="115" bestFit="1" customWidth="1"/>
    <col min="6144" max="6144" width="7" style="115" bestFit="1" customWidth="1"/>
    <col min="6145" max="6145" width="9.140625" style="115"/>
    <col min="6146" max="6146" width="15.5703125" style="115" bestFit="1" customWidth="1"/>
    <col min="6147" max="6147" width="9.140625" style="115"/>
    <col min="6148" max="6148" width="22.85546875" style="115" bestFit="1" customWidth="1"/>
    <col min="6149" max="6149" width="28.140625" style="115" bestFit="1" customWidth="1"/>
    <col min="6150" max="6150" width="10.7109375" style="115" bestFit="1" customWidth="1"/>
    <col min="6151" max="6151" width="7" style="115" bestFit="1" customWidth="1"/>
    <col min="6152" max="6389" width="9.140625" style="115"/>
    <col min="6390" max="6390" width="36.140625" style="115" customWidth="1"/>
    <col min="6391" max="6391" width="28.140625" style="115" bestFit="1" customWidth="1"/>
    <col min="6392" max="6392" width="10.7109375" style="115" bestFit="1" customWidth="1"/>
    <col min="6393" max="6393" width="8.7109375" style="115" bestFit="1" customWidth="1"/>
    <col min="6394" max="6394" width="10.140625" style="115" bestFit="1" customWidth="1"/>
    <col min="6395" max="6395" width="19.5703125" style="115" customWidth="1"/>
    <col min="6396" max="6396" width="9.140625" style="115"/>
    <col min="6397" max="6397" width="22.85546875" style="115" bestFit="1" customWidth="1"/>
    <col min="6398" max="6398" width="28.140625" style="115" bestFit="1" customWidth="1"/>
    <col min="6399" max="6399" width="10.7109375" style="115" bestFit="1" customWidth="1"/>
    <col min="6400" max="6400" width="7" style="115" bestFit="1" customWidth="1"/>
    <col min="6401" max="6401" width="9.140625" style="115"/>
    <col min="6402" max="6402" width="15.5703125" style="115" bestFit="1" customWidth="1"/>
    <col min="6403" max="6403" width="9.140625" style="115"/>
    <col min="6404" max="6404" width="22.85546875" style="115" bestFit="1" customWidth="1"/>
    <col min="6405" max="6405" width="28.140625" style="115" bestFit="1" customWidth="1"/>
    <col min="6406" max="6406" width="10.7109375" style="115" bestFit="1" customWidth="1"/>
    <col min="6407" max="6407" width="7" style="115" bestFit="1" customWidth="1"/>
    <col min="6408" max="6645" width="9.140625" style="115"/>
    <col min="6646" max="6646" width="36.140625" style="115" customWidth="1"/>
    <col min="6647" max="6647" width="28.140625" style="115" bestFit="1" customWidth="1"/>
    <col min="6648" max="6648" width="10.7109375" style="115" bestFit="1" customWidth="1"/>
    <col min="6649" max="6649" width="8.7109375" style="115" bestFit="1" customWidth="1"/>
    <col min="6650" max="6650" width="10.140625" style="115" bestFit="1" customWidth="1"/>
    <col min="6651" max="6651" width="19.5703125" style="115" customWidth="1"/>
    <col min="6652" max="6652" width="9.140625" style="115"/>
    <col min="6653" max="6653" width="22.85546875" style="115" bestFit="1" customWidth="1"/>
    <col min="6654" max="6654" width="28.140625" style="115" bestFit="1" customWidth="1"/>
    <col min="6655" max="6655" width="10.7109375" style="115" bestFit="1" customWidth="1"/>
    <col min="6656" max="6656" width="7" style="115" bestFit="1" customWidth="1"/>
    <col min="6657" max="6657" width="9.140625" style="115"/>
    <col min="6658" max="6658" width="15.5703125" style="115" bestFit="1" customWidth="1"/>
    <col min="6659" max="6659" width="9.140625" style="115"/>
    <col min="6660" max="6660" width="22.85546875" style="115" bestFit="1" customWidth="1"/>
    <col min="6661" max="6661" width="28.140625" style="115" bestFit="1" customWidth="1"/>
    <col min="6662" max="6662" width="10.7109375" style="115" bestFit="1" customWidth="1"/>
    <col min="6663" max="6663" width="7" style="115" bestFit="1" customWidth="1"/>
    <col min="6664" max="6901" width="9.140625" style="115"/>
    <col min="6902" max="6902" width="36.140625" style="115" customWidth="1"/>
    <col min="6903" max="6903" width="28.140625" style="115" bestFit="1" customWidth="1"/>
    <col min="6904" max="6904" width="10.7109375" style="115" bestFit="1" customWidth="1"/>
    <col min="6905" max="6905" width="8.7109375" style="115" bestFit="1" customWidth="1"/>
    <col min="6906" max="6906" width="10.140625" style="115" bestFit="1" customWidth="1"/>
    <col min="6907" max="6907" width="19.5703125" style="115" customWidth="1"/>
    <col min="6908" max="6908" width="9.140625" style="115"/>
    <col min="6909" max="6909" width="22.85546875" style="115" bestFit="1" customWidth="1"/>
    <col min="6910" max="6910" width="28.140625" style="115" bestFit="1" customWidth="1"/>
    <col min="6911" max="6911" width="10.7109375" style="115" bestFit="1" customWidth="1"/>
    <col min="6912" max="6912" width="7" style="115" bestFit="1" customWidth="1"/>
    <col min="6913" max="6913" width="9.140625" style="115"/>
    <col min="6914" max="6914" width="15.5703125" style="115" bestFit="1" customWidth="1"/>
    <col min="6915" max="6915" width="9.140625" style="115"/>
    <col min="6916" max="6916" width="22.85546875" style="115" bestFit="1" customWidth="1"/>
    <col min="6917" max="6917" width="28.140625" style="115" bestFit="1" customWidth="1"/>
    <col min="6918" max="6918" width="10.7109375" style="115" bestFit="1" customWidth="1"/>
    <col min="6919" max="6919" width="7" style="115" bestFit="1" customWidth="1"/>
    <col min="6920" max="7157" width="9.140625" style="115"/>
    <col min="7158" max="7158" width="36.140625" style="115" customWidth="1"/>
    <col min="7159" max="7159" width="28.140625" style="115" bestFit="1" customWidth="1"/>
    <col min="7160" max="7160" width="10.7109375" style="115" bestFit="1" customWidth="1"/>
    <col min="7161" max="7161" width="8.7109375" style="115" bestFit="1" customWidth="1"/>
    <col min="7162" max="7162" width="10.140625" style="115" bestFit="1" customWidth="1"/>
    <col min="7163" max="7163" width="19.5703125" style="115" customWidth="1"/>
    <col min="7164" max="7164" width="9.140625" style="115"/>
    <col min="7165" max="7165" width="22.85546875" style="115" bestFit="1" customWidth="1"/>
    <col min="7166" max="7166" width="28.140625" style="115" bestFit="1" customWidth="1"/>
    <col min="7167" max="7167" width="10.7109375" style="115" bestFit="1" customWidth="1"/>
    <col min="7168" max="7168" width="7" style="115" bestFit="1" customWidth="1"/>
    <col min="7169" max="7169" width="9.140625" style="115"/>
    <col min="7170" max="7170" width="15.5703125" style="115" bestFit="1" customWidth="1"/>
    <col min="7171" max="7171" width="9.140625" style="115"/>
    <col min="7172" max="7172" width="22.85546875" style="115" bestFit="1" customWidth="1"/>
    <col min="7173" max="7173" width="28.140625" style="115" bestFit="1" customWidth="1"/>
    <col min="7174" max="7174" width="10.7109375" style="115" bestFit="1" customWidth="1"/>
    <col min="7175" max="7175" width="7" style="115" bestFit="1" customWidth="1"/>
    <col min="7176" max="7413" width="9.140625" style="115"/>
    <col min="7414" max="7414" width="36.140625" style="115" customWidth="1"/>
    <col min="7415" max="7415" width="28.140625" style="115" bestFit="1" customWidth="1"/>
    <col min="7416" max="7416" width="10.7109375" style="115" bestFit="1" customWidth="1"/>
    <col min="7417" max="7417" width="8.7109375" style="115" bestFit="1" customWidth="1"/>
    <col min="7418" max="7418" width="10.140625" style="115" bestFit="1" customWidth="1"/>
    <col min="7419" max="7419" width="19.5703125" style="115" customWidth="1"/>
    <col min="7420" max="7420" width="9.140625" style="115"/>
    <col min="7421" max="7421" width="22.85546875" style="115" bestFit="1" customWidth="1"/>
    <col min="7422" max="7422" width="28.140625" style="115" bestFit="1" customWidth="1"/>
    <col min="7423" max="7423" width="10.7109375" style="115" bestFit="1" customWidth="1"/>
    <col min="7424" max="7424" width="7" style="115" bestFit="1" customWidth="1"/>
    <col min="7425" max="7425" width="9.140625" style="115"/>
    <col min="7426" max="7426" width="15.5703125" style="115" bestFit="1" customWidth="1"/>
    <col min="7427" max="7427" width="9.140625" style="115"/>
    <col min="7428" max="7428" width="22.85546875" style="115" bestFit="1" customWidth="1"/>
    <col min="7429" max="7429" width="28.140625" style="115" bestFit="1" customWidth="1"/>
    <col min="7430" max="7430" width="10.7109375" style="115" bestFit="1" customWidth="1"/>
    <col min="7431" max="7431" width="7" style="115" bestFit="1" customWidth="1"/>
    <col min="7432" max="7669" width="9.140625" style="115"/>
    <col min="7670" max="7670" width="36.140625" style="115" customWidth="1"/>
    <col min="7671" max="7671" width="28.140625" style="115" bestFit="1" customWidth="1"/>
    <col min="7672" max="7672" width="10.7109375" style="115" bestFit="1" customWidth="1"/>
    <col min="7673" max="7673" width="8.7109375" style="115" bestFit="1" customWidth="1"/>
    <col min="7674" max="7674" width="10.140625" style="115" bestFit="1" customWidth="1"/>
    <col min="7675" max="7675" width="19.5703125" style="115" customWidth="1"/>
    <col min="7676" max="7676" width="9.140625" style="115"/>
    <col min="7677" max="7677" width="22.85546875" style="115" bestFit="1" customWidth="1"/>
    <col min="7678" max="7678" width="28.140625" style="115" bestFit="1" customWidth="1"/>
    <col min="7679" max="7679" width="10.7109375" style="115" bestFit="1" customWidth="1"/>
    <col min="7680" max="7680" width="7" style="115" bestFit="1" customWidth="1"/>
    <col min="7681" max="7681" width="9.140625" style="115"/>
    <col min="7682" max="7682" width="15.5703125" style="115" bestFit="1" customWidth="1"/>
    <col min="7683" max="7683" width="9.140625" style="115"/>
    <col min="7684" max="7684" width="22.85546875" style="115" bestFit="1" customWidth="1"/>
    <col min="7685" max="7685" width="28.140625" style="115" bestFit="1" customWidth="1"/>
    <col min="7686" max="7686" width="10.7109375" style="115" bestFit="1" customWidth="1"/>
    <col min="7687" max="7687" width="7" style="115" bestFit="1" customWidth="1"/>
    <col min="7688" max="7925" width="9.140625" style="115"/>
    <col min="7926" max="7926" width="36.140625" style="115" customWidth="1"/>
    <col min="7927" max="7927" width="28.140625" style="115" bestFit="1" customWidth="1"/>
    <col min="7928" max="7928" width="10.7109375" style="115" bestFit="1" customWidth="1"/>
    <col min="7929" max="7929" width="8.7109375" style="115" bestFit="1" customWidth="1"/>
    <col min="7930" max="7930" width="10.140625" style="115" bestFit="1" customWidth="1"/>
    <col min="7931" max="7931" width="19.5703125" style="115" customWidth="1"/>
    <col min="7932" max="7932" width="9.140625" style="115"/>
    <col min="7933" max="7933" width="22.85546875" style="115" bestFit="1" customWidth="1"/>
    <col min="7934" max="7934" width="28.140625" style="115" bestFit="1" customWidth="1"/>
    <col min="7935" max="7935" width="10.7109375" style="115" bestFit="1" customWidth="1"/>
    <col min="7936" max="7936" width="7" style="115" bestFit="1" customWidth="1"/>
    <col min="7937" max="7937" width="9.140625" style="115"/>
    <col min="7938" max="7938" width="15.5703125" style="115" bestFit="1" customWidth="1"/>
    <col min="7939" max="7939" width="9.140625" style="115"/>
    <col min="7940" max="7940" width="22.85546875" style="115" bestFit="1" customWidth="1"/>
    <col min="7941" max="7941" width="28.140625" style="115" bestFit="1" customWidth="1"/>
    <col min="7942" max="7942" width="10.7109375" style="115" bestFit="1" customWidth="1"/>
    <col min="7943" max="7943" width="7" style="115" bestFit="1" customWidth="1"/>
    <col min="7944" max="8181" width="9.140625" style="115"/>
    <col min="8182" max="8182" width="36.140625" style="115" customWidth="1"/>
    <col min="8183" max="8183" width="28.140625" style="115" bestFit="1" customWidth="1"/>
    <col min="8184" max="8184" width="10.7109375" style="115" bestFit="1" customWidth="1"/>
    <col min="8185" max="8185" width="8.7109375" style="115" bestFit="1" customWidth="1"/>
    <col min="8186" max="8186" width="10.140625" style="115" bestFit="1" customWidth="1"/>
    <col min="8187" max="8187" width="19.5703125" style="115" customWidth="1"/>
    <col min="8188" max="8188" width="9.140625" style="115"/>
    <col min="8189" max="8189" width="22.85546875" style="115" bestFit="1" customWidth="1"/>
    <col min="8190" max="8190" width="28.140625" style="115" bestFit="1" customWidth="1"/>
    <col min="8191" max="8191" width="10.7109375" style="115" bestFit="1" customWidth="1"/>
    <col min="8192" max="8192" width="7" style="115" bestFit="1" customWidth="1"/>
    <col min="8193" max="8193" width="9.140625" style="115"/>
    <col min="8194" max="8194" width="15.5703125" style="115" bestFit="1" customWidth="1"/>
    <col min="8195" max="8195" width="9.140625" style="115"/>
    <col min="8196" max="8196" width="22.85546875" style="115" bestFit="1" customWidth="1"/>
    <col min="8197" max="8197" width="28.140625" style="115" bestFit="1" customWidth="1"/>
    <col min="8198" max="8198" width="10.7109375" style="115" bestFit="1" customWidth="1"/>
    <col min="8199" max="8199" width="7" style="115" bestFit="1" customWidth="1"/>
    <col min="8200" max="8437" width="9.140625" style="115"/>
    <col min="8438" max="8438" width="36.140625" style="115" customWidth="1"/>
    <col min="8439" max="8439" width="28.140625" style="115" bestFit="1" customWidth="1"/>
    <col min="8440" max="8440" width="10.7109375" style="115" bestFit="1" customWidth="1"/>
    <col min="8441" max="8441" width="8.7109375" style="115" bestFit="1" customWidth="1"/>
    <col min="8442" max="8442" width="10.140625" style="115" bestFit="1" customWidth="1"/>
    <col min="8443" max="8443" width="19.5703125" style="115" customWidth="1"/>
    <col min="8444" max="8444" width="9.140625" style="115"/>
    <col min="8445" max="8445" width="22.85546875" style="115" bestFit="1" customWidth="1"/>
    <col min="8446" max="8446" width="28.140625" style="115" bestFit="1" customWidth="1"/>
    <col min="8447" max="8447" width="10.7109375" style="115" bestFit="1" customWidth="1"/>
    <col min="8448" max="8448" width="7" style="115" bestFit="1" customWidth="1"/>
    <col min="8449" max="8449" width="9.140625" style="115"/>
    <col min="8450" max="8450" width="15.5703125" style="115" bestFit="1" customWidth="1"/>
    <col min="8451" max="8451" width="9.140625" style="115"/>
    <col min="8452" max="8452" width="22.85546875" style="115" bestFit="1" customWidth="1"/>
    <col min="8453" max="8453" width="28.140625" style="115" bestFit="1" customWidth="1"/>
    <col min="8454" max="8454" width="10.7109375" style="115" bestFit="1" customWidth="1"/>
    <col min="8455" max="8455" width="7" style="115" bestFit="1" customWidth="1"/>
    <col min="8456" max="8693" width="9.140625" style="115"/>
    <col min="8694" max="8694" width="36.140625" style="115" customWidth="1"/>
    <col min="8695" max="8695" width="28.140625" style="115" bestFit="1" customWidth="1"/>
    <col min="8696" max="8696" width="10.7109375" style="115" bestFit="1" customWidth="1"/>
    <col min="8697" max="8697" width="8.7109375" style="115" bestFit="1" customWidth="1"/>
    <col min="8698" max="8698" width="10.140625" style="115" bestFit="1" customWidth="1"/>
    <col min="8699" max="8699" width="19.5703125" style="115" customWidth="1"/>
    <col min="8700" max="8700" width="9.140625" style="115"/>
    <col min="8701" max="8701" width="22.85546875" style="115" bestFit="1" customWidth="1"/>
    <col min="8702" max="8702" width="28.140625" style="115" bestFit="1" customWidth="1"/>
    <col min="8703" max="8703" width="10.7109375" style="115" bestFit="1" customWidth="1"/>
    <col min="8704" max="8704" width="7" style="115" bestFit="1" customWidth="1"/>
    <col min="8705" max="8705" width="9.140625" style="115"/>
    <col min="8706" max="8706" width="15.5703125" style="115" bestFit="1" customWidth="1"/>
    <col min="8707" max="8707" width="9.140625" style="115"/>
    <col min="8708" max="8708" width="22.85546875" style="115" bestFit="1" customWidth="1"/>
    <col min="8709" max="8709" width="28.140625" style="115" bestFit="1" customWidth="1"/>
    <col min="8710" max="8710" width="10.7109375" style="115" bestFit="1" customWidth="1"/>
    <col min="8711" max="8711" width="7" style="115" bestFit="1" customWidth="1"/>
    <col min="8712" max="8949" width="9.140625" style="115"/>
    <col min="8950" max="8950" width="36.140625" style="115" customWidth="1"/>
    <col min="8951" max="8951" width="28.140625" style="115" bestFit="1" customWidth="1"/>
    <col min="8952" max="8952" width="10.7109375" style="115" bestFit="1" customWidth="1"/>
    <col min="8953" max="8953" width="8.7109375" style="115" bestFit="1" customWidth="1"/>
    <col min="8954" max="8954" width="10.140625" style="115" bestFit="1" customWidth="1"/>
    <col min="8955" max="8955" width="19.5703125" style="115" customWidth="1"/>
    <col min="8956" max="8956" width="9.140625" style="115"/>
    <col min="8957" max="8957" width="22.85546875" style="115" bestFit="1" customWidth="1"/>
    <col min="8958" max="8958" width="28.140625" style="115" bestFit="1" customWidth="1"/>
    <col min="8959" max="8959" width="10.7109375" style="115" bestFit="1" customWidth="1"/>
    <col min="8960" max="8960" width="7" style="115" bestFit="1" customWidth="1"/>
    <col min="8961" max="8961" width="9.140625" style="115"/>
    <col min="8962" max="8962" width="15.5703125" style="115" bestFit="1" customWidth="1"/>
    <col min="8963" max="8963" width="9.140625" style="115"/>
    <col min="8964" max="8964" width="22.85546875" style="115" bestFit="1" customWidth="1"/>
    <col min="8965" max="8965" width="28.140625" style="115" bestFit="1" customWidth="1"/>
    <col min="8966" max="8966" width="10.7109375" style="115" bestFit="1" customWidth="1"/>
    <col min="8967" max="8967" width="7" style="115" bestFit="1" customWidth="1"/>
    <col min="8968" max="9205" width="9.140625" style="115"/>
    <col min="9206" max="9206" width="36.140625" style="115" customWidth="1"/>
    <col min="9207" max="9207" width="28.140625" style="115" bestFit="1" customWidth="1"/>
    <col min="9208" max="9208" width="10.7109375" style="115" bestFit="1" customWidth="1"/>
    <col min="9209" max="9209" width="8.7109375" style="115" bestFit="1" customWidth="1"/>
    <col min="9210" max="9210" width="10.140625" style="115" bestFit="1" customWidth="1"/>
    <col min="9211" max="9211" width="19.5703125" style="115" customWidth="1"/>
    <col min="9212" max="9212" width="9.140625" style="115"/>
    <col min="9213" max="9213" width="22.85546875" style="115" bestFit="1" customWidth="1"/>
    <col min="9214" max="9214" width="28.140625" style="115" bestFit="1" customWidth="1"/>
    <col min="9215" max="9215" width="10.7109375" style="115" bestFit="1" customWidth="1"/>
    <col min="9216" max="9216" width="7" style="115" bestFit="1" customWidth="1"/>
    <col min="9217" max="9217" width="9.140625" style="115"/>
    <col min="9218" max="9218" width="15.5703125" style="115" bestFit="1" customWidth="1"/>
    <col min="9219" max="9219" width="9.140625" style="115"/>
    <col min="9220" max="9220" width="22.85546875" style="115" bestFit="1" customWidth="1"/>
    <col min="9221" max="9221" width="28.140625" style="115" bestFit="1" customWidth="1"/>
    <col min="9222" max="9222" width="10.7109375" style="115" bestFit="1" customWidth="1"/>
    <col min="9223" max="9223" width="7" style="115" bestFit="1" customWidth="1"/>
    <col min="9224" max="9461" width="9.140625" style="115"/>
    <col min="9462" max="9462" width="36.140625" style="115" customWidth="1"/>
    <col min="9463" max="9463" width="28.140625" style="115" bestFit="1" customWidth="1"/>
    <col min="9464" max="9464" width="10.7109375" style="115" bestFit="1" customWidth="1"/>
    <col min="9465" max="9465" width="8.7109375" style="115" bestFit="1" customWidth="1"/>
    <col min="9466" max="9466" width="10.140625" style="115" bestFit="1" customWidth="1"/>
    <col min="9467" max="9467" width="19.5703125" style="115" customWidth="1"/>
    <col min="9468" max="9468" width="9.140625" style="115"/>
    <col min="9469" max="9469" width="22.85546875" style="115" bestFit="1" customWidth="1"/>
    <col min="9470" max="9470" width="28.140625" style="115" bestFit="1" customWidth="1"/>
    <col min="9471" max="9471" width="10.7109375" style="115" bestFit="1" customWidth="1"/>
    <col min="9472" max="9472" width="7" style="115" bestFit="1" customWidth="1"/>
    <col min="9473" max="9473" width="9.140625" style="115"/>
    <col min="9474" max="9474" width="15.5703125" style="115" bestFit="1" customWidth="1"/>
    <col min="9475" max="9475" width="9.140625" style="115"/>
    <col min="9476" max="9476" width="22.85546875" style="115" bestFit="1" customWidth="1"/>
    <col min="9477" max="9477" width="28.140625" style="115" bestFit="1" customWidth="1"/>
    <col min="9478" max="9478" width="10.7109375" style="115" bestFit="1" customWidth="1"/>
    <col min="9479" max="9479" width="7" style="115" bestFit="1" customWidth="1"/>
    <col min="9480" max="9717" width="9.140625" style="115"/>
    <col min="9718" max="9718" width="36.140625" style="115" customWidth="1"/>
    <col min="9719" max="9719" width="28.140625" style="115" bestFit="1" customWidth="1"/>
    <col min="9720" max="9720" width="10.7109375" style="115" bestFit="1" customWidth="1"/>
    <col min="9721" max="9721" width="8.7109375" style="115" bestFit="1" customWidth="1"/>
    <col min="9722" max="9722" width="10.140625" style="115" bestFit="1" customWidth="1"/>
    <col min="9723" max="9723" width="19.5703125" style="115" customWidth="1"/>
    <col min="9724" max="9724" width="9.140625" style="115"/>
    <col min="9725" max="9725" width="22.85546875" style="115" bestFit="1" customWidth="1"/>
    <col min="9726" max="9726" width="28.140625" style="115" bestFit="1" customWidth="1"/>
    <col min="9727" max="9727" width="10.7109375" style="115" bestFit="1" customWidth="1"/>
    <col min="9728" max="9728" width="7" style="115" bestFit="1" customWidth="1"/>
    <col min="9729" max="9729" width="9.140625" style="115"/>
    <col min="9730" max="9730" width="15.5703125" style="115" bestFit="1" customWidth="1"/>
    <col min="9731" max="9731" width="9.140625" style="115"/>
    <col min="9732" max="9732" width="22.85546875" style="115" bestFit="1" customWidth="1"/>
    <col min="9733" max="9733" width="28.140625" style="115" bestFit="1" customWidth="1"/>
    <col min="9734" max="9734" width="10.7109375" style="115" bestFit="1" customWidth="1"/>
    <col min="9735" max="9735" width="7" style="115" bestFit="1" customWidth="1"/>
    <col min="9736" max="9973" width="9.140625" style="115"/>
    <col min="9974" max="9974" width="36.140625" style="115" customWidth="1"/>
    <col min="9975" max="9975" width="28.140625" style="115" bestFit="1" customWidth="1"/>
    <col min="9976" max="9976" width="10.7109375" style="115" bestFit="1" customWidth="1"/>
    <col min="9977" max="9977" width="8.7109375" style="115" bestFit="1" customWidth="1"/>
    <col min="9978" max="9978" width="10.140625" style="115" bestFit="1" customWidth="1"/>
    <col min="9979" max="9979" width="19.5703125" style="115" customWidth="1"/>
    <col min="9980" max="9980" width="9.140625" style="115"/>
    <col min="9981" max="9981" width="22.85546875" style="115" bestFit="1" customWidth="1"/>
    <col min="9982" max="9982" width="28.140625" style="115" bestFit="1" customWidth="1"/>
    <col min="9983" max="9983" width="10.7109375" style="115" bestFit="1" customWidth="1"/>
    <col min="9984" max="9984" width="7" style="115" bestFit="1" customWidth="1"/>
    <col min="9985" max="9985" width="9.140625" style="115"/>
    <col min="9986" max="9986" width="15.5703125" style="115" bestFit="1" customWidth="1"/>
    <col min="9987" max="9987" width="9.140625" style="115"/>
    <col min="9988" max="9988" width="22.85546875" style="115" bestFit="1" customWidth="1"/>
    <col min="9989" max="9989" width="28.140625" style="115" bestFit="1" customWidth="1"/>
    <col min="9990" max="9990" width="10.7109375" style="115" bestFit="1" customWidth="1"/>
    <col min="9991" max="9991" width="7" style="115" bestFit="1" customWidth="1"/>
    <col min="9992" max="10229" width="9.140625" style="115"/>
    <col min="10230" max="10230" width="36.140625" style="115" customWidth="1"/>
    <col min="10231" max="10231" width="28.140625" style="115" bestFit="1" customWidth="1"/>
    <col min="10232" max="10232" width="10.7109375" style="115" bestFit="1" customWidth="1"/>
    <col min="10233" max="10233" width="8.7109375" style="115" bestFit="1" customWidth="1"/>
    <col min="10234" max="10234" width="10.140625" style="115" bestFit="1" customWidth="1"/>
    <col min="10235" max="10235" width="19.5703125" style="115" customWidth="1"/>
    <col min="10236" max="10236" width="9.140625" style="115"/>
    <col min="10237" max="10237" width="22.85546875" style="115" bestFit="1" customWidth="1"/>
    <col min="10238" max="10238" width="28.140625" style="115" bestFit="1" customWidth="1"/>
    <col min="10239" max="10239" width="10.7109375" style="115" bestFit="1" customWidth="1"/>
    <col min="10240" max="10240" width="7" style="115" bestFit="1" customWidth="1"/>
    <col min="10241" max="10241" width="9.140625" style="115"/>
    <col min="10242" max="10242" width="15.5703125" style="115" bestFit="1" customWidth="1"/>
    <col min="10243" max="10243" width="9.140625" style="115"/>
    <col min="10244" max="10244" width="22.85546875" style="115" bestFit="1" customWidth="1"/>
    <col min="10245" max="10245" width="28.140625" style="115" bestFit="1" customWidth="1"/>
    <col min="10246" max="10246" width="10.7109375" style="115" bestFit="1" customWidth="1"/>
    <col min="10247" max="10247" width="7" style="115" bestFit="1" customWidth="1"/>
    <col min="10248" max="10485" width="9.140625" style="115"/>
    <col min="10486" max="10486" width="36.140625" style="115" customWidth="1"/>
    <col min="10487" max="10487" width="28.140625" style="115" bestFit="1" customWidth="1"/>
    <col min="10488" max="10488" width="10.7109375" style="115" bestFit="1" customWidth="1"/>
    <col min="10489" max="10489" width="8.7109375" style="115" bestFit="1" customWidth="1"/>
    <col min="10490" max="10490" width="10.140625" style="115" bestFit="1" customWidth="1"/>
    <col min="10491" max="10491" width="19.5703125" style="115" customWidth="1"/>
    <col min="10492" max="10492" width="9.140625" style="115"/>
    <col min="10493" max="10493" width="22.85546875" style="115" bestFit="1" customWidth="1"/>
    <col min="10494" max="10494" width="28.140625" style="115" bestFit="1" customWidth="1"/>
    <col min="10495" max="10495" width="10.7109375" style="115" bestFit="1" customWidth="1"/>
    <col min="10496" max="10496" width="7" style="115" bestFit="1" customWidth="1"/>
    <col min="10497" max="10497" width="9.140625" style="115"/>
    <col min="10498" max="10498" width="15.5703125" style="115" bestFit="1" customWidth="1"/>
    <col min="10499" max="10499" width="9.140625" style="115"/>
    <col min="10500" max="10500" width="22.85546875" style="115" bestFit="1" customWidth="1"/>
    <col min="10501" max="10501" width="28.140625" style="115" bestFit="1" customWidth="1"/>
    <col min="10502" max="10502" width="10.7109375" style="115" bestFit="1" customWidth="1"/>
    <col min="10503" max="10503" width="7" style="115" bestFit="1" customWidth="1"/>
    <col min="10504" max="10741" width="9.140625" style="115"/>
    <col min="10742" max="10742" width="36.140625" style="115" customWidth="1"/>
    <col min="10743" max="10743" width="28.140625" style="115" bestFit="1" customWidth="1"/>
    <col min="10744" max="10744" width="10.7109375" style="115" bestFit="1" customWidth="1"/>
    <col min="10745" max="10745" width="8.7109375" style="115" bestFit="1" customWidth="1"/>
    <col min="10746" max="10746" width="10.140625" style="115" bestFit="1" customWidth="1"/>
    <col min="10747" max="10747" width="19.5703125" style="115" customWidth="1"/>
    <col min="10748" max="10748" width="9.140625" style="115"/>
    <col min="10749" max="10749" width="22.85546875" style="115" bestFit="1" customWidth="1"/>
    <col min="10750" max="10750" width="28.140625" style="115" bestFit="1" customWidth="1"/>
    <col min="10751" max="10751" width="10.7109375" style="115" bestFit="1" customWidth="1"/>
    <col min="10752" max="10752" width="7" style="115" bestFit="1" customWidth="1"/>
    <col min="10753" max="10753" width="9.140625" style="115"/>
    <col min="10754" max="10754" width="15.5703125" style="115" bestFit="1" customWidth="1"/>
    <col min="10755" max="10755" width="9.140625" style="115"/>
    <col min="10756" max="10756" width="22.85546875" style="115" bestFit="1" customWidth="1"/>
    <col min="10757" max="10757" width="28.140625" style="115" bestFit="1" customWidth="1"/>
    <col min="10758" max="10758" width="10.7109375" style="115" bestFit="1" customWidth="1"/>
    <col min="10759" max="10759" width="7" style="115" bestFit="1" customWidth="1"/>
    <col min="10760" max="10997" width="9.140625" style="115"/>
    <col min="10998" max="10998" width="36.140625" style="115" customWidth="1"/>
    <col min="10999" max="10999" width="28.140625" style="115" bestFit="1" customWidth="1"/>
    <col min="11000" max="11000" width="10.7109375" style="115" bestFit="1" customWidth="1"/>
    <col min="11001" max="11001" width="8.7109375" style="115" bestFit="1" customWidth="1"/>
    <col min="11002" max="11002" width="10.140625" style="115" bestFit="1" customWidth="1"/>
    <col min="11003" max="11003" width="19.5703125" style="115" customWidth="1"/>
    <col min="11004" max="11004" width="9.140625" style="115"/>
    <col min="11005" max="11005" width="22.85546875" style="115" bestFit="1" customWidth="1"/>
    <col min="11006" max="11006" width="28.140625" style="115" bestFit="1" customWidth="1"/>
    <col min="11007" max="11007" width="10.7109375" style="115" bestFit="1" customWidth="1"/>
    <col min="11008" max="11008" width="7" style="115" bestFit="1" customWidth="1"/>
    <col min="11009" max="11009" width="9.140625" style="115"/>
    <col min="11010" max="11010" width="15.5703125" style="115" bestFit="1" customWidth="1"/>
    <col min="11011" max="11011" width="9.140625" style="115"/>
    <col min="11012" max="11012" width="22.85546875" style="115" bestFit="1" customWidth="1"/>
    <col min="11013" max="11013" width="28.140625" style="115" bestFit="1" customWidth="1"/>
    <col min="11014" max="11014" width="10.7109375" style="115" bestFit="1" customWidth="1"/>
    <col min="11015" max="11015" width="7" style="115" bestFit="1" customWidth="1"/>
    <col min="11016" max="11253" width="9.140625" style="115"/>
    <col min="11254" max="11254" width="36.140625" style="115" customWidth="1"/>
    <col min="11255" max="11255" width="28.140625" style="115" bestFit="1" customWidth="1"/>
    <col min="11256" max="11256" width="10.7109375" style="115" bestFit="1" customWidth="1"/>
    <col min="11257" max="11257" width="8.7109375" style="115" bestFit="1" customWidth="1"/>
    <col min="11258" max="11258" width="10.140625" style="115" bestFit="1" customWidth="1"/>
    <col min="11259" max="11259" width="19.5703125" style="115" customWidth="1"/>
    <col min="11260" max="11260" width="9.140625" style="115"/>
    <col min="11261" max="11261" width="22.85546875" style="115" bestFit="1" customWidth="1"/>
    <col min="11262" max="11262" width="28.140625" style="115" bestFit="1" customWidth="1"/>
    <col min="11263" max="11263" width="10.7109375" style="115" bestFit="1" customWidth="1"/>
    <col min="11264" max="11264" width="7" style="115" bestFit="1" customWidth="1"/>
    <col min="11265" max="11265" width="9.140625" style="115"/>
    <col min="11266" max="11266" width="15.5703125" style="115" bestFit="1" customWidth="1"/>
    <col min="11267" max="11267" width="9.140625" style="115"/>
    <col min="11268" max="11268" width="22.85546875" style="115" bestFit="1" customWidth="1"/>
    <col min="11269" max="11269" width="28.140625" style="115" bestFit="1" customWidth="1"/>
    <col min="11270" max="11270" width="10.7109375" style="115" bestFit="1" customWidth="1"/>
    <col min="11271" max="11271" width="7" style="115" bestFit="1" customWidth="1"/>
    <col min="11272" max="11509" width="9.140625" style="115"/>
    <col min="11510" max="11510" width="36.140625" style="115" customWidth="1"/>
    <col min="11511" max="11511" width="28.140625" style="115" bestFit="1" customWidth="1"/>
    <col min="11512" max="11512" width="10.7109375" style="115" bestFit="1" customWidth="1"/>
    <col min="11513" max="11513" width="8.7109375" style="115" bestFit="1" customWidth="1"/>
    <col min="11514" max="11514" width="10.140625" style="115" bestFit="1" customWidth="1"/>
    <col min="11515" max="11515" width="19.5703125" style="115" customWidth="1"/>
    <col min="11516" max="11516" width="9.140625" style="115"/>
    <col min="11517" max="11517" width="22.85546875" style="115" bestFit="1" customWidth="1"/>
    <col min="11518" max="11518" width="28.140625" style="115" bestFit="1" customWidth="1"/>
    <col min="11519" max="11519" width="10.7109375" style="115" bestFit="1" customWidth="1"/>
    <col min="11520" max="11520" width="7" style="115" bestFit="1" customWidth="1"/>
    <col min="11521" max="11521" width="9.140625" style="115"/>
    <col min="11522" max="11522" width="15.5703125" style="115" bestFit="1" customWidth="1"/>
    <col min="11523" max="11523" width="9.140625" style="115"/>
    <col min="11524" max="11524" width="22.85546875" style="115" bestFit="1" customWidth="1"/>
    <col min="11525" max="11525" width="28.140625" style="115" bestFit="1" customWidth="1"/>
    <col min="11526" max="11526" width="10.7109375" style="115" bestFit="1" customWidth="1"/>
    <col min="11527" max="11527" width="7" style="115" bestFit="1" customWidth="1"/>
    <col min="11528" max="11765" width="9.140625" style="115"/>
    <col min="11766" max="11766" width="36.140625" style="115" customWidth="1"/>
    <col min="11767" max="11767" width="28.140625" style="115" bestFit="1" customWidth="1"/>
    <col min="11768" max="11768" width="10.7109375" style="115" bestFit="1" customWidth="1"/>
    <col min="11769" max="11769" width="8.7109375" style="115" bestFit="1" customWidth="1"/>
    <col min="11770" max="11770" width="10.140625" style="115" bestFit="1" customWidth="1"/>
    <col min="11771" max="11771" width="19.5703125" style="115" customWidth="1"/>
    <col min="11772" max="11772" width="9.140625" style="115"/>
    <col min="11773" max="11773" width="22.85546875" style="115" bestFit="1" customWidth="1"/>
    <col min="11774" max="11774" width="28.140625" style="115" bestFit="1" customWidth="1"/>
    <col min="11775" max="11775" width="10.7109375" style="115" bestFit="1" customWidth="1"/>
    <col min="11776" max="11776" width="7" style="115" bestFit="1" customWidth="1"/>
    <col min="11777" max="11777" width="9.140625" style="115"/>
    <col min="11778" max="11778" width="15.5703125" style="115" bestFit="1" customWidth="1"/>
    <col min="11779" max="11779" width="9.140625" style="115"/>
    <col min="11780" max="11780" width="22.85546875" style="115" bestFit="1" customWidth="1"/>
    <col min="11781" max="11781" width="28.140625" style="115" bestFit="1" customWidth="1"/>
    <col min="11782" max="11782" width="10.7109375" style="115" bestFit="1" customWidth="1"/>
    <col min="11783" max="11783" width="7" style="115" bestFit="1" customWidth="1"/>
    <col min="11784" max="12021" width="9.140625" style="115"/>
    <col min="12022" max="12022" width="36.140625" style="115" customWidth="1"/>
    <col min="12023" max="12023" width="28.140625" style="115" bestFit="1" customWidth="1"/>
    <col min="12024" max="12024" width="10.7109375" style="115" bestFit="1" customWidth="1"/>
    <col min="12025" max="12025" width="8.7109375" style="115" bestFit="1" customWidth="1"/>
    <col min="12026" max="12026" width="10.140625" style="115" bestFit="1" customWidth="1"/>
    <col min="12027" max="12027" width="19.5703125" style="115" customWidth="1"/>
    <col min="12028" max="12028" width="9.140625" style="115"/>
    <col min="12029" max="12029" width="22.85546875" style="115" bestFit="1" customWidth="1"/>
    <col min="12030" max="12030" width="28.140625" style="115" bestFit="1" customWidth="1"/>
    <col min="12031" max="12031" width="10.7109375" style="115" bestFit="1" customWidth="1"/>
    <col min="12032" max="12032" width="7" style="115" bestFit="1" customWidth="1"/>
    <col min="12033" max="12033" width="9.140625" style="115"/>
    <col min="12034" max="12034" width="15.5703125" style="115" bestFit="1" customWidth="1"/>
    <col min="12035" max="12035" width="9.140625" style="115"/>
    <col min="12036" max="12036" width="22.85546875" style="115" bestFit="1" customWidth="1"/>
    <col min="12037" max="12037" width="28.140625" style="115" bestFit="1" customWidth="1"/>
    <col min="12038" max="12038" width="10.7109375" style="115" bestFit="1" customWidth="1"/>
    <col min="12039" max="12039" width="7" style="115" bestFit="1" customWidth="1"/>
    <col min="12040" max="12277" width="9.140625" style="115"/>
    <col min="12278" max="12278" width="36.140625" style="115" customWidth="1"/>
    <col min="12279" max="12279" width="28.140625" style="115" bestFit="1" customWidth="1"/>
    <col min="12280" max="12280" width="10.7109375" style="115" bestFit="1" customWidth="1"/>
    <col min="12281" max="12281" width="8.7109375" style="115" bestFit="1" customWidth="1"/>
    <col min="12282" max="12282" width="10.140625" style="115" bestFit="1" customWidth="1"/>
    <col min="12283" max="12283" width="19.5703125" style="115" customWidth="1"/>
    <col min="12284" max="12284" width="9.140625" style="115"/>
    <col min="12285" max="12285" width="22.85546875" style="115" bestFit="1" customWidth="1"/>
    <col min="12286" max="12286" width="28.140625" style="115" bestFit="1" customWidth="1"/>
    <col min="12287" max="12287" width="10.7109375" style="115" bestFit="1" customWidth="1"/>
    <col min="12288" max="12288" width="7" style="115" bestFit="1" customWidth="1"/>
    <col min="12289" max="12289" width="9.140625" style="115"/>
    <col min="12290" max="12290" width="15.5703125" style="115" bestFit="1" customWidth="1"/>
    <col min="12291" max="12291" width="9.140625" style="115"/>
    <col min="12292" max="12292" width="22.85546875" style="115" bestFit="1" customWidth="1"/>
    <col min="12293" max="12293" width="28.140625" style="115" bestFit="1" customWidth="1"/>
    <col min="12294" max="12294" width="10.7109375" style="115" bestFit="1" customWidth="1"/>
    <col min="12295" max="12295" width="7" style="115" bestFit="1" customWidth="1"/>
    <col min="12296" max="12533" width="9.140625" style="115"/>
    <col min="12534" max="12534" width="36.140625" style="115" customWidth="1"/>
    <col min="12535" max="12535" width="28.140625" style="115" bestFit="1" customWidth="1"/>
    <col min="12536" max="12536" width="10.7109375" style="115" bestFit="1" customWidth="1"/>
    <col min="12537" max="12537" width="8.7109375" style="115" bestFit="1" customWidth="1"/>
    <col min="12538" max="12538" width="10.140625" style="115" bestFit="1" customWidth="1"/>
    <col min="12539" max="12539" width="19.5703125" style="115" customWidth="1"/>
    <col min="12540" max="12540" width="9.140625" style="115"/>
    <col min="12541" max="12541" width="22.85546875" style="115" bestFit="1" customWidth="1"/>
    <col min="12542" max="12542" width="28.140625" style="115" bestFit="1" customWidth="1"/>
    <col min="12543" max="12543" width="10.7109375" style="115" bestFit="1" customWidth="1"/>
    <col min="12544" max="12544" width="7" style="115" bestFit="1" customWidth="1"/>
    <col min="12545" max="12545" width="9.140625" style="115"/>
    <col min="12546" max="12546" width="15.5703125" style="115" bestFit="1" customWidth="1"/>
    <col min="12547" max="12547" width="9.140625" style="115"/>
    <col min="12548" max="12548" width="22.85546875" style="115" bestFit="1" customWidth="1"/>
    <col min="12549" max="12549" width="28.140625" style="115" bestFit="1" customWidth="1"/>
    <col min="12550" max="12550" width="10.7109375" style="115" bestFit="1" customWidth="1"/>
    <col min="12551" max="12551" width="7" style="115" bestFit="1" customWidth="1"/>
    <col min="12552" max="12789" width="9.140625" style="115"/>
    <col min="12790" max="12790" width="36.140625" style="115" customWidth="1"/>
    <col min="12791" max="12791" width="28.140625" style="115" bestFit="1" customWidth="1"/>
    <col min="12792" max="12792" width="10.7109375" style="115" bestFit="1" customWidth="1"/>
    <col min="12793" max="12793" width="8.7109375" style="115" bestFit="1" customWidth="1"/>
    <col min="12794" max="12794" width="10.140625" style="115" bestFit="1" customWidth="1"/>
    <col min="12795" max="12795" width="19.5703125" style="115" customWidth="1"/>
    <col min="12796" max="12796" width="9.140625" style="115"/>
    <col min="12797" max="12797" width="22.85546875" style="115" bestFit="1" customWidth="1"/>
    <col min="12798" max="12798" width="28.140625" style="115" bestFit="1" customWidth="1"/>
    <col min="12799" max="12799" width="10.7109375" style="115" bestFit="1" customWidth="1"/>
    <col min="12800" max="12800" width="7" style="115" bestFit="1" customWidth="1"/>
    <col min="12801" max="12801" width="9.140625" style="115"/>
    <col min="12802" max="12802" width="15.5703125" style="115" bestFit="1" customWidth="1"/>
    <col min="12803" max="12803" width="9.140625" style="115"/>
    <col min="12804" max="12804" width="22.85546875" style="115" bestFit="1" customWidth="1"/>
    <col min="12805" max="12805" width="28.140625" style="115" bestFit="1" customWidth="1"/>
    <col min="12806" max="12806" width="10.7109375" style="115" bestFit="1" customWidth="1"/>
    <col min="12807" max="12807" width="7" style="115" bestFit="1" customWidth="1"/>
    <col min="12808" max="13045" width="9.140625" style="115"/>
    <col min="13046" max="13046" width="36.140625" style="115" customWidth="1"/>
    <col min="13047" max="13047" width="28.140625" style="115" bestFit="1" customWidth="1"/>
    <col min="13048" max="13048" width="10.7109375" style="115" bestFit="1" customWidth="1"/>
    <col min="13049" max="13049" width="8.7109375" style="115" bestFit="1" customWidth="1"/>
    <col min="13050" max="13050" width="10.140625" style="115" bestFit="1" customWidth="1"/>
    <col min="13051" max="13051" width="19.5703125" style="115" customWidth="1"/>
    <col min="13052" max="13052" width="9.140625" style="115"/>
    <col min="13053" max="13053" width="22.85546875" style="115" bestFit="1" customWidth="1"/>
    <col min="13054" max="13054" width="28.140625" style="115" bestFit="1" customWidth="1"/>
    <col min="13055" max="13055" width="10.7109375" style="115" bestFit="1" customWidth="1"/>
    <col min="13056" max="13056" width="7" style="115" bestFit="1" customWidth="1"/>
    <col min="13057" max="13057" width="9.140625" style="115"/>
    <col min="13058" max="13058" width="15.5703125" style="115" bestFit="1" customWidth="1"/>
    <col min="13059" max="13059" width="9.140625" style="115"/>
    <col min="13060" max="13060" width="22.85546875" style="115" bestFit="1" customWidth="1"/>
    <col min="13061" max="13061" width="28.140625" style="115" bestFit="1" customWidth="1"/>
    <col min="13062" max="13062" width="10.7109375" style="115" bestFit="1" customWidth="1"/>
    <col min="13063" max="13063" width="7" style="115" bestFit="1" customWidth="1"/>
    <col min="13064" max="13301" width="9.140625" style="115"/>
    <col min="13302" max="13302" width="36.140625" style="115" customWidth="1"/>
    <col min="13303" max="13303" width="28.140625" style="115" bestFit="1" customWidth="1"/>
    <col min="13304" max="13304" width="10.7109375" style="115" bestFit="1" customWidth="1"/>
    <col min="13305" max="13305" width="8.7109375" style="115" bestFit="1" customWidth="1"/>
    <col min="13306" max="13306" width="10.140625" style="115" bestFit="1" customWidth="1"/>
    <col min="13307" max="13307" width="19.5703125" style="115" customWidth="1"/>
    <col min="13308" max="13308" width="9.140625" style="115"/>
    <col min="13309" max="13309" width="22.85546875" style="115" bestFit="1" customWidth="1"/>
    <col min="13310" max="13310" width="28.140625" style="115" bestFit="1" customWidth="1"/>
    <col min="13311" max="13311" width="10.7109375" style="115" bestFit="1" customWidth="1"/>
    <col min="13312" max="13312" width="7" style="115" bestFit="1" customWidth="1"/>
    <col min="13313" max="13313" width="9.140625" style="115"/>
    <col min="13314" max="13314" width="15.5703125" style="115" bestFit="1" customWidth="1"/>
    <col min="13315" max="13315" width="9.140625" style="115"/>
    <col min="13316" max="13316" width="22.85546875" style="115" bestFit="1" customWidth="1"/>
    <col min="13317" max="13317" width="28.140625" style="115" bestFit="1" customWidth="1"/>
    <col min="13318" max="13318" width="10.7109375" style="115" bestFit="1" customWidth="1"/>
    <col min="13319" max="13319" width="7" style="115" bestFit="1" customWidth="1"/>
    <col min="13320" max="13557" width="9.140625" style="115"/>
    <col min="13558" max="13558" width="36.140625" style="115" customWidth="1"/>
    <col min="13559" max="13559" width="28.140625" style="115" bestFit="1" customWidth="1"/>
    <col min="13560" max="13560" width="10.7109375" style="115" bestFit="1" customWidth="1"/>
    <col min="13561" max="13561" width="8.7109375" style="115" bestFit="1" customWidth="1"/>
    <col min="13562" max="13562" width="10.140625" style="115" bestFit="1" customWidth="1"/>
    <col min="13563" max="13563" width="19.5703125" style="115" customWidth="1"/>
    <col min="13564" max="13564" width="9.140625" style="115"/>
    <col min="13565" max="13565" width="22.85546875" style="115" bestFit="1" customWidth="1"/>
    <col min="13566" max="13566" width="28.140625" style="115" bestFit="1" customWidth="1"/>
    <col min="13567" max="13567" width="10.7109375" style="115" bestFit="1" customWidth="1"/>
    <col min="13568" max="13568" width="7" style="115" bestFit="1" customWidth="1"/>
    <col min="13569" max="13569" width="9.140625" style="115"/>
    <col min="13570" max="13570" width="15.5703125" style="115" bestFit="1" customWidth="1"/>
    <col min="13571" max="13571" width="9.140625" style="115"/>
    <col min="13572" max="13572" width="22.85546875" style="115" bestFit="1" customWidth="1"/>
    <col min="13573" max="13573" width="28.140625" style="115" bestFit="1" customWidth="1"/>
    <col min="13574" max="13574" width="10.7109375" style="115" bestFit="1" customWidth="1"/>
    <col min="13575" max="13575" width="7" style="115" bestFit="1" customWidth="1"/>
    <col min="13576" max="13813" width="9.140625" style="115"/>
    <col min="13814" max="13814" width="36.140625" style="115" customWidth="1"/>
    <col min="13815" max="13815" width="28.140625" style="115" bestFit="1" customWidth="1"/>
    <col min="13816" max="13816" width="10.7109375" style="115" bestFit="1" customWidth="1"/>
    <col min="13817" max="13817" width="8.7109375" style="115" bestFit="1" customWidth="1"/>
    <col min="13818" max="13818" width="10.140625" style="115" bestFit="1" customWidth="1"/>
    <col min="13819" max="13819" width="19.5703125" style="115" customWidth="1"/>
    <col min="13820" max="13820" width="9.140625" style="115"/>
    <col min="13821" max="13821" width="22.85546875" style="115" bestFit="1" customWidth="1"/>
    <col min="13822" max="13822" width="28.140625" style="115" bestFit="1" customWidth="1"/>
    <col min="13823" max="13823" width="10.7109375" style="115" bestFit="1" customWidth="1"/>
    <col min="13824" max="13824" width="7" style="115" bestFit="1" customWidth="1"/>
    <col min="13825" max="13825" width="9.140625" style="115"/>
    <col min="13826" max="13826" width="15.5703125" style="115" bestFit="1" customWidth="1"/>
    <col min="13827" max="13827" width="9.140625" style="115"/>
    <col min="13828" max="13828" width="22.85546875" style="115" bestFit="1" customWidth="1"/>
    <col min="13829" max="13829" width="28.140625" style="115" bestFit="1" customWidth="1"/>
    <col min="13830" max="13830" width="10.7109375" style="115" bestFit="1" customWidth="1"/>
    <col min="13831" max="13831" width="7" style="115" bestFit="1" customWidth="1"/>
    <col min="13832" max="14069" width="9.140625" style="115"/>
    <col min="14070" max="14070" width="36.140625" style="115" customWidth="1"/>
    <col min="14071" max="14071" width="28.140625" style="115" bestFit="1" customWidth="1"/>
    <col min="14072" max="14072" width="10.7109375" style="115" bestFit="1" customWidth="1"/>
    <col min="14073" max="14073" width="8.7109375" style="115" bestFit="1" customWidth="1"/>
    <col min="14074" max="14074" width="10.140625" style="115" bestFit="1" customWidth="1"/>
    <col min="14075" max="14075" width="19.5703125" style="115" customWidth="1"/>
    <col min="14076" max="14076" width="9.140625" style="115"/>
    <col min="14077" max="14077" width="22.85546875" style="115" bestFit="1" customWidth="1"/>
    <col min="14078" max="14078" width="28.140625" style="115" bestFit="1" customWidth="1"/>
    <col min="14079" max="14079" width="10.7109375" style="115" bestFit="1" customWidth="1"/>
    <col min="14080" max="14080" width="7" style="115" bestFit="1" customWidth="1"/>
    <col min="14081" max="14081" width="9.140625" style="115"/>
    <col min="14082" max="14082" width="15.5703125" style="115" bestFit="1" customWidth="1"/>
    <col min="14083" max="14083" width="9.140625" style="115"/>
    <col min="14084" max="14084" width="22.85546875" style="115" bestFit="1" customWidth="1"/>
    <col min="14085" max="14085" width="28.140625" style="115" bestFit="1" customWidth="1"/>
    <col min="14086" max="14086" width="10.7109375" style="115" bestFit="1" customWidth="1"/>
    <col min="14087" max="14087" width="7" style="115" bestFit="1" customWidth="1"/>
    <col min="14088" max="14325" width="9.140625" style="115"/>
    <col min="14326" max="14326" width="36.140625" style="115" customWidth="1"/>
    <col min="14327" max="14327" width="28.140625" style="115" bestFit="1" customWidth="1"/>
    <col min="14328" max="14328" width="10.7109375" style="115" bestFit="1" customWidth="1"/>
    <col min="14329" max="14329" width="8.7109375" style="115" bestFit="1" customWidth="1"/>
    <col min="14330" max="14330" width="10.140625" style="115" bestFit="1" customWidth="1"/>
    <col min="14331" max="14331" width="19.5703125" style="115" customWidth="1"/>
    <col min="14332" max="14332" width="9.140625" style="115"/>
    <col min="14333" max="14333" width="22.85546875" style="115" bestFit="1" customWidth="1"/>
    <col min="14334" max="14334" width="28.140625" style="115" bestFit="1" customWidth="1"/>
    <col min="14335" max="14335" width="10.7109375" style="115" bestFit="1" customWidth="1"/>
    <col min="14336" max="14336" width="7" style="115" bestFit="1" customWidth="1"/>
    <col min="14337" max="14337" width="9.140625" style="115"/>
    <col min="14338" max="14338" width="15.5703125" style="115" bestFit="1" customWidth="1"/>
    <col min="14339" max="14339" width="9.140625" style="115"/>
    <col min="14340" max="14340" width="22.85546875" style="115" bestFit="1" customWidth="1"/>
    <col min="14341" max="14341" width="28.140625" style="115" bestFit="1" customWidth="1"/>
    <col min="14342" max="14342" width="10.7109375" style="115" bestFit="1" customWidth="1"/>
    <col min="14343" max="14343" width="7" style="115" bestFit="1" customWidth="1"/>
    <col min="14344" max="14581" width="9.140625" style="115"/>
    <col min="14582" max="14582" width="36.140625" style="115" customWidth="1"/>
    <col min="14583" max="14583" width="28.140625" style="115" bestFit="1" customWidth="1"/>
    <col min="14584" max="14584" width="10.7109375" style="115" bestFit="1" customWidth="1"/>
    <col min="14585" max="14585" width="8.7109375" style="115" bestFit="1" customWidth="1"/>
    <col min="14586" max="14586" width="10.140625" style="115" bestFit="1" customWidth="1"/>
    <col min="14587" max="14587" width="19.5703125" style="115" customWidth="1"/>
    <col min="14588" max="14588" width="9.140625" style="115"/>
    <col min="14589" max="14589" width="22.85546875" style="115" bestFit="1" customWidth="1"/>
    <col min="14590" max="14590" width="28.140625" style="115" bestFit="1" customWidth="1"/>
    <col min="14591" max="14591" width="10.7109375" style="115" bestFit="1" customWidth="1"/>
    <col min="14592" max="14592" width="7" style="115" bestFit="1" customWidth="1"/>
    <col min="14593" max="14593" width="9.140625" style="115"/>
    <col min="14594" max="14594" width="15.5703125" style="115" bestFit="1" customWidth="1"/>
    <col min="14595" max="14595" width="9.140625" style="115"/>
    <col min="14596" max="14596" width="22.85546875" style="115" bestFit="1" customWidth="1"/>
    <col min="14597" max="14597" width="28.140625" style="115" bestFit="1" customWidth="1"/>
    <col min="14598" max="14598" width="10.7109375" style="115" bestFit="1" customWidth="1"/>
    <col min="14599" max="14599" width="7" style="115" bestFit="1" customWidth="1"/>
    <col min="14600" max="14837" width="9.140625" style="115"/>
    <col min="14838" max="14838" width="36.140625" style="115" customWidth="1"/>
    <col min="14839" max="14839" width="28.140625" style="115" bestFit="1" customWidth="1"/>
    <col min="14840" max="14840" width="10.7109375" style="115" bestFit="1" customWidth="1"/>
    <col min="14841" max="14841" width="8.7109375" style="115" bestFit="1" customWidth="1"/>
    <col min="14842" max="14842" width="10.140625" style="115" bestFit="1" customWidth="1"/>
    <col min="14843" max="14843" width="19.5703125" style="115" customWidth="1"/>
    <col min="14844" max="14844" width="9.140625" style="115"/>
    <col min="14845" max="14845" width="22.85546875" style="115" bestFit="1" customWidth="1"/>
    <col min="14846" max="14846" width="28.140625" style="115" bestFit="1" customWidth="1"/>
    <col min="14847" max="14847" width="10.7109375" style="115" bestFit="1" customWidth="1"/>
    <col min="14848" max="14848" width="7" style="115" bestFit="1" customWidth="1"/>
    <col min="14849" max="14849" width="9.140625" style="115"/>
    <col min="14850" max="14850" width="15.5703125" style="115" bestFit="1" customWidth="1"/>
    <col min="14851" max="14851" width="9.140625" style="115"/>
    <col min="14852" max="14852" width="22.85546875" style="115" bestFit="1" customWidth="1"/>
    <col min="14853" max="14853" width="28.140625" style="115" bestFit="1" customWidth="1"/>
    <col min="14854" max="14854" width="10.7109375" style="115" bestFit="1" customWidth="1"/>
    <col min="14855" max="14855" width="7" style="115" bestFit="1" customWidth="1"/>
    <col min="14856" max="15093" width="9.140625" style="115"/>
    <col min="15094" max="15094" width="36.140625" style="115" customWidth="1"/>
    <col min="15095" max="15095" width="28.140625" style="115" bestFit="1" customWidth="1"/>
    <col min="15096" max="15096" width="10.7109375" style="115" bestFit="1" customWidth="1"/>
    <col min="15097" max="15097" width="8.7109375" style="115" bestFit="1" customWidth="1"/>
    <col min="15098" max="15098" width="10.140625" style="115" bestFit="1" customWidth="1"/>
    <col min="15099" max="15099" width="19.5703125" style="115" customWidth="1"/>
    <col min="15100" max="15100" width="9.140625" style="115"/>
    <col min="15101" max="15101" width="22.85546875" style="115" bestFit="1" customWidth="1"/>
    <col min="15102" max="15102" width="28.140625" style="115" bestFit="1" customWidth="1"/>
    <col min="15103" max="15103" width="10.7109375" style="115" bestFit="1" customWidth="1"/>
    <col min="15104" max="15104" width="7" style="115" bestFit="1" customWidth="1"/>
    <col min="15105" max="15105" width="9.140625" style="115"/>
    <col min="15106" max="15106" width="15.5703125" style="115" bestFit="1" customWidth="1"/>
    <col min="15107" max="15107" width="9.140625" style="115"/>
    <col min="15108" max="15108" width="22.85546875" style="115" bestFit="1" customWidth="1"/>
    <col min="15109" max="15109" width="28.140625" style="115" bestFit="1" customWidth="1"/>
    <col min="15110" max="15110" width="10.7109375" style="115" bestFit="1" customWidth="1"/>
    <col min="15111" max="15111" width="7" style="115" bestFit="1" customWidth="1"/>
    <col min="15112" max="15349" width="9.140625" style="115"/>
    <col min="15350" max="15350" width="36.140625" style="115" customWidth="1"/>
    <col min="15351" max="15351" width="28.140625" style="115" bestFit="1" customWidth="1"/>
    <col min="15352" max="15352" width="10.7109375" style="115" bestFit="1" customWidth="1"/>
    <col min="15353" max="15353" width="8.7109375" style="115" bestFit="1" customWidth="1"/>
    <col min="15354" max="15354" width="10.140625" style="115" bestFit="1" customWidth="1"/>
    <col min="15355" max="15355" width="19.5703125" style="115" customWidth="1"/>
    <col min="15356" max="15356" width="9.140625" style="115"/>
    <col min="15357" max="15357" width="22.85546875" style="115" bestFit="1" customWidth="1"/>
    <col min="15358" max="15358" width="28.140625" style="115" bestFit="1" customWidth="1"/>
    <col min="15359" max="15359" width="10.7109375" style="115" bestFit="1" customWidth="1"/>
    <col min="15360" max="15360" width="7" style="115" bestFit="1" customWidth="1"/>
    <col min="15361" max="15361" width="9.140625" style="115"/>
    <col min="15362" max="15362" width="15.5703125" style="115" bestFit="1" customWidth="1"/>
    <col min="15363" max="15363" width="9.140625" style="115"/>
    <col min="15364" max="15364" width="22.85546875" style="115" bestFit="1" customWidth="1"/>
    <col min="15365" max="15365" width="28.140625" style="115" bestFit="1" customWidth="1"/>
    <col min="15366" max="15366" width="10.7109375" style="115" bestFit="1" customWidth="1"/>
    <col min="15367" max="15367" width="7" style="115" bestFit="1" customWidth="1"/>
    <col min="15368" max="15605" width="9.140625" style="115"/>
    <col min="15606" max="15606" width="36.140625" style="115" customWidth="1"/>
    <col min="15607" max="15607" width="28.140625" style="115" bestFit="1" customWidth="1"/>
    <col min="15608" max="15608" width="10.7109375" style="115" bestFit="1" customWidth="1"/>
    <col min="15609" max="15609" width="8.7109375" style="115" bestFit="1" customWidth="1"/>
    <col min="15610" max="15610" width="10.140625" style="115" bestFit="1" customWidth="1"/>
    <col min="15611" max="15611" width="19.5703125" style="115" customWidth="1"/>
    <col min="15612" max="15612" width="9.140625" style="115"/>
    <col min="15613" max="15613" width="22.85546875" style="115" bestFit="1" customWidth="1"/>
    <col min="15614" max="15614" width="28.140625" style="115" bestFit="1" customWidth="1"/>
    <col min="15615" max="15615" width="10.7109375" style="115" bestFit="1" customWidth="1"/>
    <col min="15616" max="15616" width="7" style="115" bestFit="1" customWidth="1"/>
    <col min="15617" max="15617" width="9.140625" style="115"/>
    <col min="15618" max="15618" width="15.5703125" style="115" bestFit="1" customWidth="1"/>
    <col min="15619" max="15619" width="9.140625" style="115"/>
    <col min="15620" max="15620" width="22.85546875" style="115" bestFit="1" customWidth="1"/>
    <col min="15621" max="15621" width="28.140625" style="115" bestFit="1" customWidth="1"/>
    <col min="15622" max="15622" width="10.7109375" style="115" bestFit="1" customWidth="1"/>
    <col min="15623" max="15623" width="7" style="115" bestFit="1" customWidth="1"/>
    <col min="15624" max="15861" width="9.140625" style="115"/>
    <col min="15862" max="15862" width="36.140625" style="115" customWidth="1"/>
    <col min="15863" max="15863" width="28.140625" style="115" bestFit="1" customWidth="1"/>
    <col min="15864" max="15864" width="10.7109375" style="115" bestFit="1" customWidth="1"/>
    <col min="15865" max="15865" width="8.7109375" style="115" bestFit="1" customWidth="1"/>
    <col min="15866" max="15866" width="10.140625" style="115" bestFit="1" customWidth="1"/>
    <col min="15867" max="15867" width="19.5703125" style="115" customWidth="1"/>
    <col min="15868" max="15868" width="9.140625" style="115"/>
    <col min="15869" max="15869" width="22.85546875" style="115" bestFit="1" customWidth="1"/>
    <col min="15870" max="15870" width="28.140625" style="115" bestFit="1" customWidth="1"/>
    <col min="15871" max="15871" width="10.7109375" style="115" bestFit="1" customWidth="1"/>
    <col min="15872" max="15872" width="7" style="115" bestFit="1" customWidth="1"/>
    <col min="15873" max="15873" width="9.140625" style="115"/>
    <col min="15874" max="15874" width="15.5703125" style="115" bestFit="1" customWidth="1"/>
    <col min="15875" max="15875" width="9.140625" style="115"/>
    <col min="15876" max="15876" width="22.85546875" style="115" bestFit="1" customWidth="1"/>
    <col min="15877" max="15877" width="28.140625" style="115" bestFit="1" customWidth="1"/>
    <col min="15878" max="15878" width="10.7109375" style="115" bestFit="1" customWidth="1"/>
    <col min="15879" max="15879" width="7" style="115" bestFit="1" customWidth="1"/>
    <col min="15880" max="16117" width="9.140625" style="115"/>
    <col min="16118" max="16118" width="36.140625" style="115" customWidth="1"/>
    <col min="16119" max="16119" width="28.140625" style="115" bestFit="1" customWidth="1"/>
    <col min="16120" max="16120" width="10.7109375" style="115" bestFit="1" customWidth="1"/>
    <col min="16121" max="16121" width="8.7109375" style="115" bestFit="1" customWidth="1"/>
    <col min="16122" max="16122" width="10.140625" style="115" bestFit="1" customWidth="1"/>
    <col min="16123" max="16123" width="19.5703125" style="115" customWidth="1"/>
    <col min="16124" max="16124" width="9.140625" style="115"/>
    <col min="16125" max="16125" width="22.85546875" style="115" bestFit="1" customWidth="1"/>
    <col min="16126" max="16126" width="28.140625" style="115" bestFit="1" customWidth="1"/>
    <col min="16127" max="16127" width="10.7109375" style="115" bestFit="1" customWidth="1"/>
    <col min="16128" max="16128" width="7" style="115" bestFit="1" customWidth="1"/>
    <col min="16129" max="16129" width="9.140625" style="115"/>
    <col min="16130" max="16130" width="15.5703125" style="115" bestFit="1" customWidth="1"/>
    <col min="16131" max="16131" width="9.140625" style="115"/>
    <col min="16132" max="16132" width="22.85546875" style="115" bestFit="1" customWidth="1"/>
    <col min="16133" max="16133" width="28.140625" style="115" bestFit="1" customWidth="1"/>
    <col min="16134" max="16134" width="10.7109375" style="115" bestFit="1" customWidth="1"/>
    <col min="16135" max="16135" width="7" style="115" bestFit="1" customWidth="1"/>
    <col min="16136" max="16377" width="9.140625" style="115"/>
    <col min="16378" max="16383" width="9.140625" style="115" customWidth="1"/>
    <col min="16384" max="16384" width="9.140625" style="115"/>
  </cols>
  <sheetData>
    <row r="1" spans="2:16" ht="24" customHeight="1" thickBot="1" x14ac:dyDescent="0.25">
      <c r="C1" s="736"/>
      <c r="D1" s="736"/>
      <c r="F1" s="810"/>
      <c r="G1" s="810"/>
      <c r="H1" s="810"/>
      <c r="I1" s="810"/>
      <c r="J1" s="810"/>
    </row>
    <row r="2" spans="2:16" ht="20.25" customHeight="1" thickBot="1" x14ac:dyDescent="0.25">
      <c r="C2" s="1833" t="s">
        <v>565</v>
      </c>
      <c r="D2" s="1834"/>
      <c r="E2" s="1834"/>
      <c r="F2" s="1834"/>
      <c r="G2" s="1834"/>
      <c r="H2" s="1834"/>
      <c r="I2" s="1834"/>
      <c r="J2" s="1834"/>
      <c r="K2" s="1834"/>
      <c r="L2" s="1834"/>
      <c r="M2" s="1834"/>
      <c r="N2" s="1834"/>
      <c r="O2" s="1834"/>
      <c r="P2" s="1835"/>
    </row>
    <row r="5" spans="2:16" ht="13.5" thickBot="1" x14ac:dyDescent="0.25"/>
    <row r="6" spans="2:16" ht="15.75" thickBot="1" x14ac:dyDescent="0.3">
      <c r="C6" s="1836" t="s">
        <v>564</v>
      </c>
      <c r="D6" s="1837"/>
      <c r="E6" s="1837"/>
      <c r="F6" s="1838"/>
      <c r="H6" s="1836" t="s">
        <v>563</v>
      </c>
      <c r="I6" s="1837"/>
      <c r="J6" s="1837"/>
      <c r="K6" s="1838"/>
      <c r="M6" s="1836" t="s">
        <v>562</v>
      </c>
      <c r="N6" s="1837"/>
      <c r="O6" s="1837"/>
      <c r="P6" s="1838"/>
    </row>
    <row r="7" spans="2:16" x14ac:dyDescent="0.2">
      <c r="C7" s="809"/>
      <c r="D7" s="808"/>
      <c r="E7" s="808" t="s">
        <v>44</v>
      </c>
      <c r="F7" s="807">
        <v>365</v>
      </c>
      <c r="H7" s="804"/>
      <c r="I7" s="803"/>
      <c r="J7" s="806" t="s">
        <v>44</v>
      </c>
      <c r="K7" s="805">
        <v>365</v>
      </c>
      <c r="M7" s="804"/>
      <c r="N7" s="803"/>
      <c r="O7" s="806" t="s">
        <v>44</v>
      </c>
      <c r="P7" s="805">
        <v>365</v>
      </c>
    </row>
    <row r="8" spans="2:16" x14ac:dyDescent="0.2">
      <c r="C8" s="804"/>
      <c r="D8" s="803" t="s">
        <v>331</v>
      </c>
      <c r="E8" s="803" t="s">
        <v>334</v>
      </c>
      <c r="F8" s="802" t="s">
        <v>458</v>
      </c>
      <c r="H8" s="804"/>
      <c r="I8" s="803" t="s">
        <v>331</v>
      </c>
      <c r="J8" s="803" t="s">
        <v>334</v>
      </c>
      <c r="K8" s="802" t="s">
        <v>458</v>
      </c>
      <c r="M8" s="221"/>
      <c r="N8" s="803" t="s">
        <v>331</v>
      </c>
      <c r="O8" s="803" t="s">
        <v>334</v>
      </c>
      <c r="P8" s="802" t="s">
        <v>458</v>
      </c>
    </row>
    <row r="9" spans="2:16" ht="15" x14ac:dyDescent="0.2">
      <c r="B9" s="454">
        <v>1</v>
      </c>
      <c r="C9" s="666" t="str">
        <f>IF(INDEX('Master Lookup'!$B$273:$B$277,B9)=0,"",INDEX('Master Lookup'!$B$273:$B$277,B9))</f>
        <v>Case Worker</v>
      </c>
      <c r="D9" s="379">
        <f>INDEX('Master Lookup FY26'!D273,MATCH(C9,'Master Lookup FY26'!B273,0))</f>
        <v>66537.12000000001</v>
      </c>
      <c r="E9" s="430">
        <f>IFERROR(INDEX('Master Lookup'!$E$273:$E$277,MATCH(C9,'Master Lookup'!$B$273:$B$277,0)),"")</f>
        <v>0.15</v>
      </c>
      <c r="F9" s="801">
        <f>IFERROR(E9*D9,0)</f>
        <v>9980.5680000000011</v>
      </c>
      <c r="H9" s="666" t="str">
        <f>IF(INDEX('Master Lookup'!$B$273:$B$277,B9)=0,"",INDEX('Master Lookup'!$B$273:$B$277,B9))</f>
        <v>Case Worker</v>
      </c>
      <c r="I9" s="379">
        <f>INDEX('Master Lookup FY26'!D273,MATCH(H9,'Master Lookup FY26'!B273,0))</f>
        <v>66537.12000000001</v>
      </c>
      <c r="J9" s="430">
        <f>IFERROR(INDEX('Master Lookup'!$E$273:$E$277,MATCH(H9,'Master Lookup'!$B$273:$B$277,0)),"")</f>
        <v>0.15</v>
      </c>
      <c r="K9" s="801">
        <f>IFERROR(J9*I9,0)</f>
        <v>9980.5680000000011</v>
      </c>
      <c r="M9" s="666" t="str">
        <f>IF(INDEX('Master Lookup'!$B$273:$B$277,B9)=0,"",INDEX('Master Lookup'!$B$273:$B$277,B9))</f>
        <v>Case Worker</v>
      </c>
      <c r="N9" s="379">
        <f>INDEX('Master Lookup FY26'!D273,MATCH(M9,'Master Lookup FY26'!B273,0))</f>
        <v>66537.12000000001</v>
      </c>
      <c r="O9" s="430">
        <f>IFERROR(INDEX('Master Lookup'!$E$273:$E$277,MATCH(M9,'Master Lookup'!$B$273:$B$277,0)),"")</f>
        <v>0.15</v>
      </c>
      <c r="P9" s="801">
        <f>IFERROR(O9*N9,0)</f>
        <v>9980.5680000000011</v>
      </c>
    </row>
    <row r="10" spans="2:16" ht="15" hidden="1" x14ac:dyDescent="0.2">
      <c r="B10" s="454">
        <v>2</v>
      </c>
      <c r="C10" s="665" t="str">
        <f>IF(INDEX('Master Lookup'!$B$273:$B$277,B10)=0,"",INDEX('Master Lookup'!$B$273:$B$277,B10))</f>
        <v/>
      </c>
      <c r="D10" s="386" t="str">
        <f>IFERROR(INDEX('Master Lookup'!$D$273:$D$277,MATCH(C10,'Master Lookup'!$B$273:$B$277,0)),"")</f>
        <v/>
      </c>
      <c r="E10" s="678" t="str">
        <f>IFERROR(INDEX('Master Lookup'!$E$273:$E$277,MATCH(C10,'Master Lookup'!$B$273:$B$277,0)),"")</f>
        <v/>
      </c>
      <c r="F10" s="799">
        <f>IFERROR(E10*D10,0)</f>
        <v>0</v>
      </c>
      <c r="G10" s="800"/>
      <c r="H10" s="665" t="str">
        <f>IF(INDEX('Master Lookup'!$B$273:$B$277,B10)=0,"",INDEX('Master Lookup'!$B$273:$B$277,B10))</f>
        <v/>
      </c>
      <c r="I10" s="386" t="str">
        <f>IFERROR(INDEX('Master Lookup'!$D$273:$D$277,MATCH(H10,'Master Lookup'!$B$273:$B$277,0)),"")</f>
        <v/>
      </c>
      <c r="J10" s="678" t="str">
        <f>IFERROR(INDEX('Master Lookup'!$E$273:$E$277,MATCH(H10,'Master Lookup'!$B$273:$B$277,0)),"")</f>
        <v/>
      </c>
      <c r="K10" s="799">
        <f>IFERROR(J10*I10,0)</f>
        <v>0</v>
      </c>
      <c r="M10" s="665" t="str">
        <f>IF(INDEX('Master Lookup'!$B$273:$B$277,B10)=0,"",INDEX('Master Lookup'!$B$273:$B$277,B10))</f>
        <v/>
      </c>
      <c r="N10" s="386" t="str">
        <f>IFERROR(INDEX('Master Lookup'!$D$273:$D$277,MATCH(M10,'Master Lookup'!$B$273:$B$277,0)),"")</f>
        <v/>
      </c>
      <c r="O10" s="678" t="str">
        <f>IFERROR(INDEX('Master Lookup'!$E$273:$E$277,MATCH(M10,'Master Lookup'!$B$273:$B$277,0)),"")</f>
        <v/>
      </c>
      <c r="P10" s="799">
        <f>IFERROR(O10*N10,0)</f>
        <v>0</v>
      </c>
    </row>
    <row r="11" spans="2:16" ht="15" hidden="1" x14ac:dyDescent="0.2">
      <c r="B11" s="454">
        <v>3</v>
      </c>
      <c r="C11" s="665" t="str">
        <f>IF(INDEX('Master Lookup'!$B$273:$B$277,B11)=0,"",INDEX('Master Lookup'!$B$273:$B$277,B11))</f>
        <v/>
      </c>
      <c r="D11" s="386" t="str">
        <f>IFERROR(INDEX('Master Lookup'!$D$273:$D$277,MATCH(C11,'Master Lookup'!$B$273:$B$277,0)),"")</f>
        <v/>
      </c>
      <c r="E11" s="678" t="str">
        <f>IFERROR(INDEX('Master Lookup'!$E$273:$E$277,MATCH(C11,'Master Lookup'!$B$273:$B$277,0)),"")</f>
        <v/>
      </c>
      <c r="F11" s="799">
        <f>IFERROR(E11*D11,0)</f>
        <v>0</v>
      </c>
      <c r="G11" s="344"/>
      <c r="H11" s="665" t="str">
        <f>IF(INDEX('Master Lookup'!$B$273:$B$277,B11)=0,"",INDEX('Master Lookup'!$B$273:$B$277,B11))</f>
        <v/>
      </c>
      <c r="I11" s="386" t="str">
        <f>IFERROR(INDEX('Master Lookup'!$D$273:$D$277,MATCH(H11,'Master Lookup'!$B$273:$B$277,0)),"")</f>
        <v/>
      </c>
      <c r="J11" s="678" t="str">
        <f>IFERROR(INDEX('Master Lookup'!$E$273:$E$277,MATCH(H11,'Master Lookup'!$B$273:$B$277,0)),"")</f>
        <v/>
      </c>
      <c r="K11" s="799">
        <f>IFERROR(J11*I11,0)</f>
        <v>0</v>
      </c>
      <c r="M11" s="665" t="str">
        <f>IF(INDEX('Master Lookup'!$B$273:$B$277,B11)=0,"",INDEX('Master Lookup'!$B$273:$B$277,B11))</f>
        <v/>
      </c>
      <c r="N11" s="386" t="str">
        <f>IFERROR(INDEX('Master Lookup'!$D$273:$D$277,MATCH(M11,'Master Lookup'!$B$273:$B$277,0)),"")</f>
        <v/>
      </c>
      <c r="O11" s="678" t="str">
        <f>IFERROR(INDEX('Master Lookup'!$E$273:$E$277,MATCH(M11,'Master Lookup'!$B$273:$B$277,0)),"")</f>
        <v/>
      </c>
      <c r="P11" s="799">
        <f>IFERROR(O11*N11,0)</f>
        <v>0</v>
      </c>
    </row>
    <row r="12" spans="2:16" ht="15" hidden="1" x14ac:dyDescent="0.2">
      <c r="B12" s="454">
        <v>4</v>
      </c>
      <c r="C12" s="665" t="str">
        <f>IF(INDEX('Master Lookup'!$B$273:$B$277,B12)=0,"",INDEX('Master Lookup'!$B$273:$B$277,B12))</f>
        <v/>
      </c>
      <c r="D12" s="386" t="str">
        <f>IFERROR(INDEX('Master Lookup'!$D$273:$D$277,MATCH(C12,'Master Lookup'!$B$273:$B$277,0)),"")</f>
        <v/>
      </c>
      <c r="E12" s="678" t="str">
        <f>IFERROR(INDEX('Master Lookup'!$E$273:$E$277,MATCH(C12,'Master Lookup'!$B$273:$B$277,0)),"")</f>
        <v/>
      </c>
      <c r="F12" s="799">
        <f>IFERROR(E12*D12,0)</f>
        <v>0</v>
      </c>
      <c r="H12" s="665" t="str">
        <f>IF(INDEX('Master Lookup'!$B$273:$B$277,B12)=0,"",INDEX('Master Lookup'!$B$273:$B$277,B12))</f>
        <v/>
      </c>
      <c r="I12" s="386" t="str">
        <f>IFERROR(INDEX('Master Lookup'!$D$273:$D$277,MATCH(H12,'Master Lookup'!$B$273:$B$277,0)),"")</f>
        <v/>
      </c>
      <c r="J12" s="678" t="str">
        <f>IFERROR(INDEX('Master Lookup'!$E$273:$E$277,MATCH(H12,'Master Lookup'!$B$273:$B$277,0)),"")</f>
        <v/>
      </c>
      <c r="K12" s="799">
        <f>IFERROR(J12*I12,0)</f>
        <v>0</v>
      </c>
      <c r="M12" s="665" t="str">
        <f>IF(INDEX('Master Lookup'!$B$273:$B$277,B12)=0,"",INDEX('Master Lookup'!$B$273:$B$277,B12))</f>
        <v/>
      </c>
      <c r="N12" s="386" t="str">
        <f>IFERROR(INDEX('Master Lookup'!$D$273:$D$277,MATCH(M12,'Master Lookup'!$B$273:$B$277,0)),"")</f>
        <v/>
      </c>
      <c r="O12" s="678" t="str">
        <f>IFERROR(INDEX('Master Lookup'!$E$273:$E$277,MATCH(M12,'Master Lookup'!$B$273:$B$277,0)),"")</f>
        <v/>
      </c>
      <c r="P12" s="799">
        <f>IFERROR(O12*N12,0)</f>
        <v>0</v>
      </c>
    </row>
    <row r="13" spans="2:16" ht="15" hidden="1" x14ac:dyDescent="0.2">
      <c r="B13" s="454">
        <v>5</v>
      </c>
      <c r="C13" s="665" t="str">
        <f>IF(INDEX('Master Lookup'!$B$273:$B$277,B13)=0,"",INDEX('Master Lookup'!$B$273:$B$277,B13))</f>
        <v/>
      </c>
      <c r="D13" s="386" t="str">
        <f>IFERROR(INDEX('Master Lookup'!$D$273:$D$277,MATCH(C13,'Master Lookup'!$B$273:$B$277,0)),"")</f>
        <v/>
      </c>
      <c r="E13" s="678" t="str">
        <f>IFERROR(INDEX('Master Lookup'!$E$273:$E$277,MATCH(C13,'Master Lookup'!$B$273:$B$277,0)),"")</f>
        <v/>
      </c>
      <c r="F13" s="799">
        <f>IFERROR(E13*D13,0)</f>
        <v>0</v>
      </c>
      <c r="H13" s="665" t="str">
        <f>IF(INDEX('Master Lookup'!$B$273:$B$277,B13)=0,"",INDEX('Master Lookup'!$B$273:$B$277,B13))</f>
        <v/>
      </c>
      <c r="I13" s="386" t="str">
        <f>IFERROR(INDEX('Master Lookup'!$D$273:$D$277,MATCH(H13,'Master Lookup'!$B$273:$B$277,0)),"")</f>
        <v/>
      </c>
      <c r="J13" s="678" t="str">
        <f>IFERROR(INDEX('Master Lookup'!$E$273:$E$277,MATCH(H13,'Master Lookup'!$B$273:$B$277,0)),"")</f>
        <v/>
      </c>
      <c r="K13" s="799">
        <f>IFERROR(J13*I13,0)</f>
        <v>0</v>
      </c>
      <c r="M13" s="665" t="str">
        <f>IF(INDEX('Master Lookup'!$B$273:$B$277,B13)=0,"",INDEX('Master Lookup'!$B$273:$B$277,B13))</f>
        <v/>
      </c>
      <c r="N13" s="386" t="str">
        <f>IFERROR(INDEX('Master Lookup'!$D$273:$D$277,MATCH(M13,'Master Lookup'!$B$273:$B$277,0)),"")</f>
        <v/>
      </c>
      <c r="O13" s="678" t="str">
        <f>IFERROR(INDEX('Master Lookup'!$E$273:$E$277,MATCH(M13,'Master Lookup'!$B$273:$B$277,0)),"")</f>
        <v/>
      </c>
      <c r="P13" s="799">
        <f>IFERROR(O13*N13,0)</f>
        <v>0</v>
      </c>
    </row>
    <row r="14" spans="2:16" x14ac:dyDescent="0.2">
      <c r="B14" s="784"/>
      <c r="C14" s="702" t="s">
        <v>457</v>
      </c>
      <c r="D14" s="790"/>
      <c r="E14" s="798">
        <f>SUM(E9:E13)</f>
        <v>0.15</v>
      </c>
      <c r="F14" s="796">
        <f>SUM(F9:F13)</f>
        <v>9980.5680000000011</v>
      </c>
      <c r="H14" s="702" t="s">
        <v>457</v>
      </c>
      <c r="I14" s="790"/>
      <c r="J14" s="798">
        <f>SUM(J9:J13)</f>
        <v>0.15</v>
      </c>
      <c r="K14" s="796">
        <f>SUM(K9:K13)</f>
        <v>9980.5680000000011</v>
      </c>
      <c r="M14" s="702" t="s">
        <v>457</v>
      </c>
      <c r="N14" s="790"/>
      <c r="O14" s="798">
        <f>SUM(O9:O13)</f>
        <v>0.15</v>
      </c>
      <c r="P14" s="796">
        <f>SUM(P9:P13)</f>
        <v>9980.5680000000011</v>
      </c>
    </row>
    <row r="15" spans="2:16" ht="15" x14ac:dyDescent="0.25">
      <c r="B15" s="784"/>
      <c r="C15" s="671" t="s">
        <v>322</v>
      </c>
      <c r="D15" s="790"/>
      <c r="E15" s="530">
        <f>INDEX('Master Lookup FY26'!C291:C293,MATCH(C15,'Master Lookup FY26'!B291:B293,0))</f>
        <v>0.24970000000000001</v>
      </c>
      <c r="F15" s="797">
        <f>F14*E15</f>
        <v>2492.1478296000005</v>
      </c>
      <c r="H15" s="671" t="s">
        <v>322</v>
      </c>
      <c r="I15" s="790"/>
      <c r="J15" s="530">
        <f>INDEX('Master Lookup FY26'!C291:C293,MATCH(H15,'Master Lookup FY26'!B291:B293,0))</f>
        <v>0.24970000000000001</v>
      </c>
      <c r="K15" s="797">
        <f>K14*J15</f>
        <v>2492.1478296000005</v>
      </c>
      <c r="M15" s="671" t="s">
        <v>322</v>
      </c>
      <c r="N15" s="790"/>
      <c r="O15" s="530">
        <f>INDEX('Master Lookup FY26'!C291:C293,MATCH(M15,'Master Lookup FY26'!B291:B293,0))</f>
        <v>0.24970000000000001</v>
      </c>
      <c r="P15" s="797">
        <f>P14*O15</f>
        <v>2492.1478296000005</v>
      </c>
    </row>
    <row r="16" spans="2:16" ht="15" x14ac:dyDescent="0.25">
      <c r="B16" s="784"/>
      <c r="C16" s="663" t="s">
        <v>550</v>
      </c>
      <c r="D16" s="790"/>
      <c r="E16" s="790"/>
      <c r="F16" s="796">
        <f>SUM(F14:F15)</f>
        <v>12472.715829600002</v>
      </c>
      <c r="H16" s="663" t="s">
        <v>550</v>
      </c>
      <c r="I16" s="790"/>
      <c r="J16" s="790"/>
      <c r="K16" s="796">
        <f>SUM(K14:K15)</f>
        <v>12472.715829600002</v>
      </c>
      <c r="M16" s="663" t="s">
        <v>550</v>
      </c>
      <c r="N16" s="790"/>
      <c r="O16" s="790"/>
      <c r="P16" s="796">
        <f>SUM(P14:P15)</f>
        <v>12472.715829600002</v>
      </c>
    </row>
    <row r="17" spans="2:16" x14ac:dyDescent="0.2">
      <c r="B17" s="784"/>
      <c r="C17" s="698"/>
      <c r="D17" s="790"/>
      <c r="E17" s="790"/>
      <c r="F17" s="795"/>
      <c r="H17" s="698"/>
      <c r="I17" s="790"/>
      <c r="J17" s="790"/>
      <c r="K17" s="795"/>
      <c r="M17" s="698"/>
      <c r="N17" s="790"/>
      <c r="O17" s="790"/>
      <c r="P17" s="795"/>
    </row>
    <row r="18" spans="2:16" ht="15" x14ac:dyDescent="0.25">
      <c r="B18" s="784"/>
      <c r="C18" s="667" t="s">
        <v>326</v>
      </c>
      <c r="D18" s="340"/>
      <c r="E18" s="340"/>
      <c r="F18" s="794"/>
      <c r="H18" s="667" t="s">
        <v>326</v>
      </c>
      <c r="I18" s="340"/>
      <c r="J18" s="340"/>
      <c r="K18" s="794"/>
      <c r="M18" s="667" t="s">
        <v>326</v>
      </c>
      <c r="N18" s="340"/>
      <c r="O18" s="340"/>
      <c r="P18" s="794"/>
    </row>
    <row r="19" spans="2:16" ht="15" x14ac:dyDescent="0.2">
      <c r="B19" s="454">
        <v>1</v>
      </c>
      <c r="C19" s="666" t="str">
        <f>IF(INDEX('Master Lookup'!$B$280:$B$285,B19)=0,"",INDEX('Master Lookup'!$B$280:$B$285,B19))</f>
        <v>Client Transportation 208</v>
      </c>
      <c r="D19" s="340"/>
      <c r="E19" s="379">
        <f>INDEX('Master Lookup FY26'!C280:C281,MATCH(C19,'Master Lookup FY26'!B280:B281,0))</f>
        <v>1788.8934173999289</v>
      </c>
      <c r="F19" s="539">
        <f>IF(E19&lt;&gt;"",E19,0)</f>
        <v>1788.8934173999289</v>
      </c>
      <c r="H19" s="666" t="str">
        <f>IF(INDEX('Master Lookup'!$B$280:$B$285,B19)=0,"",INDEX('Master Lookup'!$B$280:$B$285,B19))</f>
        <v>Client Transportation 208</v>
      </c>
      <c r="I19" s="340"/>
      <c r="J19" s="379">
        <f>INDEX('Master Lookup FY26'!C280:C281,MATCH(H19,'Master Lookup FY26'!B280:B281,0))</f>
        <v>1788.8934173999289</v>
      </c>
      <c r="K19" s="539">
        <f>IF(J19&lt;&gt;"",J19,0)</f>
        <v>1788.8934173999289</v>
      </c>
      <c r="M19" s="666" t="str">
        <f>IF(INDEX('Master Lookup'!$B$280:$B$285,B19)=0,"",INDEX('Master Lookup'!$B$280:$B$285,B19))</f>
        <v>Client Transportation 208</v>
      </c>
      <c r="N19" s="340"/>
      <c r="O19" s="379">
        <f>INDEX('Master Lookup FY26'!C280:C281,MATCH(M19,'Master Lookup FY26'!B280:B281,0))</f>
        <v>1788.8934173999289</v>
      </c>
      <c r="P19" s="539">
        <f>IF(O19&lt;&gt;"",O19,0)</f>
        <v>1788.8934173999289</v>
      </c>
    </row>
    <row r="20" spans="2:16" ht="15" x14ac:dyDescent="0.2">
      <c r="B20" s="454">
        <v>2</v>
      </c>
      <c r="C20" s="666" t="str">
        <f>IF(INDEX('Master Lookup'!$B$280:$B$285,B20)=0,"",INDEX('Master Lookup'!$B$280:$B$285,B20))</f>
        <v>Total Occupancy</v>
      </c>
      <c r="D20" s="340"/>
      <c r="E20" s="379">
        <f>INDEX('Master Lookup FY26'!C281:C282,MATCH(C20,'Master Lookup FY26'!B281:B282,0))</f>
        <v>6392.9174203826224</v>
      </c>
      <c r="F20" s="539">
        <f>IF(E20&lt;&gt;"",E20,0)</f>
        <v>6392.9174203826224</v>
      </c>
      <c r="H20" s="666" t="str">
        <f>IF(INDEX('Master Lookup'!$B$280:$B$285,B20)=0,"",INDEX('Master Lookup'!$B$280:$B$285,B20))</f>
        <v>Total Occupancy</v>
      </c>
      <c r="I20" s="340"/>
      <c r="J20" s="379">
        <f>INDEX('Master Lookup FY26'!C281:C282,MATCH(H20,'Master Lookup FY26'!B281:B282,0))</f>
        <v>6392.9174203826224</v>
      </c>
      <c r="K20" s="539">
        <f>IF(J20&lt;&gt;"",J20,0)</f>
        <v>6392.9174203826224</v>
      </c>
      <c r="M20" s="666" t="str">
        <f>IF(INDEX('Master Lookup'!$B$280:$B$285,B20)=0,"",INDEX('Master Lookup'!$B$280:$B$285,B20))</f>
        <v>Total Occupancy</v>
      </c>
      <c r="N20" s="340"/>
      <c r="O20" s="379">
        <f>INDEX('Master Lookup FY26'!C281:C282,MATCH(M20,'Master Lookup FY26'!B281:B282,0))</f>
        <v>6392.9174203826224</v>
      </c>
      <c r="P20" s="539">
        <f>IF(O20&lt;&gt;"",O20,0)</f>
        <v>6392.9174203826224</v>
      </c>
    </row>
    <row r="21" spans="2:16" ht="15" hidden="1" x14ac:dyDescent="0.2">
      <c r="B21" s="454">
        <v>3</v>
      </c>
      <c r="C21" s="665" t="str">
        <f>IF(INDEX('Master Lookup'!$B$280:$B$285,B21)=0,"",INDEX('Master Lookup'!$B$280:$B$285,B21))</f>
        <v/>
      </c>
      <c r="D21" s="793"/>
      <c r="E21" s="379" t="e">
        <f>INDEX('Master Lookup FY26'!C282:C283,MATCH(C21,'Master Lookup FY26'!B282:B283,0))</f>
        <v>#N/A</v>
      </c>
      <c r="F21" s="792" t="e">
        <f>IF(E21&lt;&gt;"",E21,0)</f>
        <v>#N/A</v>
      </c>
      <c r="H21" s="665" t="str">
        <f>IF(INDEX('Master Lookup'!$B$280:$B$285,B21)=0,"",INDEX('Master Lookup'!$B$280:$B$285,B21))</f>
        <v/>
      </c>
      <c r="I21" s="793"/>
      <c r="J21" s="386" t="str">
        <f>IFERROR(INDEX('Master Lookup'!$C$280:$C$285,MATCH(H21,'Master Lookup'!$B$280:$B$285,0)),"")</f>
        <v/>
      </c>
      <c r="K21" s="792">
        <f>IF(J21&lt;&gt;"",J21,0)</f>
        <v>0</v>
      </c>
      <c r="M21" s="665" t="str">
        <f>IF(INDEX('Master Lookup'!$B$280:$B$285,B21)=0,"",INDEX('Master Lookup'!$B$280:$B$285,B21))</f>
        <v/>
      </c>
      <c r="N21" s="793"/>
      <c r="O21" s="386" t="str">
        <f>IFERROR(INDEX('Master Lookup'!$C$280:$C$285,MATCH(M21,'Master Lookup'!$B$280:$B$285,0)),"")</f>
        <v/>
      </c>
      <c r="P21" s="792">
        <f>IF(O21&lt;&gt;"",O21,0)</f>
        <v>0</v>
      </c>
    </row>
    <row r="22" spans="2:16" ht="15" hidden="1" x14ac:dyDescent="0.2">
      <c r="B22" s="454">
        <v>4</v>
      </c>
      <c r="C22" s="665" t="str">
        <f>IF(INDEX('Master Lookup'!$B$280:$B$285,B22)=0,"",INDEX('Master Lookup'!$B$280:$B$285,B22))</f>
        <v/>
      </c>
      <c r="D22" s="793"/>
      <c r="E22" s="379" t="e">
        <f>INDEX('Master Lookup FY26'!C283:C284,MATCH(C22,'Master Lookup FY26'!B283:B284,0))</f>
        <v>#N/A</v>
      </c>
      <c r="F22" s="792" t="e">
        <f>IF(E22&lt;&gt;"",E22,0)</f>
        <v>#N/A</v>
      </c>
      <c r="H22" s="665" t="str">
        <f>IF(INDEX('Master Lookup'!$B$280:$B$285,B22)=0,"",INDEX('Master Lookup'!$B$280:$B$285,B22))</f>
        <v/>
      </c>
      <c r="I22" s="793"/>
      <c r="J22" s="386" t="str">
        <f>IFERROR(INDEX('Master Lookup'!$C$280:$C$285,MATCH(H22,'Master Lookup'!$B$280:$B$285,0)),"")</f>
        <v/>
      </c>
      <c r="K22" s="792">
        <f>IF(J22&lt;&gt;"",J22,0)</f>
        <v>0</v>
      </c>
      <c r="M22" s="665" t="str">
        <f>IF(INDEX('Master Lookup'!$B$280:$B$285,B22)=0,"",INDEX('Master Lookup'!$B$280:$B$285,B22))</f>
        <v/>
      </c>
      <c r="N22" s="793"/>
      <c r="O22" s="386" t="str">
        <f>IFERROR(INDEX('Master Lookup'!$C$280:$C$285,MATCH(M22,'Master Lookup'!$B$280:$B$285,0)),"")</f>
        <v/>
      </c>
      <c r="P22" s="792">
        <f>IF(O22&lt;&gt;"",O22,0)</f>
        <v>0</v>
      </c>
    </row>
    <row r="23" spans="2:16" ht="15" x14ac:dyDescent="0.2">
      <c r="B23" s="454"/>
      <c r="C23" s="730" t="s">
        <v>282</v>
      </c>
      <c r="D23" s="340"/>
      <c r="E23" s="379">
        <f>INDEX('Master Lookup FY26'!C287:C289,MATCH(C23,'Master Lookup FY26'!B287:B289,0))</f>
        <v>27634.813656999995</v>
      </c>
      <c r="F23" s="539">
        <f>IFERROR(E23,0)</f>
        <v>27634.813656999995</v>
      </c>
      <c r="H23" s="730" t="s">
        <v>280</v>
      </c>
      <c r="I23" s="340"/>
      <c r="J23" s="379">
        <f>INDEX('Master Lookup FY26'!C287:C289,MATCH(H23,'Master Lookup FY26'!B287:B289,0))</f>
        <v>37683.169190000001</v>
      </c>
      <c r="K23" s="539">
        <f>IFERROR(J23,0)</f>
        <v>37683.169190000001</v>
      </c>
      <c r="M23" s="730" t="s">
        <v>278</v>
      </c>
      <c r="N23" s="340"/>
      <c r="O23" s="379">
        <f>INDEX('Master Lookup FY26'!C287:C289,MATCH(M23,'Master Lookup FY26'!B287:B289,0))</f>
        <v>47731.524722999995</v>
      </c>
      <c r="P23" s="539">
        <f>IFERROR(O23,0)</f>
        <v>47731.524722999995</v>
      </c>
    </row>
    <row r="24" spans="2:16" ht="15" x14ac:dyDescent="0.25">
      <c r="B24" s="784"/>
      <c r="C24" s="663" t="s">
        <v>492</v>
      </c>
      <c r="D24" s="790"/>
      <c r="E24" s="790"/>
      <c r="F24" s="496">
        <f>F19+F20+F23</f>
        <v>35816.624494782547</v>
      </c>
      <c r="H24" s="663" t="s">
        <v>492</v>
      </c>
      <c r="I24" s="790"/>
      <c r="J24" s="790"/>
      <c r="K24" s="496">
        <f>SUM(K19:K23)</f>
        <v>45864.980027782549</v>
      </c>
      <c r="M24" s="663" t="s">
        <v>492</v>
      </c>
      <c r="N24" s="790"/>
      <c r="O24" s="790"/>
      <c r="P24" s="496">
        <f>SUM(P19:P23)</f>
        <v>55913.335560782543</v>
      </c>
    </row>
    <row r="25" spans="2:16" ht="15.75" x14ac:dyDescent="0.25">
      <c r="B25" s="784"/>
      <c r="C25" s="661"/>
      <c r="D25" s="789"/>
      <c r="E25" s="789"/>
      <c r="F25" s="791"/>
      <c r="H25" s="661"/>
      <c r="I25" s="789"/>
      <c r="J25" s="789"/>
      <c r="K25" s="791"/>
      <c r="M25" s="661"/>
      <c r="N25" s="789"/>
      <c r="O25" s="789"/>
      <c r="P25" s="791"/>
    </row>
    <row r="26" spans="2:16" ht="30" x14ac:dyDescent="0.25">
      <c r="B26" s="784"/>
      <c r="C26" s="372" t="s">
        <v>491</v>
      </c>
      <c r="D26" s="790"/>
      <c r="E26" s="790"/>
      <c r="F26" s="496">
        <f>SUM(F24,F16)</f>
        <v>48289.340324382545</v>
      </c>
      <c r="H26" s="372" t="s">
        <v>491</v>
      </c>
      <c r="I26" s="790"/>
      <c r="J26" s="790"/>
      <c r="K26" s="496">
        <f>SUM(K24,K16)</f>
        <v>58337.695857382554</v>
      </c>
      <c r="M26" s="372" t="s">
        <v>491</v>
      </c>
      <c r="N26" s="790"/>
      <c r="O26" s="790"/>
      <c r="P26" s="496">
        <f>SUM(P24,P16)</f>
        <v>68386.051390382549</v>
      </c>
    </row>
    <row r="27" spans="2:16" ht="15" x14ac:dyDescent="0.25">
      <c r="B27" s="784"/>
      <c r="C27" s="659" t="s">
        <v>320</v>
      </c>
      <c r="D27" s="495">
        <f>INDEX('Master Lookup FY26'!C291:C293,MATCH(C27,'Master Lookup FY26'!B291:B293,0))</f>
        <v>0.12</v>
      </c>
      <c r="E27" s="789"/>
      <c r="F27" s="788">
        <f>F26*D27</f>
        <v>5794.7208389259049</v>
      </c>
      <c r="H27" s="659" t="s">
        <v>320</v>
      </c>
      <c r="I27" s="495">
        <f>INDEX('Master Lookup FY26'!C291:C293,MATCH(H27,'Master Lookup FY26'!B291:B293,0))</f>
        <v>0.12</v>
      </c>
      <c r="J27" s="789"/>
      <c r="K27" s="788">
        <f>K26*I27</f>
        <v>7000.5235028859061</v>
      </c>
      <c r="M27" s="659" t="s">
        <v>320</v>
      </c>
      <c r="N27" s="495">
        <f>INDEX('Master Lookup FY26'!C291:C293,MATCH(M27,'Master Lookup FY26'!B291:B293,0))</f>
        <v>0.12</v>
      </c>
      <c r="O27" s="789"/>
      <c r="P27" s="788">
        <f>P26*N27</f>
        <v>8206.3261668459054</v>
      </c>
    </row>
    <row r="28" spans="2:16" ht="15.75" thickBot="1" x14ac:dyDescent="0.3">
      <c r="B28" s="784"/>
      <c r="C28" s="787" t="s">
        <v>321</v>
      </c>
      <c r="D28" s="495">
        <f>INDEX('Master Lookup FY26'!C292:C294,MATCH(C28,'Master Lookup FY26'!B292:B294,0))</f>
        <v>2.5282070971092779E-2</v>
      </c>
      <c r="E28" s="786"/>
      <c r="F28" s="785">
        <f>(F26+F27)*D28</f>
        <v>1367.3570727356869</v>
      </c>
      <c r="H28" s="787" t="s">
        <v>321</v>
      </c>
      <c r="I28" s="495">
        <f>INDEX('Master Lookup FY26'!C292:C294,MATCH(H28,'Master Lookup FY26'!B292:B294,0))</f>
        <v>2.5282070971092779E-2</v>
      </c>
      <c r="J28" s="786"/>
      <c r="K28" s="785">
        <f>(K26+K27)*I28</f>
        <v>1651.8854989911354</v>
      </c>
      <c r="M28" s="787" t="s">
        <v>321</v>
      </c>
      <c r="N28" s="495">
        <f>INDEX('Master Lookup FY26'!C292:C294,MATCH(M28,'Master Lookup FY26'!B292:B294,0))</f>
        <v>2.5282070971092779E-2</v>
      </c>
      <c r="O28" s="786"/>
      <c r="P28" s="785">
        <f>(P26+P27)*N28</f>
        <v>1936.4139252465834</v>
      </c>
    </row>
    <row r="29" spans="2:16" ht="15.75" thickBot="1" x14ac:dyDescent="0.3">
      <c r="B29" s="784"/>
      <c r="C29" s="783" t="s">
        <v>453</v>
      </c>
      <c r="D29" s="549"/>
      <c r="E29" s="549"/>
      <c r="F29" s="782">
        <f>SUM(F26:F28)</f>
        <v>55451.418236044134</v>
      </c>
      <c r="H29" s="783" t="s">
        <v>453</v>
      </c>
      <c r="I29" s="549"/>
      <c r="J29" s="549"/>
      <c r="K29" s="782">
        <f>SUM(K26:K28)</f>
        <v>66990.104859259591</v>
      </c>
      <c r="M29" s="783" t="s">
        <v>453</v>
      </c>
      <c r="N29" s="549"/>
      <c r="O29" s="549"/>
      <c r="P29" s="782">
        <f>SUM(P26:P28)</f>
        <v>78528.791482475033</v>
      </c>
    </row>
    <row r="30" spans="2:16" ht="13.5" thickBot="1" x14ac:dyDescent="0.25">
      <c r="C30" s="781" t="s">
        <v>561</v>
      </c>
      <c r="D30" s="780"/>
      <c r="E30" s="780"/>
      <c r="F30" s="779">
        <f>ROUND(F29/F7,2)</f>
        <v>151.91999999999999</v>
      </c>
      <c r="H30" s="781" t="s">
        <v>561</v>
      </c>
      <c r="I30" s="780"/>
      <c r="J30" s="780"/>
      <c r="K30" s="779">
        <f>ROUND(K29/K7,2)</f>
        <v>183.53</v>
      </c>
      <c r="M30" s="781" t="s">
        <v>561</v>
      </c>
      <c r="N30" s="780"/>
      <c r="O30" s="780"/>
      <c r="P30" s="779">
        <f>ROUND(P29/P7,2)</f>
        <v>215.15</v>
      </c>
    </row>
    <row r="31" spans="2:16" x14ac:dyDescent="0.2">
      <c r="E31" s="115" t="s">
        <v>617</v>
      </c>
      <c r="F31" s="115">
        <v>145.19</v>
      </c>
      <c r="J31" s="115" t="s">
        <v>718</v>
      </c>
      <c r="K31" s="115">
        <v>176.03</v>
      </c>
      <c r="O31" s="115" t="s">
        <v>718</v>
      </c>
      <c r="P31" s="115">
        <v>206.86</v>
      </c>
    </row>
    <row r="32" spans="2:16" x14ac:dyDescent="0.2">
      <c r="E32" s="115" t="s">
        <v>602</v>
      </c>
      <c r="F32" s="344">
        <f>(F30-F31)/F31</f>
        <v>4.6353054618086573E-2</v>
      </c>
      <c r="J32" s="115" t="s">
        <v>602</v>
      </c>
      <c r="K32" s="344">
        <f>(K30-K31)/K31</f>
        <v>4.2606373913537464E-2</v>
      </c>
      <c r="O32" s="115" t="s">
        <v>602</v>
      </c>
      <c r="P32" s="344">
        <f>(P30-P31)/P31</f>
        <v>4.0075413323020358E-2</v>
      </c>
    </row>
  </sheetData>
  <mergeCells count="4">
    <mergeCell ref="C2:P2"/>
    <mergeCell ref="C6:F6"/>
    <mergeCell ref="H6:K6"/>
    <mergeCell ref="M6:P6"/>
  </mergeCells>
  <pageMargins left="0.17" right="0.2" top="1" bottom="0.72" header="0.5" footer="0.5"/>
  <pageSetup scale="6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C4DC373-F1CB-41DE-8B98-D24AA4EF5884}">
          <x14:formula1>
            <xm:f>'Master Lookup'!$B$287:$B$289</xm:f>
          </x14:formula1>
          <xm:sqref>C23 M23 H23</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ADDA7-37D7-4B0F-B593-64FC20835382}">
  <sheetPr>
    <pageSetUpPr fitToPage="1"/>
  </sheetPr>
  <dimension ref="C1:W49"/>
  <sheetViews>
    <sheetView topLeftCell="E1" workbookViewId="0">
      <selection activeCell="J37" sqref="J37"/>
    </sheetView>
  </sheetViews>
  <sheetFormatPr defaultRowHeight="15" x14ac:dyDescent="0.25"/>
  <cols>
    <col min="1" max="2" width="0" hidden="1" customWidth="1"/>
    <col min="3" max="3" width="35.7109375" hidden="1" customWidth="1"/>
    <col min="4" max="4" width="0" hidden="1" customWidth="1"/>
    <col min="6" max="6" width="10.140625" hidden="1" customWidth="1"/>
    <col min="7" max="7" width="9.140625" hidden="1" customWidth="1"/>
    <col min="8" max="8" width="9" hidden="1" customWidth="1"/>
    <col min="9" max="9" width="14.5703125" hidden="1" customWidth="1"/>
    <col min="10" max="11" width="0" hidden="1" customWidth="1"/>
    <col min="12" max="12" width="26.140625" bestFit="1" customWidth="1"/>
    <col min="13" max="13" width="8.5703125" bestFit="1" customWidth="1"/>
    <col min="14" max="14" width="6" customWidth="1"/>
    <col min="15" max="15" width="11" bestFit="1" customWidth="1"/>
    <col min="19" max="19" width="21.42578125" bestFit="1" customWidth="1"/>
    <col min="20" max="20" width="11" bestFit="1" customWidth="1"/>
    <col min="21" max="21" width="41.7109375" bestFit="1" customWidth="1"/>
    <col min="22" max="23" width="10.5703125" bestFit="1" customWidth="1"/>
  </cols>
  <sheetData>
    <row r="1" spans="3:12" ht="18" x14ac:dyDescent="0.25">
      <c r="D1" s="1503"/>
      <c r="L1" s="1504" t="s">
        <v>799</v>
      </c>
    </row>
    <row r="3" spans="3:12" ht="15.75" thickBot="1" x14ac:dyDescent="0.3">
      <c r="L3" s="1505"/>
    </row>
    <row r="4" spans="3:12" ht="16.5" hidden="1" thickBot="1" x14ac:dyDescent="0.3">
      <c r="C4" s="1839" t="s">
        <v>343</v>
      </c>
      <c r="D4" s="1840"/>
      <c r="E4" s="1840"/>
      <c r="F4" s="1840"/>
      <c r="G4" s="1840"/>
      <c r="H4" s="1840"/>
      <c r="I4" s="1841"/>
    </row>
    <row r="5" spans="3:12" s="1510" customFormat="1" ht="23.45" hidden="1" customHeight="1" x14ac:dyDescent="0.2">
      <c r="C5" s="1506"/>
      <c r="D5" s="1507" t="s">
        <v>353</v>
      </c>
      <c r="E5" s="1507" t="s">
        <v>643</v>
      </c>
      <c r="F5" s="1508" t="s">
        <v>642</v>
      </c>
      <c r="G5" s="1508" t="s">
        <v>641</v>
      </c>
      <c r="H5" s="1507" t="s">
        <v>640</v>
      </c>
      <c r="I5" s="1509" t="s">
        <v>639</v>
      </c>
    </row>
    <row r="6" spans="3:12" ht="15.75" hidden="1" thickBot="1" x14ac:dyDescent="0.3">
      <c r="C6" s="1511" t="s">
        <v>636</v>
      </c>
      <c r="D6" s="1512">
        <v>8</v>
      </c>
      <c r="E6" s="1512"/>
      <c r="F6" s="1513">
        <f>'[18]Master Lookup'!D18</f>
        <v>36865.745036892295</v>
      </c>
      <c r="G6" s="1513">
        <f>+F6/D6</f>
        <v>4608.2181296115368</v>
      </c>
      <c r="H6" s="1513">
        <f>+G6/52</f>
        <v>88.619579415606481</v>
      </c>
      <c r="I6" s="1514">
        <f>+H6/7</f>
        <v>12.659939916515212</v>
      </c>
    </row>
    <row r="7" spans="3:12" ht="15.75" hidden="1" thickBot="1" x14ac:dyDescent="0.3">
      <c r="C7" s="1515" t="s">
        <v>632</v>
      </c>
      <c r="D7" s="1516">
        <v>6</v>
      </c>
      <c r="E7" s="1516">
        <v>8</v>
      </c>
      <c r="F7" s="1517">
        <f>'[18]Master Lookup'!D19</f>
        <v>44685.751559869437</v>
      </c>
      <c r="G7" s="1517">
        <f>(+F7/D7)/E7</f>
        <v>930.9531574972799</v>
      </c>
      <c r="H7" s="1517">
        <f>+G7/52</f>
        <v>17.902945336486152</v>
      </c>
      <c r="I7" s="1518">
        <f>+H7/7</f>
        <v>2.5575636194980218</v>
      </c>
    </row>
    <row r="8" spans="3:12" ht="15.75" hidden="1" thickBot="1" x14ac:dyDescent="0.3">
      <c r="C8" s="1519" t="s">
        <v>631</v>
      </c>
      <c r="D8" s="1520"/>
      <c r="E8" s="1520"/>
      <c r="F8" s="1521"/>
      <c r="G8" s="1522">
        <f>SUM(G6:G7)</f>
        <v>5539.1712871088166</v>
      </c>
      <c r="H8" s="1522">
        <f>SUM(H6:H7)</f>
        <v>106.52252475209264</v>
      </c>
      <c r="I8" s="1523">
        <f>SUM(I6:I7)</f>
        <v>15.217503536013233</v>
      </c>
    </row>
    <row r="9" spans="3:12" ht="15.75" hidden="1" thickBot="1" x14ac:dyDescent="0.3">
      <c r="C9" s="1511" t="s">
        <v>800</v>
      </c>
      <c r="D9" s="1512"/>
      <c r="E9" s="1512"/>
      <c r="F9" s="1513">
        <f>20000*(1.1%+1)*(4.46%+1)*(2.98%+1)*(2.72%+1)</f>
        <v>22342.875779934719</v>
      </c>
      <c r="G9" s="1513">
        <f>+F9/8</f>
        <v>2792.8594724918398</v>
      </c>
      <c r="H9" s="1513">
        <f>+G9/52</f>
        <v>53.708836009458459</v>
      </c>
      <c r="I9" s="1514">
        <f>+H9/7</f>
        <v>7.6726908584940654</v>
      </c>
    </row>
    <row r="10" spans="3:12" ht="15.75" hidden="1" thickBot="1" x14ac:dyDescent="0.3">
      <c r="C10" s="1515" t="s">
        <v>626</v>
      </c>
      <c r="D10" s="1516"/>
      <c r="E10" s="1516"/>
      <c r="F10" s="1517">
        <f>SUM(F6:F9)*0.1</f>
        <v>10389.437237669646</v>
      </c>
      <c r="G10" s="1517">
        <f>+F10/8</f>
        <v>1298.6796547087058</v>
      </c>
      <c r="H10" s="1517">
        <f>+G10/52</f>
        <v>24.974608744398189</v>
      </c>
      <c r="I10" s="1518">
        <f>+H10/7</f>
        <v>3.5678012491997415</v>
      </c>
    </row>
    <row r="11" spans="3:12" ht="15.75" hidden="1" thickBot="1" x14ac:dyDescent="0.3">
      <c r="C11" s="1519" t="s">
        <v>624</v>
      </c>
      <c r="D11" s="1524"/>
      <c r="E11" s="1524"/>
      <c r="F11" s="1525"/>
      <c r="G11" s="1525"/>
      <c r="H11" s="1525"/>
      <c r="I11" s="1523">
        <f>SUM(I8:I10)</f>
        <v>26.45799564370704</v>
      </c>
    </row>
    <row r="12" spans="3:12" ht="15.75" hidden="1" thickBot="1" x14ac:dyDescent="0.3">
      <c r="C12" s="1526" t="s">
        <v>623</v>
      </c>
      <c r="D12" s="1512"/>
      <c r="E12" s="1512"/>
      <c r="F12" s="1513">
        <f>SUM(F8:F10)*0.25</f>
        <v>8183.0782544010908</v>
      </c>
      <c r="G12" s="1513">
        <f>SUM(G8:G10)*0.25</f>
        <v>2407.6776035773405</v>
      </c>
      <c r="H12" s="1513">
        <f>SUM(H8:H10)*0.25</f>
        <v>46.301492376487317</v>
      </c>
      <c r="I12" s="1514">
        <f>SUM(I8:I10)*0.25</f>
        <v>6.61449891092676</v>
      </c>
    </row>
    <row r="13" spans="3:12" ht="15.75" hidden="1" thickBot="1" x14ac:dyDescent="0.3">
      <c r="C13" s="1527" t="s">
        <v>621</v>
      </c>
      <c r="D13" s="1528"/>
      <c r="E13" s="1528"/>
      <c r="F13" s="1529"/>
      <c r="G13" s="1529"/>
      <c r="H13" s="1529"/>
      <c r="I13" s="1530">
        <f>SUM(I11:I12)</f>
        <v>33.072494554633799</v>
      </c>
    </row>
    <row r="14" spans="3:12" ht="15.75" hidden="1" thickBot="1" x14ac:dyDescent="0.3">
      <c r="C14" s="1531"/>
      <c r="D14" s="1532"/>
      <c r="E14" s="1532"/>
      <c r="F14" s="1533"/>
      <c r="G14" s="1533"/>
      <c r="H14" s="1533"/>
      <c r="I14" s="1534"/>
    </row>
    <row r="15" spans="3:12" ht="15.75" hidden="1" thickBot="1" x14ac:dyDescent="0.3">
      <c r="C15" s="1535" t="s">
        <v>619</v>
      </c>
      <c r="D15" s="1536"/>
      <c r="E15" s="1536"/>
      <c r="F15" s="1537"/>
      <c r="G15" s="1538"/>
      <c r="H15" s="1538"/>
      <c r="I15" s="1539">
        <f>(I13+I19)/0.8*(20%)</f>
        <v>9.0605111867193386</v>
      </c>
    </row>
    <row r="16" spans="3:12" ht="15.75" hidden="1" thickBot="1" x14ac:dyDescent="0.3">
      <c r="C16" s="1540" t="s">
        <v>801</v>
      </c>
      <c r="D16" s="1541"/>
      <c r="E16" s="1542">
        <v>6.3E-3</v>
      </c>
      <c r="F16" s="1543"/>
      <c r="G16" s="1544"/>
      <c r="H16" s="1544"/>
      <c r="I16" s="1545">
        <f>I11*E16</f>
        <v>0.16668537255535434</v>
      </c>
    </row>
    <row r="17" spans="3:21" ht="15.75" hidden="1" thickBot="1" x14ac:dyDescent="0.3">
      <c r="C17" s="1511"/>
      <c r="D17" s="1532"/>
      <c r="E17" s="1532"/>
      <c r="F17" s="1513"/>
      <c r="G17" s="1533"/>
      <c r="H17" s="1533"/>
      <c r="I17" s="1546"/>
    </row>
    <row r="18" spans="3:21" ht="15.75" hidden="1" thickBot="1" x14ac:dyDescent="0.3">
      <c r="C18" s="1547" t="s">
        <v>616</v>
      </c>
      <c r="D18" s="1541"/>
      <c r="E18" s="1541"/>
      <c r="F18" s="1543"/>
      <c r="G18" s="1544"/>
      <c r="H18" s="1544"/>
      <c r="I18" s="1548">
        <f>I13+I15+I16</f>
        <v>42.299691113908494</v>
      </c>
    </row>
    <row r="19" spans="3:21" ht="15.75" hidden="1" thickBot="1" x14ac:dyDescent="0.3">
      <c r="C19" s="1526" t="s">
        <v>614</v>
      </c>
      <c r="D19" s="1549"/>
      <c r="E19" s="1549"/>
      <c r="F19" s="1513"/>
      <c r="G19" s="1550"/>
      <c r="H19" s="1513"/>
      <c r="I19" s="1514">
        <f>2.84*(1%+1)*(4.46%+1)*(2.98%+1)*(2.72%+1)</f>
        <v>3.1695501922435585</v>
      </c>
    </row>
    <row r="20" spans="3:21" ht="15.75" hidden="1" thickBot="1" x14ac:dyDescent="0.3">
      <c r="C20" s="1526" t="s">
        <v>802</v>
      </c>
      <c r="D20" s="1549"/>
      <c r="E20" s="1551">
        <f>'[18]Fall 2018'!BQ39</f>
        <v>2.5376928471248276E-2</v>
      </c>
      <c r="F20" s="1513"/>
      <c r="G20" s="1550"/>
      <c r="H20" s="1513"/>
      <c r="I20" s="1518">
        <f>(I18+I19)*(E20)</f>
        <v>1.1538696842681482</v>
      </c>
    </row>
    <row r="21" spans="3:21" ht="15.75" hidden="1" thickBot="1" x14ac:dyDescent="0.3">
      <c r="C21" s="1552" t="s">
        <v>613</v>
      </c>
      <c r="D21" s="1553"/>
      <c r="E21" s="1553"/>
      <c r="F21" s="1554"/>
      <c r="G21" s="1554"/>
      <c r="H21" s="1555"/>
      <c r="I21" s="1556">
        <f>SUM(I18:I19)+I20</f>
        <v>46.623110990420201</v>
      </c>
    </row>
    <row r="22" spans="3:21" ht="15.75" thickBot="1" x14ac:dyDescent="0.3">
      <c r="C22" s="1557"/>
      <c r="D22" s="1512"/>
      <c r="E22" s="1558"/>
      <c r="F22" s="1558"/>
      <c r="G22" s="1559"/>
      <c r="H22" s="1512"/>
      <c r="I22" s="1512"/>
      <c r="L22" s="1842" t="s">
        <v>343</v>
      </c>
      <c r="M22" s="1843"/>
      <c r="N22" s="1843"/>
      <c r="O22" s="1844"/>
    </row>
    <row r="23" spans="3:21" ht="15.75" thickBot="1" x14ac:dyDescent="0.3">
      <c r="C23" s="1557"/>
      <c r="D23" s="1512"/>
      <c r="E23" s="1558"/>
      <c r="F23" s="1558"/>
      <c r="G23" s="1559"/>
      <c r="H23" s="1512"/>
      <c r="I23" s="1512"/>
      <c r="L23" s="1560"/>
      <c r="M23" s="649" t="s">
        <v>645</v>
      </c>
      <c r="N23" s="649" t="s">
        <v>334</v>
      </c>
      <c r="O23" s="1561" t="s">
        <v>459</v>
      </c>
      <c r="S23" s="1845" t="s">
        <v>654</v>
      </c>
      <c r="T23" s="1846"/>
      <c r="U23" s="1847"/>
    </row>
    <row r="24" spans="3:21" x14ac:dyDescent="0.25">
      <c r="C24" s="1557"/>
      <c r="D24" s="1512"/>
      <c r="E24" s="1558"/>
      <c r="F24" s="1558"/>
      <c r="G24" s="1559"/>
      <c r="H24" s="1512"/>
      <c r="I24" s="1512"/>
      <c r="L24" s="427" t="s">
        <v>803</v>
      </c>
      <c r="M24" s="1562">
        <f>T25</f>
        <v>66537.12000000001</v>
      </c>
      <c r="N24" s="464">
        <v>0.6</v>
      </c>
      <c r="O24" s="1563">
        <f>M24*N24</f>
        <v>39922.272000000004</v>
      </c>
      <c r="S24" s="1564"/>
      <c r="T24" s="1565"/>
      <c r="U24" s="1566"/>
    </row>
    <row r="25" spans="3:21" ht="15.75" thickBot="1" x14ac:dyDescent="0.3">
      <c r="C25" s="1567"/>
      <c r="D25" s="1512"/>
      <c r="E25" s="1568"/>
      <c r="F25" s="1569"/>
      <c r="G25" s="1558"/>
      <c r="H25" s="1512"/>
      <c r="I25" s="1570"/>
      <c r="L25" s="427" t="str">
        <f>S26</f>
        <v>IFC Staff</v>
      </c>
      <c r="M25" s="1562">
        <f>T26</f>
        <v>56388.633600000001</v>
      </c>
      <c r="N25" s="464">
        <v>1</v>
      </c>
      <c r="O25" s="1563">
        <f>M25*N25</f>
        <v>56388.633600000001</v>
      </c>
      <c r="S25" s="427" t="s">
        <v>342</v>
      </c>
      <c r="T25" s="1562">
        <f>'M2024 BLS SALARY CHART (53_PCT)'!C12</f>
        <v>66537.12000000001</v>
      </c>
      <c r="U25" s="660" t="s">
        <v>809</v>
      </c>
    </row>
    <row r="26" spans="3:21" ht="15.75" thickBot="1" x14ac:dyDescent="0.3">
      <c r="C26" s="1567"/>
      <c r="D26" s="1512"/>
      <c r="E26" s="1558"/>
      <c r="F26" s="1558"/>
      <c r="G26" s="1558"/>
      <c r="H26" s="1512"/>
      <c r="I26" s="1513"/>
      <c r="L26" s="1560" t="s">
        <v>804</v>
      </c>
      <c r="M26" s="649"/>
      <c r="N26" s="649">
        <f>SUM(N24:N25)</f>
        <v>1.6</v>
      </c>
      <c r="O26" s="1571">
        <f>SUM(O24:O25)</f>
        <v>96310.905599999998</v>
      </c>
      <c r="S26" s="427" t="s">
        <v>341</v>
      </c>
      <c r="T26" s="1562">
        <f>'M2024 BLS SALARY CHART (53_PCT)'!C8</f>
        <v>56388.633600000001</v>
      </c>
      <c r="U26" s="660" t="s">
        <v>810</v>
      </c>
    </row>
    <row r="27" spans="3:21" x14ac:dyDescent="0.25">
      <c r="C27" s="1567"/>
      <c r="D27" s="1512"/>
      <c r="E27" s="1559"/>
      <c r="F27" s="1572"/>
      <c r="G27" s="1558"/>
      <c r="H27" s="1512"/>
      <c r="I27" s="1573"/>
      <c r="L27" s="427"/>
      <c r="M27" s="464"/>
      <c r="N27" s="464"/>
      <c r="O27" s="1563"/>
      <c r="S27" s="427"/>
      <c r="T27" s="1562"/>
      <c r="U27" s="660"/>
    </row>
    <row r="28" spans="3:21" x14ac:dyDescent="0.25">
      <c r="L28" s="427" t="s">
        <v>579</v>
      </c>
      <c r="M28" s="464"/>
      <c r="N28" s="464"/>
      <c r="O28" s="1563"/>
      <c r="S28" s="427" t="s">
        <v>339</v>
      </c>
      <c r="T28" s="1562">
        <f>3746.50559123896*(1+T38)</f>
        <v>3848.0358927615353</v>
      </c>
      <c r="U28" s="660" t="s">
        <v>812</v>
      </c>
    </row>
    <row r="29" spans="3:21" ht="15.75" thickBot="1" x14ac:dyDescent="0.3">
      <c r="L29" s="427" t="s">
        <v>805</v>
      </c>
      <c r="M29" s="426">
        <f>T32</f>
        <v>0.24970000000000001</v>
      </c>
      <c r="N29" s="464"/>
      <c r="O29" s="1563">
        <f>M29*O26</f>
        <v>24048.833128319999</v>
      </c>
      <c r="S29" s="427" t="s">
        <v>521</v>
      </c>
      <c r="T29" s="1562">
        <f>202.397341637339*(1+T38)</f>
        <v>207.88230959571086</v>
      </c>
      <c r="U29" s="660" t="s">
        <v>812</v>
      </c>
    </row>
    <row r="30" spans="3:21" ht="15.75" thickBot="1" x14ac:dyDescent="0.3">
      <c r="L30" s="1560" t="s">
        <v>609</v>
      </c>
      <c r="M30" s="649"/>
      <c r="N30" s="649"/>
      <c r="O30" s="1571">
        <f>SUM(O26:O29)</f>
        <v>120359.73872831999</v>
      </c>
      <c r="S30" s="427"/>
      <c r="T30" s="1562"/>
      <c r="U30" s="660"/>
    </row>
    <row r="31" spans="3:21" x14ac:dyDescent="0.25">
      <c r="L31" s="427"/>
      <c r="M31" s="1562"/>
      <c r="N31" s="464"/>
      <c r="O31" s="1563"/>
      <c r="S31" s="427"/>
      <c r="T31" s="464"/>
      <c r="U31" s="660"/>
    </row>
    <row r="32" spans="3:21" x14ac:dyDescent="0.25">
      <c r="L32" s="427" t="s">
        <v>339</v>
      </c>
      <c r="M32" s="1562">
        <f>T28</f>
        <v>3848.0358927615353</v>
      </c>
      <c r="N32" s="464"/>
      <c r="O32" s="1563">
        <f>M32*N26</f>
        <v>6156.8574284184569</v>
      </c>
      <c r="S32" s="427" t="s">
        <v>625</v>
      </c>
      <c r="T32" s="426">
        <f>'M2024 BLS SALARY CHART (53_PCT)'!C40</f>
        <v>0.24970000000000001</v>
      </c>
      <c r="U32" s="1575" t="s">
        <v>813</v>
      </c>
    </row>
    <row r="33" spans="12:23" x14ac:dyDescent="0.25">
      <c r="L33" s="427" t="s">
        <v>521</v>
      </c>
      <c r="M33" s="1562">
        <f>T29</f>
        <v>207.88230959571086</v>
      </c>
      <c r="N33" s="464"/>
      <c r="O33" s="1563">
        <f>M33*N26</f>
        <v>332.61169535313741</v>
      </c>
      <c r="S33" s="427" t="s">
        <v>28</v>
      </c>
      <c r="T33" s="426">
        <v>0.12</v>
      </c>
      <c r="U33" s="660" t="s">
        <v>806</v>
      </c>
    </row>
    <row r="34" spans="12:23" x14ac:dyDescent="0.25">
      <c r="L34" s="427"/>
      <c r="M34" s="1562"/>
      <c r="N34" s="464"/>
      <c r="O34" s="1574"/>
      <c r="S34" s="1576"/>
      <c r="T34" s="1577"/>
      <c r="U34" s="1578"/>
    </row>
    <row r="35" spans="12:23" ht="15.75" thickBot="1" x14ac:dyDescent="0.3">
      <c r="L35" s="427"/>
      <c r="M35" s="1562"/>
      <c r="N35" s="464"/>
      <c r="O35" s="660"/>
      <c r="S35" s="1579" t="s">
        <v>622</v>
      </c>
      <c r="T35" s="1580">
        <f>'CAF Spring 2025'!CT26</f>
        <v>2.5282070971092779E-2</v>
      </c>
      <c r="U35" s="1581" t="s">
        <v>716</v>
      </c>
    </row>
    <row r="36" spans="12:23" ht="15.75" thickBot="1" x14ac:dyDescent="0.3">
      <c r="L36" s="427"/>
      <c r="M36" s="1562"/>
      <c r="N36" s="464"/>
      <c r="O36" s="660"/>
      <c r="S36" s="464"/>
      <c r="T36" s="464"/>
      <c r="U36" s="464"/>
    </row>
    <row r="37" spans="12:23" ht="15.75" thickBot="1" x14ac:dyDescent="0.3">
      <c r="L37" s="1560" t="s">
        <v>807</v>
      </c>
      <c r="M37" s="649"/>
      <c r="N37" s="649"/>
      <c r="O37" s="1571">
        <f>SUM(O30:O36)</f>
        <v>126849.20785209158</v>
      </c>
      <c r="T37" s="1127">
        <v>1.06E-2</v>
      </c>
      <c r="V37" s="1136"/>
      <c r="W37" s="1136"/>
    </row>
    <row r="38" spans="12:23" ht="15.75" thickBot="1" x14ac:dyDescent="0.3">
      <c r="L38" s="1564" t="s">
        <v>808</v>
      </c>
      <c r="M38" s="1582">
        <f>T33</f>
        <v>0.12</v>
      </c>
      <c r="N38" s="1565"/>
      <c r="O38" s="1583">
        <f>M38*O37</f>
        <v>15221.904942250989</v>
      </c>
      <c r="T38" s="1127">
        <v>2.7099999999999999E-2</v>
      </c>
      <c r="V38" s="1136"/>
      <c r="W38" s="1136"/>
    </row>
    <row r="39" spans="12:23" x14ac:dyDescent="0.25">
      <c r="L39" s="1564" t="s">
        <v>568</v>
      </c>
      <c r="M39" s="1565"/>
      <c r="N39" s="1565"/>
      <c r="O39" s="1583">
        <f>SUM(O37:O38)</f>
        <v>142071.11279434257</v>
      </c>
    </row>
    <row r="40" spans="12:23" ht="15.75" thickBot="1" x14ac:dyDescent="0.3">
      <c r="L40" s="1584" t="s">
        <v>811</v>
      </c>
      <c r="M40" s="1585">
        <f>T35</f>
        <v>2.5282070971092779E-2</v>
      </c>
      <c r="N40" s="1586"/>
      <c r="O40" s="1587">
        <f>M40*O39</f>
        <v>3591.8519566086961</v>
      </c>
    </row>
    <row r="41" spans="12:23" ht="15.75" thickTop="1" x14ac:dyDescent="0.25">
      <c r="L41" s="427" t="s">
        <v>453</v>
      </c>
      <c r="M41" s="464"/>
      <c r="N41" s="464"/>
      <c r="O41" s="1563">
        <f>SUM(O39:O40)</f>
        <v>145662.96475095127</v>
      </c>
    </row>
    <row r="42" spans="12:23" ht="15.75" thickBot="1" x14ac:dyDescent="0.3">
      <c r="L42" s="1588" t="s">
        <v>568</v>
      </c>
      <c r="M42" s="1589"/>
      <c r="N42" s="1589"/>
      <c r="O42" s="1590">
        <f>(O41/360)/6</f>
        <v>67.436557755070041</v>
      </c>
      <c r="P42" s="1099">
        <f>(O42-O43)/O42</f>
        <v>6.1043414612314606E-2</v>
      </c>
    </row>
    <row r="43" spans="12:23" x14ac:dyDescent="0.25">
      <c r="L43" s="464"/>
      <c r="M43" s="464"/>
      <c r="N43" s="464"/>
      <c r="O43" s="1100">
        <v>63.32</v>
      </c>
    </row>
    <row r="44" spans="12:23" ht="15.75" thickBot="1" x14ac:dyDescent="0.3"/>
    <row r="45" spans="12:23" x14ac:dyDescent="0.25">
      <c r="O45" s="1786" t="s">
        <v>798</v>
      </c>
      <c r="P45" s="1788"/>
    </row>
    <row r="46" spans="12:23" x14ac:dyDescent="0.25">
      <c r="O46" s="1789"/>
      <c r="P46" s="1791"/>
    </row>
    <row r="47" spans="12:23" x14ac:dyDescent="0.25">
      <c r="O47" s="1789"/>
      <c r="P47" s="1791"/>
    </row>
    <row r="48" spans="12:23" x14ac:dyDescent="0.25">
      <c r="O48" s="1789"/>
      <c r="P48" s="1791"/>
    </row>
    <row r="49" spans="15:16" ht="15.75" thickBot="1" x14ac:dyDescent="0.3">
      <c r="O49" s="1792"/>
      <c r="P49" s="1794"/>
    </row>
  </sheetData>
  <mergeCells count="4">
    <mergeCell ref="C4:I4"/>
    <mergeCell ref="L22:O22"/>
    <mergeCell ref="S23:U23"/>
    <mergeCell ref="O45:P49"/>
  </mergeCells>
  <pageMargins left="0.7" right="0.7" top="0.75" bottom="0.75" header="0.3" footer="0.3"/>
  <pageSetup scale="93"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5024B-BB4A-429E-AFA6-C0BFE279E3BF}">
  <dimension ref="B1:H28"/>
  <sheetViews>
    <sheetView zoomScaleNormal="100" workbookViewId="0">
      <selection activeCell="J37" sqref="J37"/>
    </sheetView>
  </sheetViews>
  <sheetFormatPr defaultColWidth="8.85546875" defaultRowHeight="12.75" x14ac:dyDescent="0.2"/>
  <cols>
    <col min="1" max="1" width="4.7109375" style="340" customWidth="1"/>
    <col min="2" max="2" width="3.42578125" style="340" customWidth="1"/>
    <col min="3" max="3" width="32.5703125" style="340" customWidth="1"/>
    <col min="4" max="4" width="11.28515625" style="340" customWidth="1"/>
    <col min="5" max="5" width="12.42578125" style="340" bestFit="1" customWidth="1"/>
    <col min="6" max="6" width="10.85546875" style="340" customWidth="1"/>
    <col min="7" max="7" width="11.5703125" style="340" bestFit="1" customWidth="1"/>
    <col min="8" max="16384" width="8.85546875" style="340"/>
  </cols>
  <sheetData>
    <row r="1" spans="2:8" ht="13.5" thickBot="1" x14ac:dyDescent="0.25"/>
    <row r="2" spans="2:8" ht="13.5" thickBot="1" x14ac:dyDescent="0.25">
      <c r="C2" s="1848" t="s">
        <v>401</v>
      </c>
      <c r="D2" s="1849"/>
      <c r="E2" s="1849"/>
      <c r="F2" s="1850"/>
    </row>
    <row r="3" spans="2:8" x14ac:dyDescent="0.2">
      <c r="C3" s="828"/>
      <c r="D3" s="827"/>
      <c r="E3" s="826" t="s">
        <v>567</v>
      </c>
      <c r="F3" s="825">
        <v>507</v>
      </c>
    </row>
    <row r="4" spans="2:8" x14ac:dyDescent="0.2">
      <c r="C4" s="824"/>
      <c r="D4" s="823" t="s">
        <v>331</v>
      </c>
      <c r="E4" s="823" t="s">
        <v>334</v>
      </c>
      <c r="F4" s="822" t="s">
        <v>458</v>
      </c>
      <c r="G4" s="344"/>
      <c r="H4" s="341"/>
    </row>
    <row r="5" spans="2:8" ht="15" x14ac:dyDescent="0.25">
      <c r="B5" s="326">
        <v>1</v>
      </c>
      <c r="C5" s="666" t="str">
        <f>IF(INDEX('Master Lookup'!$B$216:$B$222,B5)=0,"",INDEX('Master Lookup'!$B$216:$B$222,B5))</f>
        <v>Management</v>
      </c>
      <c r="D5" s="379">
        <f>INDEX('Master Lookup FY26'!D216:D217,MATCH(C5,'Master Lookup FY26'!B216:B217,0))</f>
        <v>81486.911999999997</v>
      </c>
      <c r="E5" s="430">
        <f>IFERROR(INDEX('Master Lookup'!$E$216:$E$222,MATCH(C5,'Master Lookup'!$B$216:$B$222,0)),"")</f>
        <v>0.05</v>
      </c>
      <c r="F5" s="801">
        <f t="shared" ref="F5:F10" si="0">IFERROR(E5*D5,0)</f>
        <v>4074.3456000000001</v>
      </c>
      <c r="G5" s="811"/>
    </row>
    <row r="6" spans="2:8" ht="15" x14ac:dyDescent="0.25">
      <c r="B6" s="326">
        <v>2</v>
      </c>
      <c r="C6" s="666" t="str">
        <f>IF(INDEX('Master Lookup'!$B$216:$B$222,B6)=0,"",INDEX('Master Lookup'!$B$216:$B$222,B6))</f>
        <v>Direct Care Staff</v>
      </c>
      <c r="D6" s="379">
        <f>INDEX('Master Lookup FY26'!D217:D218,MATCH(C6,'Master Lookup FY26'!B217:B218,0))</f>
        <v>46842.432000000008</v>
      </c>
      <c r="E6" s="430">
        <f>IFERROR(INDEX('Master Lookup'!$E$216:$E$222,MATCH(C6,'Master Lookup'!$B$216:$B$222,0)),"")</f>
        <v>0.05</v>
      </c>
      <c r="F6" s="801">
        <f t="shared" si="0"/>
        <v>2342.1216000000004</v>
      </c>
    </row>
    <row r="7" spans="2:8" ht="15" hidden="1" x14ac:dyDescent="0.25">
      <c r="B7" s="326">
        <v>3</v>
      </c>
      <c r="C7" s="665" t="str">
        <f>IF(INDEX('Master Lookup'!$B$216:$B$222,B7)=0,"",INDEX('Master Lookup'!$B$216:$B$222,B7))</f>
        <v/>
      </c>
      <c r="D7" s="793"/>
      <c r="E7" s="678" t="str">
        <f>IFERROR(INDEX('Master Lookup'!$E$216:$E$222,MATCH(C7,'Master Lookup'!$B$216:$B$222,0)),"")</f>
        <v/>
      </c>
      <c r="F7" s="799">
        <f t="shared" si="0"/>
        <v>0</v>
      </c>
    </row>
    <row r="8" spans="2:8" ht="15" hidden="1" x14ac:dyDescent="0.25">
      <c r="B8" s="326">
        <v>4</v>
      </c>
      <c r="C8" s="665" t="str">
        <f>IF(INDEX('Master Lookup'!$B$216:$B$222,B8)=0,"",INDEX('Master Lookup'!$B$216:$B$222,B8))</f>
        <v/>
      </c>
      <c r="D8" s="793"/>
      <c r="E8" s="678" t="str">
        <f>IFERROR(INDEX('Master Lookup'!$E$216:$E$222,MATCH(C8,'Master Lookup'!$B$216:$B$222,0)),"")</f>
        <v/>
      </c>
      <c r="F8" s="799">
        <f t="shared" si="0"/>
        <v>0</v>
      </c>
    </row>
    <row r="9" spans="2:8" ht="15" hidden="1" x14ac:dyDescent="0.25">
      <c r="B9" s="326">
        <v>5</v>
      </c>
      <c r="C9" s="665" t="str">
        <f>IF(INDEX('Master Lookup'!$B$216:$B$222,B9)=0,"",INDEX('Master Lookup'!$B$216:$B$222,B9))</f>
        <v/>
      </c>
      <c r="D9" s="793"/>
      <c r="E9" s="678" t="str">
        <f>IFERROR(INDEX('Master Lookup'!$E$216:$E$222,MATCH(C9,'Master Lookup'!$B$216:$B$222,0)),"")</f>
        <v/>
      </c>
      <c r="F9" s="799">
        <f t="shared" si="0"/>
        <v>0</v>
      </c>
    </row>
    <row r="10" spans="2:8" ht="15" hidden="1" x14ac:dyDescent="0.25">
      <c r="B10" s="326">
        <v>6</v>
      </c>
      <c r="C10" s="665" t="str">
        <f>IF(INDEX('Master Lookup'!$B$216:$B$222,B10)=0,"",INDEX('Master Lookup'!$B$216:$B$222,B10))</f>
        <v/>
      </c>
      <c r="D10" s="793"/>
      <c r="E10" s="678" t="str">
        <f>IFERROR(INDEX('Master Lookup'!$E$216:$E$222,MATCH(C10,'Master Lookup'!$B$216:$B$222,0)),"")</f>
        <v/>
      </c>
      <c r="F10" s="799">
        <f t="shared" si="0"/>
        <v>0</v>
      </c>
    </row>
    <row r="11" spans="2:8" x14ac:dyDescent="0.2">
      <c r="C11" s="702" t="s">
        <v>457</v>
      </c>
      <c r="D11" s="790"/>
      <c r="E11" s="798">
        <f>SUM(E5:E10)</f>
        <v>0.1</v>
      </c>
      <c r="F11" s="796">
        <f>SUM(F5:F10)</f>
        <v>6416.467200000001</v>
      </c>
    </row>
    <row r="12" spans="2:8" ht="15" x14ac:dyDescent="0.25">
      <c r="C12" s="671" t="s">
        <v>322</v>
      </c>
      <c r="D12" s="790"/>
      <c r="E12" s="530">
        <f>INDEX('Master Lookup FY26'!C231:C233,MATCH(C12,'Master Lookup FY26'!B231:B233,0))</f>
        <v>0.24970000000000001</v>
      </c>
      <c r="F12" s="797">
        <f>F11*E12</f>
        <v>1602.1918598400002</v>
      </c>
    </row>
    <row r="13" spans="2:8" ht="15" x14ac:dyDescent="0.25">
      <c r="C13" s="663" t="s">
        <v>550</v>
      </c>
      <c r="D13" s="790"/>
      <c r="E13" s="790"/>
      <c r="F13" s="796">
        <f>SUM(F11:F12)</f>
        <v>8018.6590598400016</v>
      </c>
    </row>
    <row r="14" spans="2:8" x14ac:dyDescent="0.2">
      <c r="C14" s="698"/>
      <c r="D14" s="790"/>
      <c r="E14" s="790"/>
      <c r="F14" s="795"/>
    </row>
    <row r="15" spans="2:8" ht="15" x14ac:dyDescent="0.25">
      <c r="C15" s="667" t="s">
        <v>326</v>
      </c>
      <c r="F15" s="794"/>
    </row>
    <row r="16" spans="2:8" ht="15" x14ac:dyDescent="0.25">
      <c r="B16" s="326">
        <v>1</v>
      </c>
      <c r="C16" s="666" t="str">
        <f>IF(INDEX('Master Lookup'!$B$225:$B$229,B16)=0,"",INDEX('Master Lookup'!$B$225:$B$229,B16))</f>
        <v>Program Supplies &amp; Materials 215</v>
      </c>
      <c r="E16" s="821">
        <f>IFERROR(INDEX('Master Lookup FY26'!C225,MATCH(C16,'Master Lookup FY26'!B225,0)),"")</f>
        <v>20.870671999999999</v>
      </c>
      <c r="F16" s="539">
        <f>IFERROR(F3*E16,0)</f>
        <v>10581.430704</v>
      </c>
    </row>
    <row r="17" spans="2:6" ht="15" hidden="1" x14ac:dyDescent="0.25">
      <c r="B17" s="326">
        <v>2</v>
      </c>
      <c r="C17" s="665" t="str">
        <f>IF(INDEX('Master Lookup'!$B$225:$B$229,B17)=0,"",INDEX('Master Lookup'!$B$225:$B$229,B17))</f>
        <v/>
      </c>
      <c r="D17" s="793"/>
      <c r="E17" s="820" t="str">
        <f>IFERROR(INDEX('Master Lookup'!$C$225:$C$229,MATCH(C17,'Master Lookup'!$B$225:$B$229,0)),"")</f>
        <v/>
      </c>
      <c r="F17" s="792">
        <f>IFERROR(F4*E17,0)</f>
        <v>0</v>
      </c>
    </row>
    <row r="18" spans="2:6" ht="15" hidden="1" x14ac:dyDescent="0.25">
      <c r="B18" s="326">
        <v>3</v>
      </c>
      <c r="C18" s="665" t="str">
        <f>IF(INDEX('Master Lookup'!$B$225:$B$229,B18)=0,"",INDEX('Master Lookup'!$B$225:$B$229,B18))</f>
        <v/>
      </c>
      <c r="D18" s="793"/>
      <c r="E18" s="820" t="str">
        <f>IFERROR(INDEX('Master Lookup'!$C$225:$C$229,MATCH(C18,'Master Lookup'!$B$225:$B$229,0)),"")</f>
        <v/>
      </c>
      <c r="F18" s="792">
        <f>IFERROR(F5*E18,0)</f>
        <v>0</v>
      </c>
    </row>
    <row r="19" spans="2:6" ht="15" hidden="1" x14ac:dyDescent="0.25">
      <c r="B19" s="326">
        <v>4</v>
      </c>
      <c r="C19" s="665" t="str">
        <f>IF(INDEX('Master Lookup'!$B$225:$B$229,B19)=0,"",INDEX('Master Lookup'!$B$225:$B$229,B19))</f>
        <v/>
      </c>
      <c r="D19" s="793"/>
      <c r="E19" s="820" t="str">
        <f>IFERROR(INDEX('Master Lookup'!$C$225:$C$229,MATCH(C19,'Master Lookup'!$B$225:$B$229,0)),"")</f>
        <v/>
      </c>
      <c r="F19" s="792">
        <f>IFERROR(F6*E19,0)</f>
        <v>0</v>
      </c>
    </row>
    <row r="20" spans="2:6" ht="15" x14ac:dyDescent="0.25">
      <c r="C20" s="663" t="s">
        <v>492</v>
      </c>
      <c r="D20" s="790"/>
      <c r="E20" s="790"/>
      <c r="F20" s="496">
        <f>SUM(F16:F19)</f>
        <v>10581.430704</v>
      </c>
    </row>
    <row r="21" spans="2:6" ht="15.75" x14ac:dyDescent="0.25">
      <c r="C21" s="661"/>
      <c r="D21" s="789"/>
      <c r="E21" s="789"/>
      <c r="F21" s="791"/>
    </row>
    <row r="22" spans="2:6" ht="30" x14ac:dyDescent="0.25">
      <c r="C22" s="372" t="s">
        <v>491</v>
      </c>
      <c r="D22" s="789"/>
      <c r="E22" s="790"/>
      <c r="F22" s="496">
        <f>SUM(F20,F13)</f>
        <v>18600.089763840002</v>
      </c>
    </row>
    <row r="23" spans="2:6" ht="15" x14ac:dyDescent="0.25">
      <c r="C23" s="659" t="s">
        <v>320</v>
      </c>
      <c r="D23" s="495">
        <f>INDEX('Master Lookup FY26'!C231:C233,MATCH(C23,'Master Lookup FY26'!B231:B233,0))</f>
        <v>0.12</v>
      </c>
      <c r="E23" s="789"/>
      <c r="F23" s="788">
        <f>F22*D23</f>
        <v>2232.0107716607999</v>
      </c>
    </row>
    <row r="24" spans="2:6" ht="15" x14ac:dyDescent="0.25">
      <c r="C24" s="657" t="s">
        <v>321</v>
      </c>
      <c r="D24" s="426">
        <f>INDEX('Master Lookup FY26'!C232:C234,MATCH(C24,'Master Lookup FY26'!B232:B234,0))</f>
        <v>2.5282070971092779E-2</v>
      </c>
      <c r="E24" s="819"/>
      <c r="F24" s="818">
        <f>(F22+F23)*D24</f>
        <v>526.67864421547119</v>
      </c>
    </row>
    <row r="25" spans="2:6" ht="15.75" thickBot="1" x14ac:dyDescent="0.3">
      <c r="C25" s="817" t="s">
        <v>453</v>
      </c>
      <c r="D25" s="816"/>
      <c r="E25" s="816"/>
      <c r="F25" s="815">
        <f>SUM(F22:F24)</f>
        <v>21358.779179716272</v>
      </c>
    </row>
    <row r="26" spans="2:6" ht="13.5" thickBot="1" x14ac:dyDescent="0.25">
      <c r="C26" s="814" t="s">
        <v>566</v>
      </c>
      <c r="D26" s="813"/>
      <c r="E26" s="813"/>
      <c r="F26" s="812">
        <f>ROUND(F25/F3,2)</f>
        <v>42.13</v>
      </c>
    </row>
    <row r="27" spans="2:6" x14ac:dyDescent="0.2">
      <c r="E27" s="340" t="s">
        <v>746</v>
      </c>
      <c r="F27" s="811">
        <v>40.869999999999997</v>
      </c>
    </row>
    <row r="28" spans="2:6" x14ac:dyDescent="0.2">
      <c r="E28" s="340" t="s">
        <v>747</v>
      </c>
      <c r="F28" s="344">
        <f>(F26-F27)/F27</f>
        <v>3.0829459261071817E-2</v>
      </c>
    </row>
  </sheetData>
  <mergeCells count="1">
    <mergeCell ref="C2:F2"/>
  </mergeCells>
  <pageMargins left="0.7" right="0.7" top="0.75" bottom="0.75" header="0.3" footer="0.3"/>
  <pageSetup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FEC56-938C-46E3-AC73-67F792EF16F5}">
  <dimension ref="A1:M50"/>
  <sheetViews>
    <sheetView zoomScaleNormal="100" workbookViewId="0">
      <selection activeCell="C4" sqref="C4:D4"/>
    </sheetView>
  </sheetViews>
  <sheetFormatPr defaultRowHeight="15" x14ac:dyDescent="0.25"/>
  <cols>
    <col min="2" max="2" width="28.85546875" bestFit="1" customWidth="1"/>
    <col min="3" max="3" width="8.28515625" bestFit="1" customWidth="1"/>
    <col min="4" max="4" width="14.7109375" bestFit="1" customWidth="1"/>
    <col min="5" max="5" width="8.28515625" bestFit="1" customWidth="1"/>
    <col min="6" max="6" width="14.7109375" bestFit="1" customWidth="1"/>
    <col min="7" max="7" width="13.5703125" customWidth="1"/>
    <col min="8" max="8" width="15.140625" customWidth="1"/>
    <col min="9" max="9" width="11.140625" bestFit="1" customWidth="1"/>
    <col min="10" max="10" width="13.42578125" customWidth="1"/>
    <col min="11" max="13" width="11.140625" bestFit="1" customWidth="1"/>
  </cols>
  <sheetData>
    <row r="1" spans="2:10" ht="15.75" thickBot="1" x14ac:dyDescent="0.3">
      <c r="H1" s="1308"/>
    </row>
    <row r="2" spans="2:10" x14ac:dyDescent="0.25">
      <c r="B2" s="1859" t="s">
        <v>659</v>
      </c>
      <c r="C2" s="1860"/>
      <c r="D2" s="1860"/>
      <c r="E2" s="1860"/>
      <c r="F2" s="1861"/>
      <c r="H2" s="1309"/>
    </row>
    <row r="3" spans="2:10" ht="29.45" customHeight="1" thickBot="1" x14ac:dyDescent="0.3">
      <c r="B3" s="1862"/>
      <c r="C3" s="1863"/>
      <c r="D3" s="1863"/>
      <c r="E3" s="1863"/>
      <c r="F3" s="1864"/>
      <c r="H3" s="1309"/>
    </row>
    <row r="4" spans="2:10" x14ac:dyDescent="0.25">
      <c r="B4" s="247" t="s">
        <v>118</v>
      </c>
      <c r="C4" s="1865" t="s">
        <v>710</v>
      </c>
      <c r="D4" s="1866"/>
      <c r="E4" s="1867" t="s">
        <v>711</v>
      </c>
      <c r="F4" s="1868"/>
      <c r="H4" s="1308"/>
    </row>
    <row r="5" spans="2:10" x14ac:dyDescent="0.25">
      <c r="B5" s="154" t="s">
        <v>327</v>
      </c>
      <c r="C5" s="1125">
        <v>22.520400000000002</v>
      </c>
      <c r="D5" s="1126">
        <v>46842.432000000008</v>
      </c>
      <c r="E5" s="1144">
        <f>'M2024 BLS SALARY CHART (53_PCT)'!C5</f>
        <v>22.520400000000002</v>
      </c>
      <c r="F5" s="1126">
        <f>E5*2080</f>
        <v>46842.432000000008</v>
      </c>
      <c r="G5" s="1127">
        <f>(F5-D5)/D5</f>
        <v>0</v>
      </c>
      <c r="J5" s="1129" t="s">
        <v>675</v>
      </c>
    </row>
    <row r="6" spans="2:10" x14ac:dyDescent="0.25">
      <c r="B6" s="154" t="s">
        <v>340</v>
      </c>
      <c r="C6" s="232">
        <v>27.109919999999999</v>
      </c>
      <c r="D6" s="1128">
        <v>56388.633600000001</v>
      </c>
      <c r="E6" s="1143">
        <f>'M2024 BLS SALARY CHART (53_PCT)'!C7</f>
        <v>27.109919999999999</v>
      </c>
      <c r="F6" s="1128">
        <f t="shared" ref="F6:F19" si="0">E6*2080</f>
        <v>56388.633600000001</v>
      </c>
      <c r="G6" s="1127">
        <f t="shared" ref="G6:G23" si="1">(F6-D6)/D6</f>
        <v>0</v>
      </c>
    </row>
    <row r="7" spans="2:10" x14ac:dyDescent="0.25">
      <c r="B7" s="154" t="s">
        <v>660</v>
      </c>
      <c r="C7" s="232">
        <v>22.0016</v>
      </c>
      <c r="D7" s="1128">
        <v>45763.328000000001</v>
      </c>
      <c r="E7" s="1143">
        <f>'M2024 BLS SALARY CHART (53_PCT)'!C9</f>
        <v>22.0016</v>
      </c>
      <c r="F7" s="1128">
        <f t="shared" si="0"/>
        <v>45763.328000000001</v>
      </c>
      <c r="G7" s="1127">
        <f t="shared" si="1"/>
        <v>0</v>
      </c>
      <c r="J7" t="s">
        <v>771</v>
      </c>
    </row>
    <row r="8" spans="2:10" x14ac:dyDescent="0.25">
      <c r="B8" s="154" t="s">
        <v>342</v>
      </c>
      <c r="C8" s="232">
        <v>31.989000000000004</v>
      </c>
      <c r="D8" s="1128">
        <v>66537.12000000001</v>
      </c>
      <c r="E8" s="1143">
        <f>'M2024 BLS SALARY CHART (53_PCT)'!C11</f>
        <v>31.989000000000004</v>
      </c>
      <c r="F8" s="1128">
        <f t="shared" si="0"/>
        <v>66537.12000000001</v>
      </c>
      <c r="G8" s="1127">
        <f t="shared" si="1"/>
        <v>0</v>
      </c>
      <c r="J8" t="s">
        <v>772</v>
      </c>
    </row>
    <row r="9" spans="2:10" x14ac:dyDescent="0.25">
      <c r="B9" s="154" t="s">
        <v>345</v>
      </c>
      <c r="C9" s="232">
        <v>36.1419</v>
      </c>
      <c r="D9" s="1128">
        <v>75175.152000000002</v>
      </c>
      <c r="E9" s="1143">
        <f>'M2024 BLS SALARY CHART (53_PCT)'!C13</f>
        <v>36.1419</v>
      </c>
      <c r="F9" s="1128">
        <f t="shared" si="0"/>
        <v>75175.152000000002</v>
      </c>
      <c r="G9" s="1127">
        <f t="shared" si="1"/>
        <v>0</v>
      </c>
      <c r="J9" t="s">
        <v>773</v>
      </c>
    </row>
    <row r="10" spans="2:10" x14ac:dyDescent="0.25">
      <c r="B10" s="154" t="s">
        <v>661</v>
      </c>
      <c r="C10" s="232">
        <v>37.066800000000001</v>
      </c>
      <c r="D10" s="1128">
        <v>77098.944000000003</v>
      </c>
      <c r="E10" s="1143">
        <f>'M2024 BLS SALARY CHART (53_PCT)'!C15</f>
        <v>37.066800000000001</v>
      </c>
      <c r="F10" s="1128">
        <f t="shared" si="0"/>
        <v>77098.944000000003</v>
      </c>
      <c r="G10" s="1127">
        <f t="shared" si="1"/>
        <v>0</v>
      </c>
      <c r="J10" t="s">
        <v>774</v>
      </c>
    </row>
    <row r="11" spans="2:10" x14ac:dyDescent="0.25">
      <c r="B11" s="154" t="s">
        <v>356</v>
      </c>
      <c r="C11" s="232">
        <v>40.468299999999999</v>
      </c>
      <c r="D11" s="1128">
        <v>84174.063999999998</v>
      </c>
      <c r="E11" s="1143">
        <f>'M2024 BLS SALARY CHART (53_PCT)'!C17</f>
        <v>40.468299999999999</v>
      </c>
      <c r="F11" s="1128">
        <f t="shared" si="0"/>
        <v>84174.063999999998</v>
      </c>
      <c r="G11" s="1127">
        <f t="shared" si="1"/>
        <v>0</v>
      </c>
    </row>
    <row r="12" spans="2:10" x14ac:dyDescent="0.25">
      <c r="B12" s="154" t="s">
        <v>662</v>
      </c>
      <c r="C12" s="1130">
        <v>39.5488</v>
      </c>
      <c r="D12" s="1131">
        <v>82261.504000000001</v>
      </c>
      <c r="E12" s="1157">
        <f>'M2024 BLS SALARY CHART (53_PCT)'!C19</f>
        <v>39.5488</v>
      </c>
      <c r="F12" s="1128">
        <f t="shared" si="0"/>
        <v>82261.504000000001</v>
      </c>
      <c r="G12" s="1127">
        <f t="shared" si="1"/>
        <v>0</v>
      </c>
    </row>
    <row r="13" spans="2:10" x14ac:dyDescent="0.25">
      <c r="B13" s="154" t="s">
        <v>329</v>
      </c>
      <c r="C13" s="1130">
        <v>39.176400000000001</v>
      </c>
      <c r="D13" s="1131">
        <v>81486.911999999997</v>
      </c>
      <c r="E13" s="1157">
        <f>'M2024 BLS SALARY CHART (53_PCT)'!C21</f>
        <v>39.176400000000001</v>
      </c>
      <c r="F13" s="1128">
        <f t="shared" si="0"/>
        <v>81486.911999999997</v>
      </c>
      <c r="G13" s="1127">
        <f t="shared" si="1"/>
        <v>0</v>
      </c>
    </row>
    <row r="14" spans="2:10" x14ac:dyDescent="0.25">
      <c r="B14" s="154" t="s">
        <v>663</v>
      </c>
      <c r="C14" s="1130">
        <v>41.273300000000006</v>
      </c>
      <c r="D14" s="1131">
        <v>85848.464000000007</v>
      </c>
      <c r="E14" s="1157">
        <f>'M2024 BLS SALARY CHART (53_PCT)'!C23</f>
        <v>41.273300000000006</v>
      </c>
      <c r="F14" s="1128">
        <f t="shared" si="0"/>
        <v>85848.464000000007</v>
      </c>
      <c r="G14" s="1127">
        <f t="shared" si="1"/>
        <v>0</v>
      </c>
    </row>
    <row r="15" spans="2:10" x14ac:dyDescent="0.25">
      <c r="B15" s="154" t="s">
        <v>664</v>
      </c>
      <c r="C15" s="1130">
        <v>43.965600000000002</v>
      </c>
      <c r="D15" s="1131">
        <v>91448.448000000004</v>
      </c>
      <c r="E15" s="1157">
        <f>'M2024 BLS SALARY CHART (53_PCT)'!C25</f>
        <v>43.965600000000002</v>
      </c>
      <c r="F15" s="1128">
        <f t="shared" si="0"/>
        <v>91448.448000000004</v>
      </c>
      <c r="G15" s="1127">
        <f t="shared" si="1"/>
        <v>0</v>
      </c>
    </row>
    <row r="16" spans="2:10" x14ac:dyDescent="0.25">
      <c r="B16" s="154" t="s">
        <v>665</v>
      </c>
      <c r="C16" s="1130">
        <v>48.945399999999999</v>
      </c>
      <c r="D16" s="1131">
        <v>101806.432</v>
      </c>
      <c r="E16" s="1157">
        <f>'M2024 BLS SALARY CHART (53_PCT)'!C27</f>
        <v>48.945399999999999</v>
      </c>
      <c r="F16" s="1128">
        <f t="shared" si="0"/>
        <v>101806.432</v>
      </c>
      <c r="G16" s="1127">
        <f t="shared" si="1"/>
        <v>0</v>
      </c>
    </row>
    <row r="17" spans="1:13" x14ac:dyDescent="0.25">
      <c r="B17" s="1132" t="s">
        <v>666</v>
      </c>
      <c r="C17" s="1130">
        <v>50.818000000000005</v>
      </c>
      <c r="D17" s="1131">
        <v>105701.44000000002</v>
      </c>
      <c r="E17" s="1157">
        <f>'M2024 BLS SALARY CHART (53_PCT)'!C31</f>
        <v>50.818000000000005</v>
      </c>
      <c r="F17" s="1128">
        <f t="shared" si="0"/>
        <v>105701.44000000002</v>
      </c>
      <c r="G17" s="1127">
        <f t="shared" si="1"/>
        <v>0</v>
      </c>
    </row>
    <row r="18" spans="1:13" x14ac:dyDescent="0.25">
      <c r="B18" s="154" t="s">
        <v>667</v>
      </c>
      <c r="C18" s="232">
        <v>50.818000000000005</v>
      </c>
      <c r="D18" s="1128">
        <v>105701.44000000002</v>
      </c>
      <c r="E18" s="1143">
        <f>'M2024 BLS SALARY CHART (53_PCT)'!C31</f>
        <v>50.818000000000005</v>
      </c>
      <c r="F18" s="1128">
        <f t="shared" si="0"/>
        <v>105701.44000000002</v>
      </c>
      <c r="G18" s="1127">
        <f t="shared" si="1"/>
        <v>0</v>
      </c>
    </row>
    <row r="19" spans="1:13" x14ac:dyDescent="0.25">
      <c r="B19" s="154" t="s">
        <v>668</v>
      </c>
      <c r="C19" s="232">
        <v>68.006</v>
      </c>
      <c r="D19" s="1128">
        <v>141452.48000000001</v>
      </c>
      <c r="E19" s="1154">
        <f>'M2024 BLS SALARY CHART (53_PCT)'!C33</f>
        <v>68.006</v>
      </c>
      <c r="F19" s="1155">
        <f t="shared" si="0"/>
        <v>141452.48000000001</v>
      </c>
      <c r="G19" s="1127">
        <f t="shared" si="1"/>
        <v>0</v>
      </c>
    </row>
    <row r="20" spans="1:13" x14ac:dyDescent="0.25">
      <c r="A20" s="116"/>
      <c r="B20" s="1230" t="s">
        <v>410</v>
      </c>
      <c r="C20" s="1231">
        <v>31.989000000000004</v>
      </c>
      <c r="D20" s="1232">
        <v>66537.12000000001</v>
      </c>
      <c r="E20" s="1234">
        <f>F20/2080</f>
        <v>31.989000000000004</v>
      </c>
      <c r="F20" s="1235">
        <f>F8</f>
        <v>66537.12000000001</v>
      </c>
      <c r="G20" s="1127">
        <f t="shared" si="1"/>
        <v>0</v>
      </c>
      <c r="H20" s="1136"/>
      <c r="I20" s="1136"/>
      <c r="J20" s="1136"/>
      <c r="K20" s="1136"/>
      <c r="L20" s="1136"/>
      <c r="M20" s="1136"/>
    </row>
    <row r="21" spans="1:13" x14ac:dyDescent="0.25">
      <c r="A21" s="116"/>
      <c r="B21" s="1233" t="s">
        <v>409</v>
      </c>
      <c r="C21" s="1234">
        <v>48.945399999999999</v>
      </c>
      <c r="D21" s="1276">
        <v>101806.432</v>
      </c>
      <c r="E21" s="1234">
        <f t="shared" ref="E21:E22" si="2">F21/2080</f>
        <v>48.945399999999999</v>
      </c>
      <c r="F21" s="1235">
        <f>F16</f>
        <v>101806.432</v>
      </c>
      <c r="G21" s="1127">
        <f t="shared" si="1"/>
        <v>0</v>
      </c>
      <c r="H21" s="97">
        <f>'M2024 BLS SALARY CHART (53_PCT)'!C56</f>
        <v>107827.20000000001</v>
      </c>
    </row>
    <row r="22" spans="1:13" x14ac:dyDescent="0.25">
      <c r="A22" s="116"/>
      <c r="B22" s="1233" t="s">
        <v>408</v>
      </c>
      <c r="C22" s="1234">
        <v>40.468299999999999</v>
      </c>
      <c r="D22" s="1235">
        <v>84174.063999999998</v>
      </c>
      <c r="E22" s="1234">
        <f t="shared" si="2"/>
        <v>40.468299999999999</v>
      </c>
      <c r="F22" s="1235">
        <f>F11</f>
        <v>84174.063999999998</v>
      </c>
      <c r="G22" s="1127">
        <f t="shared" si="1"/>
        <v>0</v>
      </c>
    </row>
    <row r="23" spans="1:13" x14ac:dyDescent="0.25">
      <c r="B23" s="1236" t="s">
        <v>374</v>
      </c>
      <c r="C23" s="1237"/>
      <c r="D23" s="1238">
        <v>91400.19200000001</v>
      </c>
      <c r="E23" s="1237"/>
      <c r="F23" s="1238">
        <f>(F18*0.5)+(F10*0.5)</f>
        <v>91400.19200000001</v>
      </c>
      <c r="G23" s="1127">
        <f t="shared" si="1"/>
        <v>0</v>
      </c>
    </row>
    <row r="24" spans="1:13" x14ac:dyDescent="0.25">
      <c r="C24" s="232"/>
      <c r="D24" s="232"/>
      <c r="E24" s="232"/>
      <c r="F24" s="232"/>
      <c r="G24" s="1127"/>
    </row>
    <row r="25" spans="1:13" x14ac:dyDescent="0.25">
      <c r="C25" s="232"/>
      <c r="D25" s="232"/>
      <c r="E25" s="232"/>
      <c r="F25" s="232"/>
      <c r="G25" s="1127"/>
      <c r="J25" s="1129"/>
    </row>
    <row r="26" spans="1:13" x14ac:dyDescent="0.25">
      <c r="C26" s="232"/>
      <c r="D26" s="232"/>
      <c r="E26" s="232"/>
      <c r="F26" s="232"/>
      <c r="G26" s="1127"/>
    </row>
    <row r="27" spans="1:13" x14ac:dyDescent="0.25">
      <c r="C27" s="232"/>
      <c r="D27" s="232"/>
      <c r="E27" s="232"/>
      <c r="F27" s="232"/>
      <c r="G27" s="1127"/>
    </row>
    <row r="28" spans="1:13" x14ac:dyDescent="0.25">
      <c r="D28" s="1136">
        <f>SUM(D5:D19)</f>
        <v>1247686.7936000002</v>
      </c>
      <c r="F28" s="1136">
        <f>SUM(F5:F19)</f>
        <v>1247686.7936000002</v>
      </c>
      <c r="G28" s="1127">
        <f>(F28-D28)/D28</f>
        <v>0</v>
      </c>
    </row>
    <row r="33" spans="2:10" x14ac:dyDescent="0.25">
      <c r="B33" s="1853" t="s">
        <v>669</v>
      </c>
      <c r="C33" s="1854"/>
      <c r="D33" s="1854"/>
      <c r="E33" s="1854"/>
      <c r="F33" s="1854"/>
      <c r="G33" s="1854"/>
      <c r="H33" s="1854"/>
      <c r="I33" s="1854"/>
      <c r="J33" s="1855"/>
    </row>
    <row r="34" spans="2:10" x14ac:dyDescent="0.25">
      <c r="B34" s="1856"/>
      <c r="C34" s="1857"/>
      <c r="D34" s="1857"/>
      <c r="E34" s="1857"/>
      <c r="F34" s="1857"/>
      <c r="G34" s="1857"/>
      <c r="H34" s="1857"/>
      <c r="I34" s="1857"/>
      <c r="J34" s="1858"/>
    </row>
    <row r="35" spans="2:10" ht="36.6" customHeight="1" x14ac:dyDescent="0.25">
      <c r="B35" s="247" t="s">
        <v>118</v>
      </c>
      <c r="C35" s="1869" t="s">
        <v>670</v>
      </c>
      <c r="D35" s="1870"/>
      <c r="E35" s="1871">
        <v>43952</v>
      </c>
      <c r="F35" s="1872"/>
      <c r="G35" s="1851" t="s">
        <v>748</v>
      </c>
      <c r="H35" s="1852"/>
      <c r="I35" s="1851" t="s">
        <v>769</v>
      </c>
      <c r="J35" s="1852"/>
    </row>
    <row r="36" spans="2:10" x14ac:dyDescent="0.25">
      <c r="B36" s="154" t="s">
        <v>327</v>
      </c>
      <c r="C36" s="1143">
        <v>15.48</v>
      </c>
      <c r="D36" s="1128">
        <v>32198.400000000001</v>
      </c>
      <c r="E36" s="1143">
        <v>16.791999999999998</v>
      </c>
      <c r="F36" s="1128">
        <v>34927.359999999993</v>
      </c>
      <c r="G36" s="1144">
        <v>19.000800000000002</v>
      </c>
      <c r="H36" s="1126">
        <v>39521.664000000004</v>
      </c>
      <c r="I36" s="1125">
        <v>22.520400000000002</v>
      </c>
      <c r="J36" s="1126">
        <v>46842.432000000008</v>
      </c>
    </row>
    <row r="37" spans="2:10" x14ac:dyDescent="0.25">
      <c r="B37" s="154" t="s">
        <v>340</v>
      </c>
      <c r="C37" s="1143">
        <v>19.96</v>
      </c>
      <c r="D37" s="1128">
        <v>41516.800000000003</v>
      </c>
      <c r="E37" s="1143">
        <v>21.736000000000001</v>
      </c>
      <c r="F37" s="1128">
        <v>45210.880000000005</v>
      </c>
      <c r="G37" s="1143">
        <v>24.241120000000002</v>
      </c>
      <c r="H37" s="1128">
        <v>50421.529600000002</v>
      </c>
      <c r="I37" s="232">
        <v>27.109919999999999</v>
      </c>
      <c r="J37" s="1128">
        <v>56388.633600000001</v>
      </c>
    </row>
    <row r="38" spans="2:10" x14ac:dyDescent="0.25">
      <c r="B38" s="154" t="s">
        <v>660</v>
      </c>
      <c r="C38" s="1143">
        <v>15.53</v>
      </c>
      <c r="D38" s="1128">
        <v>32302.399999999998</v>
      </c>
      <c r="E38" s="1143">
        <v>17.260000000000002</v>
      </c>
      <c r="F38" s="1128">
        <v>35900.800000000003</v>
      </c>
      <c r="G38" s="1143">
        <v>18.008399999999998</v>
      </c>
      <c r="H38" s="1128">
        <v>37457.471999999994</v>
      </c>
      <c r="I38" s="232">
        <v>22.0016</v>
      </c>
      <c r="J38" s="1128">
        <v>45763.328000000001</v>
      </c>
    </row>
    <row r="39" spans="2:10" x14ac:dyDescent="0.25">
      <c r="B39" s="154" t="s">
        <v>342</v>
      </c>
      <c r="C39" s="1143">
        <v>21.14</v>
      </c>
      <c r="D39" s="1128">
        <v>43971.200000000004</v>
      </c>
      <c r="E39" s="1143">
        <v>21.814999999999998</v>
      </c>
      <c r="F39" s="1128">
        <v>45375.199999999997</v>
      </c>
      <c r="G39" s="1143">
        <v>24.3888</v>
      </c>
      <c r="H39" s="1128">
        <v>50728.703999999998</v>
      </c>
      <c r="I39" s="232">
        <v>31.989000000000004</v>
      </c>
      <c r="J39" s="1128">
        <v>66537.12000000001</v>
      </c>
    </row>
    <row r="40" spans="2:10" x14ac:dyDescent="0.25">
      <c r="B40" s="154" t="s">
        <v>345</v>
      </c>
      <c r="C40" s="1143">
        <v>25.32</v>
      </c>
      <c r="D40" s="1128">
        <v>52665.599999999999</v>
      </c>
      <c r="E40" s="1143">
        <v>26.16</v>
      </c>
      <c r="F40" s="1128">
        <v>54412.800000000003</v>
      </c>
      <c r="G40" s="1143">
        <v>30.569499999999998</v>
      </c>
      <c r="H40" s="1128">
        <v>63584.56</v>
      </c>
      <c r="I40" s="232">
        <v>36.1419</v>
      </c>
      <c r="J40" s="1128">
        <v>75175.152000000002</v>
      </c>
    </row>
    <row r="41" spans="2:10" x14ac:dyDescent="0.25">
      <c r="B41" s="154" t="s">
        <v>661</v>
      </c>
      <c r="C41" s="1143">
        <v>27.62</v>
      </c>
      <c r="D41" s="1128">
        <v>57449.599999999999</v>
      </c>
      <c r="E41" s="1143">
        <v>28.8</v>
      </c>
      <c r="F41" s="1128">
        <v>59904</v>
      </c>
      <c r="G41" s="1143">
        <v>29.084</v>
      </c>
      <c r="H41" s="1128">
        <v>60494.720000000001</v>
      </c>
      <c r="I41" s="232">
        <v>37.066800000000001</v>
      </c>
      <c r="J41" s="1128">
        <v>77098.944000000003</v>
      </c>
    </row>
    <row r="42" spans="2:10" x14ac:dyDescent="0.25">
      <c r="B42" s="154" t="s">
        <v>356</v>
      </c>
      <c r="C42" s="1143">
        <v>29.29</v>
      </c>
      <c r="D42" s="1128">
        <v>60923.199999999997</v>
      </c>
      <c r="E42" s="1143">
        <v>30.59</v>
      </c>
      <c r="F42" s="1128">
        <v>63627.199999999997</v>
      </c>
      <c r="G42" s="1143">
        <v>35.178200000000004</v>
      </c>
      <c r="H42" s="1128">
        <v>73170.656000000003</v>
      </c>
      <c r="I42" s="232">
        <v>40.468299999999999</v>
      </c>
      <c r="J42" s="1128">
        <v>84174.063999999998</v>
      </c>
    </row>
    <row r="43" spans="2:10" x14ac:dyDescent="0.25">
      <c r="B43" s="1145" t="s">
        <v>662</v>
      </c>
      <c r="C43" s="1146"/>
      <c r="D43" s="1147"/>
      <c r="E43" s="1146"/>
      <c r="F43" s="1147"/>
      <c r="G43" s="1143">
        <v>30.937200000000001</v>
      </c>
      <c r="H43" s="1128">
        <v>64349.376000000004</v>
      </c>
      <c r="I43" s="1130">
        <v>39.5488</v>
      </c>
      <c r="J43" s="1128">
        <v>82261.504000000001</v>
      </c>
    </row>
    <row r="44" spans="2:10" x14ac:dyDescent="0.25">
      <c r="B44" s="154" t="s">
        <v>329</v>
      </c>
      <c r="C44" s="1148" t="s">
        <v>421</v>
      </c>
      <c r="D44" s="1149" t="s">
        <v>421</v>
      </c>
      <c r="E44" s="1143">
        <v>33.46153846153846</v>
      </c>
      <c r="F44" s="1128">
        <v>69600</v>
      </c>
      <c r="G44" s="1143">
        <v>35.084000000000003</v>
      </c>
      <c r="H44" s="1128">
        <v>72974.720000000001</v>
      </c>
      <c r="I44" s="1130">
        <v>39.176400000000001</v>
      </c>
      <c r="J44" s="1128">
        <v>81486.911999999997</v>
      </c>
    </row>
    <row r="45" spans="2:10" x14ac:dyDescent="0.25">
      <c r="B45" s="1145" t="s">
        <v>663</v>
      </c>
      <c r="C45" s="1150"/>
      <c r="D45" s="1151"/>
      <c r="E45" s="1146"/>
      <c r="F45" s="1147"/>
      <c r="G45" s="1143">
        <v>38.650100000000002</v>
      </c>
      <c r="H45" s="1128">
        <v>80392.207999999999</v>
      </c>
      <c r="I45" s="1130">
        <v>41.273300000000006</v>
      </c>
      <c r="J45" s="1128">
        <v>85848.464000000007</v>
      </c>
    </row>
    <row r="46" spans="2:10" x14ac:dyDescent="0.25">
      <c r="B46" s="1145" t="s">
        <v>664</v>
      </c>
      <c r="C46" s="1150"/>
      <c r="D46" s="1151"/>
      <c r="E46" s="1146"/>
      <c r="F46" s="1147"/>
      <c r="G46" s="1143">
        <v>40.563600000000001</v>
      </c>
      <c r="H46" s="1128">
        <v>84372.288</v>
      </c>
      <c r="I46" s="1130">
        <v>43.965600000000002</v>
      </c>
      <c r="J46" s="1128">
        <v>91448.448000000004</v>
      </c>
    </row>
    <row r="47" spans="2:10" x14ac:dyDescent="0.25">
      <c r="B47" s="154" t="s">
        <v>665</v>
      </c>
      <c r="C47" s="1143">
        <v>40.06</v>
      </c>
      <c r="D47" s="1128">
        <v>83324.800000000003</v>
      </c>
      <c r="E47" s="1143">
        <v>40.57</v>
      </c>
      <c r="F47" s="1128">
        <v>84385.600000000006</v>
      </c>
      <c r="G47" s="1143">
        <v>43.1312</v>
      </c>
      <c r="H47" s="1128">
        <v>89712.895999999993</v>
      </c>
      <c r="I47" s="1130">
        <v>48.945399999999999</v>
      </c>
      <c r="J47" s="1128">
        <v>101806.432</v>
      </c>
    </row>
    <row r="48" spans="2:10" x14ac:dyDescent="0.25">
      <c r="B48" s="1152" t="s">
        <v>666</v>
      </c>
      <c r="C48" s="1146"/>
      <c r="D48" s="1147"/>
      <c r="E48" s="1146"/>
      <c r="F48" s="1147"/>
      <c r="G48" s="1143">
        <v>43.066240000000008</v>
      </c>
      <c r="H48" s="1128">
        <v>89577.779200000019</v>
      </c>
      <c r="I48" s="1130">
        <v>50.818000000000005</v>
      </c>
      <c r="J48" s="1128">
        <v>105701.44000000002</v>
      </c>
    </row>
    <row r="49" spans="2:10" x14ac:dyDescent="0.25">
      <c r="B49" s="154" t="s">
        <v>667</v>
      </c>
      <c r="C49" s="1143">
        <v>41.76</v>
      </c>
      <c r="D49" s="1128">
        <v>86860.800000000003</v>
      </c>
      <c r="E49" s="1143">
        <v>43.41</v>
      </c>
      <c r="F49" s="1128">
        <v>90292.799999999988</v>
      </c>
      <c r="G49" s="1143">
        <v>47.109200000000001</v>
      </c>
      <c r="H49" s="1128">
        <v>97987.135999999999</v>
      </c>
      <c r="I49" s="232">
        <v>50.818000000000005</v>
      </c>
      <c r="J49" s="1128">
        <v>105701.44000000002</v>
      </c>
    </row>
    <row r="50" spans="2:10" x14ac:dyDescent="0.25">
      <c r="B50" s="1153" t="s">
        <v>668</v>
      </c>
      <c r="C50" s="1154">
        <v>57.41</v>
      </c>
      <c r="D50" s="1155">
        <v>119412.79999999999</v>
      </c>
      <c r="E50" s="1154">
        <v>59.6</v>
      </c>
      <c r="F50" s="1155">
        <v>123968</v>
      </c>
      <c r="G50" s="1154">
        <v>62.008800000000001</v>
      </c>
      <c r="H50" s="1155">
        <v>128978.304</v>
      </c>
      <c r="I50" s="1154">
        <v>68.006</v>
      </c>
      <c r="J50" s="1155">
        <v>141452.48000000001</v>
      </c>
    </row>
  </sheetData>
  <mergeCells count="8">
    <mergeCell ref="I35:J35"/>
    <mergeCell ref="B33:J34"/>
    <mergeCell ref="B2:F3"/>
    <mergeCell ref="C4:D4"/>
    <mergeCell ref="E4:F4"/>
    <mergeCell ref="C35:D35"/>
    <mergeCell ref="E35:F35"/>
    <mergeCell ref="G35:H35"/>
  </mergeCells>
  <pageMargins left="0.7" right="0.7" top="0.75" bottom="0.75" header="0.3" footer="0.3"/>
  <pageSetup orientation="portrait" horizontalDpi="360" verticalDpi="36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F9AA5-6A7D-44CC-B2E0-2669CB266211}">
  <dimension ref="A1:M50"/>
  <sheetViews>
    <sheetView zoomScaleNormal="100" workbookViewId="0">
      <selection activeCell="J7" sqref="J7:Q17"/>
    </sheetView>
  </sheetViews>
  <sheetFormatPr defaultRowHeight="15" x14ac:dyDescent="0.25"/>
  <cols>
    <col min="2" max="2" width="28.85546875" bestFit="1" customWidth="1"/>
    <col min="3" max="3" width="8.28515625" bestFit="1" customWidth="1"/>
    <col min="4" max="4" width="14.7109375" bestFit="1" customWidth="1"/>
    <col min="5" max="5" width="8.28515625" bestFit="1" customWidth="1"/>
    <col min="6" max="6" width="14.7109375" bestFit="1" customWidth="1"/>
    <col min="7" max="7" width="8.140625" customWidth="1"/>
    <col min="8" max="8" width="18.42578125" customWidth="1"/>
    <col min="9" max="13" width="11.140625" bestFit="1" customWidth="1"/>
  </cols>
  <sheetData>
    <row r="1" spans="2:11" ht="15.75" thickBot="1" x14ac:dyDescent="0.3"/>
    <row r="2" spans="2:11" ht="15.75" thickBot="1" x14ac:dyDescent="0.3">
      <c r="B2" s="1859" t="s">
        <v>672</v>
      </c>
      <c r="C2" s="1860"/>
      <c r="D2" s="1860"/>
      <c r="E2" s="1860"/>
      <c r="F2" s="1861"/>
      <c r="H2" s="1124" t="s">
        <v>635</v>
      </c>
    </row>
    <row r="3" spans="2:11" ht="29.45" customHeight="1" thickBot="1" x14ac:dyDescent="0.3">
      <c r="B3" s="1862"/>
      <c r="C3" s="1863"/>
      <c r="D3" s="1863"/>
      <c r="E3" s="1863"/>
      <c r="F3" s="1864"/>
      <c r="H3" s="1124" t="s">
        <v>635</v>
      </c>
    </row>
    <row r="4" spans="2:11" x14ac:dyDescent="0.25">
      <c r="B4" s="247" t="s">
        <v>118</v>
      </c>
      <c r="C4" s="1865" t="s">
        <v>673</v>
      </c>
      <c r="D4" s="1868"/>
      <c r="E4" s="1865" t="s">
        <v>674</v>
      </c>
      <c r="F4" s="1866"/>
    </row>
    <row r="5" spans="2:11" x14ac:dyDescent="0.25">
      <c r="B5" s="154" t="s">
        <v>327</v>
      </c>
      <c r="C5" s="1144">
        <v>16.791999999999998</v>
      </c>
      <c r="D5" s="1156">
        <f>C5*2080</f>
        <v>34927.359999999993</v>
      </c>
      <c r="E5" s="1125">
        <v>20</v>
      </c>
      <c r="F5" s="1126">
        <v>41600</v>
      </c>
      <c r="G5" s="1127">
        <f>(F5-D5)/D5</f>
        <v>0.19104335397808503</v>
      </c>
    </row>
    <row r="6" spans="2:11" x14ac:dyDescent="0.25">
      <c r="B6" s="154" t="s">
        <v>340</v>
      </c>
      <c r="C6" s="1157">
        <v>21.736000000000001</v>
      </c>
      <c r="D6" s="1158">
        <f t="shared" ref="D6:D19" si="0">C6*2080</f>
        <v>45210.880000000005</v>
      </c>
      <c r="E6" s="232">
        <v>25.580080000000002</v>
      </c>
      <c r="F6" s="1128">
        <v>53206.566400000003</v>
      </c>
      <c r="G6" s="1127">
        <f t="shared" ref="G6:G19" si="1">(F6-D6)/D6</f>
        <v>0.17685314685314679</v>
      </c>
    </row>
    <row r="7" spans="2:11" x14ac:dyDescent="0.25">
      <c r="B7" s="154" t="s">
        <v>660</v>
      </c>
      <c r="C7" s="1157">
        <v>17.260000000000002</v>
      </c>
      <c r="D7" s="1158">
        <f t="shared" si="0"/>
        <v>35900.800000000003</v>
      </c>
      <c r="E7" s="232">
        <v>19.121599999999997</v>
      </c>
      <c r="F7" s="1128">
        <v>39772.927999999993</v>
      </c>
      <c r="G7" s="1127">
        <f t="shared" si="1"/>
        <v>0.10785631517960573</v>
      </c>
      <c r="J7" s="1129" t="s">
        <v>675</v>
      </c>
    </row>
    <row r="8" spans="2:11" x14ac:dyDescent="0.25">
      <c r="B8" s="154" t="s">
        <v>342</v>
      </c>
      <c r="C8" s="1157">
        <v>21.814999999999998</v>
      </c>
      <c r="D8" s="1158">
        <f t="shared" si="0"/>
        <v>45375.199999999997</v>
      </c>
      <c r="E8" s="232">
        <v>28.180799999999998</v>
      </c>
      <c r="F8" s="1128">
        <v>58616.063999999998</v>
      </c>
      <c r="G8" s="1127">
        <f t="shared" si="1"/>
        <v>0.29180838872335552</v>
      </c>
      <c r="J8" t="s">
        <v>676</v>
      </c>
    </row>
    <row r="9" spans="2:11" x14ac:dyDescent="0.25">
      <c r="B9" s="154" t="s">
        <v>345</v>
      </c>
      <c r="C9" s="1157">
        <v>26.16</v>
      </c>
      <c r="D9" s="1158">
        <f t="shared" si="0"/>
        <v>54412.800000000003</v>
      </c>
      <c r="E9" s="232">
        <v>30.9283</v>
      </c>
      <c r="F9" s="1128">
        <v>64330.864000000001</v>
      </c>
      <c r="G9" s="1127">
        <f t="shared" si="1"/>
        <v>0.18227446483180423</v>
      </c>
      <c r="J9" t="s">
        <v>677</v>
      </c>
    </row>
    <row r="10" spans="2:11" x14ac:dyDescent="0.25">
      <c r="B10" s="154" t="s">
        <v>661</v>
      </c>
      <c r="C10" s="1157">
        <v>28.8</v>
      </c>
      <c r="D10" s="1158">
        <f t="shared" si="0"/>
        <v>59904</v>
      </c>
      <c r="E10" s="232">
        <v>31.575200000000002</v>
      </c>
      <c r="F10" s="1128">
        <v>65676.416000000012</v>
      </c>
      <c r="G10" s="1127">
        <f t="shared" si="1"/>
        <v>9.6361111111111314E-2</v>
      </c>
      <c r="K10" t="s">
        <v>678</v>
      </c>
    </row>
    <row r="11" spans="2:11" x14ac:dyDescent="0.25">
      <c r="B11" s="154" t="s">
        <v>356</v>
      </c>
      <c r="C11" s="1157">
        <v>30.59</v>
      </c>
      <c r="D11" s="1158">
        <f t="shared" si="0"/>
        <v>63627.199999999997</v>
      </c>
      <c r="E11" s="232">
        <v>38.753100000000003</v>
      </c>
      <c r="F11" s="1128">
        <v>80606.448000000004</v>
      </c>
      <c r="G11" s="1127">
        <f t="shared" si="1"/>
        <v>0.26685518143184062</v>
      </c>
      <c r="K11" t="s">
        <v>679</v>
      </c>
    </row>
    <row r="12" spans="2:11" x14ac:dyDescent="0.25">
      <c r="B12" s="154" t="s">
        <v>662</v>
      </c>
      <c r="C12" s="1157"/>
      <c r="D12" s="1158">
        <f t="shared" si="0"/>
        <v>0</v>
      </c>
      <c r="E12" s="1130">
        <v>32.740400000000001</v>
      </c>
      <c r="F12" s="1131">
        <v>68100.032000000007</v>
      </c>
      <c r="G12" s="1159" t="e">
        <f t="shared" si="1"/>
        <v>#DIV/0!</v>
      </c>
      <c r="K12" t="s">
        <v>680</v>
      </c>
    </row>
    <row r="13" spans="2:11" x14ac:dyDescent="0.25">
      <c r="B13" s="154" t="s">
        <v>329</v>
      </c>
      <c r="C13" s="1157">
        <v>33.46153846153846</v>
      </c>
      <c r="D13" s="1158">
        <f t="shared" si="0"/>
        <v>69600</v>
      </c>
      <c r="E13" s="1130">
        <v>38.180400000000006</v>
      </c>
      <c r="F13" s="1131">
        <v>79415.232000000018</v>
      </c>
      <c r="G13" s="1159">
        <f t="shared" si="1"/>
        <v>0.14102344827586233</v>
      </c>
      <c r="J13" t="s">
        <v>681</v>
      </c>
    </row>
    <row r="14" spans="2:11" x14ac:dyDescent="0.25">
      <c r="B14" s="154" t="s">
        <v>663</v>
      </c>
      <c r="C14" s="1157"/>
      <c r="D14" s="1158">
        <f t="shared" si="0"/>
        <v>0</v>
      </c>
      <c r="E14" s="1130">
        <v>38.017499999999998</v>
      </c>
      <c r="F14" s="1131">
        <v>79076.399999999994</v>
      </c>
      <c r="G14" s="1159" t="e">
        <f t="shared" si="1"/>
        <v>#DIV/0!</v>
      </c>
      <c r="K14" t="s">
        <v>682</v>
      </c>
    </row>
    <row r="15" spans="2:11" x14ac:dyDescent="0.25">
      <c r="B15" s="154" t="s">
        <v>664</v>
      </c>
      <c r="C15" s="1157"/>
      <c r="D15" s="1158">
        <f t="shared" si="0"/>
        <v>0</v>
      </c>
      <c r="E15" s="1130">
        <v>41.25168</v>
      </c>
      <c r="F15" s="1131">
        <v>85803.494399999996</v>
      </c>
      <c r="G15" s="1159" t="e">
        <f t="shared" si="1"/>
        <v>#DIV/0!</v>
      </c>
      <c r="K15" t="s">
        <v>683</v>
      </c>
    </row>
    <row r="16" spans="2:11" x14ac:dyDescent="0.25">
      <c r="B16" s="154" t="s">
        <v>665</v>
      </c>
      <c r="C16" s="1157">
        <v>40.57</v>
      </c>
      <c r="D16" s="1158">
        <f t="shared" si="0"/>
        <v>84385.600000000006</v>
      </c>
      <c r="E16" s="1130">
        <v>48.742200000000004</v>
      </c>
      <c r="F16" s="1131">
        <v>101383.77600000001</v>
      </c>
      <c r="G16" s="1159">
        <f t="shared" si="1"/>
        <v>0.20143455755484355</v>
      </c>
      <c r="K16" t="s">
        <v>684</v>
      </c>
    </row>
    <row r="17" spans="1:13" x14ac:dyDescent="0.25">
      <c r="B17" s="1132" t="s">
        <v>666</v>
      </c>
      <c r="C17" s="1157"/>
      <c r="D17" s="1158">
        <f t="shared" si="0"/>
        <v>0</v>
      </c>
      <c r="E17" s="1130">
        <v>42.756720000000001</v>
      </c>
      <c r="F17" s="1131">
        <v>88933.977599999998</v>
      </c>
      <c r="G17" s="1159" t="e">
        <f t="shared" si="1"/>
        <v>#DIV/0!</v>
      </c>
      <c r="K17" t="s">
        <v>685</v>
      </c>
    </row>
    <row r="18" spans="1:13" x14ac:dyDescent="0.25">
      <c r="B18" s="154" t="s">
        <v>667</v>
      </c>
      <c r="C18" s="1157">
        <v>43.41</v>
      </c>
      <c r="D18" s="1158">
        <f t="shared" si="0"/>
        <v>90292.799999999988</v>
      </c>
      <c r="E18" s="232">
        <v>49.162799999999997</v>
      </c>
      <c r="F18" s="1128">
        <v>102258.624</v>
      </c>
      <c r="G18" s="1127">
        <f t="shared" si="1"/>
        <v>0.13252246026261241</v>
      </c>
      <c r="J18" t="s">
        <v>686</v>
      </c>
    </row>
    <row r="19" spans="1:13" x14ac:dyDescent="0.25">
      <c r="B19" s="154" t="s">
        <v>668</v>
      </c>
      <c r="C19" s="1157">
        <v>59.6</v>
      </c>
      <c r="D19" s="1160">
        <f t="shared" si="0"/>
        <v>123968</v>
      </c>
      <c r="E19" s="232">
        <v>65.162400000000005</v>
      </c>
      <c r="F19" s="1128">
        <v>135537.79200000002</v>
      </c>
      <c r="G19" s="1127">
        <f t="shared" si="1"/>
        <v>9.3328859060402808E-2</v>
      </c>
      <c r="K19" t="s">
        <v>687</v>
      </c>
    </row>
    <row r="20" spans="1:13" x14ac:dyDescent="0.25">
      <c r="A20" s="116"/>
      <c r="B20" s="1133" t="s">
        <v>410</v>
      </c>
      <c r="C20" s="1134"/>
      <c r="D20" s="1138"/>
      <c r="E20" s="1134">
        <f>F20/2080</f>
        <v>28.180799999999998</v>
      </c>
      <c r="F20" s="1135">
        <f>F8</f>
        <v>58616.063999999998</v>
      </c>
      <c r="G20" s="1127"/>
      <c r="H20" s="1136"/>
      <c r="I20" s="1136"/>
      <c r="J20" s="1136"/>
      <c r="K20" s="1136"/>
      <c r="L20" s="1136"/>
      <c r="M20" s="1136"/>
    </row>
    <row r="21" spans="1:13" x14ac:dyDescent="0.25">
      <c r="A21" s="116"/>
      <c r="B21" s="1137" t="s">
        <v>409</v>
      </c>
      <c r="C21" s="1138"/>
      <c r="D21" s="1138"/>
      <c r="E21" s="1138">
        <f t="shared" ref="E21:E22" si="2">F21/2080</f>
        <v>48.742200000000004</v>
      </c>
      <c r="F21" s="1139">
        <f>F16</f>
        <v>101383.77600000001</v>
      </c>
      <c r="G21" s="1127"/>
      <c r="J21" t="s">
        <v>688</v>
      </c>
    </row>
    <row r="22" spans="1:13" x14ac:dyDescent="0.25">
      <c r="A22" s="116"/>
      <c r="B22" s="1137" t="s">
        <v>408</v>
      </c>
      <c r="C22" s="1138"/>
      <c r="D22" s="1138"/>
      <c r="E22" s="1138">
        <f t="shared" si="2"/>
        <v>38.753100000000003</v>
      </c>
      <c r="F22" s="1139">
        <f>F11</f>
        <v>80606.448000000004</v>
      </c>
      <c r="G22" s="1127"/>
      <c r="K22" t="s">
        <v>689</v>
      </c>
    </row>
    <row r="23" spans="1:13" x14ac:dyDescent="0.25">
      <c r="B23" s="1140" t="s">
        <v>374</v>
      </c>
      <c r="C23" s="1141"/>
      <c r="D23" s="1141"/>
      <c r="E23" s="1141"/>
      <c r="F23" s="1142">
        <f>(F18*0.5)+(F10*0.5)</f>
        <v>83967.52</v>
      </c>
      <c r="G23" s="1127"/>
    </row>
    <row r="24" spans="1:13" x14ac:dyDescent="0.25">
      <c r="C24" s="232"/>
      <c r="D24" s="232"/>
      <c r="E24" s="232"/>
      <c r="F24" s="232"/>
      <c r="G24" s="1127"/>
    </row>
    <row r="25" spans="1:13" x14ac:dyDescent="0.25">
      <c r="C25" s="232"/>
      <c r="D25" s="232"/>
      <c r="E25" s="232"/>
      <c r="F25" s="232"/>
      <c r="G25" s="1127"/>
      <c r="J25" s="1129" t="s">
        <v>690</v>
      </c>
    </row>
    <row r="26" spans="1:13" x14ac:dyDescent="0.25">
      <c r="C26" s="232"/>
      <c r="D26" s="232"/>
      <c r="E26" s="232"/>
      <c r="F26" s="232"/>
      <c r="G26" s="1127"/>
      <c r="J26" t="s">
        <v>691</v>
      </c>
    </row>
    <row r="27" spans="1:13" x14ac:dyDescent="0.25">
      <c r="C27" s="232"/>
      <c r="D27" s="232"/>
      <c r="E27" s="232"/>
      <c r="F27" s="232"/>
      <c r="G27" s="1127"/>
      <c r="K27" t="s">
        <v>692</v>
      </c>
    </row>
    <row r="28" spans="1:13" x14ac:dyDescent="0.25">
      <c r="D28" s="1136">
        <f>SUM(D5:D19)</f>
        <v>707604.6399999999</v>
      </c>
      <c r="F28" s="1136">
        <f>SUM(F5:F19)</f>
        <v>1144318.6143999998</v>
      </c>
      <c r="G28" s="1127">
        <f>(F28-D28)/D28</f>
        <v>0.61717228762095178</v>
      </c>
      <c r="K28" t="s">
        <v>693</v>
      </c>
    </row>
    <row r="30" spans="1:13" x14ac:dyDescent="0.25">
      <c r="J30" t="s">
        <v>694</v>
      </c>
    </row>
    <row r="31" spans="1:13" x14ac:dyDescent="0.25">
      <c r="K31" t="s">
        <v>695</v>
      </c>
    </row>
    <row r="32" spans="1:13" x14ac:dyDescent="0.25">
      <c r="K32" t="s">
        <v>696</v>
      </c>
    </row>
    <row r="33" spans="2:11" x14ac:dyDescent="0.25">
      <c r="B33" s="1873" t="s">
        <v>669</v>
      </c>
      <c r="C33" s="1874"/>
      <c r="D33" s="1874"/>
      <c r="E33" s="1874"/>
      <c r="F33" s="1874"/>
      <c r="G33" s="1874"/>
      <c r="H33" s="1875"/>
      <c r="K33" t="s">
        <v>697</v>
      </c>
    </row>
    <row r="34" spans="2:11" x14ac:dyDescent="0.25">
      <c r="B34" s="1876"/>
      <c r="C34" s="1877"/>
      <c r="D34" s="1877"/>
      <c r="E34" s="1877"/>
      <c r="F34" s="1877"/>
      <c r="G34" s="1877"/>
      <c r="H34" s="1878"/>
      <c r="J34" t="s">
        <v>698</v>
      </c>
    </row>
    <row r="35" spans="2:11" ht="36.6" customHeight="1" x14ac:dyDescent="0.25">
      <c r="B35" s="138" t="s">
        <v>118</v>
      </c>
      <c r="C35" s="1879" t="s">
        <v>670</v>
      </c>
      <c r="D35" s="1880"/>
      <c r="E35" s="1881">
        <v>43952</v>
      </c>
      <c r="F35" s="1880"/>
      <c r="G35" s="1882" t="s">
        <v>671</v>
      </c>
      <c r="H35" s="1883"/>
      <c r="K35" t="s">
        <v>699</v>
      </c>
    </row>
    <row r="36" spans="2:11" x14ac:dyDescent="0.25">
      <c r="B36" s="154" t="s">
        <v>327</v>
      </c>
      <c r="C36" s="1143">
        <v>15.48</v>
      </c>
      <c r="D36" s="1128">
        <v>32198.400000000001</v>
      </c>
      <c r="E36" s="1143">
        <v>16.791999999999998</v>
      </c>
      <c r="F36" s="1128">
        <v>34927.359999999993</v>
      </c>
      <c r="G36" s="1144">
        <v>19.000800000000002</v>
      </c>
      <c r="H36" s="1126">
        <v>39521.664000000004</v>
      </c>
      <c r="J36" t="s">
        <v>700</v>
      </c>
    </row>
    <row r="37" spans="2:11" x14ac:dyDescent="0.25">
      <c r="B37" s="154" t="s">
        <v>340</v>
      </c>
      <c r="C37" s="1143">
        <v>19.96</v>
      </c>
      <c r="D37" s="1128">
        <v>41516.800000000003</v>
      </c>
      <c r="E37" s="1143">
        <v>21.736000000000001</v>
      </c>
      <c r="F37" s="1128">
        <v>45210.880000000005</v>
      </c>
      <c r="G37" s="1143">
        <v>24.241120000000002</v>
      </c>
      <c r="H37" s="1128">
        <v>50421.529600000002</v>
      </c>
      <c r="K37" t="s">
        <v>701</v>
      </c>
    </row>
    <row r="38" spans="2:11" x14ac:dyDescent="0.25">
      <c r="B38" s="154" t="s">
        <v>660</v>
      </c>
      <c r="C38" s="1143">
        <v>15.53</v>
      </c>
      <c r="D38" s="1128">
        <v>32302.399999999998</v>
      </c>
      <c r="E38" s="1143">
        <v>17.260000000000002</v>
      </c>
      <c r="F38" s="1128">
        <v>35900.800000000003</v>
      </c>
      <c r="G38" s="1143">
        <v>18.008399999999998</v>
      </c>
      <c r="H38" s="1128">
        <v>37457.471999999994</v>
      </c>
    </row>
    <row r="39" spans="2:11" x14ac:dyDescent="0.25">
      <c r="B39" s="154" t="s">
        <v>342</v>
      </c>
      <c r="C39" s="1143">
        <v>21.14</v>
      </c>
      <c r="D39" s="1128">
        <v>43971.200000000004</v>
      </c>
      <c r="E39" s="1143">
        <v>21.814999999999998</v>
      </c>
      <c r="F39" s="1128">
        <v>45375.199999999997</v>
      </c>
      <c r="G39" s="1143">
        <v>24.3888</v>
      </c>
      <c r="H39" s="1128">
        <v>50728.703999999998</v>
      </c>
      <c r="J39" t="s">
        <v>702</v>
      </c>
    </row>
    <row r="40" spans="2:11" x14ac:dyDescent="0.25">
      <c r="B40" s="154" t="s">
        <v>345</v>
      </c>
      <c r="C40" s="1143">
        <v>25.32</v>
      </c>
      <c r="D40" s="1128">
        <v>52665.599999999999</v>
      </c>
      <c r="E40" s="1143">
        <v>26.16</v>
      </c>
      <c r="F40" s="1128">
        <v>54412.800000000003</v>
      </c>
      <c r="G40" s="1143">
        <v>30.569499999999998</v>
      </c>
      <c r="H40" s="1128">
        <v>63584.56</v>
      </c>
      <c r="K40" t="s">
        <v>703</v>
      </c>
    </row>
    <row r="41" spans="2:11" x14ac:dyDescent="0.25">
      <c r="B41" s="154" t="s">
        <v>661</v>
      </c>
      <c r="C41" s="1143">
        <v>27.62</v>
      </c>
      <c r="D41" s="1128">
        <v>57449.599999999999</v>
      </c>
      <c r="E41" s="1143">
        <v>28.8</v>
      </c>
      <c r="F41" s="1128">
        <v>59904</v>
      </c>
      <c r="G41" s="1143">
        <v>29.084</v>
      </c>
      <c r="H41" s="1128">
        <v>60494.720000000001</v>
      </c>
    </row>
    <row r="42" spans="2:11" x14ac:dyDescent="0.25">
      <c r="B42" s="154" t="s">
        <v>356</v>
      </c>
      <c r="C42" s="1143">
        <v>29.29</v>
      </c>
      <c r="D42" s="1128">
        <v>60923.199999999997</v>
      </c>
      <c r="E42" s="1143">
        <v>30.59</v>
      </c>
      <c r="F42" s="1128">
        <v>63627.199999999997</v>
      </c>
      <c r="G42" s="1143">
        <v>35.178200000000004</v>
      </c>
      <c r="H42" s="1128">
        <v>73170.656000000003</v>
      </c>
      <c r="J42" t="s">
        <v>704</v>
      </c>
    </row>
    <row r="43" spans="2:11" x14ac:dyDescent="0.25">
      <c r="B43" s="1145" t="s">
        <v>662</v>
      </c>
      <c r="C43" s="1146"/>
      <c r="D43" s="1147"/>
      <c r="E43" s="1146"/>
      <c r="F43" s="1147"/>
      <c r="G43" s="1143">
        <v>30.937200000000001</v>
      </c>
      <c r="H43" s="1128">
        <v>64349.376000000004</v>
      </c>
      <c r="K43" t="s">
        <v>705</v>
      </c>
    </row>
    <row r="44" spans="2:11" x14ac:dyDescent="0.25">
      <c r="B44" s="154" t="s">
        <v>329</v>
      </c>
      <c r="C44" s="1148" t="s">
        <v>421</v>
      </c>
      <c r="D44" s="1149" t="s">
        <v>421</v>
      </c>
      <c r="E44" s="1143">
        <v>33.46153846153846</v>
      </c>
      <c r="F44" s="1128">
        <v>69600</v>
      </c>
      <c r="G44" s="1143">
        <v>35.084000000000003</v>
      </c>
      <c r="H44" s="1128">
        <v>72974.720000000001</v>
      </c>
      <c r="K44" t="s">
        <v>706</v>
      </c>
    </row>
    <row r="45" spans="2:11" x14ac:dyDescent="0.25">
      <c r="B45" s="1145" t="s">
        <v>663</v>
      </c>
      <c r="C45" s="1150"/>
      <c r="D45" s="1151"/>
      <c r="E45" s="1146"/>
      <c r="F45" s="1147"/>
      <c r="G45" s="1143">
        <v>38.650100000000002</v>
      </c>
      <c r="H45" s="1128">
        <v>80392.207999999999</v>
      </c>
    </row>
    <row r="46" spans="2:11" x14ac:dyDescent="0.25">
      <c r="B46" s="1145" t="s">
        <v>664</v>
      </c>
      <c r="C46" s="1150"/>
      <c r="D46" s="1151"/>
      <c r="E46" s="1146"/>
      <c r="F46" s="1147"/>
      <c r="G46" s="1143">
        <v>40.563600000000001</v>
      </c>
      <c r="H46" s="1128">
        <v>84372.288</v>
      </c>
      <c r="J46" t="s">
        <v>707</v>
      </c>
    </row>
    <row r="47" spans="2:11" x14ac:dyDescent="0.25">
      <c r="B47" s="154" t="s">
        <v>665</v>
      </c>
      <c r="C47" s="1143">
        <v>40.06</v>
      </c>
      <c r="D47" s="1128">
        <v>83324.800000000003</v>
      </c>
      <c r="E47" s="1143">
        <v>40.57</v>
      </c>
      <c r="F47" s="1128">
        <v>84385.600000000006</v>
      </c>
      <c r="G47" s="1143">
        <v>43.1312</v>
      </c>
      <c r="H47" s="1128">
        <v>89712.895999999993</v>
      </c>
      <c r="K47" t="s">
        <v>708</v>
      </c>
    </row>
    <row r="48" spans="2:11" x14ac:dyDescent="0.25">
      <c r="B48" s="1152" t="s">
        <v>666</v>
      </c>
      <c r="C48" s="1146"/>
      <c r="D48" s="1147"/>
      <c r="E48" s="1146"/>
      <c r="F48" s="1147"/>
      <c r="G48" s="1143">
        <v>43.066240000000008</v>
      </c>
      <c r="H48" s="1128">
        <v>89577.779200000019</v>
      </c>
      <c r="K48" t="s">
        <v>709</v>
      </c>
    </row>
    <row r="49" spans="2:8" x14ac:dyDescent="0.25">
      <c r="B49" s="154" t="s">
        <v>667</v>
      </c>
      <c r="C49" s="1143">
        <v>41.76</v>
      </c>
      <c r="D49" s="1128">
        <v>86860.800000000003</v>
      </c>
      <c r="E49" s="1143">
        <v>43.41</v>
      </c>
      <c r="F49" s="1128">
        <v>90292.799999999988</v>
      </c>
      <c r="G49" s="1143">
        <v>47.109200000000001</v>
      </c>
      <c r="H49" s="1128">
        <v>97987.135999999999</v>
      </c>
    </row>
    <row r="50" spans="2:8" x14ac:dyDescent="0.25">
      <c r="B50" s="1153" t="s">
        <v>668</v>
      </c>
      <c r="C50" s="1154">
        <v>57.41</v>
      </c>
      <c r="D50" s="1155">
        <v>119412.79999999999</v>
      </c>
      <c r="E50" s="1154">
        <v>59.6</v>
      </c>
      <c r="F50" s="1155">
        <v>123968</v>
      </c>
      <c r="G50" s="1154">
        <v>62.008800000000001</v>
      </c>
      <c r="H50" s="1155">
        <v>128978.304</v>
      </c>
    </row>
  </sheetData>
  <mergeCells count="7">
    <mergeCell ref="B2:F3"/>
    <mergeCell ref="C4:D4"/>
    <mergeCell ref="E4:F4"/>
    <mergeCell ref="B33:H34"/>
    <mergeCell ref="C35:D35"/>
    <mergeCell ref="E35:F35"/>
    <mergeCell ref="G35:H35"/>
  </mergeCells>
  <pageMargins left="0.7" right="0.7" top="0.75" bottom="0.75" header="0.3" footer="0.3"/>
  <pageSetup orientation="portrait" horizontalDpi="360" verticalDpi="36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16FF5-F5B0-41DC-83F8-43BD51E5F4EB}">
  <dimension ref="A1:CX27"/>
  <sheetViews>
    <sheetView topLeftCell="BV1" workbookViewId="0">
      <selection activeCell="J13" sqref="J13"/>
    </sheetView>
  </sheetViews>
  <sheetFormatPr defaultRowHeight="12.75" x14ac:dyDescent="0.2"/>
  <cols>
    <col min="1" max="1" width="38.42578125" style="58" customWidth="1"/>
    <col min="2" max="2" width="12.85546875" style="59" customWidth="1"/>
    <col min="3" max="82" width="7.7109375" style="58" customWidth="1"/>
    <col min="83" max="94" width="9.140625" style="58"/>
    <col min="95" max="102" width="0" style="58" hidden="1" customWidth="1"/>
    <col min="103" max="256" width="9.140625" style="58"/>
    <col min="257" max="257" width="38.42578125" style="58" customWidth="1"/>
    <col min="258" max="258" width="12.85546875" style="58" customWidth="1"/>
    <col min="259" max="338" width="7.7109375" style="58" customWidth="1"/>
    <col min="339" max="512" width="9.140625" style="58"/>
    <col min="513" max="513" width="38.42578125" style="58" customWidth="1"/>
    <col min="514" max="514" width="12.85546875" style="58" customWidth="1"/>
    <col min="515" max="594" width="7.7109375" style="58" customWidth="1"/>
    <col min="595" max="768" width="9.140625" style="58"/>
    <col min="769" max="769" width="38.42578125" style="58" customWidth="1"/>
    <col min="770" max="770" width="12.85546875" style="58" customWidth="1"/>
    <col min="771" max="850" width="7.7109375" style="58" customWidth="1"/>
    <col min="851" max="1024" width="9.140625" style="58"/>
    <col min="1025" max="1025" width="38.42578125" style="58" customWidth="1"/>
    <col min="1026" max="1026" width="12.85546875" style="58" customWidth="1"/>
    <col min="1027" max="1106" width="7.7109375" style="58" customWidth="1"/>
    <col min="1107" max="1280" width="9.140625" style="58"/>
    <col min="1281" max="1281" width="38.42578125" style="58" customWidth="1"/>
    <col min="1282" max="1282" width="12.85546875" style="58" customWidth="1"/>
    <col min="1283" max="1362" width="7.7109375" style="58" customWidth="1"/>
    <col min="1363" max="1536" width="9.140625" style="58"/>
    <col min="1537" max="1537" width="38.42578125" style="58" customWidth="1"/>
    <col min="1538" max="1538" width="12.85546875" style="58" customWidth="1"/>
    <col min="1539" max="1618" width="7.7109375" style="58" customWidth="1"/>
    <col min="1619" max="1792" width="9.140625" style="58"/>
    <col min="1793" max="1793" width="38.42578125" style="58" customWidth="1"/>
    <col min="1794" max="1794" width="12.85546875" style="58" customWidth="1"/>
    <col min="1795" max="1874" width="7.7109375" style="58" customWidth="1"/>
    <col min="1875" max="2048" width="9.140625" style="58"/>
    <col min="2049" max="2049" width="38.42578125" style="58" customWidth="1"/>
    <col min="2050" max="2050" width="12.85546875" style="58" customWidth="1"/>
    <col min="2051" max="2130" width="7.7109375" style="58" customWidth="1"/>
    <col min="2131" max="2304" width="9.140625" style="58"/>
    <col min="2305" max="2305" width="38.42578125" style="58" customWidth="1"/>
    <col min="2306" max="2306" width="12.85546875" style="58" customWidth="1"/>
    <col min="2307" max="2386" width="7.7109375" style="58" customWidth="1"/>
    <col min="2387" max="2560" width="9.140625" style="58"/>
    <col min="2561" max="2561" width="38.42578125" style="58" customWidth="1"/>
    <col min="2562" max="2562" width="12.85546875" style="58" customWidth="1"/>
    <col min="2563" max="2642" width="7.7109375" style="58" customWidth="1"/>
    <col min="2643" max="2816" width="9.140625" style="58"/>
    <col min="2817" max="2817" width="38.42578125" style="58" customWidth="1"/>
    <col min="2818" max="2818" width="12.85546875" style="58" customWidth="1"/>
    <col min="2819" max="2898" width="7.7109375" style="58" customWidth="1"/>
    <col min="2899" max="3072" width="9.140625" style="58"/>
    <col min="3073" max="3073" width="38.42578125" style="58" customWidth="1"/>
    <col min="3074" max="3074" width="12.85546875" style="58" customWidth="1"/>
    <col min="3075" max="3154" width="7.7109375" style="58" customWidth="1"/>
    <col min="3155" max="3328" width="9.140625" style="58"/>
    <col min="3329" max="3329" width="38.42578125" style="58" customWidth="1"/>
    <col min="3330" max="3330" width="12.85546875" style="58" customWidth="1"/>
    <col min="3331" max="3410" width="7.7109375" style="58" customWidth="1"/>
    <col min="3411" max="3584" width="9.140625" style="58"/>
    <col min="3585" max="3585" width="38.42578125" style="58" customWidth="1"/>
    <col min="3586" max="3586" width="12.85546875" style="58" customWidth="1"/>
    <col min="3587" max="3666" width="7.7109375" style="58" customWidth="1"/>
    <col min="3667" max="3840" width="9.140625" style="58"/>
    <col min="3841" max="3841" width="38.42578125" style="58" customWidth="1"/>
    <col min="3842" max="3842" width="12.85546875" style="58" customWidth="1"/>
    <col min="3843" max="3922" width="7.7109375" style="58" customWidth="1"/>
    <col min="3923" max="4096" width="9.140625" style="58"/>
    <col min="4097" max="4097" width="38.42578125" style="58" customWidth="1"/>
    <col min="4098" max="4098" width="12.85546875" style="58" customWidth="1"/>
    <col min="4099" max="4178" width="7.7109375" style="58" customWidth="1"/>
    <col min="4179" max="4352" width="9.140625" style="58"/>
    <col min="4353" max="4353" width="38.42578125" style="58" customWidth="1"/>
    <col min="4354" max="4354" width="12.85546875" style="58" customWidth="1"/>
    <col min="4355" max="4434" width="7.7109375" style="58" customWidth="1"/>
    <col min="4435" max="4608" width="9.140625" style="58"/>
    <col min="4609" max="4609" width="38.42578125" style="58" customWidth="1"/>
    <col min="4610" max="4610" width="12.85546875" style="58" customWidth="1"/>
    <col min="4611" max="4690" width="7.7109375" style="58" customWidth="1"/>
    <col min="4691" max="4864" width="9.140625" style="58"/>
    <col min="4865" max="4865" width="38.42578125" style="58" customWidth="1"/>
    <col min="4866" max="4866" width="12.85546875" style="58" customWidth="1"/>
    <col min="4867" max="4946" width="7.7109375" style="58" customWidth="1"/>
    <col min="4947" max="5120" width="9.140625" style="58"/>
    <col min="5121" max="5121" width="38.42578125" style="58" customWidth="1"/>
    <col min="5122" max="5122" width="12.85546875" style="58" customWidth="1"/>
    <col min="5123" max="5202" width="7.7109375" style="58" customWidth="1"/>
    <col min="5203" max="5376" width="9.140625" style="58"/>
    <col min="5377" max="5377" width="38.42578125" style="58" customWidth="1"/>
    <col min="5378" max="5378" width="12.85546875" style="58" customWidth="1"/>
    <col min="5379" max="5458" width="7.7109375" style="58" customWidth="1"/>
    <col min="5459" max="5632" width="9.140625" style="58"/>
    <col min="5633" max="5633" width="38.42578125" style="58" customWidth="1"/>
    <col min="5634" max="5634" width="12.85546875" style="58" customWidth="1"/>
    <col min="5635" max="5714" width="7.7109375" style="58" customWidth="1"/>
    <col min="5715" max="5888" width="9.140625" style="58"/>
    <col min="5889" max="5889" width="38.42578125" style="58" customWidth="1"/>
    <col min="5890" max="5890" width="12.85546875" style="58" customWidth="1"/>
    <col min="5891" max="5970" width="7.7109375" style="58" customWidth="1"/>
    <col min="5971" max="6144" width="9.140625" style="58"/>
    <col min="6145" max="6145" width="38.42578125" style="58" customWidth="1"/>
    <col min="6146" max="6146" width="12.85546875" style="58" customWidth="1"/>
    <col min="6147" max="6226" width="7.7109375" style="58" customWidth="1"/>
    <col min="6227" max="6400" width="9.140625" style="58"/>
    <col min="6401" max="6401" width="38.42578125" style="58" customWidth="1"/>
    <col min="6402" max="6402" width="12.85546875" style="58" customWidth="1"/>
    <col min="6403" max="6482" width="7.7109375" style="58" customWidth="1"/>
    <col min="6483" max="6656" width="9.140625" style="58"/>
    <col min="6657" max="6657" width="38.42578125" style="58" customWidth="1"/>
    <col min="6658" max="6658" width="12.85546875" style="58" customWidth="1"/>
    <col min="6659" max="6738" width="7.7109375" style="58" customWidth="1"/>
    <col min="6739" max="6912" width="9.140625" style="58"/>
    <col min="6913" max="6913" width="38.42578125" style="58" customWidth="1"/>
    <col min="6914" max="6914" width="12.85546875" style="58" customWidth="1"/>
    <col min="6915" max="6994" width="7.7109375" style="58" customWidth="1"/>
    <col min="6995" max="7168" width="9.140625" style="58"/>
    <col min="7169" max="7169" width="38.42578125" style="58" customWidth="1"/>
    <col min="7170" max="7170" width="12.85546875" style="58" customWidth="1"/>
    <col min="7171" max="7250" width="7.7109375" style="58" customWidth="1"/>
    <col min="7251" max="7424" width="9.140625" style="58"/>
    <col min="7425" max="7425" width="38.42578125" style="58" customWidth="1"/>
    <col min="7426" max="7426" width="12.85546875" style="58" customWidth="1"/>
    <col min="7427" max="7506" width="7.7109375" style="58" customWidth="1"/>
    <col min="7507" max="7680" width="9.140625" style="58"/>
    <col min="7681" max="7681" width="38.42578125" style="58" customWidth="1"/>
    <col min="7682" max="7682" width="12.85546875" style="58" customWidth="1"/>
    <col min="7683" max="7762" width="7.7109375" style="58" customWidth="1"/>
    <col min="7763" max="7936" width="9.140625" style="58"/>
    <col min="7937" max="7937" width="38.42578125" style="58" customWidth="1"/>
    <col min="7938" max="7938" width="12.85546875" style="58" customWidth="1"/>
    <col min="7939" max="8018" width="7.7109375" style="58" customWidth="1"/>
    <col min="8019" max="8192" width="9.140625" style="58"/>
    <col min="8193" max="8193" width="38.42578125" style="58" customWidth="1"/>
    <col min="8194" max="8194" width="12.85546875" style="58" customWidth="1"/>
    <col min="8195" max="8274" width="7.7109375" style="58" customWidth="1"/>
    <col min="8275" max="8448" width="9.140625" style="58"/>
    <col min="8449" max="8449" width="38.42578125" style="58" customWidth="1"/>
    <col min="8450" max="8450" width="12.85546875" style="58" customWidth="1"/>
    <col min="8451" max="8530" width="7.7109375" style="58" customWidth="1"/>
    <col min="8531" max="8704" width="9.140625" style="58"/>
    <col min="8705" max="8705" width="38.42578125" style="58" customWidth="1"/>
    <col min="8706" max="8706" width="12.85546875" style="58" customWidth="1"/>
    <col min="8707" max="8786" width="7.7109375" style="58" customWidth="1"/>
    <col min="8787" max="8960" width="9.140625" style="58"/>
    <col min="8961" max="8961" width="38.42578125" style="58" customWidth="1"/>
    <col min="8962" max="8962" width="12.85546875" style="58" customWidth="1"/>
    <col min="8963" max="9042" width="7.7109375" style="58" customWidth="1"/>
    <col min="9043" max="9216" width="9.140625" style="58"/>
    <col min="9217" max="9217" width="38.42578125" style="58" customWidth="1"/>
    <col min="9218" max="9218" width="12.85546875" style="58" customWidth="1"/>
    <col min="9219" max="9298" width="7.7109375" style="58" customWidth="1"/>
    <col min="9299" max="9472" width="9.140625" style="58"/>
    <col min="9473" max="9473" width="38.42578125" style="58" customWidth="1"/>
    <col min="9474" max="9474" width="12.85546875" style="58" customWidth="1"/>
    <col min="9475" max="9554" width="7.7109375" style="58" customWidth="1"/>
    <col min="9555" max="9728" width="9.140625" style="58"/>
    <col min="9729" max="9729" width="38.42578125" style="58" customWidth="1"/>
    <col min="9730" max="9730" width="12.85546875" style="58" customWidth="1"/>
    <col min="9731" max="9810" width="7.7109375" style="58" customWidth="1"/>
    <col min="9811" max="9984" width="9.140625" style="58"/>
    <col min="9985" max="9985" width="38.42578125" style="58" customWidth="1"/>
    <col min="9986" max="9986" width="12.85546875" style="58" customWidth="1"/>
    <col min="9987" max="10066" width="7.7109375" style="58" customWidth="1"/>
    <col min="10067" max="10240" width="9.140625" style="58"/>
    <col min="10241" max="10241" width="38.42578125" style="58" customWidth="1"/>
    <col min="10242" max="10242" width="12.85546875" style="58" customWidth="1"/>
    <col min="10243" max="10322" width="7.7109375" style="58" customWidth="1"/>
    <col min="10323" max="10496" width="9.140625" style="58"/>
    <col min="10497" max="10497" width="38.42578125" style="58" customWidth="1"/>
    <col min="10498" max="10498" width="12.85546875" style="58" customWidth="1"/>
    <col min="10499" max="10578" width="7.7109375" style="58" customWidth="1"/>
    <col min="10579" max="10752" width="9.140625" style="58"/>
    <col min="10753" max="10753" width="38.42578125" style="58" customWidth="1"/>
    <col min="10754" max="10754" width="12.85546875" style="58" customWidth="1"/>
    <col min="10755" max="10834" width="7.7109375" style="58" customWidth="1"/>
    <col min="10835" max="11008" width="9.140625" style="58"/>
    <col min="11009" max="11009" width="38.42578125" style="58" customWidth="1"/>
    <col min="11010" max="11010" width="12.85546875" style="58" customWidth="1"/>
    <col min="11011" max="11090" width="7.7109375" style="58" customWidth="1"/>
    <col min="11091" max="11264" width="9.140625" style="58"/>
    <col min="11265" max="11265" width="38.42578125" style="58" customWidth="1"/>
    <col min="11266" max="11266" width="12.85546875" style="58" customWidth="1"/>
    <col min="11267" max="11346" width="7.7109375" style="58" customWidth="1"/>
    <col min="11347" max="11520" width="9.140625" style="58"/>
    <col min="11521" max="11521" width="38.42578125" style="58" customWidth="1"/>
    <col min="11522" max="11522" width="12.85546875" style="58" customWidth="1"/>
    <col min="11523" max="11602" width="7.7109375" style="58" customWidth="1"/>
    <col min="11603" max="11776" width="9.140625" style="58"/>
    <col min="11777" max="11777" width="38.42578125" style="58" customWidth="1"/>
    <col min="11778" max="11778" width="12.85546875" style="58" customWidth="1"/>
    <col min="11779" max="11858" width="7.7109375" style="58" customWidth="1"/>
    <col min="11859" max="12032" width="9.140625" style="58"/>
    <col min="12033" max="12033" width="38.42578125" style="58" customWidth="1"/>
    <col min="12034" max="12034" width="12.85546875" style="58" customWidth="1"/>
    <col min="12035" max="12114" width="7.7109375" style="58" customWidth="1"/>
    <col min="12115" max="12288" width="9.140625" style="58"/>
    <col min="12289" max="12289" width="38.42578125" style="58" customWidth="1"/>
    <col min="12290" max="12290" width="12.85546875" style="58" customWidth="1"/>
    <col min="12291" max="12370" width="7.7109375" style="58" customWidth="1"/>
    <col min="12371" max="12544" width="9.140625" style="58"/>
    <col min="12545" max="12545" width="38.42578125" style="58" customWidth="1"/>
    <col min="12546" max="12546" width="12.85546875" style="58" customWidth="1"/>
    <col min="12547" max="12626" width="7.7109375" style="58" customWidth="1"/>
    <col min="12627" max="12800" width="9.140625" style="58"/>
    <col min="12801" max="12801" width="38.42578125" style="58" customWidth="1"/>
    <col min="12802" max="12802" width="12.85546875" style="58" customWidth="1"/>
    <col min="12803" max="12882" width="7.7109375" style="58" customWidth="1"/>
    <col min="12883" max="13056" width="9.140625" style="58"/>
    <col min="13057" max="13057" width="38.42578125" style="58" customWidth="1"/>
    <col min="13058" max="13058" width="12.85546875" style="58" customWidth="1"/>
    <col min="13059" max="13138" width="7.7109375" style="58" customWidth="1"/>
    <col min="13139" max="13312" width="9.140625" style="58"/>
    <col min="13313" max="13313" width="38.42578125" style="58" customWidth="1"/>
    <col min="13314" max="13314" width="12.85546875" style="58" customWidth="1"/>
    <col min="13315" max="13394" width="7.7109375" style="58" customWidth="1"/>
    <col min="13395" max="13568" width="9.140625" style="58"/>
    <col min="13569" max="13569" width="38.42578125" style="58" customWidth="1"/>
    <col min="13570" max="13570" width="12.85546875" style="58" customWidth="1"/>
    <col min="13571" max="13650" width="7.7109375" style="58" customWidth="1"/>
    <col min="13651" max="13824" width="9.140625" style="58"/>
    <col min="13825" max="13825" width="38.42578125" style="58" customWidth="1"/>
    <col min="13826" max="13826" width="12.85546875" style="58" customWidth="1"/>
    <col min="13827" max="13906" width="7.7109375" style="58" customWidth="1"/>
    <col min="13907" max="14080" width="9.140625" style="58"/>
    <col min="14081" max="14081" width="38.42578125" style="58" customWidth="1"/>
    <col min="14082" max="14082" width="12.85546875" style="58" customWidth="1"/>
    <col min="14083" max="14162" width="7.7109375" style="58" customWidth="1"/>
    <col min="14163" max="14336" width="9.140625" style="58"/>
    <col min="14337" max="14337" width="38.42578125" style="58" customWidth="1"/>
    <col min="14338" max="14338" width="12.85546875" style="58" customWidth="1"/>
    <col min="14339" max="14418" width="7.7109375" style="58" customWidth="1"/>
    <col min="14419" max="14592" width="9.140625" style="58"/>
    <col min="14593" max="14593" width="38.42578125" style="58" customWidth="1"/>
    <col min="14594" max="14594" width="12.85546875" style="58" customWidth="1"/>
    <col min="14595" max="14674" width="7.7109375" style="58" customWidth="1"/>
    <col min="14675" max="14848" width="9.140625" style="58"/>
    <col min="14849" max="14849" width="38.42578125" style="58" customWidth="1"/>
    <col min="14850" max="14850" width="12.85546875" style="58" customWidth="1"/>
    <col min="14851" max="14930" width="7.7109375" style="58" customWidth="1"/>
    <col min="14931" max="15104" width="9.140625" style="58"/>
    <col min="15105" max="15105" width="38.42578125" style="58" customWidth="1"/>
    <col min="15106" max="15106" width="12.85546875" style="58" customWidth="1"/>
    <col min="15107" max="15186" width="7.7109375" style="58" customWidth="1"/>
    <col min="15187" max="15360" width="9.140625" style="58"/>
    <col min="15361" max="15361" width="38.42578125" style="58" customWidth="1"/>
    <col min="15362" max="15362" width="12.85546875" style="58" customWidth="1"/>
    <col min="15363" max="15442" width="7.7109375" style="58" customWidth="1"/>
    <col min="15443" max="15616" width="9.140625" style="58"/>
    <col min="15617" max="15617" width="38.42578125" style="58" customWidth="1"/>
    <col min="15618" max="15618" width="12.85546875" style="58" customWidth="1"/>
    <col min="15619" max="15698" width="7.7109375" style="58" customWidth="1"/>
    <col min="15699" max="15872" width="9.140625" style="58"/>
    <col min="15873" max="15873" width="38.42578125" style="58" customWidth="1"/>
    <col min="15874" max="15874" width="12.85546875" style="58" customWidth="1"/>
    <col min="15875" max="15954" width="7.7109375" style="58" customWidth="1"/>
    <col min="15955" max="16128" width="9.140625" style="58"/>
    <col min="16129" max="16129" width="38.42578125" style="58" customWidth="1"/>
    <col min="16130" max="16130" width="12.85546875" style="58" customWidth="1"/>
    <col min="16131" max="16210" width="7.7109375" style="58" customWidth="1"/>
    <col min="16211" max="16384" width="9.140625" style="58"/>
  </cols>
  <sheetData>
    <row r="1" spans="1:102" ht="18" x14ac:dyDescent="0.25">
      <c r="A1" s="1714" t="s">
        <v>242</v>
      </c>
      <c r="B1" s="1715"/>
    </row>
    <row r="2" spans="1:102" ht="15.75" x14ac:dyDescent="0.25">
      <c r="A2" s="96" t="s">
        <v>241</v>
      </c>
      <c r="B2" s="95"/>
    </row>
    <row r="3" spans="1:102" ht="15.75" thickBot="1" x14ac:dyDescent="0.3">
      <c r="A3" s="94" t="s">
        <v>240</v>
      </c>
      <c r="B3" s="93"/>
    </row>
    <row r="6" spans="1:102" x14ac:dyDescent="0.2">
      <c r="BQ6" s="92" t="s">
        <v>239</v>
      </c>
      <c r="BR6" s="92"/>
      <c r="BS6" s="92"/>
      <c r="BT6" s="92"/>
      <c r="BU6" s="92"/>
      <c r="BV6" s="92"/>
      <c r="BW6" s="92"/>
      <c r="BX6" s="92"/>
      <c r="BY6" s="91" t="s">
        <v>238</v>
      </c>
      <c r="BZ6" s="91" t="s">
        <v>238</v>
      </c>
      <c r="CA6" s="91" t="s">
        <v>238</v>
      </c>
      <c r="CB6" s="91" t="s">
        <v>238</v>
      </c>
      <c r="CC6" s="90" t="s">
        <v>133</v>
      </c>
      <c r="CD6" s="90" t="s">
        <v>133</v>
      </c>
      <c r="CE6" s="90" t="s">
        <v>133</v>
      </c>
      <c r="CF6" s="90" t="s">
        <v>133</v>
      </c>
      <c r="CG6" s="89" t="s">
        <v>237</v>
      </c>
      <c r="CH6" s="89" t="s">
        <v>237</v>
      </c>
      <c r="CI6" s="89" t="s">
        <v>237</v>
      </c>
      <c r="CJ6" s="89" t="s">
        <v>237</v>
      </c>
      <c r="CK6" s="88" t="s">
        <v>236</v>
      </c>
      <c r="CL6" s="88" t="s">
        <v>236</v>
      </c>
      <c r="CM6" s="88" t="s">
        <v>236</v>
      </c>
      <c r="CN6" s="88" t="s">
        <v>236</v>
      </c>
    </row>
    <row r="7" spans="1:102" s="59" customFormat="1" x14ac:dyDescent="0.2">
      <c r="B7" s="59" t="s">
        <v>235</v>
      </c>
      <c r="C7" s="87" t="s">
        <v>234</v>
      </c>
      <c r="D7" s="87" t="s">
        <v>233</v>
      </c>
      <c r="E7" s="87" t="s">
        <v>232</v>
      </c>
      <c r="F7" s="87" t="s">
        <v>231</v>
      </c>
      <c r="G7" s="87" t="s">
        <v>230</v>
      </c>
      <c r="H7" s="87" t="s">
        <v>229</v>
      </c>
      <c r="I7" s="87" t="s">
        <v>228</v>
      </c>
      <c r="J7" s="87" t="s">
        <v>227</v>
      </c>
      <c r="K7" s="87" t="s">
        <v>226</v>
      </c>
      <c r="L7" s="87" t="s">
        <v>225</v>
      </c>
      <c r="M7" s="87" t="s">
        <v>224</v>
      </c>
      <c r="N7" s="87" t="s">
        <v>223</v>
      </c>
      <c r="O7" s="87" t="s">
        <v>222</v>
      </c>
      <c r="P7" s="87" t="s">
        <v>221</v>
      </c>
      <c r="Q7" s="87" t="s">
        <v>220</v>
      </c>
      <c r="R7" s="87" t="s">
        <v>219</v>
      </c>
      <c r="S7" s="87" t="s">
        <v>218</v>
      </c>
      <c r="T7" s="87" t="s">
        <v>217</v>
      </c>
      <c r="U7" s="87" t="s">
        <v>216</v>
      </c>
      <c r="V7" s="87" t="s">
        <v>215</v>
      </c>
      <c r="W7" s="87" t="s">
        <v>214</v>
      </c>
      <c r="X7" s="87" t="s">
        <v>213</v>
      </c>
      <c r="Y7" s="87" t="s">
        <v>212</v>
      </c>
      <c r="Z7" s="87" t="s">
        <v>211</v>
      </c>
      <c r="AA7" s="87" t="s">
        <v>210</v>
      </c>
      <c r="AB7" s="87" t="s">
        <v>209</v>
      </c>
      <c r="AC7" s="87" t="s">
        <v>208</v>
      </c>
      <c r="AD7" s="87" t="s">
        <v>207</v>
      </c>
      <c r="AE7" s="87" t="s">
        <v>206</v>
      </c>
      <c r="AF7" s="87" t="s">
        <v>205</v>
      </c>
      <c r="AG7" s="87" t="s">
        <v>204</v>
      </c>
      <c r="AH7" s="87" t="s">
        <v>203</v>
      </c>
      <c r="AI7" s="87" t="s">
        <v>202</v>
      </c>
      <c r="AJ7" s="87" t="s">
        <v>201</v>
      </c>
      <c r="AK7" s="87" t="s">
        <v>200</v>
      </c>
      <c r="AL7" s="87" t="s">
        <v>199</v>
      </c>
      <c r="AM7" s="87" t="s">
        <v>198</v>
      </c>
      <c r="AN7" s="87" t="s">
        <v>197</v>
      </c>
      <c r="AO7" s="87" t="s">
        <v>196</v>
      </c>
      <c r="AP7" s="87" t="s">
        <v>195</v>
      </c>
      <c r="AQ7" s="87" t="s">
        <v>194</v>
      </c>
      <c r="AR7" s="87" t="s">
        <v>193</v>
      </c>
      <c r="AS7" s="87" t="s">
        <v>192</v>
      </c>
      <c r="AT7" s="87" t="s">
        <v>191</v>
      </c>
      <c r="AU7" s="59" t="s">
        <v>190</v>
      </c>
      <c r="AV7" s="59" t="s">
        <v>189</v>
      </c>
      <c r="AW7" s="59" t="s">
        <v>188</v>
      </c>
      <c r="AX7" s="59" t="s">
        <v>187</v>
      </c>
      <c r="AY7" s="59" t="s">
        <v>186</v>
      </c>
      <c r="AZ7" s="59" t="s">
        <v>185</v>
      </c>
      <c r="BA7" s="59" t="s">
        <v>184</v>
      </c>
      <c r="BB7" s="59" t="s">
        <v>183</v>
      </c>
      <c r="BC7" s="59" t="s">
        <v>182</v>
      </c>
      <c r="BD7" s="59" t="s">
        <v>181</v>
      </c>
      <c r="BE7" s="59" t="s">
        <v>180</v>
      </c>
      <c r="BF7" s="59" t="s">
        <v>179</v>
      </c>
      <c r="BG7" s="59" t="s">
        <v>178</v>
      </c>
      <c r="BH7" s="59" t="s">
        <v>177</v>
      </c>
      <c r="BI7" s="59" t="s">
        <v>176</v>
      </c>
      <c r="BJ7" s="59" t="s">
        <v>175</v>
      </c>
      <c r="BK7" s="59" t="s">
        <v>174</v>
      </c>
      <c r="BL7" s="59" t="s">
        <v>173</v>
      </c>
      <c r="BM7" s="59" t="s">
        <v>172</v>
      </c>
      <c r="BN7" s="59" t="s">
        <v>171</v>
      </c>
      <c r="BO7" s="59" t="s">
        <v>170</v>
      </c>
      <c r="BP7" s="59" t="s">
        <v>169</v>
      </c>
      <c r="BQ7" s="59" t="s">
        <v>168</v>
      </c>
      <c r="BR7" s="59" t="s">
        <v>167</v>
      </c>
      <c r="BS7" s="59" t="s">
        <v>166</v>
      </c>
      <c r="BT7" s="59" t="s">
        <v>165</v>
      </c>
      <c r="BU7" s="59" t="s">
        <v>164</v>
      </c>
      <c r="BV7" s="59" t="s">
        <v>163</v>
      </c>
      <c r="BW7" s="59" t="s">
        <v>162</v>
      </c>
      <c r="BX7" s="59" t="s">
        <v>161</v>
      </c>
      <c r="BY7" s="59" t="s">
        <v>160</v>
      </c>
      <c r="BZ7" s="59" t="s">
        <v>159</v>
      </c>
      <c r="CA7" s="59" t="s">
        <v>158</v>
      </c>
      <c r="CB7" s="59" t="s">
        <v>157</v>
      </c>
      <c r="CC7" s="59" t="s">
        <v>156</v>
      </c>
      <c r="CD7" s="59" t="s">
        <v>155</v>
      </c>
      <c r="CE7" s="59" t="s">
        <v>129</v>
      </c>
      <c r="CF7" s="59" t="s">
        <v>128</v>
      </c>
      <c r="CG7" s="59" t="s">
        <v>127</v>
      </c>
      <c r="CH7" s="59" t="s">
        <v>126</v>
      </c>
      <c r="CI7" s="59" t="s">
        <v>125</v>
      </c>
      <c r="CJ7" s="59" t="s">
        <v>124</v>
      </c>
      <c r="CK7" s="59" t="s">
        <v>123</v>
      </c>
      <c r="CL7" s="59" t="s">
        <v>122</v>
      </c>
      <c r="CM7" s="59" t="s">
        <v>154</v>
      </c>
      <c r="CN7" s="59" t="s">
        <v>153</v>
      </c>
      <c r="CO7" s="59" t="s">
        <v>152</v>
      </c>
      <c r="CP7" s="59" t="s">
        <v>151</v>
      </c>
      <c r="CQ7" s="59" t="s">
        <v>150</v>
      </c>
      <c r="CR7" s="59" t="s">
        <v>149</v>
      </c>
      <c r="CS7" s="59" t="s">
        <v>148</v>
      </c>
      <c r="CT7" s="59" t="s">
        <v>147</v>
      </c>
      <c r="CU7" s="59" t="s">
        <v>146</v>
      </c>
      <c r="CV7" s="59" t="s">
        <v>145</v>
      </c>
      <c r="CW7" s="59" t="s">
        <v>144</v>
      </c>
      <c r="CX7" s="59" t="s">
        <v>143</v>
      </c>
    </row>
    <row r="8" spans="1:102" x14ac:dyDescent="0.2">
      <c r="A8" s="59" t="s">
        <v>142</v>
      </c>
      <c r="B8" s="59" t="s">
        <v>141</v>
      </c>
      <c r="C8" s="85">
        <v>2.0050112051495002</v>
      </c>
      <c r="D8" s="85">
        <v>2.0276241163363098</v>
      </c>
      <c r="E8" s="85">
        <v>2.0363460391917001</v>
      </c>
      <c r="F8" s="85">
        <v>2.0596415110589001</v>
      </c>
      <c r="G8" s="85">
        <v>2.0733294705676499</v>
      </c>
      <c r="H8" s="85">
        <v>2.0835292799709602</v>
      </c>
      <c r="I8" s="85">
        <v>2.1195041887439401</v>
      </c>
      <c r="J8" s="85">
        <v>2.1415481300828598</v>
      </c>
      <c r="K8" s="85">
        <v>2.1562703287960399</v>
      </c>
      <c r="L8" s="85">
        <v>2.1819748269408099</v>
      </c>
      <c r="M8" s="85">
        <v>2.2029036076995201</v>
      </c>
      <c r="N8" s="85">
        <v>2.1887625047097399</v>
      </c>
      <c r="O8" s="85">
        <v>2.2060843099596301</v>
      </c>
      <c r="P8" s="85">
        <v>2.2265958098971699</v>
      </c>
      <c r="Q8" s="85">
        <v>2.2446322955459399</v>
      </c>
      <c r="R8" s="85">
        <v>2.2722619420728098</v>
      </c>
      <c r="S8" s="85">
        <v>2.2956075162666898</v>
      </c>
      <c r="T8" s="85">
        <v>2.33325183151159</v>
      </c>
      <c r="U8" s="85">
        <v>2.37203530343487</v>
      </c>
      <c r="V8" s="85">
        <v>2.3206542043126999</v>
      </c>
      <c r="W8" s="85">
        <v>2.30200743794274</v>
      </c>
      <c r="X8" s="85">
        <v>2.3133154897554</v>
      </c>
      <c r="Y8" s="85">
        <v>2.3324316109679</v>
      </c>
      <c r="Z8" s="85">
        <v>2.3514838560921301</v>
      </c>
      <c r="AA8" s="85">
        <v>2.35519698431525</v>
      </c>
      <c r="AB8" s="85">
        <v>2.3583040416960399</v>
      </c>
      <c r="AC8" s="85">
        <v>2.3659233658671601</v>
      </c>
      <c r="AD8" s="85">
        <v>2.3887196326128302</v>
      </c>
      <c r="AE8" s="85">
        <v>2.4062061518870501</v>
      </c>
      <c r="AF8" s="85">
        <v>2.44252591544041</v>
      </c>
      <c r="AG8" s="85">
        <v>2.4591685909552199</v>
      </c>
      <c r="AH8" s="85">
        <v>2.4668379437269699</v>
      </c>
      <c r="AI8" s="85">
        <v>2.4785145451270099</v>
      </c>
      <c r="AJ8" s="85">
        <v>2.4851120001921498</v>
      </c>
      <c r="AK8" s="85">
        <v>2.4964929133262999</v>
      </c>
      <c r="AL8" s="85">
        <v>2.5166188182623199</v>
      </c>
      <c r="AM8" s="85">
        <v>2.5215576130559998</v>
      </c>
      <c r="AN8" s="85">
        <v>2.52180857683138</v>
      </c>
      <c r="AO8" s="85">
        <v>2.53710244272522</v>
      </c>
      <c r="AP8" s="85">
        <v>2.54811207866496</v>
      </c>
      <c r="AQ8" s="85">
        <v>2.5620432753712001</v>
      </c>
      <c r="AR8" s="85">
        <v>2.5663852378941701</v>
      </c>
      <c r="AS8" s="85">
        <v>2.5733594694754802</v>
      </c>
      <c r="AT8" s="85">
        <v>2.5692521315192698</v>
      </c>
      <c r="AU8" s="85">
        <v>2.56015489993815</v>
      </c>
      <c r="AV8" s="85">
        <v>2.5720252475700498</v>
      </c>
      <c r="AW8" s="85">
        <v>2.5752492149967199</v>
      </c>
      <c r="AX8" s="85">
        <v>2.5757251437181501</v>
      </c>
      <c r="AY8" s="85">
        <v>2.5700308525139999</v>
      </c>
      <c r="AZ8" s="85">
        <v>2.5905788087957</v>
      </c>
      <c r="BA8" s="85">
        <v>2.60565815313538</v>
      </c>
      <c r="BB8" s="85">
        <v>2.62434040849209</v>
      </c>
      <c r="BC8" s="85">
        <v>2.6416721951751398</v>
      </c>
      <c r="BD8" s="85">
        <v>2.6438856664204402</v>
      </c>
      <c r="BE8" s="85">
        <v>2.6501699197236599</v>
      </c>
      <c r="BF8" s="85">
        <v>2.671878963438</v>
      </c>
      <c r="BG8" s="85">
        <v>2.6993222171317699</v>
      </c>
      <c r="BH8" s="85">
        <v>2.71620981134443</v>
      </c>
      <c r="BI8" s="85">
        <v>2.7288288811600601</v>
      </c>
      <c r="BJ8" s="85">
        <v>2.7428099299867101</v>
      </c>
      <c r="BK8" s="85">
        <v>2.7489205839767799</v>
      </c>
      <c r="BL8" s="85">
        <v>2.7670705452261899</v>
      </c>
      <c r="BM8" s="85">
        <v>2.7828865026935201</v>
      </c>
      <c r="BN8" s="85">
        <v>2.7968085391111699</v>
      </c>
      <c r="BO8" s="85">
        <v>2.8054288346603502</v>
      </c>
      <c r="BP8" s="85">
        <v>2.7884180402680299</v>
      </c>
      <c r="BQ8" s="85">
        <v>2.7998641580951702</v>
      </c>
      <c r="BR8" s="85">
        <v>2.8171474270444001</v>
      </c>
      <c r="BS8" s="85">
        <v>2.8438349396178499</v>
      </c>
      <c r="BT8" s="85">
        <v>2.8752551433225602</v>
      </c>
      <c r="BU8" s="85">
        <v>2.9161903655505799</v>
      </c>
      <c r="BV8" s="85">
        <v>2.9803358353475899</v>
      </c>
      <c r="BW8" s="85">
        <v>3.0354748219846401</v>
      </c>
      <c r="BX8" s="85">
        <v>3.0879962927626701</v>
      </c>
      <c r="BY8" s="85">
        <v>3.1288947779563401</v>
      </c>
      <c r="BZ8" s="85">
        <v>3.1689521453255201</v>
      </c>
      <c r="CA8" s="85">
        <v>3.1980340707348902</v>
      </c>
      <c r="CB8" s="85">
        <v>3.22990450581444</v>
      </c>
      <c r="CC8" s="85">
        <v>3.26075269913281</v>
      </c>
      <c r="CD8" s="85">
        <v>3.2907631968455</v>
      </c>
      <c r="CE8" s="85">
        <v>3.3125596296297699</v>
      </c>
      <c r="CF8" s="85">
        <v>3.3297133036565598</v>
      </c>
      <c r="CG8" s="85">
        <v>3.3554073265633502</v>
      </c>
      <c r="CH8" s="85">
        <v>3.3788405050657802</v>
      </c>
      <c r="CI8" s="85">
        <v>3.39938295780372</v>
      </c>
      <c r="CJ8" s="85">
        <v>3.4175790025706099</v>
      </c>
      <c r="CK8" s="85">
        <v>3.4369701606410201</v>
      </c>
      <c r="CL8" s="85">
        <v>3.4575802979927102</v>
      </c>
      <c r="CM8" s="85">
        <v>3.4771120398923698</v>
      </c>
      <c r="CN8" s="85">
        <v>3.4951231605612301</v>
      </c>
      <c r="CO8" s="85">
        <v>3.5145794338558001</v>
      </c>
      <c r="CP8" s="85">
        <v>3.5352713487487901</v>
      </c>
      <c r="CQ8" s="85">
        <v>3.5556929148674201</v>
      </c>
      <c r="CR8" s="85">
        <v>3.5758520413646999</v>
      </c>
      <c r="CS8" s="85">
        <v>3.5965497565748001</v>
      </c>
      <c r="CT8" s="85">
        <v>3.6172456101849302</v>
      </c>
      <c r="CU8" s="85">
        <v>3.6362786933062998</v>
      </c>
      <c r="CV8" s="85">
        <v>3.65538542992266</v>
      </c>
      <c r="CW8" s="85">
        <v>3.6753840732010601</v>
      </c>
      <c r="CX8" s="85">
        <v>3.6948614603658299</v>
      </c>
    </row>
    <row r="9" spans="1:102" x14ac:dyDescent="0.2">
      <c r="A9" s="59" t="s">
        <v>140</v>
      </c>
      <c r="B9" s="59" t="s">
        <v>139</v>
      </c>
      <c r="C9" s="85">
        <v>2.0050112051495002</v>
      </c>
      <c r="D9" s="85">
        <v>2.0276241163363098</v>
      </c>
      <c r="E9" s="85">
        <v>2.0363460391917001</v>
      </c>
      <c r="F9" s="85">
        <v>2.0596415110589001</v>
      </c>
      <c r="G9" s="85">
        <v>2.0733294705676499</v>
      </c>
      <c r="H9" s="85">
        <v>2.0835292799709602</v>
      </c>
      <c r="I9" s="85">
        <v>2.1195041887439401</v>
      </c>
      <c r="J9" s="85">
        <v>2.1415481300828598</v>
      </c>
      <c r="K9" s="85">
        <v>2.1562703287960399</v>
      </c>
      <c r="L9" s="85">
        <v>2.1819748269408099</v>
      </c>
      <c r="M9" s="85">
        <v>2.2029036076995201</v>
      </c>
      <c r="N9" s="85">
        <v>2.1887625047097399</v>
      </c>
      <c r="O9" s="85">
        <v>2.2060843099596301</v>
      </c>
      <c r="P9" s="85">
        <v>2.2265958098971699</v>
      </c>
      <c r="Q9" s="85">
        <v>2.2446322955459399</v>
      </c>
      <c r="R9" s="85">
        <v>2.2722619420728098</v>
      </c>
      <c r="S9" s="85">
        <v>2.2956075162666898</v>
      </c>
      <c r="T9" s="85">
        <v>2.33325183151159</v>
      </c>
      <c r="U9" s="85">
        <v>2.37203530343487</v>
      </c>
      <c r="V9" s="85">
        <v>2.3206542043126999</v>
      </c>
      <c r="W9" s="85">
        <v>2.30200743794274</v>
      </c>
      <c r="X9" s="85">
        <v>2.3133154897554</v>
      </c>
      <c r="Y9" s="85">
        <v>2.3324316109679</v>
      </c>
      <c r="Z9" s="85">
        <v>2.3514838560921301</v>
      </c>
      <c r="AA9" s="85">
        <v>2.35519698431525</v>
      </c>
      <c r="AB9" s="85">
        <v>2.3583040416960399</v>
      </c>
      <c r="AC9" s="85">
        <v>2.3659233658671601</v>
      </c>
      <c r="AD9" s="85">
        <v>2.3887196326128302</v>
      </c>
      <c r="AE9" s="85">
        <v>2.4062061518870501</v>
      </c>
      <c r="AF9" s="85">
        <v>2.44252591544041</v>
      </c>
      <c r="AG9" s="85">
        <v>2.4591685909552199</v>
      </c>
      <c r="AH9" s="85">
        <v>2.4668379437269699</v>
      </c>
      <c r="AI9" s="85">
        <v>2.4785145451270099</v>
      </c>
      <c r="AJ9" s="85">
        <v>2.4851120001921498</v>
      </c>
      <c r="AK9" s="85">
        <v>2.4964929133262999</v>
      </c>
      <c r="AL9" s="85">
        <v>2.5166188182623199</v>
      </c>
      <c r="AM9" s="85">
        <v>2.5215576130559998</v>
      </c>
      <c r="AN9" s="85">
        <v>2.52180857683138</v>
      </c>
      <c r="AO9" s="85">
        <v>2.53710244272522</v>
      </c>
      <c r="AP9" s="85">
        <v>2.54811207866496</v>
      </c>
      <c r="AQ9" s="85">
        <v>2.5620432753712001</v>
      </c>
      <c r="AR9" s="85">
        <v>2.5663852378941701</v>
      </c>
      <c r="AS9" s="85">
        <v>2.5733594694754802</v>
      </c>
      <c r="AT9" s="85">
        <v>2.5692521315192698</v>
      </c>
      <c r="AU9" s="85">
        <v>2.56015489993815</v>
      </c>
      <c r="AV9" s="85">
        <v>2.5720252475700498</v>
      </c>
      <c r="AW9" s="85">
        <v>2.5752492149967199</v>
      </c>
      <c r="AX9" s="85">
        <v>2.5757251437181501</v>
      </c>
      <c r="AY9" s="85">
        <v>2.5700308525139999</v>
      </c>
      <c r="AZ9" s="85">
        <v>2.5905788087957</v>
      </c>
      <c r="BA9" s="85">
        <v>2.60565815313538</v>
      </c>
      <c r="BB9" s="85">
        <v>2.62434040849209</v>
      </c>
      <c r="BC9" s="85">
        <v>2.6416721951751398</v>
      </c>
      <c r="BD9" s="85">
        <v>2.6438856664204402</v>
      </c>
      <c r="BE9" s="85">
        <v>2.6501699197236599</v>
      </c>
      <c r="BF9" s="85">
        <v>2.671878963438</v>
      </c>
      <c r="BG9" s="85">
        <v>2.6993222171317699</v>
      </c>
      <c r="BH9" s="85">
        <v>2.71620981134443</v>
      </c>
      <c r="BI9" s="85">
        <v>2.7288288811600601</v>
      </c>
      <c r="BJ9" s="85">
        <v>2.7428099299867101</v>
      </c>
      <c r="BK9" s="85">
        <v>2.7489205839767799</v>
      </c>
      <c r="BL9" s="85">
        <v>2.7670705452261899</v>
      </c>
      <c r="BM9" s="85">
        <v>2.7828865026935201</v>
      </c>
      <c r="BN9" s="85">
        <v>2.7968085391111699</v>
      </c>
      <c r="BO9" s="85">
        <v>2.8054288346603502</v>
      </c>
      <c r="BP9" s="85">
        <v>2.7884180402680299</v>
      </c>
      <c r="BQ9" s="85">
        <v>2.7998641580951702</v>
      </c>
      <c r="BR9" s="85">
        <v>2.8171474270444001</v>
      </c>
      <c r="BS9" s="85">
        <v>2.8438349396178499</v>
      </c>
      <c r="BT9" s="85">
        <v>2.8752551433225602</v>
      </c>
      <c r="BU9" s="85">
        <v>2.9161903655505799</v>
      </c>
      <c r="BV9" s="85">
        <v>2.9803358353475899</v>
      </c>
      <c r="BW9" s="85">
        <v>3.0354748219846401</v>
      </c>
      <c r="BX9" s="85">
        <v>3.0879962927626701</v>
      </c>
      <c r="BY9" s="85">
        <v>3.1288947779563401</v>
      </c>
      <c r="BZ9" s="85">
        <v>3.1689521453255201</v>
      </c>
      <c r="CA9" s="85">
        <v>3.1925229599317202</v>
      </c>
      <c r="CB9" s="85">
        <v>3.2142263456677802</v>
      </c>
      <c r="CC9" s="85">
        <v>3.2423791220789102</v>
      </c>
      <c r="CD9" s="85">
        <v>3.2707369257652799</v>
      </c>
      <c r="CE9" s="85">
        <v>3.2911977168238602</v>
      </c>
      <c r="CF9" s="85">
        <v>3.3069503709257599</v>
      </c>
      <c r="CG9" s="85">
        <v>3.3310114361411798</v>
      </c>
      <c r="CH9" s="85">
        <v>3.3528025716004199</v>
      </c>
      <c r="CI9" s="85">
        <v>3.37218091262779</v>
      </c>
      <c r="CJ9" s="85">
        <v>3.3889235278065399</v>
      </c>
      <c r="CK9" s="85">
        <v>3.40662198576385</v>
      </c>
      <c r="CL9" s="85">
        <v>3.4253125699928502</v>
      </c>
      <c r="CM9" s="85">
        <v>3.44308624388484</v>
      </c>
      <c r="CN9" s="85">
        <v>3.4591427533300698</v>
      </c>
      <c r="CO9" s="85">
        <v>3.4768478267287501</v>
      </c>
      <c r="CP9" s="85">
        <v>3.4958882881861402</v>
      </c>
      <c r="CQ9" s="85">
        <v>3.5148267047188599</v>
      </c>
      <c r="CR9" s="85">
        <v>3.5333519436216898</v>
      </c>
      <c r="CS9" s="85">
        <v>3.5523020973974702</v>
      </c>
      <c r="CT9" s="85">
        <v>3.5712848420372398</v>
      </c>
      <c r="CU9" s="85">
        <v>3.5886950963833102</v>
      </c>
      <c r="CV9" s="85">
        <v>3.6061336432568099</v>
      </c>
      <c r="CW9" s="85">
        <v>3.62443922395375</v>
      </c>
      <c r="CX9" s="85">
        <v>3.64199811924524</v>
      </c>
    </row>
    <row r="10" spans="1:102" x14ac:dyDescent="0.2">
      <c r="A10" s="59" t="s">
        <v>138</v>
      </c>
      <c r="B10" s="59" t="s">
        <v>137</v>
      </c>
      <c r="C10" s="85">
        <v>2.0050112051495002</v>
      </c>
      <c r="D10" s="85">
        <v>2.0276241163363098</v>
      </c>
      <c r="E10" s="85">
        <v>2.0363460391917001</v>
      </c>
      <c r="F10" s="85">
        <v>2.0596415110589001</v>
      </c>
      <c r="G10" s="85">
        <v>2.0733294705676499</v>
      </c>
      <c r="H10" s="85">
        <v>2.0835292799709602</v>
      </c>
      <c r="I10" s="85">
        <v>2.1195041887439401</v>
      </c>
      <c r="J10" s="85">
        <v>2.1415481300828598</v>
      </c>
      <c r="K10" s="85">
        <v>2.1562703287960399</v>
      </c>
      <c r="L10" s="85">
        <v>2.1819748269408099</v>
      </c>
      <c r="M10" s="85">
        <v>2.2029036076995201</v>
      </c>
      <c r="N10" s="85">
        <v>2.1887625047097399</v>
      </c>
      <c r="O10" s="85">
        <v>2.2060843099596301</v>
      </c>
      <c r="P10" s="85">
        <v>2.2265958098971699</v>
      </c>
      <c r="Q10" s="85">
        <v>2.2446322955459399</v>
      </c>
      <c r="R10" s="85">
        <v>2.2722619420728098</v>
      </c>
      <c r="S10" s="85">
        <v>2.2956075162666898</v>
      </c>
      <c r="T10" s="85">
        <v>2.33325183151159</v>
      </c>
      <c r="U10" s="85">
        <v>2.37203530343487</v>
      </c>
      <c r="V10" s="85">
        <v>2.3206542043126999</v>
      </c>
      <c r="W10" s="85">
        <v>2.30200743794274</v>
      </c>
      <c r="X10" s="85">
        <v>2.3133154897554</v>
      </c>
      <c r="Y10" s="85">
        <v>2.3324316109679</v>
      </c>
      <c r="Z10" s="85">
        <v>2.3514838560921301</v>
      </c>
      <c r="AA10" s="85">
        <v>2.35519698431525</v>
      </c>
      <c r="AB10" s="85">
        <v>2.3583040416960399</v>
      </c>
      <c r="AC10" s="85">
        <v>2.3659233658671601</v>
      </c>
      <c r="AD10" s="85">
        <v>2.3887196326128302</v>
      </c>
      <c r="AE10" s="85">
        <v>2.4062061518870501</v>
      </c>
      <c r="AF10" s="85">
        <v>2.44252591544041</v>
      </c>
      <c r="AG10" s="85">
        <v>2.4591685909552199</v>
      </c>
      <c r="AH10" s="85">
        <v>2.4668379437269699</v>
      </c>
      <c r="AI10" s="85">
        <v>2.4785145451270099</v>
      </c>
      <c r="AJ10" s="85">
        <v>2.4851120001921498</v>
      </c>
      <c r="AK10" s="85">
        <v>2.4964929133262999</v>
      </c>
      <c r="AL10" s="85">
        <v>2.5166188182623199</v>
      </c>
      <c r="AM10" s="85">
        <v>2.5215576130559998</v>
      </c>
      <c r="AN10" s="85">
        <v>2.52180857683138</v>
      </c>
      <c r="AO10" s="85">
        <v>2.53710244272522</v>
      </c>
      <c r="AP10" s="85">
        <v>2.54811207866496</v>
      </c>
      <c r="AQ10" s="85">
        <v>2.5620432753712001</v>
      </c>
      <c r="AR10" s="85">
        <v>2.5663852378941701</v>
      </c>
      <c r="AS10" s="85">
        <v>2.5733594694754802</v>
      </c>
      <c r="AT10" s="85">
        <v>2.5692521315192698</v>
      </c>
      <c r="AU10" s="85">
        <v>2.56015489993815</v>
      </c>
      <c r="AV10" s="85">
        <v>2.5720252475700498</v>
      </c>
      <c r="AW10" s="85">
        <v>2.5752492149967199</v>
      </c>
      <c r="AX10" s="85">
        <v>2.5757251437181501</v>
      </c>
      <c r="AY10" s="85">
        <v>2.5700308525139999</v>
      </c>
      <c r="AZ10" s="85">
        <v>2.5905788087957</v>
      </c>
      <c r="BA10" s="85">
        <v>2.60565815313538</v>
      </c>
      <c r="BB10" s="85">
        <v>2.62434040849209</v>
      </c>
      <c r="BC10" s="85">
        <v>2.6416721951751398</v>
      </c>
      <c r="BD10" s="85">
        <v>2.6438856664204402</v>
      </c>
      <c r="BE10" s="85">
        <v>2.6501699197236599</v>
      </c>
      <c r="BF10" s="85">
        <v>2.671878963438</v>
      </c>
      <c r="BG10" s="85">
        <v>2.6993222171317699</v>
      </c>
      <c r="BH10" s="85">
        <v>2.71620981134443</v>
      </c>
      <c r="BI10" s="85">
        <v>2.7288288811600601</v>
      </c>
      <c r="BJ10" s="85">
        <v>2.7428099299867101</v>
      </c>
      <c r="BK10" s="85">
        <v>2.7489205839767799</v>
      </c>
      <c r="BL10" s="85">
        <v>2.7670705452261899</v>
      </c>
      <c r="BM10" s="85">
        <v>2.7828865026935201</v>
      </c>
      <c r="BN10" s="85">
        <v>2.7968085391111699</v>
      </c>
      <c r="BO10" s="85">
        <v>2.8054288346603502</v>
      </c>
      <c r="BP10" s="85">
        <v>2.7884180402680299</v>
      </c>
      <c r="BQ10" s="85">
        <v>2.7998641580951702</v>
      </c>
      <c r="BR10" s="85">
        <v>2.8171474270444001</v>
      </c>
      <c r="BS10" s="85">
        <v>2.8438349396178499</v>
      </c>
      <c r="BT10" s="85">
        <v>2.8752551433225602</v>
      </c>
      <c r="BU10" s="85">
        <v>2.9161903655505799</v>
      </c>
      <c r="BV10" s="85">
        <v>2.9803358353475899</v>
      </c>
      <c r="BW10" s="85">
        <v>3.0354748219846401</v>
      </c>
      <c r="BX10" s="85">
        <v>3.0879962927626701</v>
      </c>
      <c r="BY10" s="85">
        <v>3.1288947779563401</v>
      </c>
      <c r="BZ10" s="85">
        <v>3.1689521453255201</v>
      </c>
      <c r="CA10" s="85">
        <v>3.2132180908257402</v>
      </c>
      <c r="CB10" s="85">
        <v>3.25896674708126</v>
      </c>
      <c r="CC10" s="85">
        <v>3.3034777774505799</v>
      </c>
      <c r="CD10" s="85">
        <v>3.3453434489013798</v>
      </c>
      <c r="CE10" s="85">
        <v>3.3774900259476199</v>
      </c>
      <c r="CF10" s="85">
        <v>3.4048512779095699</v>
      </c>
      <c r="CG10" s="85">
        <v>3.4407800351623901</v>
      </c>
      <c r="CH10" s="85">
        <v>3.47398735040258</v>
      </c>
      <c r="CI10" s="85">
        <v>3.5044008662114399</v>
      </c>
      <c r="CJ10" s="85">
        <v>3.5330772191361501</v>
      </c>
      <c r="CK10" s="85">
        <v>3.5634230457781699</v>
      </c>
      <c r="CL10" s="85">
        <v>3.5955656322911298</v>
      </c>
      <c r="CM10" s="85">
        <v>3.6267670668944598</v>
      </c>
      <c r="CN10" s="85">
        <v>3.6564651774140802</v>
      </c>
      <c r="CO10" s="85">
        <v>3.6880284570224902</v>
      </c>
      <c r="CP10" s="85">
        <v>3.7211793058714</v>
      </c>
      <c r="CQ10" s="85">
        <v>3.7542331458740299</v>
      </c>
      <c r="CR10" s="85">
        <v>3.7871254335989901</v>
      </c>
      <c r="CS10" s="85">
        <v>3.8207445239743199</v>
      </c>
      <c r="CT10" s="85">
        <v>3.8546368037687602</v>
      </c>
      <c r="CU10" s="85">
        <v>3.8872247348682101</v>
      </c>
      <c r="CV10" s="85">
        <v>3.9200735059946799</v>
      </c>
      <c r="CW10" s="85">
        <v>3.9541391739659901</v>
      </c>
      <c r="CX10" s="85">
        <v>3.9879877404770001</v>
      </c>
    </row>
    <row r="12" spans="1:102" x14ac:dyDescent="0.2">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row>
    <row r="13" spans="1:102" x14ac:dyDescent="0.2">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row>
    <row r="14" spans="1:102" x14ac:dyDescent="0.2">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row>
    <row r="15" spans="1:102" x14ac:dyDescent="0.2">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row>
    <row r="16" spans="1:102" x14ac:dyDescent="0.2">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BX16" s="84" t="s">
        <v>136</v>
      </c>
      <c r="BY16" s="65"/>
      <c r="BZ16" s="65"/>
      <c r="CA16" s="83" t="s">
        <v>135</v>
      </c>
      <c r="CB16" s="82"/>
      <c r="CC16" s="82"/>
      <c r="CD16" s="82"/>
      <c r="CE16" s="82"/>
      <c r="CF16" s="82"/>
      <c r="CG16" s="65"/>
      <c r="CH16" s="65"/>
      <c r="CI16" s="65"/>
    </row>
    <row r="17" spans="3:87" x14ac:dyDescent="0.2">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BX17" s="80"/>
      <c r="BY17" s="79"/>
      <c r="BZ17" s="79"/>
      <c r="CA17" s="79"/>
      <c r="CB17" s="79"/>
      <c r="CC17" s="79"/>
      <c r="CD17" s="79"/>
      <c r="CE17" s="79"/>
      <c r="CF17" s="79"/>
      <c r="CG17" s="79"/>
      <c r="CH17" s="79"/>
      <c r="CI17" s="78"/>
    </row>
    <row r="18" spans="3:87" x14ac:dyDescent="0.2">
      <c r="BX18" s="66"/>
      <c r="BY18" s="70" t="s">
        <v>134</v>
      </c>
      <c r="BZ18" s="77" t="s">
        <v>133</v>
      </c>
      <c r="CA18" s="65"/>
      <c r="CB18" s="65"/>
      <c r="CC18" s="65"/>
      <c r="CD18" s="65"/>
      <c r="CE18" s="65"/>
      <c r="CF18" s="65"/>
      <c r="CG18" s="65"/>
      <c r="CH18" s="65"/>
      <c r="CI18" s="76"/>
    </row>
    <row r="19" spans="3:87" x14ac:dyDescent="0.2">
      <c r="BX19" s="66"/>
      <c r="BY19" s="65"/>
      <c r="BZ19" s="75" t="str">
        <f>CD7</f>
        <v>2023Q4</v>
      </c>
      <c r="CA19" s="75"/>
      <c r="CB19" s="75"/>
      <c r="CC19" s="75"/>
      <c r="CD19" s="65"/>
      <c r="CE19" s="65"/>
      <c r="CF19" s="65"/>
      <c r="CG19" s="65"/>
      <c r="CH19" s="65"/>
      <c r="CI19" s="74" t="s">
        <v>132</v>
      </c>
    </row>
    <row r="20" spans="3:87" x14ac:dyDescent="0.2">
      <c r="BX20" s="66"/>
      <c r="BY20" s="65"/>
      <c r="BZ20" s="73">
        <f>CD9</f>
        <v>3.2707369257652799</v>
      </c>
      <c r="CA20" s="72"/>
      <c r="CB20" s="72"/>
      <c r="CC20" s="72"/>
      <c r="CD20" s="65"/>
      <c r="CE20" s="65"/>
      <c r="CF20" s="65"/>
      <c r="CG20" s="65"/>
      <c r="CH20" s="65"/>
      <c r="CI20" s="68">
        <f>AVERAGE(BZ20:CC20)</f>
        <v>3.2707369257652799</v>
      </c>
    </row>
    <row r="21" spans="3:87" x14ac:dyDescent="0.2">
      <c r="BX21" s="66"/>
      <c r="BY21" s="65"/>
      <c r="BZ21" s="65"/>
      <c r="CA21" s="65"/>
      <c r="CB21" s="65"/>
      <c r="CC21" s="65"/>
      <c r="CD21" s="65"/>
      <c r="CE21" s="65"/>
      <c r="CF21" s="65"/>
      <c r="CG21" s="65"/>
      <c r="CH21" s="65"/>
      <c r="CI21" s="67"/>
    </row>
    <row r="22" spans="3:87" x14ac:dyDescent="0.2">
      <c r="BX22" s="1716" t="s">
        <v>131</v>
      </c>
      <c r="BY22" s="1717"/>
      <c r="BZ22" s="1717"/>
      <c r="CA22" s="65" t="s">
        <v>130</v>
      </c>
      <c r="CB22" s="65"/>
      <c r="CC22" s="65"/>
      <c r="CD22" s="65"/>
      <c r="CE22" s="65"/>
      <c r="CF22" s="65"/>
      <c r="CG22" s="65"/>
      <c r="CH22" s="65"/>
      <c r="CI22" s="67"/>
    </row>
    <row r="23" spans="3:87" x14ac:dyDescent="0.2">
      <c r="BX23" s="71"/>
      <c r="BY23" s="70"/>
      <c r="BZ23" s="59" t="s">
        <v>129</v>
      </c>
      <c r="CA23" s="59" t="s">
        <v>128</v>
      </c>
      <c r="CB23" s="59" t="s">
        <v>127</v>
      </c>
      <c r="CC23" s="59" t="s">
        <v>126</v>
      </c>
      <c r="CD23" s="59" t="s">
        <v>125</v>
      </c>
      <c r="CE23" s="59" t="s">
        <v>124</v>
      </c>
      <c r="CF23" s="59" t="s">
        <v>123</v>
      </c>
      <c r="CG23" s="59" t="s">
        <v>122</v>
      </c>
      <c r="CH23" s="65"/>
      <c r="CI23" s="67"/>
    </row>
    <row r="24" spans="3:87" x14ac:dyDescent="0.2">
      <c r="BX24" s="66"/>
      <c r="BY24" s="65"/>
      <c r="BZ24" s="69">
        <f t="shared" ref="BZ24:CG24" si="0">CE9</f>
        <v>3.2911977168238602</v>
      </c>
      <c r="CA24" s="69">
        <f t="shared" si="0"/>
        <v>3.3069503709257599</v>
      </c>
      <c r="CB24" s="69">
        <f t="shared" si="0"/>
        <v>3.3310114361411798</v>
      </c>
      <c r="CC24" s="69">
        <f t="shared" si="0"/>
        <v>3.3528025716004199</v>
      </c>
      <c r="CD24" s="69">
        <f t="shared" si="0"/>
        <v>3.37218091262779</v>
      </c>
      <c r="CE24" s="69">
        <f t="shared" si="0"/>
        <v>3.3889235278065399</v>
      </c>
      <c r="CF24" s="69">
        <f t="shared" si="0"/>
        <v>3.40662198576385</v>
      </c>
      <c r="CG24" s="69">
        <f t="shared" si="0"/>
        <v>3.4253125699928502</v>
      </c>
      <c r="CH24" s="65"/>
      <c r="CI24" s="68">
        <f>AVERAGE(BZ24:CG24)</f>
        <v>3.3593751364602813</v>
      </c>
    </row>
    <row r="25" spans="3:87" x14ac:dyDescent="0.2">
      <c r="BX25" s="66"/>
      <c r="BY25" s="65"/>
      <c r="BZ25" s="65"/>
      <c r="CA25" s="65"/>
      <c r="CB25" s="65"/>
      <c r="CC25" s="65"/>
      <c r="CD25" s="65"/>
      <c r="CE25" s="65"/>
      <c r="CF25" s="65"/>
      <c r="CG25" s="65"/>
      <c r="CH25" s="65"/>
      <c r="CI25" s="67"/>
    </row>
    <row r="26" spans="3:87" x14ac:dyDescent="0.2">
      <c r="BX26" s="66"/>
      <c r="BY26" s="65"/>
      <c r="BZ26" s="65"/>
      <c r="CA26" s="65"/>
      <c r="CB26" s="65"/>
      <c r="CC26" s="65"/>
      <c r="CD26" s="65"/>
      <c r="CE26" s="65"/>
      <c r="CF26" s="65"/>
      <c r="CG26" s="65"/>
      <c r="CH26" s="64" t="s">
        <v>121</v>
      </c>
      <c r="CI26" s="63">
        <f>(CI24-CI20)/CI20</f>
        <v>2.7100379121522307E-2</v>
      </c>
    </row>
    <row r="27" spans="3:87" x14ac:dyDescent="0.2">
      <c r="BX27" s="62"/>
      <c r="BY27" s="61"/>
      <c r="BZ27" s="61"/>
      <c r="CA27" s="61"/>
      <c r="CB27" s="61"/>
      <c r="CC27" s="61"/>
      <c r="CD27" s="61"/>
      <c r="CE27" s="61"/>
      <c r="CF27" s="61"/>
      <c r="CG27" s="61"/>
      <c r="CH27" s="61"/>
      <c r="CI27" s="60"/>
    </row>
  </sheetData>
  <mergeCells count="2">
    <mergeCell ref="A1:B1"/>
    <mergeCell ref="BX22:BZ22"/>
  </mergeCells>
  <pageMargins left="0.25" right="0.2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7CD54-8B9F-4798-9A73-C8A98BB112F5}">
  <dimension ref="B2:AC500"/>
  <sheetViews>
    <sheetView topLeftCell="A215" zoomScaleNormal="100" workbookViewId="0">
      <selection activeCell="H317" sqref="H317"/>
    </sheetView>
  </sheetViews>
  <sheetFormatPr defaultRowHeight="15" x14ac:dyDescent="0.25"/>
  <cols>
    <col min="2" max="2" width="38.85546875" bestFit="1" customWidth="1"/>
    <col min="3" max="3" width="25.140625" bestFit="1" customWidth="1"/>
    <col min="4" max="4" width="22.140625" bestFit="1" customWidth="1"/>
    <col min="5" max="5" width="18.42578125" bestFit="1" customWidth="1"/>
    <col min="6" max="6" width="20" bestFit="1" customWidth="1"/>
    <col min="7" max="7" width="20.42578125" bestFit="1" customWidth="1"/>
    <col min="8" max="8" width="26.140625" bestFit="1" customWidth="1"/>
    <col min="9" max="9" width="29.7109375" customWidth="1"/>
    <col min="10" max="10" width="19.85546875" bestFit="1" customWidth="1"/>
    <col min="11" max="11" width="22.140625" customWidth="1"/>
    <col min="12" max="12" width="19.140625" bestFit="1" customWidth="1"/>
    <col min="13" max="13" width="17.5703125" customWidth="1"/>
    <col min="14" max="14" width="27" customWidth="1"/>
    <col min="15" max="15" width="19.85546875" customWidth="1"/>
    <col min="16" max="16" width="29.140625" customWidth="1"/>
    <col min="17" max="31" width="8.42578125" bestFit="1" customWidth="1"/>
    <col min="33" max="33" width="8.42578125" bestFit="1" customWidth="1"/>
    <col min="35" max="35" width="8.42578125" bestFit="1" customWidth="1"/>
  </cols>
  <sheetData>
    <row r="2" spans="2:7" ht="27" hidden="1" thickBot="1" x14ac:dyDescent="0.45">
      <c r="B2" s="1673" t="s">
        <v>263</v>
      </c>
      <c r="C2" s="1674"/>
      <c r="D2" s="1674"/>
      <c r="E2" s="1685"/>
      <c r="G2" s="1229" t="s">
        <v>744</v>
      </c>
    </row>
    <row r="3" spans="2:7" ht="21" hidden="1" x14ac:dyDescent="0.35">
      <c r="B3" s="1711" t="s">
        <v>336</v>
      </c>
      <c r="C3" s="1712"/>
      <c r="D3" s="253" t="s">
        <v>335</v>
      </c>
      <c r="E3" s="252" t="s">
        <v>366</v>
      </c>
    </row>
    <row r="4" spans="2:7" hidden="1" x14ac:dyDescent="0.25">
      <c r="B4" s="138" t="s">
        <v>333</v>
      </c>
      <c r="C4" s="138" t="s">
        <v>332</v>
      </c>
      <c r="D4" s="147" t="s">
        <v>331</v>
      </c>
      <c r="E4" s="251" t="s">
        <v>263</v>
      </c>
    </row>
    <row r="5" spans="2:7" hidden="1" x14ac:dyDescent="0.25">
      <c r="B5" s="99" t="s">
        <v>451</v>
      </c>
      <c r="C5" s="99" t="s">
        <v>327</v>
      </c>
      <c r="D5" s="98">
        <f>INDEX('Salary lookup'!F5:F19,MATCH(C5,'Salary lookup'!B5:B19,0))</f>
        <v>46842.432000000008</v>
      </c>
      <c r="E5" s="250">
        <v>1</v>
      </c>
    </row>
    <row r="6" spans="2:7" hidden="1" x14ac:dyDescent="0.25">
      <c r="B6" s="135"/>
      <c r="C6" s="135"/>
      <c r="D6" s="218"/>
      <c r="E6" s="249"/>
    </row>
    <row r="7" spans="2:7" hidden="1" x14ac:dyDescent="0.25">
      <c r="B7" s="135"/>
      <c r="C7" s="135"/>
      <c r="D7" s="218"/>
      <c r="E7" s="249"/>
    </row>
    <row r="8" spans="2:7" hidden="1" x14ac:dyDescent="0.25">
      <c r="B8" s="135"/>
      <c r="C8" s="135"/>
      <c r="D8" s="218"/>
      <c r="E8" s="249"/>
    </row>
    <row r="9" spans="2:7" hidden="1" x14ac:dyDescent="0.25">
      <c r="B9" s="135"/>
      <c r="C9" s="135"/>
      <c r="D9" s="218"/>
      <c r="E9" s="249"/>
    </row>
    <row r="10" spans="2:7" hidden="1" x14ac:dyDescent="0.25">
      <c r="B10" s="135"/>
      <c r="C10" s="135"/>
      <c r="D10" s="218"/>
      <c r="E10" s="249"/>
    </row>
    <row r="11" spans="2:7" hidden="1" x14ac:dyDescent="0.25"/>
    <row r="12" spans="2:7" hidden="1" x14ac:dyDescent="0.25"/>
    <row r="13" spans="2:7" hidden="1" x14ac:dyDescent="0.25">
      <c r="B13" s="137" t="s">
        <v>326</v>
      </c>
      <c r="C13" s="137" t="s">
        <v>325</v>
      </c>
      <c r="D13" s="1713" t="s">
        <v>324</v>
      </c>
      <c r="E13" s="1713"/>
    </row>
    <row r="14" spans="2:7" hidden="1" x14ac:dyDescent="0.25">
      <c r="B14" s="99" t="s">
        <v>308</v>
      </c>
      <c r="C14" s="136">
        <f>INDEX('Non-Salary Expense FY26'!E4:E20,MATCH('Master Lookup FY26'!B14,'Non-Salary Expense FY26'!C4:C19,0))</f>
        <v>1059.8793475070393</v>
      </c>
      <c r="D14" s="1661" t="s">
        <v>720</v>
      </c>
      <c r="E14" s="1661"/>
    </row>
    <row r="15" spans="2:7" hidden="1" x14ac:dyDescent="0.25">
      <c r="B15" s="135"/>
      <c r="C15" s="238"/>
      <c r="D15" s="248"/>
      <c r="E15" s="248"/>
    </row>
    <row r="16" spans="2:7" hidden="1" x14ac:dyDescent="0.25">
      <c r="B16" s="135"/>
      <c r="C16" s="238"/>
      <c r="D16" s="248"/>
      <c r="E16" s="248"/>
    </row>
    <row r="17" spans="2:29" hidden="1" x14ac:dyDescent="0.25">
      <c r="B17" s="135"/>
      <c r="C17" s="238"/>
      <c r="D17" s="248"/>
      <c r="E17" s="248"/>
    </row>
    <row r="18" spans="2:29" hidden="1" x14ac:dyDescent="0.25">
      <c r="B18" s="135"/>
      <c r="C18" s="238"/>
      <c r="D18" s="248"/>
      <c r="E18" s="248"/>
    </row>
    <row r="19" spans="2:29" hidden="1" x14ac:dyDescent="0.25">
      <c r="B19" s="132"/>
      <c r="C19" s="132"/>
      <c r="D19" s="1686"/>
      <c r="E19" s="1686"/>
    </row>
    <row r="20" spans="2:29" hidden="1" x14ac:dyDescent="0.25">
      <c r="B20" s="99" t="s">
        <v>322</v>
      </c>
      <c r="C20" s="131">
        <f>'Non-Salary Expense FY26'!D31</f>
        <v>0.24970000000000001</v>
      </c>
      <c r="D20" s="1661" t="s">
        <v>270</v>
      </c>
      <c r="E20" s="1661"/>
    </row>
    <row r="21" spans="2:29" hidden="1" x14ac:dyDescent="0.25">
      <c r="B21" s="99" t="s">
        <v>321</v>
      </c>
      <c r="C21" s="131">
        <f>'Non-Salary Expense FY26'!D51</f>
        <v>2.5282070971092779E-2</v>
      </c>
      <c r="D21" s="1661" t="s">
        <v>716</v>
      </c>
      <c r="E21" s="1661"/>
    </row>
    <row r="22" spans="2:29" hidden="1" x14ac:dyDescent="0.25">
      <c r="B22" s="99" t="s">
        <v>320</v>
      </c>
      <c r="C22" s="131">
        <f>'Non-Salary Expense FY26'!D37</f>
        <v>0.12</v>
      </c>
      <c r="D22" s="1661" t="s">
        <v>270</v>
      </c>
      <c r="E22" s="1661"/>
    </row>
    <row r="23" spans="2:29" ht="15.75" thickBot="1" x14ac:dyDescent="0.3"/>
    <row r="24" spans="2:29" ht="27" thickBot="1" x14ac:dyDescent="0.45">
      <c r="B24" s="1703" t="s">
        <v>450</v>
      </c>
      <c r="C24" s="1704"/>
      <c r="D24" s="1704"/>
      <c r="E24" s="1704"/>
      <c r="F24" s="1704"/>
      <c r="G24" s="1704"/>
      <c r="H24" s="1704"/>
      <c r="I24" s="1704"/>
      <c r="J24" s="1704"/>
      <c r="K24" s="1704"/>
      <c r="L24" s="1704"/>
      <c r="M24" s="1704"/>
      <c r="N24" s="1704"/>
      <c r="O24" s="1704"/>
      <c r="P24" s="1704"/>
      <c r="Q24" s="1704"/>
      <c r="R24" s="1704"/>
      <c r="S24" s="1704"/>
      <c r="T24" s="1704"/>
      <c r="U24" s="1704"/>
      <c r="V24" s="1704"/>
      <c r="W24" s="1704"/>
      <c r="X24" s="1704"/>
      <c r="Y24" s="1704"/>
      <c r="Z24" s="1704"/>
      <c r="AA24" s="1704"/>
      <c r="AB24" s="1705"/>
    </row>
    <row r="25" spans="2:29" ht="18.75" x14ac:dyDescent="0.3">
      <c r="B25" s="1706" t="s">
        <v>333</v>
      </c>
      <c r="C25" s="1706" t="s">
        <v>332</v>
      </c>
      <c r="D25" s="1708" t="s">
        <v>331</v>
      </c>
      <c r="E25" s="1710" t="s">
        <v>449</v>
      </c>
      <c r="F25" s="1710"/>
      <c r="G25" s="1710"/>
      <c r="H25" s="1710"/>
      <c r="I25" s="1710"/>
      <c r="J25" s="1710"/>
      <c r="K25" s="1710"/>
      <c r="L25" s="1710"/>
      <c r="M25" s="1710"/>
      <c r="N25" s="1710"/>
      <c r="O25" s="1710"/>
      <c r="P25" s="1710"/>
      <c r="Q25" s="1710"/>
      <c r="R25" s="1710"/>
      <c r="S25" s="1710"/>
      <c r="T25" s="1710"/>
      <c r="U25" s="1710"/>
      <c r="V25" s="1710"/>
      <c r="W25" s="1710"/>
      <c r="X25" s="1710"/>
      <c r="Y25" s="1710"/>
      <c r="Z25" s="1710"/>
      <c r="AA25" s="1710"/>
      <c r="AB25" s="1710"/>
    </row>
    <row r="26" spans="2:29" ht="60" x14ac:dyDescent="0.25">
      <c r="B26" s="1707"/>
      <c r="C26" s="1707"/>
      <c r="D26" s="1709"/>
      <c r="E26" s="246" t="s">
        <v>448</v>
      </c>
      <c r="F26" s="245" t="s">
        <v>447</v>
      </c>
      <c r="G26" s="245" t="s">
        <v>446</v>
      </c>
      <c r="H26" s="245" t="s">
        <v>445</v>
      </c>
      <c r="I26" s="245" t="s">
        <v>444</v>
      </c>
      <c r="J26" s="245" t="s">
        <v>443</v>
      </c>
      <c r="K26" s="245" t="s">
        <v>442</v>
      </c>
      <c r="L26" s="245" t="s">
        <v>441</v>
      </c>
      <c r="M26" s="245" t="s">
        <v>440</v>
      </c>
      <c r="N26" s="245" t="s">
        <v>439</v>
      </c>
      <c r="O26" s="245" t="s">
        <v>438</v>
      </c>
      <c r="P26" s="245" t="s">
        <v>437</v>
      </c>
      <c r="Q26" s="245" t="s">
        <v>436</v>
      </c>
      <c r="R26" s="245" t="s">
        <v>435</v>
      </c>
      <c r="S26" s="245" t="s">
        <v>434</v>
      </c>
      <c r="T26" s="245" t="s">
        <v>433</v>
      </c>
      <c r="U26" s="245" t="s">
        <v>432</v>
      </c>
      <c r="V26" s="245" t="s">
        <v>431</v>
      </c>
      <c r="W26" s="245" t="s">
        <v>430</v>
      </c>
      <c r="X26" s="245" t="s">
        <v>429</v>
      </c>
      <c r="Y26" s="245" t="s">
        <v>428</v>
      </c>
      <c r="Z26" s="245" t="s">
        <v>427</v>
      </c>
      <c r="AA26" s="245" t="s">
        <v>426</v>
      </c>
      <c r="AB26" s="245" t="s">
        <v>425</v>
      </c>
      <c r="AC26" s="245" t="s">
        <v>424</v>
      </c>
    </row>
    <row r="27" spans="2:29" x14ac:dyDescent="0.25">
      <c r="B27" s="244" t="s">
        <v>423</v>
      </c>
      <c r="C27" s="167" t="s">
        <v>329</v>
      </c>
      <c r="D27" s="98">
        <f>INDEX('Salary lookup'!F13,MATCH(C27,C27:C28,0))</f>
        <v>81486.911999999997</v>
      </c>
      <c r="E27" s="243">
        <v>0.08</v>
      </c>
      <c r="F27" s="243">
        <v>0.16</v>
      </c>
      <c r="G27" s="243">
        <v>0.24</v>
      </c>
      <c r="H27" s="243">
        <v>0.32</v>
      </c>
      <c r="I27" s="243">
        <v>0.33750000000000002</v>
      </c>
      <c r="J27" s="243">
        <v>0.36</v>
      </c>
      <c r="K27" s="243">
        <v>0.38500000000000001</v>
      </c>
      <c r="L27" s="243">
        <v>0.42</v>
      </c>
      <c r="M27" s="243">
        <v>0.47249999999999998</v>
      </c>
      <c r="N27" s="243">
        <v>0.52</v>
      </c>
      <c r="O27" s="243">
        <v>0.57199999999999995</v>
      </c>
      <c r="P27" s="243">
        <v>0.61799999999999999</v>
      </c>
      <c r="Q27" s="243">
        <v>0.66949999999999998</v>
      </c>
      <c r="R27" s="243">
        <v>0.71399999999999997</v>
      </c>
      <c r="S27" s="243">
        <v>0.76500000000000001</v>
      </c>
      <c r="T27" s="243">
        <v>0.8</v>
      </c>
      <c r="U27" s="243">
        <v>0.81</v>
      </c>
      <c r="V27" s="243">
        <v>0.81</v>
      </c>
      <c r="W27" s="243">
        <v>0.81</v>
      </c>
      <c r="X27" s="243">
        <v>0.8</v>
      </c>
      <c r="Y27" s="243">
        <v>0.79</v>
      </c>
      <c r="Z27" s="243">
        <v>0.77</v>
      </c>
      <c r="AA27" s="243">
        <v>0.75</v>
      </c>
      <c r="AB27" s="243">
        <v>0.72</v>
      </c>
      <c r="AC27" s="167">
        <v>0.81</v>
      </c>
    </row>
    <row r="28" spans="2:29" x14ac:dyDescent="0.25">
      <c r="B28" s="242" t="s">
        <v>345</v>
      </c>
      <c r="C28" s="167" t="s">
        <v>342</v>
      </c>
      <c r="D28" s="98">
        <f>INDEX('Salary lookup'!F6:F20,MATCH(C28,'Salary lookup'!B6:B20,0))</f>
        <v>66537.12000000001</v>
      </c>
      <c r="E28" s="241">
        <v>0.5</v>
      </c>
      <c r="F28" s="241">
        <v>1</v>
      </c>
      <c r="G28" s="241">
        <v>1.5</v>
      </c>
      <c r="H28" s="241">
        <v>2</v>
      </c>
      <c r="I28" s="241">
        <v>2.5</v>
      </c>
      <c r="J28" s="241">
        <v>3</v>
      </c>
      <c r="K28" s="241">
        <v>3.5</v>
      </c>
      <c r="L28" s="241">
        <v>4</v>
      </c>
      <c r="M28" s="241">
        <v>4.5</v>
      </c>
      <c r="N28" s="241">
        <v>5</v>
      </c>
      <c r="O28" s="241">
        <v>5.5</v>
      </c>
      <c r="P28" s="241">
        <v>6</v>
      </c>
      <c r="Q28" s="241">
        <v>6.5</v>
      </c>
      <c r="R28" s="241">
        <v>7</v>
      </c>
      <c r="S28" s="241">
        <v>7.5</v>
      </c>
      <c r="T28" s="241">
        <v>8</v>
      </c>
      <c r="U28" s="241">
        <v>8.5</v>
      </c>
      <c r="V28" s="241">
        <v>9</v>
      </c>
      <c r="W28" s="241">
        <v>9.5</v>
      </c>
      <c r="X28" s="241">
        <v>10</v>
      </c>
      <c r="Y28" s="241">
        <v>10.5</v>
      </c>
      <c r="Z28" s="241">
        <v>11</v>
      </c>
      <c r="AA28" s="241">
        <v>11.5</v>
      </c>
      <c r="AB28" s="241">
        <v>12</v>
      </c>
      <c r="AC28" s="167">
        <v>9</v>
      </c>
    </row>
    <row r="29" spans="2:29" hidden="1" x14ac:dyDescent="0.25">
      <c r="B29" s="240"/>
      <c r="C29" s="237"/>
      <c r="D29" s="98" t="e">
        <f>INDEX('Salary lookup'!F7:F21,MATCH(C29,'Salary lookup'!B7:B21,0))</f>
        <v>#N/A</v>
      </c>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7"/>
    </row>
    <row r="30" spans="2:29" hidden="1" x14ac:dyDescent="0.25">
      <c r="B30" s="240"/>
      <c r="C30" s="237"/>
      <c r="D30" s="98" t="e">
        <f>INDEX('Salary lookup'!F8:F22,MATCH(C30,'Salary lookup'!B8:B22,0))</f>
        <v>#N/A</v>
      </c>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7"/>
    </row>
    <row r="31" spans="2:29" hidden="1" x14ac:dyDescent="0.25">
      <c r="B31" s="240"/>
      <c r="C31" s="237"/>
      <c r="D31" s="98" t="e">
        <f>INDEX('Salary lookup'!F9:F23,MATCH(C31,'Salary lookup'!B9:B23,0))</f>
        <v>#N/A</v>
      </c>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7"/>
    </row>
    <row r="32" spans="2:29" hidden="1" x14ac:dyDescent="0.25">
      <c r="B32" s="240"/>
      <c r="C32" s="237"/>
      <c r="D32" s="98" t="e">
        <f>INDEX('Salary lookup'!F10:F24,MATCH(C32,'Salary lookup'!B10:B24,0))</f>
        <v>#N/A</v>
      </c>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7"/>
    </row>
    <row r="33" spans="2:29" hidden="1" x14ac:dyDescent="0.25">
      <c r="B33" s="240"/>
      <c r="C33" s="237"/>
      <c r="D33" s="98" t="e">
        <f>INDEX('Salary lookup'!F11:F25,MATCH(C33,'Salary lookup'!B11:B25,0))</f>
        <v>#N/A</v>
      </c>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7"/>
    </row>
    <row r="34" spans="2:29" x14ac:dyDescent="0.25">
      <c r="B34" s="158" t="s">
        <v>422</v>
      </c>
      <c r="C34" s="158" t="s">
        <v>422</v>
      </c>
      <c r="D34" s="99"/>
      <c r="E34" s="210">
        <v>2.5</v>
      </c>
      <c r="F34" s="210">
        <v>2.5</v>
      </c>
      <c r="G34" s="210">
        <v>2.5</v>
      </c>
      <c r="H34" s="210">
        <v>2.5</v>
      </c>
      <c r="I34" s="210">
        <v>2.2000000000000002</v>
      </c>
      <c r="J34" s="142">
        <v>2.1312500000000001</v>
      </c>
      <c r="K34" s="142">
        <v>2.0620535714285713</v>
      </c>
      <c r="L34" s="142">
        <v>1.9761346726190476</v>
      </c>
      <c r="M34" s="142">
        <v>1.8663494130291005</v>
      </c>
      <c r="N34" s="142">
        <v>1.7811074927224828</v>
      </c>
      <c r="O34" s="142">
        <v>1.7001480612350972</v>
      </c>
      <c r="P34" s="142">
        <v>1.6579653153792102</v>
      </c>
      <c r="Q34" s="142">
        <v>1.6154533842156407</v>
      </c>
      <c r="R34" s="142">
        <v>1.5818923778675567</v>
      </c>
      <c r="S34" s="142">
        <v>1.5467392139149443</v>
      </c>
      <c r="T34" s="142">
        <v>1.5241826003786847</v>
      </c>
      <c r="U34" s="142">
        <v>1.5179102439985255</v>
      </c>
      <c r="V34" s="142">
        <v>1.5179102439985255</v>
      </c>
      <c r="W34" s="142">
        <v>1.5179102439985255</v>
      </c>
      <c r="X34" s="142">
        <v>1.523331352012806</v>
      </c>
      <c r="Y34" s="142">
        <v>1.5288406878247873</v>
      </c>
      <c r="Z34" s="142">
        <v>1.5401864443207041</v>
      </c>
      <c r="AA34" s="142">
        <v>1.5519211981821952</v>
      </c>
      <c r="AB34" s="142">
        <v>1.5703964505415069</v>
      </c>
      <c r="AC34" s="167" t="s">
        <v>421</v>
      </c>
    </row>
    <row r="36" spans="2:29" x14ac:dyDescent="0.25">
      <c r="B36" s="138" t="s">
        <v>326</v>
      </c>
      <c r="C36" s="138" t="s">
        <v>325</v>
      </c>
      <c r="D36" s="1677" t="s">
        <v>324</v>
      </c>
      <c r="E36" s="1677"/>
    </row>
    <row r="37" spans="2:29" x14ac:dyDescent="0.25">
      <c r="B37" s="99" t="s">
        <v>314</v>
      </c>
      <c r="C37" s="136">
        <f>INDEX('Non-Salary Expense FY26'!E4:E20,MATCH('Master Lookup FY26'!B37,'Non-Salary Expense FY26'!C4:C20,0))</f>
        <v>6392.9174203826224</v>
      </c>
      <c r="D37" s="1702" t="s">
        <v>721</v>
      </c>
      <c r="E37" s="1702"/>
    </row>
    <row r="38" spans="2:29" x14ac:dyDescent="0.25">
      <c r="B38" s="99" t="s">
        <v>310</v>
      </c>
      <c r="C38" s="136">
        <f>INDEX('Non-Salary Expense FY26'!E5:E21,MATCH('Master Lookup FY26'!B38,'Non-Salary Expense FY26'!C5:C21,0))</f>
        <v>364.52871302241937</v>
      </c>
      <c r="D38" s="1702" t="s">
        <v>721</v>
      </c>
      <c r="E38" s="1702"/>
    </row>
    <row r="39" spans="2:29" x14ac:dyDescent="0.25">
      <c r="B39" s="99" t="s">
        <v>308</v>
      </c>
      <c r="C39" s="136">
        <f>INDEX('Non-Salary Expense FY26'!E6:E22,MATCH('Master Lookup FY26'!B39,'Non-Salary Expense FY26'!C6:C22,0))</f>
        <v>1059.8793475070393</v>
      </c>
      <c r="D39" s="1702" t="s">
        <v>721</v>
      </c>
      <c r="E39" s="1702"/>
    </row>
    <row r="40" spans="2:29" x14ac:dyDescent="0.25">
      <c r="B40" s="99" t="s">
        <v>288</v>
      </c>
      <c r="C40" s="136">
        <f>INDEX('Non-Salary Expense FY26'!E7:E23,MATCH('Master Lookup FY26'!B40,'Non-Salary Expense FY26'!C7:C23,0))</f>
        <v>2947.5899663350119</v>
      </c>
      <c r="D40" s="1702" t="s">
        <v>721</v>
      </c>
      <c r="E40" s="1702"/>
    </row>
    <row r="41" spans="2:29" x14ac:dyDescent="0.25">
      <c r="B41" s="99" t="s">
        <v>286</v>
      </c>
      <c r="C41" s="136">
        <f>INDEX('Non-Salary Expense FY26'!E8:E24,MATCH('Master Lookup FY26'!B41,'Non-Salary Expense FY26'!C8:C24,0))</f>
        <v>3236.4891574928697</v>
      </c>
      <c r="D41" s="1702" t="s">
        <v>721</v>
      </c>
      <c r="E41" s="1702"/>
    </row>
    <row r="42" spans="2:29" hidden="1" x14ac:dyDescent="0.25">
      <c r="B42" s="135"/>
      <c r="C42" s="238"/>
      <c r="D42" s="1701"/>
      <c r="E42" s="1701"/>
    </row>
    <row r="43" spans="2:29" hidden="1" x14ac:dyDescent="0.25">
      <c r="B43" s="135"/>
      <c r="C43" s="135"/>
      <c r="D43" s="1650"/>
      <c r="E43" s="1651"/>
    </row>
    <row r="44" spans="2:29" hidden="1" x14ac:dyDescent="0.25">
      <c r="B44" s="135"/>
      <c r="C44" s="135"/>
      <c r="D44" s="1650"/>
      <c r="E44" s="1651"/>
    </row>
    <row r="45" spans="2:29" hidden="1" x14ac:dyDescent="0.25">
      <c r="B45" s="135"/>
      <c r="C45" s="135"/>
      <c r="D45" s="1650"/>
      <c r="E45" s="1651"/>
    </row>
    <row r="46" spans="2:29" hidden="1" x14ac:dyDescent="0.25">
      <c r="B46" s="135"/>
      <c r="C46" s="135"/>
      <c r="D46" s="134"/>
      <c r="E46" s="133"/>
    </row>
    <row r="47" spans="2:29" x14ac:dyDescent="0.25">
      <c r="B47" s="99" t="s">
        <v>283</v>
      </c>
      <c r="C47" s="136">
        <f>'Non-Salary Expense FY26'!E20</f>
        <v>1000</v>
      </c>
      <c r="D47" s="1687" t="s">
        <v>419</v>
      </c>
      <c r="E47" s="1688"/>
    </row>
    <row r="48" spans="2:29" x14ac:dyDescent="0.25">
      <c r="B48" s="236"/>
      <c r="C48" s="236"/>
      <c r="D48" s="235"/>
      <c r="E48" s="234"/>
    </row>
    <row r="49" spans="2:20" x14ac:dyDescent="0.25">
      <c r="B49" s="99" t="s">
        <v>322</v>
      </c>
      <c r="C49" s="131">
        <f>'Non-Salary Expense FY26'!D31</f>
        <v>0.24970000000000001</v>
      </c>
      <c r="D49" s="1648" t="s">
        <v>270</v>
      </c>
      <c r="E49" s="1649"/>
    </row>
    <row r="50" spans="2:20" x14ac:dyDescent="0.25">
      <c r="B50" s="99" t="s">
        <v>321</v>
      </c>
      <c r="C50" s="131">
        <f>'Non-Salary Expense FY26'!D51</f>
        <v>2.5282070971092779E-2</v>
      </c>
      <c r="D50" s="1648" t="s">
        <v>716</v>
      </c>
      <c r="E50" s="1649"/>
    </row>
    <row r="51" spans="2:20" x14ac:dyDescent="0.25">
      <c r="B51" s="99" t="s">
        <v>320</v>
      </c>
      <c r="C51" s="131">
        <f>'Non-Salary Expense FY26'!D37</f>
        <v>0.12</v>
      </c>
      <c r="D51" s="1648" t="s">
        <v>270</v>
      </c>
      <c r="E51" s="1649"/>
    </row>
    <row r="52" spans="2:20" x14ac:dyDescent="0.25">
      <c r="C52" s="232"/>
      <c r="R52" s="233"/>
      <c r="S52" s="172"/>
      <c r="T52" s="172"/>
    </row>
    <row r="53" spans="2:20" x14ac:dyDescent="0.25">
      <c r="C53" s="232"/>
      <c r="R53" s="233"/>
      <c r="S53" s="172"/>
      <c r="T53" s="172"/>
    </row>
    <row r="54" spans="2:20" ht="15.75" thickBot="1" x14ac:dyDescent="0.3">
      <c r="C54" s="232"/>
    </row>
    <row r="55" spans="2:20" ht="27" thickBot="1" x14ac:dyDescent="0.45">
      <c r="B55" s="1673" t="s">
        <v>726</v>
      </c>
      <c r="C55" s="1674"/>
      <c r="D55" s="1674"/>
      <c r="E55" s="1674"/>
      <c r="F55" s="1685"/>
    </row>
    <row r="56" spans="2:20" ht="21" x14ac:dyDescent="0.35">
      <c r="B56" s="1695" t="s">
        <v>336</v>
      </c>
      <c r="C56" s="1657"/>
      <c r="D56" s="149" t="s">
        <v>335</v>
      </c>
      <c r="E56" s="1699" t="s">
        <v>366</v>
      </c>
      <c r="F56" s="1700"/>
    </row>
    <row r="57" spans="2:20" ht="30" x14ac:dyDescent="0.25">
      <c r="B57" s="138" t="s">
        <v>333</v>
      </c>
      <c r="C57" s="138" t="s">
        <v>332</v>
      </c>
      <c r="D57" s="147" t="s">
        <v>331</v>
      </c>
      <c r="E57" s="146" t="s">
        <v>417</v>
      </c>
      <c r="F57" s="146" t="s">
        <v>416</v>
      </c>
    </row>
    <row r="58" spans="2:20" x14ac:dyDescent="0.25">
      <c r="B58" s="167" t="s">
        <v>330</v>
      </c>
      <c r="C58" s="167" t="s">
        <v>329</v>
      </c>
      <c r="D58" s="140">
        <f>INDEX('Salary lookup'!F5:F19,MATCH(C58,'Salary lookup'!B5:B19,0))</f>
        <v>81486.911999999997</v>
      </c>
      <c r="E58" s="142">
        <v>0.08</v>
      </c>
      <c r="F58" s="142">
        <v>0.08</v>
      </c>
    </row>
    <row r="59" spans="2:20" x14ac:dyDescent="0.25">
      <c r="B59" s="167" t="s">
        <v>415</v>
      </c>
      <c r="C59" s="167" t="s">
        <v>342</v>
      </c>
      <c r="D59" s="140">
        <f>INDEX('Salary lookup'!F6:F20,MATCH(C59,'Salary lookup'!B6:B20,0))</f>
        <v>66537.12000000001</v>
      </c>
      <c r="E59" s="142">
        <v>2</v>
      </c>
      <c r="F59" s="142">
        <v>2</v>
      </c>
    </row>
    <row r="60" spans="2:20" x14ac:dyDescent="0.25">
      <c r="B60" s="167" t="s">
        <v>400</v>
      </c>
      <c r="C60" s="167" t="s">
        <v>327</v>
      </c>
      <c r="D60" s="140">
        <f>INDEX('Salary lookup'!F5:F19,MATCH(C60,'Salary lookup'!B5:B19,0))</f>
        <v>46842.432000000008</v>
      </c>
      <c r="E60" s="142">
        <v>0.1</v>
      </c>
      <c r="F60" s="142">
        <v>0.1</v>
      </c>
    </row>
    <row r="61" spans="2:20" hidden="1" x14ac:dyDescent="0.25">
      <c r="B61" s="135"/>
      <c r="C61" s="135"/>
      <c r="D61" s="135"/>
      <c r="E61" s="135"/>
      <c r="F61" s="135"/>
    </row>
    <row r="62" spans="2:20" hidden="1" x14ac:dyDescent="0.25">
      <c r="B62" s="135"/>
      <c r="C62" s="135"/>
      <c r="D62" s="135"/>
      <c r="E62" s="135"/>
      <c r="F62" s="135"/>
    </row>
    <row r="63" spans="2:20" hidden="1" x14ac:dyDescent="0.25">
      <c r="B63" s="135"/>
      <c r="C63" s="135"/>
      <c r="D63" s="135"/>
      <c r="E63" s="135"/>
      <c r="F63" s="135"/>
    </row>
    <row r="64" spans="2:20" hidden="1" x14ac:dyDescent="0.25">
      <c r="B64" s="135"/>
      <c r="C64" s="135"/>
      <c r="D64" s="135"/>
      <c r="E64" s="135"/>
      <c r="F64" s="135"/>
    </row>
    <row r="65" spans="2:6" hidden="1" x14ac:dyDescent="0.25">
      <c r="B65" s="135"/>
      <c r="C65" s="135"/>
      <c r="D65" s="135"/>
      <c r="E65" s="135"/>
      <c r="F65" s="135"/>
    </row>
    <row r="66" spans="2:6" hidden="1" x14ac:dyDescent="0.25">
      <c r="B66" s="135"/>
      <c r="C66" s="135"/>
      <c r="D66" s="135"/>
      <c r="E66" s="135"/>
      <c r="F66" s="135"/>
    </row>
    <row r="67" spans="2:6" hidden="1" x14ac:dyDescent="0.25">
      <c r="B67" s="135"/>
      <c r="C67" s="135"/>
      <c r="D67" s="135"/>
      <c r="E67" s="135"/>
      <c r="F67" s="135"/>
    </row>
    <row r="68" spans="2:6" hidden="1" x14ac:dyDescent="0.25"/>
    <row r="71" spans="2:6" x14ac:dyDescent="0.25">
      <c r="B71" s="137" t="s">
        <v>326</v>
      </c>
      <c r="C71" s="137" t="s">
        <v>325</v>
      </c>
      <c r="D71" s="1658" t="s">
        <v>324</v>
      </c>
      <c r="E71" s="1659"/>
    </row>
    <row r="72" spans="2:6" x14ac:dyDescent="0.25">
      <c r="B72" s="99" t="s">
        <v>308</v>
      </c>
      <c r="C72" s="136">
        <f>INDEX('Non-Salary Expense FY26'!E4:E20,MATCH('Master Lookup FY26'!B72,'Non-Salary Expense FY26'!C4:C20,0))</f>
        <v>1059.8793475070393</v>
      </c>
      <c r="D72" s="1648" t="s">
        <v>720</v>
      </c>
      <c r="E72" s="1649"/>
    </row>
    <row r="73" spans="2:6" x14ac:dyDescent="0.25">
      <c r="B73" s="99" t="s">
        <v>288</v>
      </c>
      <c r="C73" s="136">
        <f>INDEX('Non-Salary Expense FY26'!E5:E21,MATCH('Master Lookup FY26'!B73,'Non-Salary Expense FY26'!C5:C21,0))</f>
        <v>2947.5899663350119</v>
      </c>
      <c r="D73" s="1648" t="s">
        <v>720</v>
      </c>
      <c r="E73" s="1649"/>
    </row>
    <row r="74" spans="2:6" x14ac:dyDescent="0.25">
      <c r="B74" s="99" t="s">
        <v>286</v>
      </c>
      <c r="C74" s="136">
        <f>INDEX('Non-Salary Expense FY26'!E6:E22,MATCH('Master Lookup FY26'!B74,'Non-Salary Expense FY26'!C6:C22,0))</f>
        <v>3236.4891574928697</v>
      </c>
      <c r="D74" s="1648" t="s">
        <v>720</v>
      </c>
      <c r="E74" s="1649"/>
    </row>
    <row r="75" spans="2:6" x14ac:dyDescent="0.25">
      <c r="B75" s="99" t="s">
        <v>283</v>
      </c>
      <c r="C75" s="136">
        <f>'Non-Salary Expense FY26'!E20</f>
        <v>1000</v>
      </c>
      <c r="D75" s="1648" t="s">
        <v>395</v>
      </c>
      <c r="E75" s="1649"/>
    </row>
    <row r="76" spans="2:6" hidden="1" x14ac:dyDescent="0.25">
      <c r="B76" s="135"/>
      <c r="C76" s="135"/>
      <c r="D76" s="1650"/>
      <c r="E76" s="1651"/>
    </row>
    <row r="77" spans="2:6" hidden="1" x14ac:dyDescent="0.25">
      <c r="B77" s="135"/>
      <c r="C77" s="135"/>
      <c r="D77" s="1650"/>
      <c r="E77" s="1651"/>
    </row>
    <row r="78" spans="2:6" hidden="1" x14ac:dyDescent="0.25">
      <c r="B78" s="135"/>
      <c r="C78" s="135"/>
      <c r="D78" s="1650"/>
      <c r="E78" s="1651"/>
    </row>
    <row r="79" spans="2:6" hidden="1" x14ac:dyDescent="0.25">
      <c r="B79" s="135"/>
      <c r="C79" s="135"/>
      <c r="D79" s="1650"/>
      <c r="E79" s="1651"/>
    </row>
    <row r="80" spans="2:6" hidden="1" x14ac:dyDescent="0.25">
      <c r="B80" s="135"/>
      <c r="C80" s="135"/>
      <c r="D80" s="1650"/>
      <c r="E80" s="1651"/>
    </row>
    <row r="81" spans="2:9" x14ac:dyDescent="0.25">
      <c r="B81" s="132"/>
      <c r="C81" s="132"/>
      <c r="D81" s="1652"/>
      <c r="E81" s="1653"/>
    </row>
    <row r="82" spans="2:9" x14ac:dyDescent="0.25">
      <c r="B82" s="99" t="s">
        <v>322</v>
      </c>
      <c r="C82" s="131">
        <f>'Non-Salary Expense FY26'!D31</f>
        <v>0.24970000000000001</v>
      </c>
      <c r="D82" s="1648" t="s">
        <v>270</v>
      </c>
      <c r="E82" s="1649"/>
    </row>
    <row r="83" spans="2:9" x14ac:dyDescent="0.25">
      <c r="B83" s="99" t="s">
        <v>321</v>
      </c>
      <c r="C83" s="131">
        <f>'Non-Salary Expense FY26'!D51</f>
        <v>2.5282070971092779E-2</v>
      </c>
      <c r="D83" s="1648" t="s">
        <v>716</v>
      </c>
      <c r="E83" s="1649"/>
    </row>
    <row r="84" spans="2:9" x14ac:dyDescent="0.25">
      <c r="B84" s="99" t="s">
        <v>320</v>
      </c>
      <c r="C84" s="131">
        <f>'Non-Salary Expense FY26'!D37</f>
        <v>0.12</v>
      </c>
      <c r="D84" s="1648" t="s">
        <v>270</v>
      </c>
      <c r="E84" s="1649"/>
    </row>
    <row r="89" spans="2:9" ht="15.75" thickBot="1" x14ac:dyDescent="0.3"/>
    <row r="90" spans="2:9" ht="27" thickBot="1" x14ac:dyDescent="0.45">
      <c r="B90" s="1673" t="s">
        <v>414</v>
      </c>
      <c r="C90" s="1674"/>
      <c r="D90" s="1674"/>
      <c r="E90" s="1674"/>
      <c r="F90" s="1674"/>
      <c r="G90" s="1685"/>
    </row>
    <row r="91" spans="2:9" ht="21" x14ac:dyDescent="0.35">
      <c r="B91" s="1695" t="s">
        <v>336</v>
      </c>
      <c r="C91" s="1657"/>
      <c r="D91" s="149" t="s">
        <v>335</v>
      </c>
      <c r="E91" s="1696" t="s">
        <v>366</v>
      </c>
      <c r="F91" s="1697"/>
      <c r="G91" s="1698"/>
      <c r="H91" s="230"/>
      <c r="I91" s="230"/>
    </row>
    <row r="92" spans="2:9" ht="60" x14ac:dyDescent="0.25">
      <c r="B92" s="146" t="s">
        <v>333</v>
      </c>
      <c r="C92" s="146" t="s">
        <v>332</v>
      </c>
      <c r="D92" s="146" t="s">
        <v>331</v>
      </c>
      <c r="E92" s="146" t="s">
        <v>413</v>
      </c>
      <c r="F92" s="146" t="s">
        <v>412</v>
      </c>
      <c r="G92" s="146" t="s">
        <v>411</v>
      </c>
      <c r="H92" s="230"/>
      <c r="I92" s="230"/>
    </row>
    <row r="93" spans="2:9" x14ac:dyDescent="0.25">
      <c r="B93" s="99" t="s">
        <v>410</v>
      </c>
      <c r="C93" s="99" t="s">
        <v>410</v>
      </c>
      <c r="D93" s="140">
        <f>INDEX('Salary lookup'!F5:F23,MATCH(C93,'Salary lookup'!B5:B23,0))</f>
        <v>66537.12000000001</v>
      </c>
      <c r="E93" s="99">
        <v>1</v>
      </c>
      <c r="F93" s="99">
        <v>0</v>
      </c>
      <c r="G93" s="231">
        <v>0</v>
      </c>
      <c r="H93" s="230"/>
      <c r="I93" s="230"/>
    </row>
    <row r="94" spans="2:9" x14ac:dyDescent="0.25">
      <c r="B94" s="99" t="s">
        <v>409</v>
      </c>
      <c r="C94" s="99" t="s">
        <v>409</v>
      </c>
      <c r="D94" s="140">
        <f>INDEX('Salary lookup'!F6:F24,MATCH(C94,'Salary lookup'!B6:B24,0))</f>
        <v>101806.432</v>
      </c>
      <c r="E94" s="99">
        <v>0</v>
      </c>
      <c r="F94" s="99">
        <v>0</v>
      </c>
      <c r="G94" s="99">
        <v>1</v>
      </c>
    </row>
    <row r="95" spans="2:9" x14ac:dyDescent="0.25">
      <c r="B95" s="99" t="s">
        <v>408</v>
      </c>
      <c r="C95" s="99" t="s">
        <v>408</v>
      </c>
      <c r="D95" s="140">
        <f>INDEX('Salary lookup'!F7:F25,MATCH(C95,'Salary lookup'!B7:B25,0))</f>
        <v>84174.063999999998</v>
      </c>
      <c r="E95" s="99">
        <v>0</v>
      </c>
      <c r="F95" s="99">
        <v>1</v>
      </c>
      <c r="G95" s="99">
        <v>0</v>
      </c>
    </row>
    <row r="96" spans="2:9" hidden="1" x14ac:dyDescent="0.25">
      <c r="B96" s="135"/>
      <c r="C96" s="135"/>
      <c r="D96" s="140" t="e">
        <f>INDEX('Salary lookup'!F8:F26,MATCH(C96,'Salary lookup'!B8:B26,0))</f>
        <v>#N/A</v>
      </c>
      <c r="E96" s="135"/>
      <c r="F96" s="135"/>
      <c r="G96" s="135"/>
    </row>
    <row r="97" spans="2:7" hidden="1" x14ac:dyDescent="0.25">
      <c r="B97" s="135"/>
      <c r="C97" s="135"/>
      <c r="D97" s="140" t="e">
        <f>INDEX('Salary lookup'!F9:F27,MATCH(C97,'Salary lookup'!B9:B27,0))</f>
        <v>#N/A</v>
      </c>
      <c r="E97" s="135"/>
      <c r="F97" s="135"/>
      <c r="G97" s="135"/>
    </row>
    <row r="98" spans="2:7" hidden="1" x14ac:dyDescent="0.25">
      <c r="B98" s="135"/>
      <c r="C98" s="135"/>
      <c r="D98" s="140" t="e">
        <f>INDEX('Salary lookup'!F10:F28,MATCH(C98,'Salary lookup'!B10:B28,0))</f>
        <v>#N/A</v>
      </c>
      <c r="E98" s="135"/>
      <c r="F98" s="135"/>
      <c r="G98" s="135"/>
    </row>
    <row r="99" spans="2:7" hidden="1" x14ac:dyDescent="0.25">
      <c r="B99" s="135"/>
      <c r="C99" s="135"/>
      <c r="D99" s="140" t="e">
        <f>INDEX('Salary lookup'!F11:F29,MATCH(C99,'Salary lookup'!B11:B29,0))</f>
        <v>#N/A</v>
      </c>
      <c r="E99" s="135"/>
      <c r="F99" s="135"/>
      <c r="G99" s="135"/>
    </row>
    <row r="100" spans="2:7" hidden="1" x14ac:dyDescent="0.25">
      <c r="B100" s="135"/>
      <c r="C100" s="135"/>
      <c r="D100" s="140" t="e">
        <f>INDEX('Salary lookup'!F12:F30,MATCH(C100,'Salary lookup'!B12:B30,0))</f>
        <v>#N/A</v>
      </c>
      <c r="E100" s="135"/>
      <c r="F100" s="135"/>
      <c r="G100" s="135"/>
    </row>
    <row r="101" spans="2:7" hidden="1" x14ac:dyDescent="0.25">
      <c r="D101" s="140" t="e">
        <f>INDEX('Salary lookup'!F13:F31,MATCH(C101,'Salary lookup'!B13:B31,0))</f>
        <v>#N/A</v>
      </c>
    </row>
    <row r="104" spans="2:7" x14ac:dyDescent="0.25">
      <c r="B104" s="137" t="s">
        <v>326</v>
      </c>
      <c r="C104" s="137" t="s">
        <v>325</v>
      </c>
      <c r="D104" s="1681" t="s">
        <v>324</v>
      </c>
      <c r="E104" s="1682"/>
    </row>
    <row r="105" spans="2:7" x14ac:dyDescent="0.25">
      <c r="B105" s="99" t="s">
        <v>314</v>
      </c>
      <c r="C105" s="136">
        <f>INDEX('Non-Salary Expense FY26'!E4:E20,MATCH('Master Lookup FY26'!B105,'Non-Salary Expense FY26'!C4:C20,0))</f>
        <v>6392.9174203826224</v>
      </c>
      <c r="D105" s="1687" t="s">
        <v>721</v>
      </c>
      <c r="E105" s="1688"/>
    </row>
    <row r="106" spans="2:7" x14ac:dyDescent="0.25">
      <c r="B106" s="99" t="s">
        <v>304</v>
      </c>
      <c r="C106" s="136">
        <f>INDEX('Non-Salary Expense FY26'!E5:E21,MATCH('Master Lookup FY26'!B106,'Non-Salary Expense FY26'!C5:C21,0))</f>
        <v>1788.8934173999289</v>
      </c>
      <c r="D106" s="1687" t="s">
        <v>722</v>
      </c>
      <c r="E106" s="1688"/>
    </row>
    <row r="107" spans="2:7" hidden="1" x14ac:dyDescent="0.25">
      <c r="B107" s="135"/>
      <c r="C107" s="135"/>
      <c r="D107" s="1650"/>
      <c r="E107" s="1651"/>
    </row>
    <row r="108" spans="2:7" hidden="1" x14ac:dyDescent="0.25">
      <c r="B108" s="135"/>
      <c r="C108" s="135"/>
      <c r="D108" s="1650"/>
      <c r="E108" s="1651"/>
    </row>
    <row r="109" spans="2:7" hidden="1" x14ac:dyDescent="0.25">
      <c r="B109" s="135"/>
      <c r="C109" s="135"/>
      <c r="D109" s="1650"/>
      <c r="E109" s="1651"/>
    </row>
    <row r="110" spans="2:7" hidden="1" x14ac:dyDescent="0.25">
      <c r="B110" s="135"/>
      <c r="C110" s="135"/>
      <c r="D110" s="1650"/>
      <c r="E110" s="1651"/>
    </row>
    <row r="111" spans="2:7" hidden="1" x14ac:dyDescent="0.25">
      <c r="B111" s="135"/>
      <c r="C111" s="135"/>
      <c r="D111" s="1650"/>
      <c r="E111" s="1651"/>
    </row>
    <row r="112" spans="2:7" x14ac:dyDescent="0.25">
      <c r="B112" s="132"/>
      <c r="C112" s="132"/>
      <c r="D112" s="1652"/>
      <c r="E112" s="1653"/>
    </row>
    <row r="113" spans="2:14" x14ac:dyDescent="0.25">
      <c r="B113" s="99" t="s">
        <v>322</v>
      </c>
      <c r="C113" s="131">
        <f>'Non-Salary Expense FY26'!D31</f>
        <v>0.24970000000000001</v>
      </c>
      <c r="D113" s="1648" t="s">
        <v>270</v>
      </c>
      <c r="E113" s="1649"/>
    </row>
    <row r="114" spans="2:14" x14ac:dyDescent="0.25">
      <c r="B114" s="99" t="s">
        <v>321</v>
      </c>
      <c r="C114" s="131">
        <f>'Non-Salary Expense FY26'!D51</f>
        <v>2.5282070971092779E-2</v>
      </c>
      <c r="D114" s="1648" t="s">
        <v>716</v>
      </c>
      <c r="E114" s="1649"/>
    </row>
    <row r="115" spans="2:14" x14ac:dyDescent="0.25">
      <c r="B115" s="99" t="s">
        <v>320</v>
      </c>
      <c r="C115" s="131">
        <f>'Non-Salary Expense FY26'!D37</f>
        <v>0.12</v>
      </c>
      <c r="D115" s="1648" t="s">
        <v>270</v>
      </c>
      <c r="E115" s="1649"/>
    </row>
    <row r="119" spans="2:14" ht="15.75" thickBot="1" x14ac:dyDescent="0.3"/>
    <row r="120" spans="2:14" ht="26.25" x14ac:dyDescent="0.4">
      <c r="B120" s="1693" t="s">
        <v>262</v>
      </c>
      <c r="C120" s="1694"/>
      <c r="D120" s="1694"/>
      <c r="E120" s="1675"/>
      <c r="H120" s="1173"/>
      <c r="I120" s="1173"/>
      <c r="J120" s="1173"/>
      <c r="K120" s="1173"/>
      <c r="L120" s="1173"/>
      <c r="M120" s="1173"/>
      <c r="N120" s="1173"/>
    </row>
    <row r="121" spans="2:14" ht="23.25" x14ac:dyDescent="0.35">
      <c r="B121" s="1692" t="s">
        <v>336</v>
      </c>
      <c r="C121" s="1692"/>
      <c r="D121" s="227" t="s">
        <v>335</v>
      </c>
      <c r="E121" s="226" t="s">
        <v>366</v>
      </c>
      <c r="H121" s="1173"/>
      <c r="I121" s="1173"/>
      <c r="J121" s="1173"/>
      <c r="K121" s="1173"/>
      <c r="L121" s="1173"/>
      <c r="M121" s="1173"/>
      <c r="N121" s="1173"/>
    </row>
    <row r="122" spans="2:14" x14ac:dyDescent="0.25">
      <c r="B122" s="229" t="s">
        <v>333</v>
      </c>
      <c r="C122" s="229" t="s">
        <v>332</v>
      </c>
      <c r="D122" s="229" t="s">
        <v>331</v>
      </c>
      <c r="E122" s="229" t="s">
        <v>262</v>
      </c>
    </row>
    <row r="123" spans="2:14" x14ac:dyDescent="0.25">
      <c r="B123" s="153" t="s">
        <v>330</v>
      </c>
      <c r="C123" s="99" t="s">
        <v>329</v>
      </c>
      <c r="D123" s="140">
        <f>INDEX('Salary lookup'!F5:F19,MATCH(C123,'Salary lookup'!B5:B19,0))</f>
        <v>81486.911999999997</v>
      </c>
      <c r="E123" s="142">
        <v>0.06</v>
      </c>
    </row>
    <row r="124" spans="2:14" x14ac:dyDescent="0.25">
      <c r="B124" s="228" t="s">
        <v>400</v>
      </c>
      <c r="C124" s="99" t="s">
        <v>342</v>
      </c>
      <c r="D124" s="140">
        <f>INDEX('Salary lookup'!F6:F20,MATCH(C124,'Salary lookup'!B6:B20,0))</f>
        <v>66537.12000000001</v>
      </c>
      <c r="E124" s="142">
        <v>1</v>
      </c>
    </row>
    <row r="125" spans="2:14" hidden="1" x14ac:dyDescent="0.25">
      <c r="B125" s="135"/>
      <c r="C125" s="135"/>
      <c r="D125" s="1650"/>
      <c r="E125" s="1651"/>
    </row>
    <row r="126" spans="2:14" hidden="1" x14ac:dyDescent="0.25">
      <c r="B126" s="135"/>
      <c r="C126" s="135"/>
      <c r="D126" s="1650"/>
      <c r="E126" s="1651"/>
    </row>
    <row r="127" spans="2:14" hidden="1" x14ac:dyDescent="0.25">
      <c r="B127" s="135"/>
      <c r="C127" s="135"/>
      <c r="D127" s="1650"/>
      <c r="E127" s="1651"/>
    </row>
    <row r="128" spans="2:14" hidden="1" x14ac:dyDescent="0.25">
      <c r="B128" s="135"/>
      <c r="C128" s="135"/>
      <c r="D128" s="1650"/>
      <c r="E128" s="1651"/>
    </row>
    <row r="129" spans="2:5" hidden="1" x14ac:dyDescent="0.25">
      <c r="B129" s="135"/>
      <c r="C129" s="135"/>
      <c r="D129" s="1650"/>
      <c r="E129" s="1651"/>
    </row>
    <row r="131" spans="2:5" x14ac:dyDescent="0.25">
      <c r="B131" s="137" t="s">
        <v>326</v>
      </c>
      <c r="C131" s="137" t="s">
        <v>325</v>
      </c>
      <c r="D131" s="1681" t="s">
        <v>324</v>
      </c>
      <c r="E131" s="1682"/>
    </row>
    <row r="132" spans="2:5" x14ac:dyDescent="0.25">
      <c r="B132" s="99" t="s">
        <v>310</v>
      </c>
      <c r="C132" s="136">
        <f>INDEX('Non-Salary Expense FY26'!E4:E20,MATCH('Master Lookup FY26'!B132,'Non-Salary Expense FY26'!C4:C20,0))</f>
        <v>364.52871302241937</v>
      </c>
      <c r="D132" s="1648" t="s">
        <v>720</v>
      </c>
      <c r="E132" s="1649"/>
    </row>
    <row r="133" spans="2:5" x14ac:dyDescent="0.25">
      <c r="B133" s="99" t="s">
        <v>308</v>
      </c>
      <c r="C133" s="136">
        <f>INDEX('Non-Salary Expense FY26'!E5:E21,MATCH('Master Lookup FY26'!B133,'Non-Salary Expense FY26'!C5:C21,0))</f>
        <v>1059.8793475070393</v>
      </c>
      <c r="D133" s="1648" t="s">
        <v>720</v>
      </c>
      <c r="E133" s="1649"/>
    </row>
    <row r="134" spans="2:5" hidden="1" x14ac:dyDescent="0.25">
      <c r="B134" s="171"/>
      <c r="C134" s="135"/>
      <c r="D134" s="1650"/>
      <c r="E134" s="1651"/>
    </row>
    <row r="135" spans="2:5" hidden="1" x14ac:dyDescent="0.25">
      <c r="B135" s="135"/>
      <c r="C135" s="135"/>
      <c r="D135" s="1650"/>
      <c r="E135" s="1651"/>
    </row>
    <row r="136" spans="2:5" x14ac:dyDescent="0.25">
      <c r="B136" s="132"/>
      <c r="C136" s="132"/>
      <c r="D136" s="1652"/>
      <c r="E136" s="1653"/>
    </row>
    <row r="137" spans="2:5" x14ac:dyDescent="0.25">
      <c r="B137" s="99" t="s">
        <v>322</v>
      </c>
      <c r="C137" s="131">
        <f>'Non-Salary Expense FY26'!D31</f>
        <v>0.24970000000000001</v>
      </c>
      <c r="D137" s="1648" t="s">
        <v>270</v>
      </c>
      <c r="E137" s="1649"/>
    </row>
    <row r="138" spans="2:5" x14ac:dyDescent="0.25">
      <c r="B138" s="99" t="s">
        <v>321</v>
      </c>
      <c r="C138" s="131">
        <f>'Non-Salary Expense FY26'!D51</f>
        <v>2.5282070971092779E-2</v>
      </c>
      <c r="D138" s="1648" t="s">
        <v>716</v>
      </c>
      <c r="E138" s="1649"/>
    </row>
    <row r="139" spans="2:5" x14ac:dyDescent="0.25">
      <c r="B139" s="99" t="s">
        <v>320</v>
      </c>
      <c r="C139" s="131">
        <f>'Non-Salary Expense FY26'!D37</f>
        <v>0.12</v>
      </c>
      <c r="D139" s="1648" t="s">
        <v>270</v>
      </c>
      <c r="E139" s="1649"/>
    </row>
    <row r="142" spans="2:5" ht="15.75" thickBot="1" x14ac:dyDescent="0.3"/>
    <row r="143" spans="2:5" ht="26.25" x14ac:dyDescent="0.4">
      <c r="B143" s="1693" t="s">
        <v>255</v>
      </c>
      <c r="C143" s="1694"/>
      <c r="D143" s="1694"/>
      <c r="E143" s="1675"/>
    </row>
    <row r="144" spans="2:5" ht="21" x14ac:dyDescent="0.35">
      <c r="B144" s="1692" t="s">
        <v>336</v>
      </c>
      <c r="C144" s="1692"/>
      <c r="D144" s="227" t="s">
        <v>335</v>
      </c>
      <c r="E144" s="226" t="s">
        <v>366</v>
      </c>
    </row>
    <row r="145" spans="2:5" x14ac:dyDescent="0.25">
      <c r="B145" s="229" t="s">
        <v>333</v>
      </c>
      <c r="C145" s="229" t="s">
        <v>332</v>
      </c>
      <c r="D145" s="229" t="s">
        <v>331</v>
      </c>
      <c r="E145" s="229" t="s">
        <v>262</v>
      </c>
    </row>
    <row r="146" spans="2:5" x14ac:dyDescent="0.25">
      <c r="B146" s="153" t="s">
        <v>330</v>
      </c>
      <c r="C146" s="99" t="s">
        <v>329</v>
      </c>
      <c r="D146" s="140">
        <f>INDEX('Salary lookup'!F5:F19,MATCH(C146,'Salary lookup'!B5:B19,0))</f>
        <v>81486.911999999997</v>
      </c>
      <c r="E146" s="142">
        <v>0.06</v>
      </c>
    </row>
    <row r="147" spans="2:5" x14ac:dyDescent="0.25">
      <c r="B147" s="228" t="s">
        <v>400</v>
      </c>
      <c r="C147" s="154" t="s">
        <v>327</v>
      </c>
      <c r="D147" s="140">
        <f>INDEX('Salary lookup'!F5:F19,MATCH(C147,'Salary lookup'!B5:B19,0))</f>
        <v>46842.432000000008</v>
      </c>
      <c r="E147" s="142">
        <v>1</v>
      </c>
    </row>
    <row r="148" spans="2:5" hidden="1" x14ac:dyDescent="0.25">
      <c r="B148" s="135"/>
      <c r="C148" s="135"/>
      <c r="D148" s="1650"/>
      <c r="E148" s="1651"/>
    </row>
    <row r="149" spans="2:5" hidden="1" x14ac:dyDescent="0.25">
      <c r="B149" s="135"/>
      <c r="C149" s="135"/>
      <c r="D149" s="1650"/>
      <c r="E149" s="1651"/>
    </row>
    <row r="150" spans="2:5" hidden="1" x14ac:dyDescent="0.25">
      <c r="B150" s="135"/>
      <c r="C150" s="135"/>
      <c r="D150" s="1650"/>
      <c r="E150" s="1651"/>
    </row>
    <row r="151" spans="2:5" hidden="1" x14ac:dyDescent="0.25">
      <c r="B151" s="135"/>
      <c r="C151" s="135"/>
      <c r="D151" s="1650"/>
      <c r="E151" s="1651"/>
    </row>
    <row r="152" spans="2:5" hidden="1" x14ac:dyDescent="0.25">
      <c r="B152" s="135"/>
      <c r="C152" s="135"/>
      <c r="D152" s="1650"/>
      <c r="E152" s="1651"/>
    </row>
    <row r="154" spans="2:5" x14ac:dyDescent="0.25">
      <c r="B154" s="137" t="s">
        <v>326</v>
      </c>
      <c r="C154" s="137" t="s">
        <v>325</v>
      </c>
      <c r="D154" s="1681" t="s">
        <v>324</v>
      </c>
      <c r="E154" s="1682"/>
    </row>
    <row r="155" spans="2:5" x14ac:dyDescent="0.25">
      <c r="B155" s="99" t="s">
        <v>310</v>
      </c>
      <c r="C155" s="136">
        <f>INDEX('Non-Salary Expense FY26'!E4:E20,MATCH('Master Lookup FY26'!B155,'Non-Salary Expense FY26'!C4:C20,0))</f>
        <v>364.52871302241937</v>
      </c>
      <c r="D155" s="1648" t="s">
        <v>720</v>
      </c>
      <c r="E155" s="1649"/>
    </row>
    <row r="156" spans="2:5" x14ac:dyDescent="0.25">
      <c r="B156" s="99" t="s">
        <v>308</v>
      </c>
      <c r="C156" s="136">
        <f>INDEX('Non-Salary Expense FY26'!E5:E21,MATCH('Master Lookup FY26'!B156,'Non-Salary Expense FY26'!C5:C21,0))</f>
        <v>1059.8793475070393</v>
      </c>
      <c r="D156" s="1648" t="s">
        <v>720</v>
      </c>
      <c r="E156" s="1649"/>
    </row>
    <row r="157" spans="2:5" hidden="1" x14ac:dyDescent="0.25">
      <c r="B157" s="171"/>
      <c r="C157" s="135"/>
      <c r="D157" s="1650"/>
      <c r="E157" s="1651"/>
    </row>
    <row r="158" spans="2:5" hidden="1" x14ac:dyDescent="0.25">
      <c r="B158" s="135"/>
      <c r="C158" s="135"/>
      <c r="D158" s="1650"/>
      <c r="E158" s="1651"/>
    </row>
    <row r="159" spans="2:5" x14ac:dyDescent="0.25">
      <c r="B159" s="132"/>
      <c r="C159" s="132"/>
      <c r="D159" s="1652"/>
      <c r="E159" s="1653"/>
    </row>
    <row r="160" spans="2:5" x14ac:dyDescent="0.25">
      <c r="B160" s="99" t="s">
        <v>322</v>
      </c>
      <c r="C160" s="131">
        <f>'Non-Salary Expense FY26'!D31</f>
        <v>0.24970000000000001</v>
      </c>
      <c r="D160" s="1648" t="s">
        <v>270</v>
      </c>
      <c r="E160" s="1649"/>
    </row>
    <row r="161" spans="2:5" x14ac:dyDescent="0.25">
      <c r="B161" s="99" t="s">
        <v>321</v>
      </c>
      <c r="C161" s="131">
        <f>'Non-Salary Expense FY26'!D51</f>
        <v>2.5282070971092779E-2</v>
      </c>
      <c r="D161" s="1648" t="s">
        <v>716</v>
      </c>
      <c r="E161" s="1649"/>
    </row>
    <row r="162" spans="2:5" x14ac:dyDescent="0.25">
      <c r="B162" s="99" t="s">
        <v>320</v>
      </c>
      <c r="C162" s="131">
        <f>'Non-Salary Expense FY26'!D37</f>
        <v>0.12</v>
      </c>
      <c r="D162" s="1648" t="s">
        <v>270</v>
      </c>
      <c r="E162" s="1649"/>
    </row>
    <row r="165" spans="2:5" ht="15.75" thickBot="1" x14ac:dyDescent="0.3"/>
    <row r="166" spans="2:5" ht="26.25" x14ac:dyDescent="0.4">
      <c r="B166" s="1693" t="s">
        <v>406</v>
      </c>
      <c r="C166" s="1694"/>
      <c r="D166" s="1694"/>
      <c r="E166" s="1675"/>
    </row>
    <row r="167" spans="2:5" ht="21" x14ac:dyDescent="0.35">
      <c r="B167" s="1692" t="s">
        <v>336</v>
      </c>
      <c r="C167" s="1692"/>
      <c r="D167" s="227" t="s">
        <v>335</v>
      </c>
      <c r="E167" s="226" t="s">
        <v>366</v>
      </c>
    </row>
    <row r="168" spans="2:5" ht="30" x14ac:dyDescent="0.25">
      <c r="B168" s="229" t="s">
        <v>333</v>
      </c>
      <c r="C168" s="229" t="s">
        <v>332</v>
      </c>
      <c r="D168" s="229" t="s">
        <v>331</v>
      </c>
      <c r="E168" s="229" t="s">
        <v>405</v>
      </c>
    </row>
    <row r="169" spans="2:5" x14ac:dyDescent="0.25">
      <c r="B169" s="153" t="s">
        <v>330</v>
      </c>
      <c r="C169" s="99" t="s">
        <v>329</v>
      </c>
      <c r="D169" s="140">
        <f>INDEX('Salary lookup'!F5:F19,MATCH(C169,'Salary lookup'!B5:B19,0))</f>
        <v>81486.911999999997</v>
      </c>
      <c r="E169" s="142">
        <v>0.06</v>
      </c>
    </row>
    <row r="170" spans="2:5" x14ac:dyDescent="0.25">
      <c r="B170" s="228" t="s">
        <v>400</v>
      </c>
      <c r="C170" s="154" t="s">
        <v>327</v>
      </c>
      <c r="D170" s="140">
        <f>INDEX('Salary lookup'!F5:F20,MATCH(C170,'Salary lookup'!B5:B20,0))</f>
        <v>46842.432000000008</v>
      </c>
      <c r="E170" s="142">
        <v>1</v>
      </c>
    </row>
    <row r="171" spans="2:5" hidden="1" x14ac:dyDescent="0.25">
      <c r="B171" s="135"/>
      <c r="C171" s="135"/>
      <c r="D171" s="135"/>
      <c r="E171" s="222"/>
    </row>
    <row r="172" spans="2:5" hidden="1" x14ac:dyDescent="0.25">
      <c r="B172" s="135"/>
      <c r="C172" s="135"/>
      <c r="D172" s="135"/>
      <c r="E172" s="222"/>
    </row>
    <row r="173" spans="2:5" hidden="1" x14ac:dyDescent="0.25">
      <c r="B173" s="135"/>
      <c r="C173" s="135"/>
      <c r="D173" s="135"/>
      <c r="E173" s="222"/>
    </row>
    <row r="174" spans="2:5" hidden="1" x14ac:dyDescent="0.25">
      <c r="B174" s="135"/>
      <c r="C174" s="135"/>
      <c r="D174" s="135"/>
      <c r="E174" s="222"/>
    </row>
    <row r="175" spans="2:5" hidden="1" x14ac:dyDescent="0.25">
      <c r="B175" s="135"/>
      <c r="C175" s="135"/>
      <c r="D175" s="135"/>
      <c r="E175" s="222"/>
    </row>
    <row r="177" spans="2:5" x14ac:dyDescent="0.25">
      <c r="B177" s="137" t="s">
        <v>326</v>
      </c>
      <c r="C177" s="137" t="s">
        <v>325</v>
      </c>
      <c r="D177" s="1681" t="s">
        <v>324</v>
      </c>
      <c r="E177" s="1682"/>
    </row>
    <row r="178" spans="2:5" x14ac:dyDescent="0.25">
      <c r="B178" s="99" t="s">
        <v>310</v>
      </c>
      <c r="C178" s="136">
        <f>INDEX('Non-Salary Expense FY26'!E4:E20,MATCH('Master Lookup FY26'!B178,'Non-Salary Expense FY26'!C4:C20,0))</f>
        <v>364.52871302241937</v>
      </c>
      <c r="D178" s="1648" t="s">
        <v>720</v>
      </c>
      <c r="E178" s="1649"/>
    </row>
    <row r="179" spans="2:5" x14ac:dyDescent="0.25">
      <c r="B179" s="99" t="s">
        <v>308</v>
      </c>
      <c r="C179" s="136">
        <f>INDEX('Non-Salary Expense FY26'!E5:E21,MATCH('Master Lookup FY26'!B179,'Non-Salary Expense FY26'!C5:C21,0))</f>
        <v>1059.8793475070393</v>
      </c>
      <c r="D179" s="1648" t="s">
        <v>720</v>
      </c>
      <c r="E179" s="1649"/>
    </row>
    <row r="180" spans="2:5" hidden="1" x14ac:dyDescent="0.25">
      <c r="B180" s="171"/>
      <c r="C180" s="135"/>
      <c r="D180" s="1650"/>
      <c r="E180" s="1651"/>
    </row>
    <row r="181" spans="2:5" hidden="1" x14ac:dyDescent="0.25">
      <c r="B181" s="135"/>
      <c r="C181" s="135"/>
      <c r="D181" s="1650"/>
      <c r="E181" s="1651"/>
    </row>
    <row r="182" spans="2:5" x14ac:dyDescent="0.25">
      <c r="B182" s="132"/>
      <c r="C182" s="132"/>
      <c r="D182" s="1652"/>
      <c r="E182" s="1653"/>
    </row>
    <row r="183" spans="2:5" x14ac:dyDescent="0.25">
      <c r="B183" s="99" t="s">
        <v>322</v>
      </c>
      <c r="C183" s="131">
        <f>'Non-Salary Expense FY26'!D31</f>
        <v>0.24970000000000001</v>
      </c>
      <c r="D183" s="1648" t="s">
        <v>270</v>
      </c>
      <c r="E183" s="1649"/>
    </row>
    <row r="184" spans="2:5" x14ac:dyDescent="0.25">
      <c r="B184" s="99" t="s">
        <v>321</v>
      </c>
      <c r="C184" s="131">
        <f>'Non-Salary Expense FY26'!D51</f>
        <v>2.5282070971092779E-2</v>
      </c>
      <c r="D184" s="1648" t="s">
        <v>716</v>
      </c>
      <c r="E184" s="1649"/>
    </row>
    <row r="185" spans="2:5" x14ac:dyDescent="0.25">
      <c r="B185" s="99" t="s">
        <v>320</v>
      </c>
      <c r="C185" s="131">
        <f>'Non-Salary Expense FY26'!D37</f>
        <v>0.12</v>
      </c>
      <c r="D185" s="1648" t="s">
        <v>270</v>
      </c>
      <c r="E185" s="1649"/>
    </row>
    <row r="189" spans="2:5" ht="15.75" thickBot="1" x14ac:dyDescent="0.3"/>
    <row r="190" spans="2:5" ht="26.25" x14ac:dyDescent="0.4">
      <c r="B190" s="1693" t="s">
        <v>404</v>
      </c>
      <c r="C190" s="1694"/>
      <c r="D190" s="1694"/>
      <c r="E190" s="1675"/>
    </row>
    <row r="191" spans="2:5" ht="21" x14ac:dyDescent="0.35">
      <c r="B191" s="1692" t="s">
        <v>336</v>
      </c>
      <c r="C191" s="1692"/>
      <c r="D191" s="227" t="s">
        <v>335</v>
      </c>
      <c r="E191" s="226" t="s">
        <v>366</v>
      </c>
    </row>
    <row r="192" spans="2:5" ht="45" x14ac:dyDescent="0.25">
      <c r="B192" s="146" t="s">
        <v>333</v>
      </c>
      <c r="C192" s="146" t="s">
        <v>332</v>
      </c>
      <c r="D192" s="146" t="s">
        <v>331</v>
      </c>
      <c r="E192" s="146" t="s">
        <v>403</v>
      </c>
    </row>
    <row r="193" spans="2:5" x14ac:dyDescent="0.25">
      <c r="B193" s="99" t="s">
        <v>330</v>
      </c>
      <c r="C193" s="99" t="s">
        <v>329</v>
      </c>
      <c r="D193" s="140">
        <f>INDEX('Salary lookup'!F5:F19,MATCH(C193,'Salary lookup'!B5:B19,0))</f>
        <v>81486.911999999997</v>
      </c>
      <c r="E193" s="142">
        <v>5.0099999999999999E-2</v>
      </c>
    </row>
    <row r="194" spans="2:5" x14ac:dyDescent="0.25">
      <c r="B194" s="99" t="s">
        <v>400</v>
      </c>
      <c r="C194" s="99" t="s">
        <v>327</v>
      </c>
      <c r="D194" s="140">
        <f>INDEX('Salary lookup'!F5:F20,MATCH(C194,'Salary lookup'!B5:B20,0))</f>
        <v>46842.432000000008</v>
      </c>
      <c r="E194" s="142">
        <v>0.90439999999999998</v>
      </c>
    </row>
    <row r="195" spans="2:5" hidden="1" x14ac:dyDescent="0.25">
      <c r="B195" s="135"/>
      <c r="C195" s="135"/>
      <c r="D195" s="140" t="e">
        <f>INDEX('Salary lookup'!F7:F21,MATCH(C195,'Salary lookup'!B7:B21,0))</f>
        <v>#N/A</v>
      </c>
      <c r="E195" s="222"/>
    </row>
    <row r="196" spans="2:5" hidden="1" x14ac:dyDescent="0.25">
      <c r="B196" s="135"/>
      <c r="C196" s="135"/>
      <c r="D196" s="140" t="e">
        <f>INDEX('Salary lookup'!F8:F22,MATCH(C196,'Salary lookup'!B8:B22,0))</f>
        <v>#N/A</v>
      </c>
      <c r="E196" s="222"/>
    </row>
    <row r="197" spans="2:5" hidden="1" x14ac:dyDescent="0.25">
      <c r="B197" s="135"/>
      <c r="C197" s="135"/>
      <c r="D197" s="140" t="e">
        <f>INDEX('Salary lookup'!F9:F23,MATCH(C197,'Salary lookup'!B9:B23,0))</f>
        <v>#N/A</v>
      </c>
      <c r="E197" s="222"/>
    </row>
    <row r="198" spans="2:5" hidden="1" x14ac:dyDescent="0.25">
      <c r="B198" s="135"/>
      <c r="C198" s="135"/>
      <c r="D198" s="140" t="e">
        <f>INDEX('Salary lookup'!F10:F24,MATCH(C198,'Salary lookup'!B10:B24,0))</f>
        <v>#N/A</v>
      </c>
      <c r="E198" s="222"/>
    </row>
    <row r="199" spans="2:5" hidden="1" x14ac:dyDescent="0.25">
      <c r="B199" s="135"/>
      <c r="C199" s="135"/>
      <c r="D199" s="140" t="e">
        <f>INDEX('Salary lookup'!F11:F25,MATCH(C199,'Salary lookup'!B11:B25,0))</f>
        <v>#N/A</v>
      </c>
      <c r="E199" s="222"/>
    </row>
    <row r="201" spans="2:5" x14ac:dyDescent="0.25">
      <c r="B201" s="137" t="s">
        <v>326</v>
      </c>
      <c r="C201" s="137" t="s">
        <v>325</v>
      </c>
      <c r="D201" s="1681" t="s">
        <v>324</v>
      </c>
      <c r="E201" s="1682"/>
    </row>
    <row r="202" spans="2:5" x14ac:dyDescent="0.25">
      <c r="B202" s="99" t="s">
        <v>288</v>
      </c>
      <c r="C202" s="136">
        <f>INDEX('Non-Salary Expense FY26'!E4:E20,MATCH('Master Lookup FY26'!B202,'Non-Salary Expense FY26'!C4:C20,0))</f>
        <v>2947.5899663350119</v>
      </c>
      <c r="D202" s="1648" t="s">
        <v>720</v>
      </c>
      <c r="E202" s="1649"/>
    </row>
    <row r="203" spans="2:5" hidden="1" x14ac:dyDescent="0.25">
      <c r="B203" s="171"/>
      <c r="C203" s="135"/>
      <c r="D203" s="1650"/>
      <c r="E203" s="1651"/>
    </row>
    <row r="204" spans="2:5" hidden="1" x14ac:dyDescent="0.25">
      <c r="B204" s="135"/>
      <c r="C204" s="135"/>
      <c r="D204" s="1650"/>
      <c r="E204" s="1651"/>
    </row>
    <row r="205" spans="2:5" hidden="1" x14ac:dyDescent="0.25">
      <c r="B205" s="135"/>
      <c r="C205" s="135"/>
      <c r="D205" s="1650"/>
      <c r="E205" s="1651"/>
    </row>
    <row r="206" spans="2:5" hidden="1" x14ac:dyDescent="0.25">
      <c r="B206" s="135"/>
      <c r="C206" s="135"/>
      <c r="D206" s="1650"/>
      <c r="E206" s="1651"/>
    </row>
    <row r="207" spans="2:5" x14ac:dyDescent="0.25">
      <c r="B207" s="132"/>
      <c r="C207" s="132"/>
      <c r="D207" s="132"/>
      <c r="E207" s="132"/>
    </row>
    <row r="208" spans="2:5" x14ac:dyDescent="0.25">
      <c r="B208" s="99" t="s">
        <v>322</v>
      </c>
      <c r="C208" s="131">
        <f>'Non-Salary Expense FY26'!D31</f>
        <v>0.24970000000000001</v>
      </c>
      <c r="D208" s="1648" t="s">
        <v>270</v>
      </c>
      <c r="E208" s="1649"/>
    </row>
    <row r="209" spans="2:5" x14ac:dyDescent="0.25">
      <c r="B209" s="99" t="s">
        <v>321</v>
      </c>
      <c r="C209" s="131">
        <f>'Non-Salary Expense FY26'!D51</f>
        <v>2.5282070971092779E-2</v>
      </c>
      <c r="D209" s="1687" t="s">
        <v>716</v>
      </c>
      <c r="E209" s="1688"/>
    </row>
    <row r="210" spans="2:5" x14ac:dyDescent="0.25">
      <c r="B210" s="99" t="s">
        <v>320</v>
      </c>
      <c r="C210" s="131">
        <f>'Non-Salary Expense FY26'!D37</f>
        <v>0.12</v>
      </c>
      <c r="D210" s="1687" t="s">
        <v>270</v>
      </c>
      <c r="E210" s="1688"/>
    </row>
    <row r="212" spans="2:5" ht="15.75" thickBot="1" x14ac:dyDescent="0.3"/>
    <row r="213" spans="2:5" ht="26.25" x14ac:dyDescent="0.4">
      <c r="B213" s="1689" t="s">
        <v>402</v>
      </c>
      <c r="C213" s="1690"/>
      <c r="D213" s="1690"/>
      <c r="E213" s="1691"/>
    </row>
    <row r="214" spans="2:5" ht="21" x14ac:dyDescent="0.35">
      <c r="B214" s="1692" t="s">
        <v>336</v>
      </c>
      <c r="C214" s="1692"/>
      <c r="D214" s="227" t="s">
        <v>335</v>
      </c>
      <c r="E214" s="226" t="s">
        <v>366</v>
      </c>
    </row>
    <row r="215" spans="2:5" ht="60" x14ac:dyDescent="0.25">
      <c r="B215" s="146" t="s">
        <v>333</v>
      </c>
      <c r="C215" s="146" t="s">
        <v>332</v>
      </c>
      <c r="D215" s="146" t="s">
        <v>331</v>
      </c>
      <c r="E215" s="146" t="s">
        <v>401</v>
      </c>
    </row>
    <row r="216" spans="2:5" x14ac:dyDescent="0.25">
      <c r="B216" s="99" t="s">
        <v>330</v>
      </c>
      <c r="C216" s="99" t="s">
        <v>329</v>
      </c>
      <c r="D216" s="140">
        <f>INDEX('Salary lookup'!F5:F19,MATCH(C216,'Salary lookup'!B5:B19,0))</f>
        <v>81486.911999999997</v>
      </c>
      <c r="E216" s="142">
        <v>0.05</v>
      </c>
    </row>
    <row r="217" spans="2:5" x14ac:dyDescent="0.25">
      <c r="B217" s="99" t="s">
        <v>400</v>
      </c>
      <c r="C217" s="99" t="s">
        <v>327</v>
      </c>
      <c r="D217" s="140">
        <f>INDEX('Salary lookup'!F5:F20,MATCH(C217,'Salary lookup'!B5:B20,0))</f>
        <v>46842.432000000008</v>
      </c>
      <c r="E217" s="142">
        <v>0.05</v>
      </c>
    </row>
    <row r="218" spans="2:5" hidden="1" x14ac:dyDescent="0.25">
      <c r="B218" s="135"/>
      <c r="C218" s="135"/>
      <c r="D218" s="135"/>
      <c r="E218" s="135"/>
    </row>
    <row r="219" spans="2:5" hidden="1" x14ac:dyDescent="0.25">
      <c r="B219" s="135"/>
      <c r="C219" s="135"/>
      <c r="D219" s="135"/>
      <c r="E219" s="135"/>
    </row>
    <row r="220" spans="2:5" hidden="1" x14ac:dyDescent="0.25">
      <c r="B220" s="135"/>
      <c r="C220" s="135"/>
      <c r="D220" s="135"/>
      <c r="E220" s="135"/>
    </row>
    <row r="221" spans="2:5" hidden="1" x14ac:dyDescent="0.25">
      <c r="B221" s="135"/>
      <c r="C221" s="135"/>
      <c r="D221" s="135"/>
      <c r="E221" s="135"/>
    </row>
    <row r="222" spans="2:5" hidden="1" x14ac:dyDescent="0.25">
      <c r="B222" s="135"/>
      <c r="C222" s="135"/>
      <c r="D222" s="135"/>
      <c r="E222" s="135"/>
    </row>
    <row r="224" spans="2:5" x14ac:dyDescent="0.25">
      <c r="B224" s="137" t="s">
        <v>326</v>
      </c>
      <c r="C224" s="137" t="s">
        <v>325</v>
      </c>
      <c r="D224" s="1681" t="s">
        <v>324</v>
      </c>
      <c r="E224" s="1682"/>
    </row>
    <row r="225" spans="2:9" x14ac:dyDescent="0.25">
      <c r="B225" s="99" t="s">
        <v>288</v>
      </c>
      <c r="C225" s="140">
        <f>20.32*(2.71%+1)</f>
        <v>20.870671999999999</v>
      </c>
      <c r="D225" s="1648" t="s">
        <v>722</v>
      </c>
      <c r="E225" s="1649"/>
    </row>
    <row r="226" spans="2:9" hidden="1" x14ac:dyDescent="0.25">
      <c r="B226" s="171"/>
      <c r="C226" s="135"/>
      <c r="D226" s="1650"/>
      <c r="E226" s="1651"/>
    </row>
    <row r="227" spans="2:9" hidden="1" x14ac:dyDescent="0.25">
      <c r="B227" s="135"/>
      <c r="C227" s="135"/>
      <c r="D227" s="1650"/>
      <c r="E227" s="1651"/>
    </row>
    <row r="228" spans="2:9" hidden="1" x14ac:dyDescent="0.25">
      <c r="B228" s="135"/>
      <c r="C228" s="135"/>
      <c r="D228" s="1650"/>
      <c r="E228" s="1651"/>
    </row>
    <row r="229" spans="2:9" hidden="1" x14ac:dyDescent="0.25">
      <c r="B229" s="135"/>
      <c r="C229" s="135"/>
      <c r="D229" s="1650"/>
      <c r="E229" s="1651"/>
    </row>
    <row r="230" spans="2:9" x14ac:dyDescent="0.25">
      <c r="B230" s="132"/>
      <c r="C230" s="132"/>
      <c r="D230" s="1686"/>
      <c r="E230" s="1686"/>
    </row>
    <row r="231" spans="2:9" x14ac:dyDescent="0.25">
      <c r="B231" s="99" t="s">
        <v>322</v>
      </c>
      <c r="C231" s="131">
        <f>'Non-Salary Expense FY26'!D31</f>
        <v>0.24970000000000001</v>
      </c>
      <c r="D231" s="1648" t="s">
        <v>270</v>
      </c>
      <c r="E231" s="1649"/>
    </row>
    <row r="232" spans="2:9" x14ac:dyDescent="0.25">
      <c r="B232" s="99" t="s">
        <v>321</v>
      </c>
      <c r="C232" s="131">
        <f>'Non-Salary Expense FY26'!D51</f>
        <v>2.5282070971092779E-2</v>
      </c>
      <c r="D232" s="1687" t="s">
        <v>716</v>
      </c>
      <c r="E232" s="1688"/>
    </row>
    <row r="233" spans="2:9" x14ac:dyDescent="0.25">
      <c r="B233" s="99" t="s">
        <v>320</v>
      </c>
      <c r="C233" s="131">
        <f>'Non-Salary Expense FY26'!D37</f>
        <v>0.12</v>
      </c>
      <c r="D233" s="1687" t="s">
        <v>270</v>
      </c>
      <c r="E233" s="1688"/>
    </row>
    <row r="236" spans="2:9" ht="15.75" thickBot="1" x14ac:dyDescent="0.3"/>
    <row r="237" spans="2:9" ht="27" thickBot="1" x14ac:dyDescent="0.45">
      <c r="B237" s="1673" t="s">
        <v>398</v>
      </c>
      <c r="C237" s="1674"/>
      <c r="D237" s="1674"/>
      <c r="E237" s="1674"/>
      <c r="F237" s="1685"/>
    </row>
    <row r="238" spans="2:9" ht="42" x14ac:dyDescent="0.25">
      <c r="B238" s="1676" t="s">
        <v>336</v>
      </c>
      <c r="C238" s="1676"/>
      <c r="D238" s="193" t="s">
        <v>397</v>
      </c>
      <c r="E238" s="189" t="s">
        <v>335</v>
      </c>
      <c r="F238" s="189" t="s">
        <v>366</v>
      </c>
    </row>
    <row r="239" spans="2:9" ht="30" x14ac:dyDescent="0.25">
      <c r="B239" s="146" t="s">
        <v>333</v>
      </c>
      <c r="C239" s="146" t="s">
        <v>332</v>
      </c>
      <c r="D239" s="225" t="s">
        <v>396</v>
      </c>
      <c r="E239" s="146" t="s">
        <v>331</v>
      </c>
      <c r="F239" s="146" t="s">
        <v>250</v>
      </c>
      <c r="G239" s="224"/>
      <c r="H239" s="223"/>
      <c r="I239" s="223"/>
    </row>
    <row r="240" spans="2:9" x14ac:dyDescent="0.25">
      <c r="B240" s="99" t="s">
        <v>330</v>
      </c>
      <c r="C240" s="99" t="s">
        <v>329</v>
      </c>
      <c r="D240" s="211">
        <v>580</v>
      </c>
      <c r="E240" s="140">
        <f>INDEX('Salary lookup'!F5:F19,MATCH(C240,'Salary lookup'!B5:B19,0))</f>
        <v>81486.911999999997</v>
      </c>
      <c r="F240" s="142">
        <v>0.06</v>
      </c>
    </row>
    <row r="241" spans="2:6" x14ac:dyDescent="0.25">
      <c r="B241" s="99" t="s">
        <v>342</v>
      </c>
      <c r="C241" s="99" t="s">
        <v>342</v>
      </c>
      <c r="D241" s="211">
        <v>35</v>
      </c>
      <c r="E241" s="140">
        <f>INDEX('Salary lookup'!F5:F20,MATCH(C241,'Salary lookup'!B5:B20,0))</f>
        <v>66537.12000000001</v>
      </c>
      <c r="F241" s="142">
        <v>1.63</v>
      </c>
    </row>
    <row r="242" spans="2:6" hidden="1" x14ac:dyDescent="0.25">
      <c r="B242" s="135"/>
      <c r="C242" s="135"/>
      <c r="D242" s="135"/>
      <c r="E242" s="135"/>
      <c r="F242" s="222"/>
    </row>
    <row r="243" spans="2:6" hidden="1" x14ac:dyDescent="0.25">
      <c r="B243" s="135"/>
      <c r="C243" s="135"/>
      <c r="D243" s="135"/>
      <c r="E243" s="135"/>
      <c r="F243" s="222"/>
    </row>
    <row r="244" spans="2:6" hidden="1" x14ac:dyDescent="0.25">
      <c r="B244" s="135"/>
      <c r="C244" s="135"/>
      <c r="D244" s="135"/>
      <c r="E244" s="135"/>
      <c r="F244" s="222"/>
    </row>
    <row r="245" spans="2:6" hidden="1" x14ac:dyDescent="0.25">
      <c r="B245" s="135"/>
      <c r="C245" s="135"/>
      <c r="D245" s="135"/>
      <c r="E245" s="135"/>
      <c r="F245" s="222"/>
    </row>
    <row r="246" spans="2:6" hidden="1" x14ac:dyDescent="0.25">
      <c r="B246" s="135"/>
      <c r="C246" s="135"/>
      <c r="D246" s="135"/>
      <c r="E246" s="135"/>
      <c r="F246" s="222"/>
    </row>
    <row r="248" spans="2:6" x14ac:dyDescent="0.25">
      <c r="B248" s="137" t="s">
        <v>326</v>
      </c>
      <c r="C248" s="137" t="s">
        <v>325</v>
      </c>
      <c r="D248" s="1681" t="s">
        <v>324</v>
      </c>
      <c r="E248" s="1682"/>
    </row>
    <row r="249" spans="2:6" x14ac:dyDescent="0.25">
      <c r="B249" s="99" t="s">
        <v>314</v>
      </c>
      <c r="C249" s="136">
        <f>INDEX('Non-Salary Expense FY26'!E4:E20,MATCH('Master Lookup FY26'!B249,'Non-Salary Expense FY26'!C4:C20,0))</f>
        <v>6392.9174203826224</v>
      </c>
      <c r="D249" s="1648" t="s">
        <v>720</v>
      </c>
      <c r="E249" s="1649"/>
    </row>
    <row r="250" spans="2:6" x14ac:dyDescent="0.25">
      <c r="B250" s="99" t="s">
        <v>310</v>
      </c>
      <c r="C250" s="136">
        <f>INDEX('Non-Salary Expense FY26'!E5:E21,MATCH('Master Lookup FY26'!B250,'Non-Salary Expense FY26'!C5:C21,0))</f>
        <v>364.52871302241937</v>
      </c>
      <c r="D250" s="1648" t="s">
        <v>720</v>
      </c>
      <c r="E250" s="1649"/>
    </row>
    <row r="251" spans="2:6" x14ac:dyDescent="0.25">
      <c r="B251" s="99" t="s">
        <v>308</v>
      </c>
      <c r="C251" s="136">
        <f>INDEX('Non-Salary Expense FY26'!E6:E22,MATCH('Master Lookup FY26'!B251,'Non-Salary Expense FY26'!C6:C22,0))</f>
        <v>1059.8793475070393</v>
      </c>
      <c r="D251" s="1648" t="s">
        <v>720</v>
      </c>
      <c r="E251" s="1649"/>
    </row>
    <row r="252" spans="2:6" x14ac:dyDescent="0.25">
      <c r="B252" s="99" t="s">
        <v>304</v>
      </c>
      <c r="C252" s="136">
        <f>INDEX('Non-Salary Expense FY26'!E7:E23,MATCH('Master Lookup FY26'!B252,'Non-Salary Expense FY26'!C7:C23,0))</f>
        <v>1788.8934173999289</v>
      </c>
      <c r="D252" s="1648" t="s">
        <v>722</v>
      </c>
      <c r="E252" s="1649"/>
    </row>
    <row r="253" spans="2:6" x14ac:dyDescent="0.25">
      <c r="B253" s="99" t="s">
        <v>288</v>
      </c>
      <c r="C253" s="136">
        <f>INDEX('Non-Salary Expense FY26'!E8:E24,MATCH('Master Lookup FY26'!B253,'Non-Salary Expense FY26'!C8:C24,0))</f>
        <v>2947.5899663350119</v>
      </c>
      <c r="D253" s="1648" t="s">
        <v>720</v>
      </c>
      <c r="E253" s="1649"/>
    </row>
    <row r="254" spans="2:6" x14ac:dyDescent="0.25">
      <c r="B254" s="99" t="s">
        <v>286</v>
      </c>
      <c r="C254" s="136">
        <f>INDEX('Non-Salary Expense FY26'!E9:E25,MATCH('Master Lookup FY26'!B254,'Non-Salary Expense FY26'!C9:C25,0))</f>
        <v>3236.4891574928697</v>
      </c>
      <c r="D254" s="1648" t="s">
        <v>722</v>
      </c>
      <c r="E254" s="1649"/>
    </row>
    <row r="255" spans="2:6" x14ac:dyDescent="0.25">
      <c r="B255" s="99" t="s">
        <v>283</v>
      </c>
      <c r="C255" s="136">
        <f>'Non-Salary Expense FY26'!E20</f>
        <v>1000</v>
      </c>
      <c r="D255" s="1648" t="s">
        <v>395</v>
      </c>
      <c r="E255" s="1649"/>
    </row>
    <row r="256" spans="2:6" hidden="1" x14ac:dyDescent="0.25">
      <c r="B256" s="135"/>
      <c r="C256" s="135"/>
      <c r="D256" s="134"/>
      <c r="E256" s="133"/>
    </row>
    <row r="257" spans="2:7" hidden="1" x14ac:dyDescent="0.25">
      <c r="B257" s="135"/>
      <c r="C257" s="135"/>
      <c r="D257" s="134"/>
      <c r="E257" s="133"/>
    </row>
    <row r="258" spans="2:7" hidden="1" x14ac:dyDescent="0.25">
      <c r="B258" s="135"/>
      <c r="C258" s="135"/>
      <c r="D258" s="134"/>
      <c r="E258" s="133"/>
    </row>
    <row r="259" spans="2:7" hidden="1" x14ac:dyDescent="0.25">
      <c r="B259" s="135"/>
      <c r="C259" s="135"/>
      <c r="D259" s="134"/>
      <c r="E259" s="133"/>
    </row>
    <row r="260" spans="2:7" hidden="1" x14ac:dyDescent="0.25">
      <c r="B260" s="135"/>
      <c r="C260" s="135"/>
      <c r="D260" s="134"/>
      <c r="E260" s="133"/>
    </row>
    <row r="261" spans="2:7" x14ac:dyDescent="0.25">
      <c r="B261" s="132"/>
      <c r="C261" s="132"/>
      <c r="D261" s="132"/>
      <c r="E261" s="132"/>
    </row>
    <row r="262" spans="2:7" x14ac:dyDescent="0.25">
      <c r="B262" s="99" t="s">
        <v>322</v>
      </c>
      <c r="C262" s="131">
        <f>'Non-Salary Expense FY26'!D31</f>
        <v>0.24970000000000001</v>
      </c>
      <c r="D262" s="1648" t="s">
        <v>270</v>
      </c>
      <c r="E262" s="1649"/>
    </row>
    <row r="263" spans="2:7" x14ac:dyDescent="0.25">
      <c r="B263" s="99" t="s">
        <v>321</v>
      </c>
      <c r="C263" s="131">
        <f>'Non-Salary Expense FY26'!D51</f>
        <v>2.5282070971092779E-2</v>
      </c>
      <c r="D263" s="1661" t="s">
        <v>716</v>
      </c>
      <c r="E263" s="1661"/>
    </row>
    <row r="264" spans="2:7" x14ac:dyDescent="0.25">
      <c r="B264" s="99" t="s">
        <v>320</v>
      </c>
      <c r="C264" s="131">
        <f>'Non-Salary Expense FY26'!D37</f>
        <v>0.12</v>
      </c>
      <c r="D264" s="1661" t="s">
        <v>270</v>
      </c>
      <c r="E264" s="1661"/>
    </row>
    <row r="265" spans="2:7" x14ac:dyDescent="0.25">
      <c r="B265" s="221" t="s">
        <v>394</v>
      </c>
      <c r="C265" s="220">
        <v>35</v>
      </c>
      <c r="D265" s="1648"/>
      <c r="E265" s="1649"/>
    </row>
    <row r="269" spans="2:7" ht="15.75" thickBot="1" x14ac:dyDescent="0.3">
      <c r="E269" s="97"/>
    </row>
    <row r="270" spans="2:7" ht="27" thickBot="1" x14ac:dyDescent="0.45">
      <c r="B270" s="1673" t="s">
        <v>393</v>
      </c>
      <c r="C270" s="1674"/>
      <c r="D270" s="1674"/>
      <c r="E270" s="1674"/>
      <c r="F270" s="1674"/>
      <c r="G270" s="1685"/>
    </row>
    <row r="271" spans="2:7" ht="21" x14ac:dyDescent="0.35">
      <c r="B271" s="1669" t="s">
        <v>336</v>
      </c>
      <c r="C271" s="1669"/>
      <c r="D271" s="148" t="s">
        <v>335</v>
      </c>
      <c r="E271" s="1670" t="s">
        <v>366</v>
      </c>
      <c r="F271" s="1670"/>
      <c r="G271" s="1670"/>
    </row>
    <row r="272" spans="2:7" x14ac:dyDescent="0.25">
      <c r="B272" s="146" t="s">
        <v>333</v>
      </c>
      <c r="C272" s="146" t="s">
        <v>332</v>
      </c>
      <c r="D272" s="146" t="s">
        <v>331</v>
      </c>
      <c r="E272" s="146" t="s">
        <v>392</v>
      </c>
      <c r="F272" s="146" t="s">
        <v>391</v>
      </c>
      <c r="G272" s="146" t="s">
        <v>390</v>
      </c>
    </row>
    <row r="273" spans="2:7" x14ac:dyDescent="0.25">
      <c r="B273" s="167" t="s">
        <v>342</v>
      </c>
      <c r="C273" s="167" t="s">
        <v>342</v>
      </c>
      <c r="D273" s="140">
        <f>INDEX('Salary lookup'!F5:F19,MATCH(C273,'Salary lookup'!B5:B19,0))</f>
        <v>66537.12000000001</v>
      </c>
      <c r="E273" s="219">
        <v>0.15</v>
      </c>
      <c r="F273" s="219">
        <v>0.15</v>
      </c>
      <c r="G273" s="219">
        <v>0.15</v>
      </c>
    </row>
    <row r="274" spans="2:7" hidden="1" x14ac:dyDescent="0.25">
      <c r="B274" s="135"/>
      <c r="C274" s="135"/>
      <c r="D274" s="135"/>
      <c r="E274" s="135"/>
      <c r="F274" s="135"/>
      <c r="G274" s="135"/>
    </row>
    <row r="275" spans="2:7" hidden="1" x14ac:dyDescent="0.25">
      <c r="B275" s="135"/>
      <c r="C275" s="135"/>
      <c r="D275" s="135"/>
      <c r="E275" s="135"/>
      <c r="F275" s="135"/>
      <c r="G275" s="135"/>
    </row>
    <row r="276" spans="2:7" hidden="1" x14ac:dyDescent="0.25">
      <c r="B276" s="135"/>
      <c r="C276" s="218"/>
      <c r="D276" s="135"/>
      <c r="E276" s="135"/>
      <c r="F276" s="135"/>
      <c r="G276" s="135"/>
    </row>
    <row r="277" spans="2:7" hidden="1" x14ac:dyDescent="0.25">
      <c r="B277" s="135"/>
      <c r="C277" s="218"/>
      <c r="D277" s="135"/>
      <c r="E277" s="135"/>
      <c r="F277" s="135"/>
      <c r="G277" s="135"/>
    </row>
    <row r="279" spans="2:7" x14ac:dyDescent="0.25">
      <c r="B279" s="137" t="s">
        <v>326</v>
      </c>
      <c r="C279" s="137" t="s">
        <v>325</v>
      </c>
      <c r="D279" s="1681" t="s">
        <v>324</v>
      </c>
      <c r="E279" s="1682"/>
    </row>
    <row r="280" spans="2:7" x14ac:dyDescent="0.25">
      <c r="B280" s="217" t="s">
        <v>304</v>
      </c>
      <c r="C280" s="136">
        <f>INDEX('Non-Salary Expense FY26'!E4:E20,MATCH('Master Lookup FY26'!B280,'Non-Salary Expense FY26'!C4:C20,0))</f>
        <v>1788.8934173999289</v>
      </c>
      <c r="D280" s="1648" t="s">
        <v>720</v>
      </c>
      <c r="E280" s="1649"/>
    </row>
    <row r="281" spans="2:7" x14ac:dyDescent="0.25">
      <c r="B281" s="217" t="s">
        <v>314</v>
      </c>
      <c r="C281" s="136">
        <f>INDEX('Non-Salary Expense FY26'!E4:E20,MATCH('Master Lookup FY26'!B281,'Non-Salary Expense FY26'!C4:C20,0))</f>
        <v>6392.9174203826224</v>
      </c>
      <c r="D281" s="1648" t="s">
        <v>720</v>
      </c>
      <c r="E281" s="1649"/>
    </row>
    <row r="282" spans="2:7" hidden="1" x14ac:dyDescent="0.25">
      <c r="B282" s="135"/>
      <c r="C282" s="135"/>
      <c r="D282" s="135"/>
      <c r="E282" s="135"/>
    </row>
    <row r="283" spans="2:7" hidden="1" x14ac:dyDescent="0.25">
      <c r="B283" s="135"/>
      <c r="C283" s="135"/>
      <c r="D283" s="135"/>
      <c r="E283" s="135"/>
    </row>
    <row r="284" spans="2:7" hidden="1" x14ac:dyDescent="0.25">
      <c r="B284" s="135"/>
      <c r="C284" s="135"/>
      <c r="D284" s="135"/>
      <c r="E284" s="135"/>
    </row>
    <row r="285" spans="2:7" hidden="1" x14ac:dyDescent="0.25">
      <c r="B285" s="135"/>
      <c r="C285" s="135"/>
      <c r="D285" s="135"/>
      <c r="E285" s="135"/>
    </row>
    <row r="286" spans="2:7" x14ac:dyDescent="0.25">
      <c r="B286" s="100"/>
      <c r="C286" s="100"/>
      <c r="D286" s="1683"/>
      <c r="E286" s="1683"/>
    </row>
    <row r="287" spans="2:7" x14ac:dyDescent="0.25">
      <c r="B287" s="216" t="s">
        <v>282</v>
      </c>
      <c r="C287" s="136">
        <f>'Non-Salary Expense FY26'!E21</f>
        <v>27634.813656999995</v>
      </c>
      <c r="D287" s="1684" t="s">
        <v>389</v>
      </c>
      <c r="E287" s="1684"/>
    </row>
    <row r="288" spans="2:7" x14ac:dyDescent="0.25">
      <c r="B288" s="216" t="s">
        <v>280</v>
      </c>
      <c r="C288" s="136">
        <f>'Non-Salary Expense FY26'!E22</f>
        <v>37683.169190000001</v>
      </c>
      <c r="D288" s="1684" t="s">
        <v>389</v>
      </c>
      <c r="E288" s="1684"/>
    </row>
    <row r="289" spans="2:16" x14ac:dyDescent="0.25">
      <c r="B289" s="216" t="s">
        <v>278</v>
      </c>
      <c r="C289" s="136">
        <f>'Non-Salary Expense FY26'!E23</f>
        <v>47731.524722999995</v>
      </c>
      <c r="D289" s="1684" t="s">
        <v>389</v>
      </c>
      <c r="E289" s="1684"/>
    </row>
    <row r="290" spans="2:16" x14ac:dyDescent="0.25">
      <c r="B290" s="132"/>
      <c r="C290" s="132"/>
      <c r="D290" s="132"/>
      <c r="E290" s="132"/>
    </row>
    <row r="291" spans="2:16" x14ac:dyDescent="0.25">
      <c r="B291" s="99" t="s">
        <v>322</v>
      </c>
      <c r="C291" s="131">
        <f>'Non-Salary Expense FY26'!D31</f>
        <v>0.24970000000000001</v>
      </c>
      <c r="D291" s="1648" t="s">
        <v>270</v>
      </c>
      <c r="E291" s="1649"/>
    </row>
    <row r="292" spans="2:16" x14ac:dyDescent="0.25">
      <c r="B292" s="99" t="s">
        <v>321</v>
      </c>
      <c r="C292" s="131">
        <f>'Non-Salary Expense FY26'!D51</f>
        <v>2.5282070971092779E-2</v>
      </c>
      <c r="D292" s="1661" t="s">
        <v>716</v>
      </c>
      <c r="E292" s="1661"/>
    </row>
    <row r="293" spans="2:16" x14ac:dyDescent="0.25">
      <c r="B293" s="99" t="s">
        <v>320</v>
      </c>
      <c r="C293" s="131">
        <f>'Non-Salary Expense FY26'!D37</f>
        <v>0.12</v>
      </c>
      <c r="D293" s="1661" t="s">
        <v>270</v>
      </c>
      <c r="E293" s="1661"/>
    </row>
    <row r="296" spans="2:16" ht="15.75" thickBot="1" x14ac:dyDescent="0.3"/>
    <row r="297" spans="2:16" ht="27" thickBot="1" x14ac:dyDescent="0.3">
      <c r="B297" s="1678" t="s">
        <v>388</v>
      </c>
      <c r="C297" s="1679"/>
      <c r="D297" s="1679"/>
      <c r="E297" s="1679"/>
      <c r="F297" s="1679"/>
      <c r="G297" s="1679"/>
      <c r="H297" s="1679"/>
      <c r="I297" s="1679"/>
      <c r="J297" s="1679"/>
      <c r="K297" s="1679"/>
      <c r="L297" s="1679"/>
      <c r="M297" s="1679"/>
      <c r="N297" s="1679"/>
      <c r="O297" s="1679"/>
      <c r="P297" s="1680"/>
    </row>
    <row r="298" spans="2:16" ht="21" x14ac:dyDescent="0.35">
      <c r="B298" s="1669" t="s">
        <v>336</v>
      </c>
      <c r="C298" s="1669"/>
      <c r="D298" s="148" t="s">
        <v>335</v>
      </c>
      <c r="E298" s="1670" t="s">
        <v>366</v>
      </c>
      <c r="F298" s="1670"/>
      <c r="G298" s="1670"/>
      <c r="H298" s="1670"/>
      <c r="I298" s="1670"/>
      <c r="J298" s="1670"/>
      <c r="K298" s="1670"/>
      <c r="L298" s="1670"/>
      <c r="M298" s="1670"/>
      <c r="N298" s="1670"/>
      <c r="O298" s="1670"/>
      <c r="P298" s="1670"/>
    </row>
    <row r="299" spans="2:16" ht="105" x14ac:dyDescent="0.25">
      <c r="B299" s="146" t="s">
        <v>333</v>
      </c>
      <c r="C299" s="146" t="s">
        <v>332</v>
      </c>
      <c r="D299" s="146" t="s">
        <v>331</v>
      </c>
      <c r="E299" s="187" t="s">
        <v>387</v>
      </c>
      <c r="F299" s="187" t="s">
        <v>386</v>
      </c>
      <c r="G299" s="215" t="s">
        <v>385</v>
      </c>
      <c r="H299" s="214" t="s">
        <v>384</v>
      </c>
      <c r="I299" s="214" t="s">
        <v>383</v>
      </c>
      <c r="J299" s="214" t="s">
        <v>382</v>
      </c>
      <c r="K299" s="213" t="s">
        <v>381</v>
      </c>
      <c r="L299" s="213" t="s">
        <v>380</v>
      </c>
      <c r="M299" s="213" t="s">
        <v>379</v>
      </c>
      <c r="N299" s="212" t="s">
        <v>378</v>
      </c>
      <c r="O299" s="212" t="s">
        <v>377</v>
      </c>
      <c r="P299" s="212" t="s">
        <v>376</v>
      </c>
    </row>
    <row r="300" spans="2:16" x14ac:dyDescent="0.25">
      <c r="B300" s="99" t="s">
        <v>330</v>
      </c>
      <c r="C300" s="99" t="s">
        <v>329</v>
      </c>
      <c r="D300" s="140">
        <f>INDEX('Salary lookup'!F5:F19,MATCH(C300,'Salary lookup'!B5:B19,0))</f>
        <v>81486.911999999997</v>
      </c>
      <c r="E300" s="179">
        <v>8</v>
      </c>
      <c r="F300" s="178">
        <v>5</v>
      </c>
      <c r="G300" s="158">
        <f>($C$321/E300)*(F300/$C$321)</f>
        <v>0.625</v>
      </c>
      <c r="H300" s="179">
        <v>8</v>
      </c>
      <c r="I300" s="178">
        <v>5</v>
      </c>
      <c r="J300" s="158">
        <f>($C$321/H300)*(I300/$C$321)</f>
        <v>0.625</v>
      </c>
      <c r="K300" s="142">
        <v>8</v>
      </c>
      <c r="L300" s="211">
        <v>2</v>
      </c>
      <c r="M300" s="158">
        <f>($C$321/K300)*(L300/$C$321)</f>
        <v>0.25</v>
      </c>
      <c r="N300" s="180">
        <v>8</v>
      </c>
      <c r="O300" s="178">
        <v>2</v>
      </c>
      <c r="P300" s="158">
        <f>($C$321/N300)*(O300/$C$321)</f>
        <v>0.25</v>
      </c>
    </row>
    <row r="301" spans="2:16" x14ac:dyDescent="0.25">
      <c r="B301" s="99" t="s">
        <v>375</v>
      </c>
      <c r="C301" s="99" t="s">
        <v>374</v>
      </c>
      <c r="D301" s="140">
        <f>INDEX('Salary lookup'!F5:F23,MATCH(C301,'Salary lookup'!B5:B23,0))</f>
        <v>91400.19200000001</v>
      </c>
      <c r="E301" s="158">
        <v>0</v>
      </c>
      <c r="F301" s="158">
        <v>0</v>
      </c>
      <c r="G301" s="158">
        <v>0</v>
      </c>
      <c r="H301" s="179">
        <v>5</v>
      </c>
      <c r="I301" s="178">
        <v>5</v>
      </c>
      <c r="J301" s="158">
        <f>($C$321/H301)*(I301/$C$321)</f>
        <v>1</v>
      </c>
      <c r="K301" s="142">
        <v>10</v>
      </c>
      <c r="L301" s="211">
        <v>2</v>
      </c>
      <c r="M301" s="158">
        <f>($C$321/K301)*(L301/$C$321)</f>
        <v>0.2</v>
      </c>
      <c r="N301" s="180">
        <v>10</v>
      </c>
      <c r="O301" s="178">
        <v>2</v>
      </c>
      <c r="P301" s="158">
        <f>($C$321/N301)*(O301/$C$321)</f>
        <v>0.2</v>
      </c>
    </row>
    <row r="302" spans="2:16" x14ac:dyDescent="0.25">
      <c r="B302" s="99" t="s">
        <v>373</v>
      </c>
      <c r="C302" s="99" t="s">
        <v>327</v>
      </c>
      <c r="D302" s="140">
        <f>INDEX('Salary lookup'!F5:F21,MATCH(C302,'Salary lookup'!B5:B21,0))</f>
        <v>46842.432000000008</v>
      </c>
      <c r="E302" s="178">
        <v>25</v>
      </c>
      <c r="F302" s="178">
        <v>5</v>
      </c>
      <c r="G302" s="158">
        <f>($C$321/E302)*(F302/$C$321)</f>
        <v>0.2</v>
      </c>
      <c r="H302" s="209">
        <v>25</v>
      </c>
      <c r="I302" s="209">
        <v>5</v>
      </c>
      <c r="J302" s="158">
        <f>($C$321/H302)*(I302/$C$321)</f>
        <v>0.2</v>
      </c>
      <c r="K302" s="210">
        <v>25</v>
      </c>
      <c r="L302" s="210">
        <v>2</v>
      </c>
      <c r="M302" s="158">
        <f>($C$321/K302)*(L302/$C$321)</f>
        <v>8.0000000000000016E-2</v>
      </c>
      <c r="N302" s="209">
        <v>25</v>
      </c>
      <c r="O302" s="178">
        <v>2</v>
      </c>
      <c r="P302" s="158">
        <f>($C$321/N302)*(O302/$C$321)</f>
        <v>8.0000000000000016E-2</v>
      </c>
    </row>
    <row r="303" spans="2:16" x14ac:dyDescent="0.25">
      <c r="B303" s="208" t="s">
        <v>327</v>
      </c>
      <c r="C303" s="208" t="s">
        <v>327</v>
      </c>
      <c r="D303" s="140">
        <f>INDEX('Salary lookup'!F5:F22,MATCH(C303,'Salary lookup'!B5:B22,0))</f>
        <v>46842.432000000008</v>
      </c>
      <c r="E303" s="206">
        <v>2.5</v>
      </c>
      <c r="F303" s="202">
        <v>7</v>
      </c>
      <c r="G303" s="207">
        <v>7</v>
      </c>
      <c r="H303" s="206">
        <v>2.5</v>
      </c>
      <c r="I303" s="202">
        <v>7</v>
      </c>
      <c r="J303" s="201">
        <v>7.3</v>
      </c>
      <c r="K303" s="205">
        <v>2.5</v>
      </c>
      <c r="L303" s="204">
        <v>2</v>
      </c>
      <c r="M303" s="201">
        <v>2.63</v>
      </c>
      <c r="N303" s="203">
        <v>2</v>
      </c>
      <c r="O303" s="202">
        <v>2</v>
      </c>
      <c r="P303" s="201">
        <v>3.69</v>
      </c>
    </row>
    <row r="304" spans="2:16" hidden="1" x14ac:dyDescent="0.25">
      <c r="B304" s="135"/>
      <c r="C304" s="135"/>
      <c r="D304" s="135"/>
      <c r="E304" s="135"/>
      <c r="F304" s="135"/>
      <c r="G304" s="135"/>
      <c r="H304" s="135"/>
      <c r="I304" s="135"/>
      <c r="J304" s="135"/>
      <c r="K304" s="135"/>
      <c r="L304" s="135"/>
      <c r="M304" s="135"/>
      <c r="N304" s="135"/>
      <c r="O304" s="135"/>
      <c r="P304" s="135"/>
    </row>
    <row r="305" spans="2:16" hidden="1" x14ac:dyDescent="0.25">
      <c r="B305" s="135"/>
      <c r="C305" s="135"/>
      <c r="D305" s="135"/>
      <c r="E305" s="135"/>
      <c r="F305" s="135"/>
      <c r="G305" s="135"/>
      <c r="H305" s="135"/>
      <c r="I305" s="135"/>
      <c r="J305" s="135"/>
      <c r="K305" s="135"/>
      <c r="L305" s="135"/>
      <c r="M305" s="135"/>
      <c r="N305" s="135"/>
      <c r="O305" s="135"/>
      <c r="P305" s="135"/>
    </row>
    <row r="306" spans="2:16" hidden="1" x14ac:dyDescent="0.25">
      <c r="B306" s="135"/>
      <c r="C306" s="135"/>
      <c r="D306" s="135"/>
      <c r="E306" s="135"/>
      <c r="F306" s="135"/>
      <c r="G306" s="135"/>
      <c r="H306" s="135"/>
      <c r="I306" s="135"/>
      <c r="J306" s="135"/>
      <c r="K306" s="135"/>
      <c r="L306" s="135"/>
      <c r="M306" s="135"/>
      <c r="N306" s="135"/>
      <c r="O306" s="135"/>
      <c r="P306" s="135"/>
    </row>
    <row r="307" spans="2:16" hidden="1" x14ac:dyDescent="0.25">
      <c r="B307" s="135"/>
      <c r="C307" s="135"/>
      <c r="D307" s="135"/>
      <c r="E307" s="135"/>
      <c r="F307" s="135"/>
      <c r="G307" s="135"/>
      <c r="H307" s="135"/>
      <c r="I307" s="135"/>
      <c r="J307" s="135"/>
      <c r="K307" s="135"/>
      <c r="L307" s="135"/>
      <c r="M307" s="135"/>
      <c r="N307" s="135"/>
      <c r="O307" s="135"/>
      <c r="P307" s="135"/>
    </row>
    <row r="310" spans="2:16" x14ac:dyDescent="0.25">
      <c r="B310" s="137" t="s">
        <v>326</v>
      </c>
      <c r="C310" s="137" t="s">
        <v>325</v>
      </c>
      <c r="D310" s="1681" t="s">
        <v>324</v>
      </c>
      <c r="E310" s="1682"/>
    </row>
    <row r="311" spans="2:16" x14ac:dyDescent="0.25">
      <c r="B311" s="99" t="s">
        <v>314</v>
      </c>
      <c r="C311" s="136">
        <f>INDEX('Non-Salary Expense FY26'!E4:E20,MATCH('Master Lookup FY26'!B311,'Non-Salary Expense FY26'!C4:C20,0))</f>
        <v>6392.9174203826224</v>
      </c>
      <c r="D311" s="1648" t="s">
        <v>720</v>
      </c>
      <c r="E311" s="1649"/>
    </row>
    <row r="312" spans="2:16" x14ac:dyDescent="0.25">
      <c r="B312" s="99" t="s">
        <v>286</v>
      </c>
      <c r="C312" s="136">
        <f>INDEX('Non-Salary Expense FY26'!E5:E21,MATCH('Master Lookup FY26'!B312,'Non-Salary Expense FY26'!C5:C21,0))</f>
        <v>3236.4891574928697</v>
      </c>
      <c r="D312" s="1648" t="s">
        <v>722</v>
      </c>
      <c r="E312" s="1649"/>
    </row>
    <row r="313" spans="2:16" hidden="1" x14ac:dyDescent="0.25">
      <c r="B313" s="135"/>
      <c r="C313" s="135"/>
      <c r="D313" s="1650"/>
      <c r="E313" s="1651"/>
      <c r="G313" s="196"/>
      <c r="H313" s="200"/>
      <c r="I313" s="195"/>
    </row>
    <row r="314" spans="2:16" hidden="1" x14ac:dyDescent="0.25">
      <c r="B314" s="135"/>
      <c r="C314" s="135"/>
      <c r="D314" s="1650"/>
      <c r="E314" s="1651"/>
      <c r="G314" s="196"/>
      <c r="H314" s="200"/>
      <c r="I314" s="195"/>
    </row>
    <row r="315" spans="2:16" hidden="1" x14ac:dyDescent="0.25">
      <c r="B315" s="135"/>
      <c r="C315" s="135"/>
      <c r="D315" s="1650"/>
      <c r="E315" s="1651"/>
      <c r="G315" s="196"/>
      <c r="H315" s="200"/>
      <c r="I315" s="195"/>
    </row>
    <row r="316" spans="2:16" hidden="1" x14ac:dyDescent="0.25">
      <c r="B316" s="135"/>
      <c r="C316" s="135"/>
      <c r="D316" s="1650"/>
      <c r="E316" s="1651"/>
      <c r="G316" s="196"/>
      <c r="H316" s="199"/>
      <c r="I316" s="195"/>
    </row>
    <row r="317" spans="2:16" x14ac:dyDescent="0.25">
      <c r="B317" s="132"/>
      <c r="C317" s="132"/>
      <c r="D317" s="132"/>
      <c r="E317" s="132"/>
    </row>
    <row r="318" spans="2:16" x14ac:dyDescent="0.25">
      <c r="B318" s="99" t="s">
        <v>322</v>
      </c>
      <c r="C318" s="131">
        <f>'Non-Salary Expense FY26'!D31</f>
        <v>0.24970000000000001</v>
      </c>
      <c r="D318" s="1648" t="s">
        <v>270</v>
      </c>
      <c r="E318" s="1649"/>
    </row>
    <row r="319" spans="2:16" x14ac:dyDescent="0.25">
      <c r="B319" s="99" t="s">
        <v>321</v>
      </c>
      <c r="C319" s="131">
        <f>'Non-Salary Expense FY26'!D51</f>
        <v>2.5282070971092779E-2</v>
      </c>
      <c r="D319" s="1661" t="s">
        <v>716</v>
      </c>
      <c r="E319" s="1661"/>
    </row>
    <row r="320" spans="2:16" x14ac:dyDescent="0.25">
      <c r="B320" s="99" t="s">
        <v>320</v>
      </c>
      <c r="C320" s="131">
        <f>'Non-Salary Expense FY26'!D37</f>
        <v>0.12</v>
      </c>
      <c r="D320" s="1661" t="s">
        <v>270</v>
      </c>
      <c r="E320" s="1661"/>
      <c r="G320" s="196"/>
      <c r="H320" s="197"/>
      <c r="I320" s="195"/>
    </row>
    <row r="321" spans="2:9" x14ac:dyDescent="0.25">
      <c r="B321" s="198" t="s">
        <v>372</v>
      </c>
      <c r="C321" s="198">
        <v>5</v>
      </c>
      <c r="D321" s="198"/>
      <c r="E321" s="198"/>
      <c r="G321" s="196"/>
      <c r="H321" s="197"/>
      <c r="I321" s="195"/>
    </row>
    <row r="322" spans="2:9" x14ac:dyDescent="0.25">
      <c r="B322" s="99" t="s">
        <v>371</v>
      </c>
      <c r="C322" s="131">
        <v>0.9</v>
      </c>
      <c r="D322" s="99"/>
      <c r="E322" s="99"/>
      <c r="G322" s="196"/>
      <c r="H322" s="195"/>
      <c r="I322" s="195"/>
    </row>
    <row r="327" spans="2:9" ht="15.75" thickBot="1" x14ac:dyDescent="0.3"/>
    <row r="328" spans="2:9" ht="27" thickBot="1" x14ac:dyDescent="0.45">
      <c r="B328" s="1673" t="s">
        <v>370</v>
      </c>
      <c r="C328" s="1674"/>
      <c r="D328" s="1674"/>
      <c r="E328" s="1675"/>
      <c r="F328" s="194"/>
    </row>
    <row r="329" spans="2:9" ht="21" x14ac:dyDescent="0.25">
      <c r="B329" s="1676" t="s">
        <v>336</v>
      </c>
      <c r="C329" s="1676"/>
      <c r="D329" s="189" t="s">
        <v>335</v>
      </c>
      <c r="E329" s="192" t="s">
        <v>366</v>
      </c>
    </row>
    <row r="330" spans="2:9" ht="30" x14ac:dyDescent="0.25">
      <c r="B330" s="146" t="s">
        <v>333</v>
      </c>
      <c r="C330" s="146" t="s">
        <v>332</v>
      </c>
      <c r="D330" s="146" t="s">
        <v>331</v>
      </c>
      <c r="E330" s="146" t="s">
        <v>370</v>
      </c>
    </row>
    <row r="331" spans="2:9" x14ac:dyDescent="0.25">
      <c r="B331" s="99" t="s">
        <v>330</v>
      </c>
      <c r="C331" s="99" t="s">
        <v>329</v>
      </c>
      <c r="D331" s="140">
        <f>INDEX('Salary lookup'!F5:F19,MATCH(C331,'Salary lookup'!B5:B19,0))</f>
        <v>81486.911999999997</v>
      </c>
      <c r="E331" s="191">
        <v>0.25</v>
      </c>
    </row>
    <row r="332" spans="2:9" x14ac:dyDescent="0.25">
      <c r="B332" s="99" t="s">
        <v>342</v>
      </c>
      <c r="C332" s="99" t="s">
        <v>342</v>
      </c>
      <c r="D332" s="140">
        <f>INDEX('Salary lookup'!F6:F20,MATCH(C332,'Salary lookup'!B6:B20,0))</f>
        <v>66537.12000000001</v>
      </c>
      <c r="E332" s="191">
        <v>2</v>
      </c>
    </row>
    <row r="333" spans="2:9" hidden="1" x14ac:dyDescent="0.25">
      <c r="B333" s="135"/>
      <c r="C333" s="135"/>
      <c r="D333" s="140" t="e">
        <f>INDEX('Salary lookup'!F7:F21,MATCH(C333,'Salary lookup'!B7:B21,0))</f>
        <v>#N/A</v>
      </c>
      <c r="E333" s="135"/>
    </row>
    <row r="334" spans="2:9" hidden="1" x14ac:dyDescent="0.25">
      <c r="B334" s="135"/>
      <c r="C334" s="135"/>
      <c r="D334" s="140" t="e">
        <f>INDEX('Salary lookup'!F8:F22,MATCH(C334,'Salary lookup'!B8:B22,0))</f>
        <v>#N/A</v>
      </c>
      <c r="E334" s="135"/>
    </row>
    <row r="337" spans="2:16" x14ac:dyDescent="0.25">
      <c r="B337" s="138" t="s">
        <v>326</v>
      </c>
      <c r="C337" s="138" t="s">
        <v>325</v>
      </c>
      <c r="D337" s="1677" t="s">
        <v>324</v>
      </c>
      <c r="E337" s="1677"/>
    </row>
    <row r="338" spans="2:16" x14ac:dyDescent="0.25">
      <c r="B338" s="99" t="s">
        <v>277</v>
      </c>
      <c r="C338" s="136">
        <f>INDEX('Non-Salary Expense FY26'!E4:E25,MATCH('Master Lookup FY26'!B338,'Non-Salary Expense FY26'!C4:C25,0))</f>
        <v>44761.017999999996</v>
      </c>
      <c r="D338" s="1648" t="s">
        <v>369</v>
      </c>
      <c r="E338" s="1649"/>
    </row>
    <row r="339" spans="2:16" x14ac:dyDescent="0.25">
      <c r="B339" s="99" t="s">
        <v>276</v>
      </c>
      <c r="C339" s="136">
        <f>INDEX('Non-Salary Expense FY26'!E5:E26,MATCH('Master Lookup FY26'!B339,'Non-Salary Expense FY26'!C5:C26,0))</f>
        <v>22082.649999999998</v>
      </c>
      <c r="D339" s="1648" t="s">
        <v>368</v>
      </c>
      <c r="E339" s="1649"/>
      <c r="F339" s="115"/>
    </row>
    <row r="340" spans="2:16" x14ac:dyDescent="0.25">
      <c r="B340" s="99" t="s">
        <v>275</v>
      </c>
      <c r="C340" s="136">
        <f>'Non-Salary Expense FY26'!E20</f>
        <v>1000</v>
      </c>
      <c r="D340" s="1648" t="s">
        <v>368</v>
      </c>
      <c r="E340" s="1649"/>
      <c r="F340" s="115"/>
    </row>
    <row r="341" spans="2:16" hidden="1" x14ac:dyDescent="0.25">
      <c r="B341" s="135"/>
      <c r="C341" s="135"/>
      <c r="D341" s="1672"/>
      <c r="E341" s="1672"/>
    </row>
    <row r="342" spans="2:16" hidden="1" x14ac:dyDescent="0.25">
      <c r="B342" s="135"/>
      <c r="C342" s="135"/>
      <c r="D342" s="1672"/>
      <c r="E342" s="1672"/>
    </row>
    <row r="343" spans="2:16" hidden="1" x14ac:dyDescent="0.25">
      <c r="B343" s="135"/>
      <c r="C343" s="135"/>
      <c r="D343" s="1672"/>
      <c r="E343" s="1672"/>
    </row>
    <row r="344" spans="2:16" x14ac:dyDescent="0.25">
      <c r="B344" s="132"/>
      <c r="C344" s="132"/>
      <c r="D344" s="132"/>
      <c r="E344" s="132"/>
    </row>
    <row r="345" spans="2:16" x14ac:dyDescent="0.25">
      <c r="B345" s="99" t="s">
        <v>322</v>
      </c>
      <c r="C345" s="131">
        <f>'Non-Salary Expense FY26'!D31</f>
        <v>0.24970000000000001</v>
      </c>
      <c r="D345" s="1648" t="s">
        <v>270</v>
      </c>
      <c r="E345" s="1649"/>
    </row>
    <row r="346" spans="2:16" x14ac:dyDescent="0.25">
      <c r="B346" s="99" t="s">
        <v>321</v>
      </c>
      <c r="C346" s="131">
        <f>'Non-Salary Expense FY26'!D51</f>
        <v>2.5282070971092779E-2</v>
      </c>
      <c r="D346" s="1661" t="s">
        <v>716</v>
      </c>
      <c r="E346" s="1661"/>
    </row>
    <row r="347" spans="2:16" x14ac:dyDescent="0.25">
      <c r="B347" s="99" t="s">
        <v>320</v>
      </c>
      <c r="C347" s="131">
        <f>'Non-Salary Expense FY26'!D37</f>
        <v>0.12</v>
      </c>
      <c r="D347" s="1661" t="s">
        <v>270</v>
      </c>
      <c r="E347" s="1661"/>
    </row>
    <row r="349" spans="2:16" hidden="1" x14ac:dyDescent="0.25">
      <c r="G349" s="1642" t="s">
        <v>725</v>
      </c>
      <c r="H349" s="1643"/>
      <c r="I349" s="1643"/>
      <c r="J349" s="1643"/>
      <c r="K349" s="1643"/>
      <c r="L349" s="1643"/>
      <c r="M349" s="1644"/>
    </row>
    <row r="350" spans="2:16" ht="15.75" hidden="1" thickBot="1" x14ac:dyDescent="0.3">
      <c r="G350" s="1645"/>
      <c r="H350" s="1646"/>
      <c r="I350" s="1646"/>
      <c r="J350" s="1646"/>
      <c r="K350" s="1646"/>
      <c r="L350" s="1646"/>
      <c r="M350" s="1647"/>
    </row>
    <row r="351" spans="2:16" ht="27" hidden="1" thickBot="1" x14ac:dyDescent="0.3">
      <c r="B351" s="1666" t="s">
        <v>367</v>
      </c>
      <c r="C351" s="1667"/>
      <c r="D351" s="1667"/>
      <c r="E351" s="1667"/>
      <c r="F351" s="1667"/>
      <c r="G351" s="1667"/>
      <c r="H351" s="1667"/>
      <c r="I351" s="1667"/>
      <c r="J351" s="1667"/>
      <c r="K351" s="1667"/>
      <c r="L351" s="1667"/>
      <c r="M351" s="1668"/>
      <c r="N351" s="190"/>
      <c r="O351" s="190"/>
      <c r="P351" s="190"/>
    </row>
    <row r="352" spans="2:16" ht="21" hidden="1" x14ac:dyDescent="0.35">
      <c r="B352" s="1669" t="s">
        <v>336</v>
      </c>
      <c r="C352" s="1669"/>
      <c r="D352" s="148" t="s">
        <v>335</v>
      </c>
      <c r="E352" s="1670" t="s">
        <v>366</v>
      </c>
      <c r="F352" s="1670"/>
      <c r="G352" s="1670"/>
      <c r="H352" s="1670"/>
      <c r="I352" s="1670"/>
      <c r="J352" s="1670"/>
      <c r="K352" s="1670"/>
      <c r="L352" s="1670"/>
      <c r="M352" s="1670"/>
      <c r="N352" s="1671"/>
      <c r="O352" s="1671"/>
      <c r="P352" s="1671"/>
    </row>
    <row r="353" spans="2:15" ht="45" hidden="1" x14ac:dyDescent="0.25">
      <c r="B353" s="146" t="s">
        <v>333</v>
      </c>
      <c r="C353" s="146" t="s">
        <v>332</v>
      </c>
      <c r="D353" s="146" t="s">
        <v>331</v>
      </c>
      <c r="E353" s="188" t="s">
        <v>365</v>
      </c>
      <c r="F353" s="187" t="s">
        <v>364</v>
      </c>
      <c r="G353" s="186" t="s">
        <v>363</v>
      </c>
      <c r="H353" s="185" t="s">
        <v>362</v>
      </c>
      <c r="I353" s="185" t="s">
        <v>361</v>
      </c>
      <c r="J353" s="184" t="s">
        <v>360</v>
      </c>
      <c r="K353" s="183" t="s">
        <v>359</v>
      </c>
      <c r="L353" s="182" t="s">
        <v>358</v>
      </c>
      <c r="M353" s="181"/>
      <c r="N353" s="181"/>
      <c r="O353" s="181"/>
    </row>
    <row r="354" spans="2:15" hidden="1" x14ac:dyDescent="0.25">
      <c r="B354" s="153" t="s">
        <v>330</v>
      </c>
      <c r="C354" s="99" t="s">
        <v>329</v>
      </c>
      <c r="D354" s="140">
        <f>INDEX('Salary lookup'!F5:F19,MATCH(C354,'Salary lookup'!B5:B19,0))</f>
        <v>81486.911999999997</v>
      </c>
      <c r="E354" s="180">
        <v>0.20793500000000001</v>
      </c>
      <c r="F354" s="180">
        <v>0.20793500000000001</v>
      </c>
      <c r="G354" s="139">
        <v>0.45454499999999998</v>
      </c>
      <c r="H354" s="142">
        <v>0.17141010000000001</v>
      </c>
      <c r="I354" s="142">
        <v>0.57834859999999999</v>
      </c>
      <c r="J354" s="142">
        <v>0.69090910000000005</v>
      </c>
      <c r="K354" s="142">
        <v>0.54186582999999999</v>
      </c>
      <c r="L354" s="175">
        <v>0.56619470000000005</v>
      </c>
      <c r="M354" s="174"/>
      <c r="N354" s="173"/>
      <c r="O354" s="172"/>
    </row>
    <row r="355" spans="2:15" hidden="1" x14ac:dyDescent="0.25">
      <c r="B355" s="153" t="s">
        <v>357</v>
      </c>
      <c r="C355" s="154" t="s">
        <v>356</v>
      </c>
      <c r="D355" s="140">
        <f>INDEX('Salary lookup'!F6:F20,MATCH(C355,'Salary lookup'!B6:B20,0))</f>
        <v>84174.063999999998</v>
      </c>
      <c r="E355" s="179"/>
      <c r="F355" s="178"/>
      <c r="G355" s="158">
        <v>0.65</v>
      </c>
      <c r="H355" s="142">
        <v>0.52</v>
      </c>
      <c r="I355" s="142">
        <v>1.02</v>
      </c>
      <c r="J355" s="142">
        <v>1.0900000000000001</v>
      </c>
      <c r="K355" s="142">
        <v>1.47</v>
      </c>
      <c r="L355" s="177">
        <v>1.0900000000000001</v>
      </c>
      <c r="M355" s="174"/>
      <c r="N355" s="173"/>
      <c r="O355" s="172"/>
    </row>
    <row r="356" spans="2:15" hidden="1" x14ac:dyDescent="0.25">
      <c r="B356" s="153" t="s">
        <v>345</v>
      </c>
      <c r="C356" s="99" t="s">
        <v>351</v>
      </c>
      <c r="D356" s="140">
        <f>INDEX('Salary lookup'!F7:F21,MATCH(C356,'Salary lookup'!B7:B21,0))</f>
        <v>75175.152000000002</v>
      </c>
      <c r="E356" s="142">
        <v>0.45</v>
      </c>
      <c r="F356" s="142">
        <v>0.7</v>
      </c>
      <c r="G356" s="142">
        <v>0.64</v>
      </c>
      <c r="H356" s="142">
        <v>0.51</v>
      </c>
      <c r="I356" s="142">
        <v>1.02</v>
      </c>
      <c r="J356" s="142">
        <v>1.0900000000000001</v>
      </c>
      <c r="K356" s="142">
        <v>1.48</v>
      </c>
      <c r="L356" s="177">
        <v>1.0900000000000001</v>
      </c>
      <c r="M356" s="174"/>
      <c r="N356" s="173"/>
      <c r="O356" s="172"/>
    </row>
    <row r="357" spans="2:15" hidden="1" x14ac:dyDescent="0.25">
      <c r="B357" s="143" t="s">
        <v>344</v>
      </c>
      <c r="C357" s="99" t="s">
        <v>340</v>
      </c>
      <c r="D357" s="140">
        <f>INDEX('Salary lookup'!F5:F22,MATCH(C357,'Salary lookup'!B5:B22,0))</f>
        <v>56388.633600000001</v>
      </c>
      <c r="E357" s="142">
        <v>0.95</v>
      </c>
      <c r="F357" s="142">
        <v>1.62</v>
      </c>
      <c r="G357" s="142">
        <v>1.05</v>
      </c>
      <c r="H357" s="142">
        <v>1.91</v>
      </c>
      <c r="I357" s="142"/>
      <c r="J357" s="142">
        <v>1.21</v>
      </c>
      <c r="K357" s="142">
        <v>3.79</v>
      </c>
      <c r="L357" s="177">
        <v>2.39</v>
      </c>
      <c r="M357" s="176"/>
      <c r="N357" s="173"/>
      <c r="O357" s="172"/>
    </row>
    <row r="358" spans="2:15" hidden="1" x14ac:dyDescent="0.25">
      <c r="B358" s="143" t="s">
        <v>355</v>
      </c>
      <c r="C358" s="99" t="s">
        <v>327</v>
      </c>
      <c r="D358" s="140">
        <f>INDEX('Salary lookup'!F5:F23,MATCH(C358,'Salary lookup'!B5:B23,0))</f>
        <v>46842.432000000008</v>
      </c>
      <c r="E358" s="142">
        <v>0.13539999999999999</v>
      </c>
      <c r="F358" s="142">
        <v>0.13539999999999999</v>
      </c>
      <c r="G358" s="142">
        <v>0.25</v>
      </c>
      <c r="H358" s="142">
        <v>0.1656</v>
      </c>
      <c r="I358" s="142">
        <v>0.13059999999999999</v>
      </c>
      <c r="J358" s="142">
        <v>0.2049</v>
      </c>
      <c r="K358" s="142">
        <v>0.33460000000000001</v>
      </c>
      <c r="L358" s="175">
        <v>0.47349999999999998</v>
      </c>
      <c r="M358" s="174"/>
      <c r="N358" s="173"/>
      <c r="O358" s="172"/>
    </row>
    <row r="359" spans="2:15" hidden="1" x14ac:dyDescent="0.25">
      <c r="B359" s="135"/>
      <c r="C359" s="135"/>
      <c r="D359" s="135"/>
      <c r="E359" s="171"/>
      <c r="F359" s="171"/>
      <c r="G359" s="171"/>
      <c r="H359" s="171"/>
      <c r="I359" s="171"/>
      <c r="J359" s="171"/>
      <c r="K359" s="171"/>
      <c r="L359" s="170"/>
    </row>
    <row r="360" spans="2:15" hidden="1" x14ac:dyDescent="0.25">
      <c r="B360" s="135"/>
      <c r="C360" s="135"/>
      <c r="D360" s="135"/>
      <c r="E360" s="135"/>
      <c r="F360" s="135"/>
      <c r="G360" s="135"/>
      <c r="H360" s="135"/>
      <c r="I360" s="135"/>
      <c r="J360" s="135"/>
      <c r="K360" s="135"/>
      <c r="L360" s="170"/>
    </row>
    <row r="361" spans="2:15" hidden="1" x14ac:dyDescent="0.25"/>
    <row r="362" spans="2:15" ht="15.75" hidden="1" thickBot="1" x14ac:dyDescent="0.3"/>
    <row r="363" spans="2:15" hidden="1" x14ac:dyDescent="0.25">
      <c r="B363" s="165" t="s">
        <v>326</v>
      </c>
      <c r="C363" s="164" t="s">
        <v>325</v>
      </c>
      <c r="D363" s="1663" t="s">
        <v>324</v>
      </c>
      <c r="E363" s="1664"/>
      <c r="G363" s="1642" t="s">
        <v>725</v>
      </c>
      <c r="H363" s="1643"/>
      <c r="I363" s="1643"/>
      <c r="J363" s="1643"/>
      <c r="K363" s="1643"/>
      <c r="L363" s="1643"/>
      <c r="M363" s="1644"/>
    </row>
    <row r="364" spans="2:15" hidden="1" x14ac:dyDescent="0.25">
      <c r="B364" s="163" t="s">
        <v>314</v>
      </c>
      <c r="C364" s="136">
        <f>INDEX('Non-Salary Expense FY26'!E4:E20,MATCH('Master Lookup FY26'!B364,'Non-Salary Expense FY26'!C4:C20,0))</f>
        <v>6392.9174203826224</v>
      </c>
      <c r="D364" s="1648" t="s">
        <v>720</v>
      </c>
      <c r="E364" s="1660"/>
      <c r="G364" s="1645"/>
      <c r="H364" s="1646"/>
      <c r="I364" s="1646"/>
      <c r="J364" s="1646"/>
      <c r="K364" s="1646"/>
      <c r="L364" s="1646"/>
      <c r="M364" s="1647"/>
    </row>
    <row r="365" spans="2:15" hidden="1" x14ac:dyDescent="0.25">
      <c r="B365" s="163" t="s">
        <v>310</v>
      </c>
      <c r="C365" s="136">
        <f>INDEX('Non-Salary Expense FY26'!E5:E21,MATCH('Master Lookup FY26'!B365,'Non-Salary Expense FY26'!C5:C21,0))</f>
        <v>364.52871302241937</v>
      </c>
      <c r="D365" s="1648" t="s">
        <v>720</v>
      </c>
      <c r="E365" s="1660"/>
    </row>
    <row r="366" spans="2:15" hidden="1" x14ac:dyDescent="0.25">
      <c r="B366" s="163" t="s">
        <v>308</v>
      </c>
      <c r="C366" s="136">
        <f>INDEX('Non-Salary Expense FY26'!E6:E22,MATCH('Master Lookup FY26'!B366,'Non-Salary Expense FY26'!C6:C22,0))</f>
        <v>1059.8793475070393</v>
      </c>
      <c r="D366" s="1648" t="s">
        <v>720</v>
      </c>
      <c r="E366" s="1660"/>
    </row>
    <row r="367" spans="2:15" hidden="1" x14ac:dyDescent="0.25">
      <c r="B367" s="163" t="s">
        <v>306</v>
      </c>
      <c r="C367" s="136">
        <f>INDEX('Non-Salary Expense FY26'!E7:E23,MATCH('Master Lookup FY26'!B367,'Non-Salary Expense FY26'!C7:C23,0))</f>
        <v>699.30302909370471</v>
      </c>
      <c r="D367" s="1648" t="s">
        <v>720</v>
      </c>
      <c r="E367" s="1660"/>
    </row>
    <row r="368" spans="2:15" hidden="1" x14ac:dyDescent="0.25">
      <c r="B368" s="163" t="s">
        <v>304</v>
      </c>
      <c r="C368" s="136">
        <f>INDEX('Non-Salary Expense FY26'!E8:E24,MATCH('Master Lookup FY26'!B368,'Non-Salary Expense FY26'!C8:C24,0))</f>
        <v>1788.8934173999289</v>
      </c>
      <c r="D368" s="1648" t="s">
        <v>720</v>
      </c>
      <c r="E368" s="1660"/>
    </row>
    <row r="369" spans="2:14" hidden="1" x14ac:dyDescent="0.25">
      <c r="B369" s="163" t="s">
        <v>296</v>
      </c>
      <c r="C369" s="136">
        <f>INDEX('Non-Salary Expense FY26'!E9:E25,MATCH('Master Lookup FY26'!B369,'Non-Salary Expense FY26'!C9:C25,0))</f>
        <v>2281.1717646047468</v>
      </c>
      <c r="D369" s="1648" t="s">
        <v>720</v>
      </c>
      <c r="E369" s="1660"/>
    </row>
    <row r="370" spans="2:14" hidden="1" x14ac:dyDescent="0.25">
      <c r="B370" s="163" t="s">
        <v>288</v>
      </c>
      <c r="C370" s="136">
        <f>INDEX('Non-Salary Expense FY26'!E10:E26,MATCH('Master Lookup FY26'!B370,'Non-Salary Expense FY26'!C10:C26,0))</f>
        <v>2947.5899663350119</v>
      </c>
      <c r="D370" s="1648" t="s">
        <v>720</v>
      </c>
      <c r="E370" s="1660"/>
    </row>
    <row r="371" spans="2:14" hidden="1" x14ac:dyDescent="0.25">
      <c r="B371" s="162"/>
      <c r="C371" s="132"/>
      <c r="D371" s="161"/>
      <c r="E371" s="160"/>
    </row>
    <row r="372" spans="2:14" hidden="1" x14ac:dyDescent="0.25">
      <c r="B372" s="159" t="s">
        <v>322</v>
      </c>
      <c r="C372" s="131">
        <f>'Non-Salary Expense FY26'!D31</f>
        <v>0.24970000000000001</v>
      </c>
      <c r="D372" s="1648" t="s">
        <v>270</v>
      </c>
      <c r="E372" s="1660"/>
    </row>
    <row r="373" spans="2:14" hidden="1" x14ac:dyDescent="0.25">
      <c r="B373" s="159" t="s">
        <v>321</v>
      </c>
      <c r="C373" s="131">
        <f>'Non-Salary Expense FY26'!D51</f>
        <v>2.5282070971092779E-2</v>
      </c>
      <c r="D373" s="1661" t="s">
        <v>716</v>
      </c>
      <c r="E373" s="1662"/>
    </row>
    <row r="374" spans="2:14" hidden="1" x14ac:dyDescent="0.25">
      <c r="B374" s="159" t="s">
        <v>320</v>
      </c>
      <c r="C374" s="131">
        <f>'Non-Salary Expense FY26'!D37</f>
        <v>0.12</v>
      </c>
      <c r="D374" s="1661" t="s">
        <v>270</v>
      </c>
      <c r="E374" s="1662"/>
    </row>
    <row r="375" spans="2:14" ht="15.75" hidden="1" thickBot="1" x14ac:dyDescent="0.3">
      <c r="B375" s="157" t="s">
        <v>348</v>
      </c>
      <c r="C375" s="156">
        <v>10</v>
      </c>
      <c r="D375" s="156"/>
      <c r="E375" s="155"/>
    </row>
    <row r="376" spans="2:14" hidden="1" x14ac:dyDescent="0.25"/>
    <row r="377" spans="2:14" hidden="1" x14ac:dyDescent="0.25"/>
    <row r="378" spans="2:14" hidden="1" x14ac:dyDescent="0.25"/>
    <row r="379" spans="2:14" ht="27" hidden="1" thickBot="1" x14ac:dyDescent="0.45">
      <c r="B379" s="1654" t="s">
        <v>354</v>
      </c>
      <c r="C379" s="1655"/>
      <c r="D379" s="1655"/>
      <c r="E379" s="1655"/>
      <c r="F379" s="1665"/>
      <c r="H379" s="1642" t="s">
        <v>725</v>
      </c>
      <c r="I379" s="1643"/>
      <c r="J379" s="1643"/>
      <c r="K379" s="1643"/>
      <c r="L379" s="1643"/>
      <c r="M379" s="1643"/>
      <c r="N379" s="1644"/>
    </row>
    <row r="380" spans="2:14" ht="21" hidden="1" x14ac:dyDescent="0.35">
      <c r="B380" s="1656" t="s">
        <v>336</v>
      </c>
      <c r="C380" s="1657"/>
      <c r="D380" s="149" t="s">
        <v>335</v>
      </c>
      <c r="E380" s="169" t="s">
        <v>353</v>
      </c>
      <c r="F380" s="148" t="s">
        <v>334</v>
      </c>
      <c r="H380" s="1645"/>
      <c r="I380" s="1646"/>
      <c r="J380" s="1646"/>
      <c r="K380" s="1646"/>
      <c r="L380" s="1646"/>
      <c r="M380" s="1646"/>
      <c r="N380" s="1647"/>
    </row>
    <row r="381" spans="2:14" hidden="1" x14ac:dyDescent="0.25">
      <c r="B381" s="137" t="s">
        <v>333</v>
      </c>
      <c r="C381" s="138" t="s">
        <v>332</v>
      </c>
      <c r="D381" s="147" t="s">
        <v>331</v>
      </c>
      <c r="E381" s="168"/>
      <c r="F381" s="146"/>
    </row>
    <row r="382" spans="2:14" hidden="1" x14ac:dyDescent="0.25">
      <c r="B382" s="145" t="s">
        <v>330</v>
      </c>
      <c r="C382" s="167" t="s">
        <v>329</v>
      </c>
      <c r="D382" s="140">
        <f>INDEX('Salary lookup'!F5:F19,MATCH(C382,'Salary lookup'!B5:B20,0))</f>
        <v>81486.911999999997</v>
      </c>
      <c r="E382" s="142">
        <v>228.57142857142856</v>
      </c>
      <c r="F382" s="142">
        <v>0.14000000000000001</v>
      </c>
    </row>
    <row r="383" spans="2:14" hidden="1" x14ac:dyDescent="0.25">
      <c r="B383" s="166" t="s">
        <v>352</v>
      </c>
      <c r="C383" s="99" t="s">
        <v>351</v>
      </c>
      <c r="D383" s="140">
        <f>INDEX('Salary lookup'!F6:F20,MATCH(C383,'Salary lookup'!B6:B21,0))</f>
        <v>75175.152000000002</v>
      </c>
      <c r="E383" s="142">
        <v>246.15384615384613</v>
      </c>
      <c r="F383" s="142">
        <v>0.13</v>
      </c>
    </row>
    <row r="384" spans="2:14" hidden="1" x14ac:dyDescent="0.25">
      <c r="B384" s="143" t="s">
        <v>344</v>
      </c>
      <c r="C384" s="99" t="s">
        <v>340</v>
      </c>
      <c r="D384" s="140">
        <f>INDEX('Salary lookup'!F5:F21,MATCH(C384,'Salary lookup'!B5:B22,0))</f>
        <v>56388.633600000001</v>
      </c>
      <c r="E384" s="139"/>
      <c r="F384" s="142">
        <v>1</v>
      </c>
    </row>
    <row r="385" spans="2:6" hidden="1" x14ac:dyDescent="0.25">
      <c r="B385" s="143" t="s">
        <v>327</v>
      </c>
      <c r="C385" s="99" t="s">
        <v>327</v>
      </c>
      <c r="D385" s="140">
        <f>INDEX('Salary lookup'!F5:F22,MATCH(C385,'Salary lookup'!B5:B23,0))</f>
        <v>46842.432000000008</v>
      </c>
      <c r="E385" s="142">
        <v>12.851405622489958</v>
      </c>
      <c r="F385" s="139">
        <v>1.49</v>
      </c>
    </row>
    <row r="386" spans="2:6" hidden="1" x14ac:dyDescent="0.25">
      <c r="B386" s="141" t="s">
        <v>350</v>
      </c>
      <c r="C386" s="99" t="s">
        <v>327</v>
      </c>
      <c r="D386" s="140">
        <f>INDEX('Salary lookup'!F5:F23,MATCH(C386,'Salary lookup'!B5:B24,0))</f>
        <v>46842.432000000008</v>
      </c>
      <c r="E386" s="142">
        <v>1066.6666666666667</v>
      </c>
      <c r="F386" s="158">
        <v>0.03</v>
      </c>
    </row>
    <row r="387" spans="2:6" hidden="1" x14ac:dyDescent="0.25">
      <c r="B387" s="135"/>
      <c r="C387" s="135"/>
      <c r="D387" s="140" t="e">
        <f>INDEX('Salary lookup'!F10:F24,MATCH(C387,'Salary lookup'!B10:B25,0))</f>
        <v>#N/A</v>
      </c>
      <c r="E387" s="135"/>
      <c r="F387" s="135"/>
    </row>
    <row r="388" spans="2:6" hidden="1" x14ac:dyDescent="0.25">
      <c r="B388" s="135"/>
      <c r="C388" s="135"/>
      <c r="D388" s="140" t="e">
        <f>INDEX('Salary lookup'!F11:F25,MATCH(C388,'Salary lookup'!B11:B26,0))</f>
        <v>#N/A</v>
      </c>
      <c r="E388" s="135"/>
      <c r="F388" s="135"/>
    </row>
    <row r="389" spans="2:6" hidden="1" x14ac:dyDescent="0.25"/>
    <row r="390" spans="2:6" hidden="1" x14ac:dyDescent="0.25"/>
    <row r="391" spans="2:6" hidden="1" x14ac:dyDescent="0.25">
      <c r="B391" s="137" t="s">
        <v>326</v>
      </c>
      <c r="C391" s="137" t="s">
        <v>325</v>
      </c>
      <c r="D391" s="1658" t="s">
        <v>324</v>
      </c>
      <c r="E391" s="1659"/>
    </row>
    <row r="392" spans="2:6" hidden="1" x14ac:dyDescent="0.25">
      <c r="B392" t="s">
        <v>294</v>
      </c>
      <c r="C392" s="136">
        <f>INDEX('Non-Salary Expense FY26'!E4:E20,MATCH('Master Lookup FY26'!B392,'Non-Salary Expense FY26'!C4:C20,0))</f>
        <v>1766.2389753369646</v>
      </c>
      <c r="D392" s="1648" t="s">
        <v>720</v>
      </c>
      <c r="E392" s="1649"/>
    </row>
    <row r="393" spans="2:6" hidden="1" x14ac:dyDescent="0.25">
      <c r="B393" s="135"/>
      <c r="C393" s="135"/>
      <c r="D393" s="1650"/>
      <c r="E393" s="1651"/>
    </row>
    <row r="394" spans="2:6" hidden="1" x14ac:dyDescent="0.25">
      <c r="B394" s="135"/>
      <c r="C394" s="135"/>
      <c r="D394" s="1650"/>
      <c r="E394" s="1651"/>
    </row>
    <row r="395" spans="2:6" hidden="1" x14ac:dyDescent="0.25">
      <c r="B395" s="132"/>
      <c r="C395" s="132"/>
      <c r="D395" s="1652"/>
      <c r="E395" s="1653"/>
    </row>
    <row r="396" spans="2:6" hidden="1" x14ac:dyDescent="0.25">
      <c r="B396" s="99" t="s">
        <v>322</v>
      </c>
      <c r="C396" s="131">
        <f>'Non-Salary Expense FY26'!D31</f>
        <v>0.24970000000000001</v>
      </c>
      <c r="D396" s="1648" t="s">
        <v>270</v>
      </c>
      <c r="E396" s="1649"/>
    </row>
    <row r="397" spans="2:6" hidden="1" x14ac:dyDescent="0.25">
      <c r="B397" s="99" t="s">
        <v>321</v>
      </c>
      <c r="C397" s="131">
        <f>'Non-Salary Expense FY26'!D51</f>
        <v>2.5282070971092779E-2</v>
      </c>
      <c r="D397" s="1648" t="s">
        <v>716</v>
      </c>
      <c r="E397" s="1649"/>
    </row>
    <row r="398" spans="2:6" hidden="1" x14ac:dyDescent="0.25">
      <c r="B398" s="99" t="s">
        <v>320</v>
      </c>
      <c r="C398" s="131">
        <f>'Non-Salary Expense FY26'!D37</f>
        <v>0.12</v>
      </c>
      <c r="D398" s="1648" t="s">
        <v>270</v>
      </c>
      <c r="E398" s="1649"/>
    </row>
    <row r="399" spans="2:6" hidden="1" x14ac:dyDescent="0.25"/>
    <row r="400" spans="2:6" ht="15.75" hidden="1" thickBot="1" x14ac:dyDescent="0.3"/>
    <row r="401" spans="2:14" ht="27" hidden="1" thickBot="1" x14ac:dyDescent="0.45">
      <c r="B401" s="1654" t="s">
        <v>349</v>
      </c>
      <c r="C401" s="1655"/>
      <c r="D401" s="1655"/>
      <c r="E401" s="1655"/>
    </row>
    <row r="402" spans="2:14" ht="21" hidden="1" x14ac:dyDescent="0.35">
      <c r="B402" s="1656" t="s">
        <v>336</v>
      </c>
      <c r="C402" s="1657"/>
      <c r="D402" s="149" t="s">
        <v>335</v>
      </c>
      <c r="E402" s="148" t="s">
        <v>334</v>
      </c>
      <c r="H402" s="1642" t="s">
        <v>725</v>
      </c>
      <c r="I402" s="1643"/>
      <c r="J402" s="1643"/>
      <c r="K402" s="1643"/>
      <c r="L402" s="1643"/>
      <c r="M402" s="1643"/>
      <c r="N402" s="1644"/>
    </row>
    <row r="403" spans="2:14" hidden="1" x14ac:dyDescent="0.25">
      <c r="B403" s="137" t="s">
        <v>333</v>
      </c>
      <c r="C403" s="138" t="s">
        <v>332</v>
      </c>
      <c r="D403" s="147" t="s">
        <v>331</v>
      </c>
      <c r="E403" s="146"/>
      <c r="H403" s="1645"/>
      <c r="I403" s="1646"/>
      <c r="J403" s="1646"/>
      <c r="K403" s="1646"/>
      <c r="L403" s="1646"/>
      <c r="M403" s="1646"/>
      <c r="N403" s="1647"/>
    </row>
    <row r="404" spans="2:14" hidden="1" x14ac:dyDescent="0.25">
      <c r="B404" s="145" t="s">
        <v>330</v>
      </c>
      <c r="C404" s="144" t="s">
        <v>329</v>
      </c>
      <c r="D404" s="140">
        <f>INDEX('Salary lookup'!F5:F19,MATCH(C404,'Salary lookup'!B5:B19,0))</f>
        <v>81486.911999999997</v>
      </c>
      <c r="E404" s="142">
        <v>0.01</v>
      </c>
    </row>
    <row r="405" spans="2:14" hidden="1" x14ac:dyDescent="0.25">
      <c r="B405" s="153" t="s">
        <v>345</v>
      </c>
      <c r="C405" s="153" t="s">
        <v>345</v>
      </c>
      <c r="D405" s="140">
        <f>INDEX('Salary lookup'!F6:F20,MATCH(C405,'Salary lookup'!B6:B20,0))</f>
        <v>75175.152000000002</v>
      </c>
      <c r="E405" s="142">
        <v>0.09</v>
      </c>
    </row>
    <row r="406" spans="2:14" hidden="1" x14ac:dyDescent="0.25">
      <c r="B406" s="143" t="s">
        <v>344</v>
      </c>
      <c r="C406" s="99" t="s">
        <v>340</v>
      </c>
      <c r="D406" s="140">
        <f>INDEX('Salary lookup'!F5:F21,MATCH(C406,'Salary lookup'!B5:B21,0))</f>
        <v>56388.633600000001</v>
      </c>
      <c r="E406" s="139">
        <v>0.1</v>
      </c>
    </row>
    <row r="407" spans="2:14" hidden="1" x14ac:dyDescent="0.25">
      <c r="B407" s="135"/>
      <c r="C407" s="135"/>
      <c r="D407" s="135"/>
      <c r="E407" s="135"/>
    </row>
    <row r="408" spans="2:14" hidden="1" x14ac:dyDescent="0.25">
      <c r="B408" s="135"/>
      <c r="C408" s="135"/>
      <c r="D408" s="135"/>
      <c r="E408" s="135"/>
    </row>
    <row r="409" spans="2:14" hidden="1" x14ac:dyDescent="0.25"/>
    <row r="410" spans="2:14" ht="15.75" hidden="1" thickBot="1" x14ac:dyDescent="0.3"/>
    <row r="411" spans="2:14" hidden="1" x14ac:dyDescent="0.25">
      <c r="B411" s="165" t="s">
        <v>326</v>
      </c>
      <c r="C411" s="164" t="s">
        <v>325</v>
      </c>
      <c r="D411" s="1663" t="s">
        <v>324</v>
      </c>
      <c r="E411" s="1664"/>
    </row>
    <row r="412" spans="2:14" hidden="1" x14ac:dyDescent="0.25">
      <c r="B412" s="163" t="s">
        <v>314</v>
      </c>
      <c r="C412" s="136">
        <f>INDEX('Non-Salary Expense FY26'!E4:E20,MATCH('Master Lookup FY26'!B412,'Non-Salary Expense FY26'!C4:C20,0))</f>
        <v>6392.9174203826224</v>
      </c>
      <c r="D412" s="1648" t="s">
        <v>720</v>
      </c>
      <c r="E412" s="1660"/>
    </row>
    <row r="413" spans="2:14" hidden="1" x14ac:dyDescent="0.25">
      <c r="B413" s="163" t="s">
        <v>310</v>
      </c>
      <c r="C413" s="136">
        <f>INDEX('Non-Salary Expense FY26'!E5:E21,MATCH('Master Lookup FY26'!B413,'Non-Salary Expense FY26'!C5:C21,0))</f>
        <v>364.52871302241937</v>
      </c>
      <c r="D413" s="1648" t="s">
        <v>720</v>
      </c>
      <c r="E413" s="1660"/>
    </row>
    <row r="414" spans="2:14" hidden="1" x14ac:dyDescent="0.25">
      <c r="B414" s="163" t="s">
        <v>308</v>
      </c>
      <c r="C414" s="136">
        <f>INDEX('Non-Salary Expense FY26'!E6:E22,MATCH('Master Lookup FY26'!B414,'Non-Salary Expense FY26'!C6:C22,0))</f>
        <v>1059.8793475070393</v>
      </c>
      <c r="D414" s="1648" t="s">
        <v>720</v>
      </c>
      <c r="E414" s="1660"/>
    </row>
    <row r="415" spans="2:14" hidden="1" x14ac:dyDescent="0.25">
      <c r="B415" s="163" t="s">
        <v>306</v>
      </c>
      <c r="C415" s="136">
        <f>INDEX('Non-Salary Expense FY26'!E7:E23,MATCH('Master Lookup FY26'!B415,'Non-Salary Expense FY26'!C7:C23,0))</f>
        <v>699.30302909370471</v>
      </c>
      <c r="D415" s="1648" t="s">
        <v>720</v>
      </c>
      <c r="E415" s="1660"/>
    </row>
    <row r="416" spans="2:14" hidden="1" x14ac:dyDescent="0.25">
      <c r="B416" s="163" t="s">
        <v>304</v>
      </c>
      <c r="C416" s="136">
        <f>INDEX('Non-Salary Expense FY26'!E8:E24,MATCH('Master Lookup FY26'!B416,'Non-Salary Expense FY26'!C8:C24,0))</f>
        <v>1788.8934173999289</v>
      </c>
      <c r="D416" s="1648" t="s">
        <v>720</v>
      </c>
      <c r="E416" s="1660"/>
    </row>
    <row r="417" spans="2:14" hidden="1" x14ac:dyDescent="0.25">
      <c r="B417" s="163" t="s">
        <v>296</v>
      </c>
      <c r="C417" s="136">
        <f>INDEX('Non-Salary Expense FY26'!E9:E25,MATCH('Master Lookup FY26'!B417,'Non-Salary Expense FY26'!C9:C25,0))</f>
        <v>2281.1717646047468</v>
      </c>
      <c r="D417" s="1648" t="s">
        <v>720</v>
      </c>
      <c r="E417" s="1660"/>
    </row>
    <row r="418" spans="2:14" hidden="1" x14ac:dyDescent="0.25">
      <c r="B418" s="163" t="s">
        <v>288</v>
      </c>
      <c r="C418" s="136">
        <f>INDEX('Non-Salary Expense FY26'!E10:E26,MATCH('Master Lookup FY26'!B418,'Non-Salary Expense FY26'!C10:C26,0))</f>
        <v>2947.5899663350119</v>
      </c>
      <c r="D418" s="1648" t="s">
        <v>720</v>
      </c>
      <c r="E418" s="1660"/>
    </row>
    <row r="419" spans="2:14" hidden="1" x14ac:dyDescent="0.25">
      <c r="B419" s="162"/>
      <c r="C419" s="132"/>
      <c r="D419" s="161"/>
      <c r="E419" s="160"/>
    </row>
    <row r="420" spans="2:14" hidden="1" x14ac:dyDescent="0.25">
      <c r="B420" s="159" t="s">
        <v>322</v>
      </c>
      <c r="C420" s="131">
        <f>'Non-Salary Expense FY26'!D31</f>
        <v>0.24970000000000001</v>
      </c>
      <c r="D420" s="1648" t="s">
        <v>270</v>
      </c>
      <c r="E420" s="1660"/>
    </row>
    <row r="421" spans="2:14" hidden="1" x14ac:dyDescent="0.25">
      <c r="B421" s="159" t="s">
        <v>321</v>
      </c>
      <c r="C421" s="131">
        <f>'Non-Salary Expense FY26'!D51</f>
        <v>2.5282070971092779E-2</v>
      </c>
      <c r="D421" s="1661" t="s">
        <v>716</v>
      </c>
      <c r="E421" s="1662"/>
    </row>
    <row r="422" spans="2:14" hidden="1" x14ac:dyDescent="0.25">
      <c r="B422" s="159" t="s">
        <v>320</v>
      </c>
      <c r="C422" s="131">
        <f>'Non-Salary Expense FY26'!D37</f>
        <v>0.12</v>
      </c>
      <c r="D422" s="1661" t="s">
        <v>270</v>
      </c>
      <c r="E422" s="1662"/>
    </row>
    <row r="423" spans="2:14" ht="15.75" hidden="1" thickBot="1" x14ac:dyDescent="0.3">
      <c r="B423" s="157" t="s">
        <v>348</v>
      </c>
      <c r="C423" s="156">
        <v>10</v>
      </c>
      <c r="D423" s="156"/>
      <c r="E423" s="155"/>
    </row>
    <row r="424" spans="2:14" hidden="1" x14ac:dyDescent="0.25"/>
    <row r="425" spans="2:14" ht="15.75" hidden="1" thickBot="1" x14ac:dyDescent="0.3"/>
    <row r="426" spans="2:14" ht="27" hidden="1" thickBot="1" x14ac:dyDescent="0.45">
      <c r="B426" s="1654" t="s">
        <v>347</v>
      </c>
      <c r="C426" s="1655"/>
      <c r="D426" s="1655"/>
      <c r="E426" s="1655"/>
      <c r="H426" s="1642" t="s">
        <v>725</v>
      </c>
      <c r="I426" s="1643"/>
      <c r="J426" s="1643"/>
      <c r="K426" s="1643"/>
      <c r="L426" s="1643"/>
      <c r="M426" s="1643"/>
      <c r="N426" s="1644"/>
    </row>
    <row r="427" spans="2:14" ht="21" hidden="1" x14ac:dyDescent="0.35">
      <c r="B427" s="1656" t="s">
        <v>336</v>
      </c>
      <c r="C427" s="1657"/>
      <c r="D427" s="149" t="s">
        <v>335</v>
      </c>
      <c r="E427" s="148" t="s">
        <v>334</v>
      </c>
      <c r="H427" s="1645"/>
      <c r="I427" s="1646"/>
      <c r="J427" s="1646"/>
      <c r="K427" s="1646"/>
      <c r="L427" s="1646"/>
      <c r="M427" s="1646"/>
      <c r="N427" s="1647"/>
    </row>
    <row r="428" spans="2:14" hidden="1" x14ac:dyDescent="0.25">
      <c r="B428" s="137" t="s">
        <v>333</v>
      </c>
      <c r="C428" s="138" t="s">
        <v>332</v>
      </c>
      <c r="D428" s="147" t="s">
        <v>331</v>
      </c>
      <c r="E428" s="146"/>
    </row>
    <row r="429" spans="2:14" hidden="1" x14ac:dyDescent="0.25">
      <c r="B429" s="145" t="s">
        <v>330</v>
      </c>
      <c r="C429" s="144" t="s">
        <v>329</v>
      </c>
      <c r="D429" s="140">
        <f>INDEX('Salary lookup'!F5:F19,MATCH(C429,'Salary lookup'!B5:B19,0))</f>
        <v>81486.911999999997</v>
      </c>
      <c r="E429" s="142">
        <v>0.01</v>
      </c>
    </row>
    <row r="430" spans="2:14" hidden="1" x14ac:dyDescent="0.25">
      <c r="B430" s="153" t="s">
        <v>345</v>
      </c>
      <c r="C430" s="153" t="s">
        <v>345</v>
      </c>
      <c r="D430" s="140">
        <f>INDEX('Salary lookup'!F6:F20,MATCH(C430,'Salary lookup'!B6:B20,0))</f>
        <v>75175.152000000002</v>
      </c>
      <c r="E430" s="142">
        <v>0.09</v>
      </c>
    </row>
    <row r="431" spans="2:14" hidden="1" x14ac:dyDescent="0.25">
      <c r="B431" s="143" t="s">
        <v>344</v>
      </c>
      <c r="C431" s="99" t="s">
        <v>340</v>
      </c>
      <c r="D431" s="140">
        <f>INDEX('Salary lookup'!F5:F21,MATCH(C431,'Salary lookup'!B5:B21,0))</f>
        <v>56388.633600000001</v>
      </c>
      <c r="E431" s="139">
        <v>0.1</v>
      </c>
    </row>
    <row r="432" spans="2:14" hidden="1" x14ac:dyDescent="0.25">
      <c r="B432" s="135"/>
      <c r="C432" s="135"/>
      <c r="D432" s="135"/>
      <c r="E432" s="135"/>
    </row>
    <row r="433" spans="2:14" hidden="1" x14ac:dyDescent="0.25">
      <c r="B433" s="135"/>
      <c r="C433" s="135"/>
      <c r="D433" s="135"/>
      <c r="E433" s="135"/>
    </row>
    <row r="434" spans="2:14" hidden="1" x14ac:dyDescent="0.25"/>
    <row r="435" spans="2:14" hidden="1" x14ac:dyDescent="0.25">
      <c r="B435" s="138" t="s">
        <v>326</v>
      </c>
      <c r="C435" s="137" t="s">
        <v>325</v>
      </c>
      <c r="D435" s="1658" t="s">
        <v>324</v>
      </c>
      <c r="E435" s="1659"/>
    </row>
    <row r="436" spans="2:14" hidden="1" x14ac:dyDescent="0.25">
      <c r="B436" s="99" t="s">
        <v>314</v>
      </c>
      <c r="C436" s="136">
        <f>INDEX('Non-Salary Expense FY26'!E4:E20,MATCH('Master Lookup FY26'!B436,'Non-Salary Expense FY26'!C4:C20,0))</f>
        <v>6392.9174203826224</v>
      </c>
      <c r="D436" s="1648" t="s">
        <v>323</v>
      </c>
      <c r="E436" s="1649"/>
    </row>
    <row r="437" spans="2:14" hidden="1" x14ac:dyDescent="0.25">
      <c r="B437" s="99" t="s">
        <v>288</v>
      </c>
      <c r="C437" s="136">
        <f>INDEX('Non-Salary Expense FY26'!E5:E21,MATCH('Master Lookup FY26'!B437,'Non-Salary Expense FY26'!C5:C21,0))</f>
        <v>2947.5899663350119</v>
      </c>
      <c r="D437" s="1648" t="s">
        <v>323</v>
      </c>
      <c r="E437" s="1649"/>
    </row>
    <row r="438" spans="2:14" hidden="1" x14ac:dyDescent="0.25">
      <c r="B438" s="135"/>
      <c r="C438" s="135"/>
      <c r="D438" s="1650"/>
      <c r="E438" s="1651"/>
    </row>
    <row r="439" spans="2:14" hidden="1" x14ac:dyDescent="0.25">
      <c r="B439" s="132"/>
      <c r="C439" s="132"/>
      <c r="D439" s="1652"/>
      <c r="E439" s="1653"/>
    </row>
    <row r="440" spans="2:14" hidden="1" x14ac:dyDescent="0.25">
      <c r="B440" s="99" t="s">
        <v>322</v>
      </c>
      <c r="C440" s="131">
        <f>'Below the Line'!$D$35</f>
        <v>0.27379999999999999</v>
      </c>
      <c r="D440" s="1648" t="s">
        <v>270</v>
      </c>
      <c r="E440" s="1649"/>
    </row>
    <row r="441" spans="2:14" hidden="1" x14ac:dyDescent="0.25">
      <c r="B441" s="99" t="s">
        <v>321</v>
      </c>
      <c r="C441" s="131">
        <f>'Below the Line'!$D$43</f>
        <v>2.7100379121522307E-2</v>
      </c>
      <c r="D441" s="1648" t="s">
        <v>268</v>
      </c>
      <c r="E441" s="1649"/>
    </row>
    <row r="442" spans="2:14" hidden="1" x14ac:dyDescent="0.25">
      <c r="B442" s="99" t="s">
        <v>320</v>
      </c>
      <c r="C442" s="131">
        <f>'Below the Line'!$D$40</f>
        <v>0.12</v>
      </c>
      <c r="D442" s="1648" t="s">
        <v>270</v>
      </c>
      <c r="E442" s="1649"/>
    </row>
    <row r="443" spans="2:14" hidden="1" x14ac:dyDescent="0.25"/>
    <row r="444" spans="2:14" ht="15.75" hidden="1" thickBot="1" x14ac:dyDescent="0.3"/>
    <row r="445" spans="2:14" ht="27" hidden="1" thickBot="1" x14ac:dyDescent="0.45">
      <c r="B445" s="1654" t="s">
        <v>346</v>
      </c>
      <c r="C445" s="1655"/>
      <c r="D445" s="1655"/>
      <c r="E445" s="1655"/>
      <c r="H445" s="1642" t="s">
        <v>725</v>
      </c>
      <c r="I445" s="1643"/>
      <c r="J445" s="1643"/>
      <c r="K445" s="1643"/>
      <c r="L445" s="1643"/>
      <c r="M445" s="1643"/>
      <c r="N445" s="1644"/>
    </row>
    <row r="446" spans="2:14" ht="21" hidden="1" x14ac:dyDescent="0.35">
      <c r="B446" s="1656" t="s">
        <v>336</v>
      </c>
      <c r="C446" s="1657"/>
      <c r="D446" s="149" t="s">
        <v>335</v>
      </c>
      <c r="E446" s="148" t="s">
        <v>334</v>
      </c>
      <c r="H446" s="1645"/>
      <c r="I446" s="1646"/>
      <c r="J446" s="1646"/>
      <c r="K446" s="1646"/>
      <c r="L446" s="1646"/>
      <c r="M446" s="1646"/>
      <c r="N446" s="1647"/>
    </row>
    <row r="447" spans="2:14" hidden="1" x14ac:dyDescent="0.25">
      <c r="B447" s="137" t="s">
        <v>333</v>
      </c>
      <c r="C447" s="138" t="s">
        <v>332</v>
      </c>
      <c r="D447" s="147" t="s">
        <v>331</v>
      </c>
      <c r="E447" s="146"/>
    </row>
    <row r="448" spans="2:14" hidden="1" x14ac:dyDescent="0.25">
      <c r="B448" s="145" t="s">
        <v>330</v>
      </c>
      <c r="C448" s="144" t="s">
        <v>329</v>
      </c>
      <c r="D448" s="140">
        <f>INDEX('Salary lookup'!F5:F19,MATCH(C448,'Salary lookup'!B5:B19,0))</f>
        <v>81486.911999999997</v>
      </c>
      <c r="E448" s="142">
        <v>0.01</v>
      </c>
    </row>
    <row r="449" spans="2:5" hidden="1" x14ac:dyDescent="0.25">
      <c r="B449" s="153" t="s">
        <v>345</v>
      </c>
      <c r="C449" s="153" t="s">
        <v>345</v>
      </c>
      <c r="D449" s="140">
        <f>INDEX('Salary lookup'!F5:F20,MATCH(C449,'Salary lookup'!B5:B20,0))</f>
        <v>75175.152000000002</v>
      </c>
      <c r="E449" s="142">
        <v>7.0000000000000007E-2</v>
      </c>
    </row>
    <row r="450" spans="2:5" hidden="1" x14ac:dyDescent="0.25">
      <c r="B450" s="143" t="s">
        <v>344</v>
      </c>
      <c r="C450" s="99" t="s">
        <v>340</v>
      </c>
      <c r="D450" s="140">
        <f>INDEX('Salary lookup'!F5:F21,MATCH(C450,'Salary lookup'!B5:B21,0))</f>
        <v>56388.633600000001</v>
      </c>
      <c r="E450" s="139">
        <v>0.08</v>
      </c>
    </row>
    <row r="451" spans="2:5" hidden="1" x14ac:dyDescent="0.25">
      <c r="B451" s="135"/>
      <c r="C451" s="135"/>
      <c r="D451" s="135"/>
      <c r="E451" s="135"/>
    </row>
    <row r="452" spans="2:5" hidden="1" x14ac:dyDescent="0.25">
      <c r="B452" s="135"/>
      <c r="C452" s="135"/>
      <c r="D452" s="135"/>
      <c r="E452" s="135"/>
    </row>
    <row r="453" spans="2:5" hidden="1" x14ac:dyDescent="0.25"/>
    <row r="454" spans="2:5" hidden="1" x14ac:dyDescent="0.25">
      <c r="B454" s="138" t="s">
        <v>326</v>
      </c>
      <c r="C454" s="137" t="s">
        <v>325</v>
      </c>
      <c r="D454" s="1658" t="s">
        <v>324</v>
      </c>
      <c r="E454" s="1659"/>
    </row>
    <row r="455" spans="2:5" hidden="1" x14ac:dyDescent="0.25">
      <c r="B455" s="99" t="s">
        <v>314</v>
      </c>
      <c r="C455" s="136">
        <f>INDEX('Non-Salary Expense FY26'!E4:E20,MATCH('Master Lookup FY26'!B455,'Non-Salary Expense FY26'!C4:C20,0))</f>
        <v>6392.9174203826224</v>
      </c>
      <c r="D455" s="1648" t="s">
        <v>720</v>
      </c>
      <c r="E455" s="1649"/>
    </row>
    <row r="456" spans="2:5" hidden="1" x14ac:dyDescent="0.25">
      <c r="B456" s="99" t="s">
        <v>288</v>
      </c>
      <c r="C456" s="136">
        <f>INDEX('Non-Salary Expense FY26'!E5:E21,MATCH('Master Lookup FY26'!B456,'Non-Salary Expense FY26'!C5:C21,0))</f>
        <v>2947.5899663350119</v>
      </c>
      <c r="D456" s="1648" t="s">
        <v>720</v>
      </c>
      <c r="E456" s="1649"/>
    </row>
    <row r="457" spans="2:5" hidden="1" x14ac:dyDescent="0.25">
      <c r="B457" s="135"/>
      <c r="C457" s="135"/>
      <c r="D457" s="1650"/>
      <c r="E457" s="1651"/>
    </row>
    <row r="458" spans="2:5" hidden="1" x14ac:dyDescent="0.25">
      <c r="B458" s="132"/>
      <c r="C458" s="132"/>
      <c r="D458" s="1652"/>
      <c r="E458" s="1653"/>
    </row>
    <row r="459" spans="2:5" hidden="1" x14ac:dyDescent="0.25">
      <c r="B459" s="99" t="s">
        <v>322</v>
      </c>
      <c r="C459" s="131">
        <f>'Non-Salary Expense FY26'!D31</f>
        <v>0.24970000000000001</v>
      </c>
      <c r="D459" s="1648" t="s">
        <v>270</v>
      </c>
      <c r="E459" s="1649"/>
    </row>
    <row r="460" spans="2:5" hidden="1" x14ac:dyDescent="0.25">
      <c r="B460" s="99" t="s">
        <v>321</v>
      </c>
      <c r="C460" s="131">
        <f>'Non-Salary Expense FY26'!D51</f>
        <v>2.5282070971092779E-2</v>
      </c>
      <c r="D460" s="1648" t="s">
        <v>716</v>
      </c>
      <c r="E460" s="1649"/>
    </row>
    <row r="461" spans="2:5" hidden="1" x14ac:dyDescent="0.25">
      <c r="B461" s="99" t="s">
        <v>320</v>
      </c>
      <c r="C461" s="131">
        <f>'Non-Salary Expense FY26'!D37</f>
        <v>0.12</v>
      </c>
      <c r="D461" s="1648" t="s">
        <v>270</v>
      </c>
      <c r="E461" s="1649"/>
    </row>
    <row r="462" spans="2:5" hidden="1" x14ac:dyDescent="0.25"/>
    <row r="463" spans="2:5" hidden="1" x14ac:dyDescent="0.25"/>
    <row r="464" spans="2:5" hidden="1" x14ac:dyDescent="0.25"/>
    <row r="465" spans="2:7" ht="27" hidden="1" thickBot="1" x14ac:dyDescent="0.45">
      <c r="B465" s="1654" t="s">
        <v>343</v>
      </c>
      <c r="C465" s="1655"/>
      <c r="D465" s="1655"/>
      <c r="E465" s="1655"/>
      <c r="G465" s="1228" t="s">
        <v>749</v>
      </c>
    </row>
    <row r="466" spans="2:7" ht="21" hidden="1" x14ac:dyDescent="0.35">
      <c r="B466" s="1656" t="s">
        <v>336</v>
      </c>
      <c r="C466" s="1657"/>
      <c r="D466" s="149" t="s">
        <v>335</v>
      </c>
      <c r="E466" s="148" t="s">
        <v>334</v>
      </c>
    </row>
    <row r="467" spans="2:7" hidden="1" x14ac:dyDescent="0.25">
      <c r="B467" s="137" t="s">
        <v>333</v>
      </c>
      <c r="C467" s="138" t="s">
        <v>332</v>
      </c>
      <c r="D467" s="147" t="s">
        <v>331</v>
      </c>
      <c r="E467" s="146"/>
    </row>
    <row r="468" spans="2:7" hidden="1" x14ac:dyDescent="0.25">
      <c r="B468" s="154" t="s">
        <v>342</v>
      </c>
      <c r="C468" s="154" t="s">
        <v>342</v>
      </c>
      <c r="D468" s="140">
        <f>INDEX('Salary lookup'!F5:F19,MATCH(C468,'Salary lookup'!B5:B19,0))</f>
        <v>66537.12000000001</v>
      </c>
      <c r="E468" s="142">
        <v>0.6</v>
      </c>
    </row>
    <row r="469" spans="2:7" hidden="1" x14ac:dyDescent="0.25">
      <c r="B469" s="153" t="s">
        <v>341</v>
      </c>
      <c r="C469" s="153" t="s">
        <v>340</v>
      </c>
      <c r="D469" s="140">
        <f>INDEX('Salary lookup'!F6:F20,MATCH(C469,'Salary lookup'!B6:B20,0))</f>
        <v>56388.633600000001</v>
      </c>
      <c r="E469" s="142">
        <v>1</v>
      </c>
    </row>
    <row r="470" spans="2:7" hidden="1" x14ac:dyDescent="0.25">
      <c r="B470" s="152"/>
      <c r="C470" s="135"/>
      <c r="D470" s="151"/>
      <c r="E470" s="150"/>
    </row>
    <row r="471" spans="2:7" hidden="1" x14ac:dyDescent="0.25">
      <c r="B471" s="135"/>
      <c r="C471" s="135"/>
      <c r="D471" s="135"/>
      <c r="E471" s="135"/>
    </row>
    <row r="472" spans="2:7" hidden="1" x14ac:dyDescent="0.25">
      <c r="B472" s="135"/>
      <c r="C472" s="135"/>
      <c r="D472" s="135"/>
      <c r="E472" s="135"/>
    </row>
    <row r="473" spans="2:7" hidden="1" x14ac:dyDescent="0.25"/>
    <row r="474" spans="2:7" hidden="1" x14ac:dyDescent="0.25">
      <c r="B474" s="138" t="s">
        <v>326</v>
      </c>
      <c r="C474" s="137" t="s">
        <v>325</v>
      </c>
      <c r="D474" s="1658" t="s">
        <v>324</v>
      </c>
      <c r="E474" s="1659"/>
    </row>
    <row r="475" spans="2:7" hidden="1" x14ac:dyDescent="0.25">
      <c r="B475" s="99" t="s">
        <v>339</v>
      </c>
      <c r="C475" s="136">
        <f>'Non-Salary Expense FY26'!E7+'Non-Salary Expense FY26'!E9+'Non-Salary Expense FY26'!E10+'Non-Salary Expense FY26'!E11</f>
        <v>4490.7890294662229</v>
      </c>
      <c r="D475" s="1648" t="s">
        <v>723</v>
      </c>
      <c r="E475" s="1649"/>
    </row>
    <row r="476" spans="2:7" hidden="1" x14ac:dyDescent="0.25">
      <c r="B476" t="s">
        <v>310</v>
      </c>
      <c r="C476" s="136">
        <f>INDEX('Non-Salary Expense FY26'!E4:E20,MATCH('Master Lookup FY26'!B476,'Non-Salary Expense FY26'!C4:C20,0))</f>
        <v>364.52871302241937</v>
      </c>
      <c r="D476" s="1648" t="s">
        <v>724</v>
      </c>
      <c r="E476" s="1649"/>
    </row>
    <row r="477" spans="2:7" hidden="1" x14ac:dyDescent="0.25">
      <c r="B477" s="135"/>
      <c r="C477" s="135"/>
      <c r="D477" s="1650"/>
      <c r="E477" s="1651"/>
    </row>
    <row r="478" spans="2:7" hidden="1" x14ac:dyDescent="0.25">
      <c r="B478" s="132"/>
      <c r="C478" s="132"/>
      <c r="D478" s="1652"/>
      <c r="E478" s="1653"/>
    </row>
    <row r="479" spans="2:7" hidden="1" x14ac:dyDescent="0.25">
      <c r="B479" s="99" t="s">
        <v>322</v>
      </c>
      <c r="C479" s="131">
        <f>'Non-Salary Expense FY26'!D31</f>
        <v>0.24970000000000001</v>
      </c>
      <c r="D479" s="1648" t="s">
        <v>270</v>
      </c>
      <c r="E479" s="1649"/>
    </row>
    <row r="480" spans="2:7" hidden="1" x14ac:dyDescent="0.25">
      <c r="B480" s="99" t="s">
        <v>321</v>
      </c>
      <c r="C480" s="131">
        <f>'Non-Salary Expense FY26'!D51</f>
        <v>2.5282070971092779E-2</v>
      </c>
      <c r="D480" s="1648" t="s">
        <v>716</v>
      </c>
      <c r="E480" s="1649"/>
    </row>
    <row r="481" spans="2:5" hidden="1" x14ac:dyDescent="0.25">
      <c r="B481" s="99" t="s">
        <v>320</v>
      </c>
      <c r="C481" s="131">
        <f>'Non-Salary Expense FY26'!D37</f>
        <v>0.12</v>
      </c>
      <c r="D481" s="1648" t="s">
        <v>270</v>
      </c>
      <c r="E481" s="1649"/>
    </row>
    <row r="483" spans="2:5" ht="15.75" thickBot="1" x14ac:dyDescent="0.3"/>
    <row r="484" spans="2:5" ht="27" thickBot="1" x14ac:dyDescent="0.45">
      <c r="B484" s="1654" t="s">
        <v>337</v>
      </c>
      <c r="C484" s="1655"/>
      <c r="D484" s="1655"/>
      <c r="E484" s="1655"/>
    </row>
    <row r="485" spans="2:5" ht="21" x14ac:dyDescent="0.35">
      <c r="B485" s="1656" t="s">
        <v>336</v>
      </c>
      <c r="C485" s="1657"/>
      <c r="D485" s="149" t="s">
        <v>335</v>
      </c>
      <c r="E485" s="148" t="s">
        <v>334</v>
      </c>
    </row>
    <row r="486" spans="2:5" x14ac:dyDescent="0.25">
      <c r="B486" s="137" t="s">
        <v>333</v>
      </c>
      <c r="C486" s="138" t="s">
        <v>332</v>
      </c>
      <c r="D486" s="147" t="s">
        <v>331</v>
      </c>
      <c r="E486" s="146"/>
    </row>
    <row r="487" spans="2:5" x14ac:dyDescent="0.25">
      <c r="B487" s="145" t="s">
        <v>330</v>
      </c>
      <c r="C487" s="144" t="s">
        <v>329</v>
      </c>
      <c r="D487" s="140">
        <f>INDEX('Salary lookup'!F5:F19,MATCH(C487,'Salary lookup'!B5:B19,0))</f>
        <v>81486.911999999997</v>
      </c>
      <c r="E487" s="142">
        <v>1</v>
      </c>
    </row>
    <row r="488" spans="2:5" x14ac:dyDescent="0.25">
      <c r="B488" s="143" t="s">
        <v>327</v>
      </c>
      <c r="C488" s="99" t="s">
        <v>327</v>
      </c>
      <c r="D488" s="140">
        <f>INDEX('Salary lookup'!F5:F20,MATCH(C488,'Salary lookup'!B5:B20,0))</f>
        <v>46842.432000000008</v>
      </c>
      <c r="E488" s="142">
        <v>3</v>
      </c>
    </row>
    <row r="489" spans="2:5" x14ac:dyDescent="0.25">
      <c r="B489" s="141" t="s">
        <v>328</v>
      </c>
      <c r="C489" s="99" t="s">
        <v>327</v>
      </c>
      <c r="D489" s="140">
        <f>INDEX('Salary lookup'!F5:F21,MATCH(C489,'Salary lookup'!B5:B21,0))</f>
        <v>46842.432000000008</v>
      </c>
      <c r="E489" s="139">
        <v>1</v>
      </c>
    </row>
    <row r="490" spans="2:5" hidden="1" x14ac:dyDescent="0.25">
      <c r="B490" s="135"/>
      <c r="C490" s="135"/>
      <c r="D490" s="140" t="e">
        <f>INDEX('Salary lookup'!F8:F22,MATCH(C490,'Salary lookup'!B8:B22,0))</f>
        <v>#N/A</v>
      </c>
      <c r="E490" s="135"/>
    </row>
    <row r="491" spans="2:5" hidden="1" x14ac:dyDescent="0.25">
      <c r="B491" s="135"/>
      <c r="C491" s="135"/>
      <c r="D491" s="140" t="e">
        <f>INDEX('Salary lookup'!F9:F23,MATCH(C491,'Salary lookup'!B9:B23,0))</f>
        <v>#N/A</v>
      </c>
      <c r="E491" s="135"/>
    </row>
    <row r="493" spans="2:5" x14ac:dyDescent="0.25">
      <c r="B493" s="138" t="s">
        <v>326</v>
      </c>
      <c r="C493" s="137" t="s">
        <v>325</v>
      </c>
      <c r="D493" s="1658" t="s">
        <v>324</v>
      </c>
      <c r="E493" s="1659"/>
    </row>
    <row r="494" spans="2:5" x14ac:dyDescent="0.25">
      <c r="B494" t="s">
        <v>286</v>
      </c>
      <c r="C494" s="136">
        <f>INDEX('Non-Salary Expense FY26'!E4:E20,MATCH('Master Lookup FY26'!B494,'Non-Salary Expense FY26'!C4:C20,0))</f>
        <v>3236.4891574928697</v>
      </c>
      <c r="D494" s="1648" t="s">
        <v>720</v>
      </c>
      <c r="E494" s="1649"/>
    </row>
    <row r="495" spans="2:5" x14ac:dyDescent="0.25">
      <c r="B495" t="s">
        <v>294</v>
      </c>
      <c r="C495" s="136">
        <f>INDEX('Non-Salary Expense FY26'!E5:E21,MATCH('Master Lookup FY26'!B495,'Non-Salary Expense FY26'!C5:C21,0))</f>
        <v>1766.2389753369646</v>
      </c>
      <c r="D495" s="1648" t="s">
        <v>720</v>
      </c>
      <c r="E495" s="1649"/>
    </row>
    <row r="496" spans="2:5" hidden="1" x14ac:dyDescent="0.25">
      <c r="B496" s="135"/>
      <c r="C496" s="135"/>
      <c r="D496" s="1650"/>
      <c r="E496" s="1651"/>
    </row>
    <row r="497" spans="2:5" x14ac:dyDescent="0.25">
      <c r="B497" s="132"/>
      <c r="C497" s="132"/>
      <c r="D497" s="1652"/>
      <c r="E497" s="1653"/>
    </row>
    <row r="498" spans="2:5" x14ac:dyDescent="0.25">
      <c r="B498" s="99" t="s">
        <v>322</v>
      </c>
      <c r="C498" s="131">
        <f>'Non-Salary Expense FY26'!D31</f>
        <v>0.24970000000000001</v>
      </c>
      <c r="D498" s="1648" t="s">
        <v>270</v>
      </c>
      <c r="E498" s="1649"/>
    </row>
    <row r="499" spans="2:5" x14ac:dyDescent="0.25">
      <c r="B499" s="99" t="s">
        <v>321</v>
      </c>
      <c r="C499" s="131">
        <f>'Non-Salary Expense FY26'!D51</f>
        <v>2.5282070971092779E-2</v>
      </c>
      <c r="D499" s="1648" t="s">
        <v>716</v>
      </c>
      <c r="E499" s="1649"/>
    </row>
    <row r="500" spans="2:5" x14ac:dyDescent="0.25">
      <c r="B500" s="99" t="s">
        <v>320</v>
      </c>
      <c r="C500" s="131">
        <f>'Non-Salary Expense FY26'!D37</f>
        <v>0.12</v>
      </c>
      <c r="D500" s="1648" t="s">
        <v>270</v>
      </c>
      <c r="E500" s="1649"/>
    </row>
  </sheetData>
  <mergeCells count="260">
    <mergeCell ref="B2:E2"/>
    <mergeCell ref="B3:C3"/>
    <mergeCell ref="D13:E13"/>
    <mergeCell ref="D14:E14"/>
    <mergeCell ref="D19:E19"/>
    <mergeCell ref="D20:E20"/>
    <mergeCell ref="D36:E36"/>
    <mergeCell ref="D37:E37"/>
    <mergeCell ref="D38:E38"/>
    <mergeCell ref="D39:E39"/>
    <mergeCell ref="D40:E40"/>
    <mergeCell ref="D41:E41"/>
    <mergeCell ref="D21:E21"/>
    <mergeCell ref="D22:E22"/>
    <mergeCell ref="B24:AB24"/>
    <mergeCell ref="B25:B26"/>
    <mergeCell ref="C25:C26"/>
    <mergeCell ref="D25:D26"/>
    <mergeCell ref="E25:AB25"/>
    <mergeCell ref="D50:E50"/>
    <mergeCell ref="D51:E51"/>
    <mergeCell ref="B55:F55"/>
    <mergeCell ref="B56:C56"/>
    <mergeCell ref="E56:F56"/>
    <mergeCell ref="D71:E71"/>
    <mergeCell ref="D42:E42"/>
    <mergeCell ref="D43:E43"/>
    <mergeCell ref="D44:E44"/>
    <mergeCell ref="D45:E45"/>
    <mergeCell ref="D47:E47"/>
    <mergeCell ref="D49:E49"/>
    <mergeCell ref="D78:E78"/>
    <mergeCell ref="D79:E79"/>
    <mergeCell ref="D80:E80"/>
    <mergeCell ref="D81:E81"/>
    <mergeCell ref="D82:E82"/>
    <mergeCell ref="D83:E83"/>
    <mergeCell ref="D72:E72"/>
    <mergeCell ref="D73:E73"/>
    <mergeCell ref="D74:E74"/>
    <mergeCell ref="D75:E75"/>
    <mergeCell ref="D76:E76"/>
    <mergeCell ref="D77:E77"/>
    <mergeCell ref="D106:E106"/>
    <mergeCell ref="D107:E107"/>
    <mergeCell ref="D108:E108"/>
    <mergeCell ref="D109:E109"/>
    <mergeCell ref="D110:E110"/>
    <mergeCell ref="D111:E111"/>
    <mergeCell ref="D84:E84"/>
    <mergeCell ref="B90:G90"/>
    <mergeCell ref="B91:C91"/>
    <mergeCell ref="E91:G91"/>
    <mergeCell ref="D104:E104"/>
    <mergeCell ref="D105:E105"/>
    <mergeCell ref="D125:E125"/>
    <mergeCell ref="D126:E126"/>
    <mergeCell ref="D127:E127"/>
    <mergeCell ref="D128:E128"/>
    <mergeCell ref="D129:E129"/>
    <mergeCell ref="D131:E131"/>
    <mergeCell ref="D112:E112"/>
    <mergeCell ref="D113:E113"/>
    <mergeCell ref="D114:E114"/>
    <mergeCell ref="D115:E115"/>
    <mergeCell ref="B120:E120"/>
    <mergeCell ref="B121:C121"/>
    <mergeCell ref="D138:E138"/>
    <mergeCell ref="D139:E139"/>
    <mergeCell ref="B143:E143"/>
    <mergeCell ref="B144:C144"/>
    <mergeCell ref="D148:E148"/>
    <mergeCell ref="D149:E149"/>
    <mergeCell ref="D132:E132"/>
    <mergeCell ref="D133:E133"/>
    <mergeCell ref="D134:E134"/>
    <mergeCell ref="D135:E135"/>
    <mergeCell ref="D136:E136"/>
    <mergeCell ref="D137:E137"/>
    <mergeCell ref="D157:E157"/>
    <mergeCell ref="D158:E158"/>
    <mergeCell ref="D159:E159"/>
    <mergeCell ref="D160:E160"/>
    <mergeCell ref="D161:E161"/>
    <mergeCell ref="D162:E162"/>
    <mergeCell ref="D150:E150"/>
    <mergeCell ref="D151:E151"/>
    <mergeCell ref="D152:E152"/>
    <mergeCell ref="D154:E154"/>
    <mergeCell ref="D155:E155"/>
    <mergeCell ref="D156:E156"/>
    <mergeCell ref="D181:E181"/>
    <mergeCell ref="D182:E182"/>
    <mergeCell ref="D183:E183"/>
    <mergeCell ref="D184:E184"/>
    <mergeCell ref="D185:E185"/>
    <mergeCell ref="B190:E190"/>
    <mergeCell ref="B166:E166"/>
    <mergeCell ref="B167:C167"/>
    <mergeCell ref="D177:E177"/>
    <mergeCell ref="D178:E178"/>
    <mergeCell ref="D179:E179"/>
    <mergeCell ref="D180:E180"/>
    <mergeCell ref="D206:E206"/>
    <mergeCell ref="D208:E208"/>
    <mergeCell ref="D209:E209"/>
    <mergeCell ref="D210:E210"/>
    <mergeCell ref="B213:E213"/>
    <mergeCell ref="B214:C214"/>
    <mergeCell ref="B191:C191"/>
    <mergeCell ref="D201:E201"/>
    <mergeCell ref="D202:E202"/>
    <mergeCell ref="D203:E203"/>
    <mergeCell ref="D204:E204"/>
    <mergeCell ref="D205:E205"/>
    <mergeCell ref="D230:E230"/>
    <mergeCell ref="D231:E231"/>
    <mergeCell ref="D232:E232"/>
    <mergeCell ref="D233:E233"/>
    <mergeCell ref="B237:F237"/>
    <mergeCell ref="B238:C238"/>
    <mergeCell ref="D224:E224"/>
    <mergeCell ref="D225:E225"/>
    <mergeCell ref="D226:E226"/>
    <mergeCell ref="D227:E227"/>
    <mergeCell ref="D228:E228"/>
    <mergeCell ref="D229:E229"/>
    <mergeCell ref="D254:E254"/>
    <mergeCell ref="D255:E255"/>
    <mergeCell ref="D262:E262"/>
    <mergeCell ref="D263:E263"/>
    <mergeCell ref="D264:E264"/>
    <mergeCell ref="D265:E265"/>
    <mergeCell ref="D248:E248"/>
    <mergeCell ref="D249:E249"/>
    <mergeCell ref="D250:E250"/>
    <mergeCell ref="D251:E251"/>
    <mergeCell ref="D252:E252"/>
    <mergeCell ref="D253:E253"/>
    <mergeCell ref="D286:E286"/>
    <mergeCell ref="D287:E287"/>
    <mergeCell ref="D288:E288"/>
    <mergeCell ref="D289:E289"/>
    <mergeCell ref="D291:E291"/>
    <mergeCell ref="D292:E292"/>
    <mergeCell ref="B270:G270"/>
    <mergeCell ref="B271:C271"/>
    <mergeCell ref="E271:G271"/>
    <mergeCell ref="D279:E279"/>
    <mergeCell ref="D280:E280"/>
    <mergeCell ref="D281:E281"/>
    <mergeCell ref="D312:E312"/>
    <mergeCell ref="D313:E313"/>
    <mergeCell ref="D314:E314"/>
    <mergeCell ref="D315:E315"/>
    <mergeCell ref="D316:E316"/>
    <mergeCell ref="D318:E318"/>
    <mergeCell ref="D293:E293"/>
    <mergeCell ref="B297:P297"/>
    <mergeCell ref="B298:C298"/>
    <mergeCell ref="E298:P298"/>
    <mergeCell ref="D310:E310"/>
    <mergeCell ref="D311:E311"/>
    <mergeCell ref="D339:E339"/>
    <mergeCell ref="D340:E340"/>
    <mergeCell ref="D341:E341"/>
    <mergeCell ref="D342:E342"/>
    <mergeCell ref="D343:E343"/>
    <mergeCell ref="D345:E345"/>
    <mergeCell ref="D319:E319"/>
    <mergeCell ref="D320:E320"/>
    <mergeCell ref="B328:E328"/>
    <mergeCell ref="B329:C329"/>
    <mergeCell ref="D337:E337"/>
    <mergeCell ref="D338:E338"/>
    <mergeCell ref="D364:E364"/>
    <mergeCell ref="D365:E365"/>
    <mergeCell ref="D366:E366"/>
    <mergeCell ref="D367:E367"/>
    <mergeCell ref="D368:E368"/>
    <mergeCell ref="D369:E369"/>
    <mergeCell ref="D346:E346"/>
    <mergeCell ref="D347:E347"/>
    <mergeCell ref="B351:M351"/>
    <mergeCell ref="B352:C352"/>
    <mergeCell ref="E352:P352"/>
    <mergeCell ref="D363:E363"/>
    <mergeCell ref="D391:E391"/>
    <mergeCell ref="D392:E392"/>
    <mergeCell ref="D393:E393"/>
    <mergeCell ref="D394:E394"/>
    <mergeCell ref="D395:E395"/>
    <mergeCell ref="D396:E396"/>
    <mergeCell ref="D370:E370"/>
    <mergeCell ref="D372:E372"/>
    <mergeCell ref="D373:E373"/>
    <mergeCell ref="D374:E374"/>
    <mergeCell ref="B379:F379"/>
    <mergeCell ref="B380:C380"/>
    <mergeCell ref="D413:E413"/>
    <mergeCell ref="D414:E414"/>
    <mergeCell ref="D415:E415"/>
    <mergeCell ref="D416:E416"/>
    <mergeCell ref="D417:E417"/>
    <mergeCell ref="D418:E418"/>
    <mergeCell ref="D397:E397"/>
    <mergeCell ref="D398:E398"/>
    <mergeCell ref="B401:E401"/>
    <mergeCell ref="B402:C402"/>
    <mergeCell ref="D411:E411"/>
    <mergeCell ref="D412:E412"/>
    <mergeCell ref="D436:E436"/>
    <mergeCell ref="D437:E437"/>
    <mergeCell ref="D438:E438"/>
    <mergeCell ref="D439:E439"/>
    <mergeCell ref="D440:E440"/>
    <mergeCell ref="D441:E441"/>
    <mergeCell ref="D420:E420"/>
    <mergeCell ref="D421:E421"/>
    <mergeCell ref="D422:E422"/>
    <mergeCell ref="B426:E426"/>
    <mergeCell ref="B427:C427"/>
    <mergeCell ref="D435:E435"/>
    <mergeCell ref="D478:E478"/>
    <mergeCell ref="D457:E457"/>
    <mergeCell ref="D458:E458"/>
    <mergeCell ref="D459:E459"/>
    <mergeCell ref="D460:E460"/>
    <mergeCell ref="D461:E461"/>
    <mergeCell ref="B465:E465"/>
    <mergeCell ref="D442:E442"/>
    <mergeCell ref="B445:E445"/>
    <mergeCell ref="B446:C446"/>
    <mergeCell ref="D454:E454"/>
    <mergeCell ref="D455:E455"/>
    <mergeCell ref="D456:E456"/>
    <mergeCell ref="H379:N380"/>
    <mergeCell ref="G363:M364"/>
    <mergeCell ref="H402:N403"/>
    <mergeCell ref="H426:N427"/>
    <mergeCell ref="H445:N446"/>
    <mergeCell ref="G349:M350"/>
    <mergeCell ref="D500:E500"/>
    <mergeCell ref="D494:E494"/>
    <mergeCell ref="D495:E495"/>
    <mergeCell ref="D496:E496"/>
    <mergeCell ref="D497:E497"/>
    <mergeCell ref="D498:E498"/>
    <mergeCell ref="D499:E499"/>
    <mergeCell ref="D479:E479"/>
    <mergeCell ref="D480:E480"/>
    <mergeCell ref="D481:E481"/>
    <mergeCell ref="B484:E484"/>
    <mergeCell ref="B485:C485"/>
    <mergeCell ref="D493:E493"/>
    <mergeCell ref="B466:C466"/>
    <mergeCell ref="D474:E474"/>
    <mergeCell ref="D475:E475"/>
    <mergeCell ref="D476:E476"/>
    <mergeCell ref="D477:E477"/>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E9314-F457-4971-A595-982D3DDC76BE}">
  <sheetPr>
    <tabColor theme="9" tint="0.59999389629810485"/>
  </sheetPr>
  <dimension ref="A2:T51"/>
  <sheetViews>
    <sheetView zoomScaleNormal="100" workbookViewId="0">
      <selection activeCell="F9" sqref="F9"/>
    </sheetView>
  </sheetViews>
  <sheetFormatPr defaultRowHeight="15" x14ac:dyDescent="0.25"/>
  <cols>
    <col min="2" max="2" width="13.5703125" bestFit="1" customWidth="1"/>
    <col min="3" max="3" width="38.85546875" bestFit="1" customWidth="1"/>
    <col min="4" max="4" width="22.140625" customWidth="1"/>
    <col min="5" max="5" width="12.140625" bestFit="1" customWidth="1"/>
    <col min="6" max="6" width="12.140625" customWidth="1"/>
    <col min="7" max="7" width="12.85546875" hidden="1" customWidth="1"/>
    <col min="8" max="8" width="13.7109375" hidden="1" customWidth="1"/>
    <col min="9" max="9" width="9.140625" customWidth="1"/>
  </cols>
  <sheetData>
    <row r="2" spans="1:20" ht="15.75" thickBot="1" x14ac:dyDescent="0.3"/>
    <row r="3" spans="1:20" ht="15.75" thickBot="1" x14ac:dyDescent="0.3">
      <c r="B3" s="130" t="s">
        <v>319</v>
      </c>
      <c r="C3" s="129" t="s">
        <v>318</v>
      </c>
      <c r="D3" s="129" t="s">
        <v>712</v>
      </c>
      <c r="E3" s="1165" t="s">
        <v>713</v>
      </c>
      <c r="G3" s="1165" t="s">
        <v>713</v>
      </c>
    </row>
    <row r="4" spans="1:20" x14ac:dyDescent="0.25">
      <c r="B4" s="116" t="s">
        <v>315</v>
      </c>
      <c r="C4" t="s">
        <v>314</v>
      </c>
      <c r="D4" s="126">
        <v>6221.9259542286536</v>
      </c>
      <c r="E4" s="126">
        <f>'[19]Below the line'!$E$5</f>
        <v>6392.9174203826224</v>
      </c>
      <c r="F4" s="1274" t="s">
        <v>4</v>
      </c>
      <c r="G4" s="114"/>
      <c r="I4" s="1302" t="s">
        <v>770</v>
      </c>
      <c r="J4" s="1302"/>
      <c r="K4" s="1302"/>
      <c r="L4" s="1302"/>
      <c r="M4" s="1302"/>
      <c r="N4" s="1302"/>
      <c r="O4" s="1302"/>
      <c r="P4" s="1302"/>
      <c r="Q4" s="1302"/>
      <c r="R4" s="1302"/>
      <c r="S4" s="1302"/>
      <c r="T4" s="1302"/>
    </row>
    <row r="5" spans="1:20" x14ac:dyDescent="0.25">
      <c r="A5" s="1305" t="s">
        <v>4</v>
      </c>
      <c r="B5" s="1161" t="s">
        <v>313</v>
      </c>
      <c r="C5" t="s">
        <v>312</v>
      </c>
      <c r="D5" s="117">
        <v>20732.398668629623</v>
      </c>
      <c r="E5" s="117">
        <f>D5*(1+2.71%)</f>
        <v>21294.246672549485</v>
      </c>
      <c r="F5" s="1163"/>
      <c r="G5" s="1166">
        <f>'[19]Below the line'!$K$5</f>
        <v>2346.7561195270855</v>
      </c>
      <c r="H5" t="s">
        <v>717</v>
      </c>
      <c r="K5" s="301"/>
    </row>
    <row r="6" spans="1:20" x14ac:dyDescent="0.25">
      <c r="A6" s="1305"/>
      <c r="B6" s="116" t="s">
        <v>311</v>
      </c>
      <c r="C6" t="s">
        <v>310</v>
      </c>
      <c r="D6" s="126">
        <v>202.39734163733908</v>
      </c>
      <c r="E6" s="126">
        <f>'[19]Below the line'!$O$5</f>
        <v>364.52871302241937</v>
      </c>
      <c r="F6" s="1163"/>
      <c r="G6" s="114"/>
    </row>
    <row r="7" spans="1:20" x14ac:dyDescent="0.25">
      <c r="A7" s="1305"/>
      <c r="B7" s="127" t="s">
        <v>309</v>
      </c>
      <c r="C7" t="s">
        <v>308</v>
      </c>
      <c r="D7" s="126">
        <v>823.75132959083601</v>
      </c>
      <c r="E7" s="126">
        <f>'[19]Below the line'!$Q$5</f>
        <v>1059.8793475070393</v>
      </c>
      <c r="F7" s="1163"/>
      <c r="G7" s="114"/>
    </row>
    <row r="8" spans="1:20" x14ac:dyDescent="0.25">
      <c r="A8" s="1305"/>
      <c r="B8" s="116" t="s">
        <v>307</v>
      </c>
      <c r="C8" t="s">
        <v>306</v>
      </c>
      <c r="D8" s="126">
        <v>726.26821565114597</v>
      </c>
      <c r="E8" s="126">
        <f>'[19]Below the line'!$S$5</f>
        <v>699.30302909370471</v>
      </c>
      <c r="F8" s="1163">
        <f>D8*(1+2.71%)</f>
        <v>745.95008429529196</v>
      </c>
      <c r="G8" s="114"/>
    </row>
    <row r="9" spans="1:20" x14ac:dyDescent="0.25">
      <c r="A9" s="1305" t="s">
        <v>4</v>
      </c>
      <c r="B9" s="1161" t="s">
        <v>305</v>
      </c>
      <c r="C9" t="s">
        <v>304</v>
      </c>
      <c r="D9" s="117">
        <v>1741.693522928565</v>
      </c>
      <c r="E9" s="117">
        <f>D9*(1+2.71%)</f>
        <v>1788.8934173999289</v>
      </c>
      <c r="F9" s="1163"/>
      <c r="G9" s="1166">
        <f>'[19]Below the line'!$U$5</f>
        <v>433.93009090630835</v>
      </c>
      <c r="H9" t="s">
        <v>717</v>
      </c>
    </row>
    <row r="10" spans="1:20" x14ac:dyDescent="0.25">
      <c r="A10" s="1305" t="s">
        <v>4</v>
      </c>
      <c r="B10" s="1161" t="s">
        <v>303</v>
      </c>
      <c r="C10" t="s">
        <v>302</v>
      </c>
      <c r="D10" s="117">
        <v>846.28963809049594</v>
      </c>
      <c r="E10" s="117">
        <f>D10*(1+2.71%)</f>
        <v>869.22408728274831</v>
      </c>
      <c r="F10" s="1163"/>
      <c r="G10" s="1166">
        <f>'[19]Below the line'!$W$5</f>
        <v>441.29262566368533</v>
      </c>
      <c r="H10" s="1162" t="s">
        <v>717</v>
      </c>
      <c r="I10" s="1162"/>
    </row>
    <row r="11" spans="1:20" x14ac:dyDescent="0.25">
      <c r="A11" s="1305" t="s">
        <v>4</v>
      </c>
      <c r="B11" s="1161" t="s">
        <v>301</v>
      </c>
      <c r="C11" t="s">
        <v>300</v>
      </c>
      <c r="D11" s="117">
        <v>334.77110062906314</v>
      </c>
      <c r="E11" s="117">
        <f>'[19]Below the line'!$Y$5</f>
        <v>772.79217727650666</v>
      </c>
      <c r="F11" s="1163"/>
      <c r="G11" s="114"/>
    </row>
    <row r="12" spans="1:20" x14ac:dyDescent="0.25">
      <c r="A12" s="1305"/>
      <c r="B12" s="116" t="s">
        <v>299</v>
      </c>
      <c r="C12" t="s">
        <v>298</v>
      </c>
      <c r="D12" s="117">
        <v>184.79433263973775</v>
      </c>
      <c r="E12" s="117">
        <f>'[19]Below the line'!$AA$5</f>
        <v>140.73071718538566</v>
      </c>
      <c r="F12" s="1163"/>
      <c r="G12" s="114"/>
    </row>
    <row r="13" spans="1:20" x14ac:dyDescent="0.25">
      <c r="A13" s="1305"/>
      <c r="B13" s="116" t="s">
        <v>297</v>
      </c>
      <c r="C13" t="s">
        <v>296</v>
      </c>
      <c r="D13" s="117">
        <v>1858.2779275952644</v>
      </c>
      <c r="E13" s="117">
        <f>'[19]Below the line'!$AC$5</f>
        <v>2281.1717646047468</v>
      </c>
      <c r="F13" s="1163"/>
      <c r="G13" s="114"/>
    </row>
    <row r="14" spans="1:20" x14ac:dyDescent="0.25">
      <c r="A14" s="1305"/>
      <c r="B14" s="116" t="s">
        <v>295</v>
      </c>
      <c r="C14" t="s">
        <v>294</v>
      </c>
      <c r="D14" s="117">
        <v>1475.3908322281168</v>
      </c>
      <c r="E14" s="117">
        <f>'[19]Below the line'!$AE$5</f>
        <v>1766.2389753369646</v>
      </c>
      <c r="F14" s="1163"/>
      <c r="G14" s="114"/>
    </row>
    <row r="15" spans="1:20" x14ac:dyDescent="0.25">
      <c r="A15" s="1305" t="s">
        <v>4</v>
      </c>
      <c r="B15" s="1161" t="s">
        <v>293</v>
      </c>
      <c r="C15" t="s">
        <v>292</v>
      </c>
      <c r="D15" s="117">
        <v>16545.284327323163</v>
      </c>
      <c r="E15" s="117">
        <f>D15*(1+2.71%)</f>
        <v>16993.661532593618</v>
      </c>
      <c r="F15" s="1163"/>
      <c r="G15" s="1166">
        <f>'[19]Below the line'!$AG$5</f>
        <v>12760.728785357736</v>
      </c>
      <c r="H15" t="s">
        <v>717</v>
      </c>
    </row>
    <row r="16" spans="1:20" x14ac:dyDescent="0.25">
      <c r="A16" s="1305"/>
      <c r="B16" s="116" t="s">
        <v>291</v>
      </c>
      <c r="C16" t="s">
        <v>290</v>
      </c>
      <c r="D16" s="117"/>
      <c r="E16" s="117" t="str">
        <f>'[19]Below the line'!$AI$5</f>
        <v>-</v>
      </c>
      <c r="F16" s="1163"/>
      <c r="G16" s="114"/>
    </row>
    <row r="17" spans="1:8" x14ac:dyDescent="0.25">
      <c r="A17" s="1305"/>
      <c r="B17" s="116" t="s">
        <v>289</v>
      </c>
      <c r="C17" t="s">
        <v>288</v>
      </c>
      <c r="D17" s="117">
        <v>1493.1564099112707</v>
      </c>
      <c r="E17" s="117">
        <f>'[19]Below the line'!$AK$5</f>
        <v>2947.5899663350119</v>
      </c>
      <c r="F17" s="1163"/>
      <c r="G17" s="114"/>
    </row>
    <row r="18" spans="1:8" x14ac:dyDescent="0.25">
      <c r="A18" s="1305" t="s">
        <v>4</v>
      </c>
      <c r="B18" s="1161" t="s">
        <v>287</v>
      </c>
      <c r="C18" t="s">
        <v>286</v>
      </c>
      <c r="D18" s="117">
        <v>3151.0944966340862</v>
      </c>
      <c r="E18" s="117">
        <f>D18*(1+2.71%)</f>
        <v>3236.4891574928697</v>
      </c>
      <c r="F18" s="1163"/>
      <c r="G18" s="1166">
        <f>'[19]Below the line'!$AO$5</f>
        <v>2576.5311706910366</v>
      </c>
      <c r="H18" t="s">
        <v>717</v>
      </c>
    </row>
    <row r="19" spans="1:8" ht="15.75" thickBot="1" x14ac:dyDescent="0.3">
      <c r="A19" s="1305" t="s">
        <v>4</v>
      </c>
      <c r="B19" s="1307" t="s">
        <v>285</v>
      </c>
      <c r="C19" s="124" t="s">
        <v>284</v>
      </c>
      <c r="D19" s="1306">
        <v>12302.804876255133</v>
      </c>
      <c r="E19" s="1306">
        <f>D19*(1+2.71%)</f>
        <v>12636.210888401647</v>
      </c>
      <c r="F19" s="1164"/>
      <c r="G19" s="1167">
        <f>'[19]Below the line'!$AQ$5</f>
        <v>10098.858133512553</v>
      </c>
      <c r="H19" t="s">
        <v>717</v>
      </c>
    </row>
    <row r="20" spans="1:8" x14ac:dyDescent="0.25">
      <c r="B20" s="122"/>
      <c r="C20" s="121" t="s">
        <v>283</v>
      </c>
      <c r="D20" s="120"/>
      <c r="E20" s="1171">
        <v>1000</v>
      </c>
      <c r="F20" s="1130"/>
    </row>
    <row r="21" spans="1:8" x14ac:dyDescent="0.25">
      <c r="B21" s="116"/>
      <c r="C21" s="118" t="s">
        <v>282</v>
      </c>
      <c r="D21" s="114"/>
      <c r="E21" s="117">
        <f>26905.67*(2.71%+1)</f>
        <v>27634.813656999995</v>
      </c>
      <c r="F21" s="1163"/>
      <c r="G21" s="1163"/>
    </row>
    <row r="22" spans="1:8" x14ac:dyDescent="0.25">
      <c r="B22" s="116"/>
      <c r="C22" s="118" t="s">
        <v>280</v>
      </c>
      <c r="D22" s="114"/>
      <c r="E22" s="117">
        <f>36688.9*(2.71%+1)</f>
        <v>37683.169190000001</v>
      </c>
      <c r="F22" s="1163"/>
      <c r="G22" s="1163"/>
    </row>
    <row r="23" spans="1:8" x14ac:dyDescent="0.25">
      <c r="B23" s="116"/>
      <c r="C23" s="118" t="s">
        <v>278</v>
      </c>
      <c r="D23" s="114"/>
      <c r="E23" s="117">
        <f>46472.13*(2.71%+1)</f>
        <v>47731.524722999995</v>
      </c>
      <c r="F23" s="1163"/>
      <c r="G23" s="1163"/>
    </row>
    <row r="24" spans="1:8" x14ac:dyDescent="0.25">
      <c r="B24" s="116"/>
      <c r="C24" s="115" t="s">
        <v>277</v>
      </c>
      <c r="D24" s="114"/>
      <c r="E24" s="113">
        <f>43580*(2.71%+1)</f>
        <v>44761.017999999996</v>
      </c>
      <c r="F24" s="997"/>
      <c r="G24" s="232"/>
    </row>
    <row r="25" spans="1:8" x14ac:dyDescent="0.25">
      <c r="B25" s="116"/>
      <c r="C25" s="115" t="s">
        <v>276</v>
      </c>
      <c r="D25" s="114"/>
      <c r="E25" s="996">
        <f>21500*(1+2.71%)</f>
        <v>22082.649999999998</v>
      </c>
      <c r="F25" s="997"/>
    </row>
    <row r="26" spans="1:8" ht="15.75" thickBot="1" x14ac:dyDescent="0.3">
      <c r="B26" s="102"/>
      <c r="C26" s="112" t="s">
        <v>275</v>
      </c>
      <c r="D26" s="111"/>
      <c r="E26" s="1170">
        <f>1000*(2.71%+1)</f>
        <v>1027.0999999999999</v>
      </c>
      <c r="F26" s="997"/>
    </row>
    <row r="27" spans="1:8" ht="15.75" thickBot="1" x14ac:dyDescent="0.3"/>
    <row r="28" spans="1:8" ht="15.75" thickBot="1" x14ac:dyDescent="0.3">
      <c r="C28" s="1884" t="s">
        <v>714</v>
      </c>
      <c r="D28" s="1885"/>
    </row>
    <row r="29" spans="1:8" x14ac:dyDescent="0.25">
      <c r="C29" s="108" t="s">
        <v>272</v>
      </c>
      <c r="D29" s="107">
        <f>'[19]Clean Data'!$BN$3</f>
        <v>0.18506921909099713</v>
      </c>
    </row>
    <row r="30" spans="1:8" x14ac:dyDescent="0.25">
      <c r="C30" s="106" t="s">
        <v>271</v>
      </c>
      <c r="D30" s="105">
        <f>'[19]Clean Data'!$BN$4</f>
        <v>0.19665509947805848</v>
      </c>
    </row>
    <row r="31" spans="1:8" ht="15.75" thickBot="1" x14ac:dyDescent="0.3">
      <c r="C31" s="104" t="s">
        <v>270</v>
      </c>
      <c r="D31" s="109">
        <v>0.24970000000000001</v>
      </c>
    </row>
    <row r="33" spans="3:4" ht="15.75" thickBot="1" x14ac:dyDescent="0.3"/>
    <row r="34" spans="3:4" ht="15.75" thickBot="1" x14ac:dyDescent="0.3">
      <c r="C34" s="1884" t="s">
        <v>719</v>
      </c>
      <c r="D34" s="1885"/>
    </row>
    <row r="35" spans="3:4" x14ac:dyDescent="0.25">
      <c r="C35" s="108" t="s">
        <v>272</v>
      </c>
      <c r="D35" s="107">
        <f>'[19]Clean Data'!$CX$3</f>
        <v>0.14430382183710908</v>
      </c>
    </row>
    <row r="36" spans="3:4" x14ac:dyDescent="0.25">
      <c r="C36" s="106" t="s">
        <v>271</v>
      </c>
      <c r="D36" s="105">
        <f>'[19]Clean Data'!$CX$4</f>
        <v>0.13610318728808196</v>
      </c>
    </row>
    <row r="37" spans="3:4" ht="15.75" thickBot="1" x14ac:dyDescent="0.3">
      <c r="C37" s="104" t="s">
        <v>270</v>
      </c>
      <c r="D37" s="109">
        <v>0.12</v>
      </c>
    </row>
    <row r="39" spans="3:4" hidden="1" x14ac:dyDescent="0.25">
      <c r="C39" s="1884" t="s">
        <v>273</v>
      </c>
      <c r="D39" s="1885"/>
    </row>
    <row r="40" spans="3:4" hidden="1" x14ac:dyDescent="0.25">
      <c r="C40" s="108" t="s">
        <v>272</v>
      </c>
      <c r="D40" s="107">
        <f>'[20]Clean Data'!$CX$3</f>
        <v>0.14146982114996537</v>
      </c>
    </row>
    <row r="41" spans="3:4" hidden="1" x14ac:dyDescent="0.25">
      <c r="C41" s="106" t="s">
        <v>271</v>
      </c>
      <c r="D41" s="105">
        <f>'[20]Clean Data'!$CX$4</f>
        <v>0.12515967887956961</v>
      </c>
    </row>
    <row r="42" spans="3:4" ht="15.75" hidden="1" thickBot="1" x14ac:dyDescent="0.3">
      <c r="C42" s="104" t="s">
        <v>270</v>
      </c>
      <c r="D42" s="103">
        <v>0.12</v>
      </c>
    </row>
    <row r="43" spans="3:4" hidden="1" x14ac:dyDescent="0.25"/>
    <row r="44" spans="3:4" hidden="1" x14ac:dyDescent="0.25"/>
    <row r="45" spans="3:4" hidden="1" x14ac:dyDescent="0.25"/>
    <row r="46" spans="3:4" hidden="1" x14ac:dyDescent="0.25"/>
    <row r="47" spans="3:4" hidden="1" x14ac:dyDescent="0.25">
      <c r="C47" s="1884" t="s">
        <v>269</v>
      </c>
      <c r="D47" s="1885"/>
    </row>
    <row r="48" spans="3:4" ht="15.75" hidden="1" thickBot="1" x14ac:dyDescent="0.3">
      <c r="C48" s="102" t="s">
        <v>268</v>
      </c>
      <c r="D48" s="101">
        <f>'[21]CAF Spring 2023'!CI26</f>
        <v>2.7100379121522307E-2</v>
      </c>
    </row>
    <row r="49" spans="3:4" ht="15.75" thickBot="1" x14ac:dyDescent="0.3"/>
    <row r="50" spans="3:4" x14ac:dyDescent="0.25">
      <c r="C50" s="1884" t="s">
        <v>715</v>
      </c>
      <c r="D50" s="1885"/>
    </row>
    <row r="51" spans="3:4" ht="15.75" thickBot="1" x14ac:dyDescent="0.3">
      <c r="C51" s="102" t="s">
        <v>716</v>
      </c>
      <c r="D51" s="1227">
        <f>'CAF Spring 2025'!CT26</f>
        <v>2.5282070971092779E-2</v>
      </c>
    </row>
  </sheetData>
  <mergeCells count="5">
    <mergeCell ref="C34:D34"/>
    <mergeCell ref="C39:D39"/>
    <mergeCell ref="C47:D47"/>
    <mergeCell ref="C28:D28"/>
    <mergeCell ref="C50:D50"/>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6587C-0FC8-4710-A2B1-3F2A6AF9283A}">
  <sheetPr>
    <tabColor theme="9" tint="0.59999389629810485"/>
  </sheetPr>
  <dimension ref="B2:H59"/>
  <sheetViews>
    <sheetView zoomScaleNormal="100" workbookViewId="0">
      <selection activeCell="F48" sqref="F48"/>
    </sheetView>
  </sheetViews>
  <sheetFormatPr defaultRowHeight="15" x14ac:dyDescent="0.25"/>
  <cols>
    <col min="2" max="2" width="13.5703125" bestFit="1" customWidth="1"/>
    <col min="3" max="3" width="38.85546875" bestFit="1" customWidth="1"/>
    <col min="4" max="4" width="19.5703125" bestFit="1" customWidth="1"/>
    <col min="5" max="5" width="12.140625" bestFit="1" customWidth="1"/>
    <col min="6" max="6" width="11.140625" bestFit="1" customWidth="1"/>
    <col min="7" max="7" width="14.28515625" customWidth="1"/>
    <col min="8" max="8" width="35.85546875" bestFit="1" customWidth="1"/>
  </cols>
  <sheetData>
    <row r="2" spans="2:5" ht="15.75" thickBot="1" x14ac:dyDescent="0.3"/>
    <row r="3" spans="2:5" ht="15.75" thickBot="1" x14ac:dyDescent="0.3">
      <c r="B3" s="130" t="s">
        <v>319</v>
      </c>
      <c r="C3" s="129" t="s">
        <v>318</v>
      </c>
      <c r="D3" s="129" t="s">
        <v>317</v>
      </c>
      <c r="E3" s="128" t="s">
        <v>316</v>
      </c>
    </row>
    <row r="4" spans="2:5" x14ac:dyDescent="0.25">
      <c r="B4" s="116" t="s">
        <v>315</v>
      </c>
      <c r="C4" t="s">
        <v>314</v>
      </c>
      <c r="D4" s="126">
        <v>5963.9694954316819</v>
      </c>
      <c r="E4" s="126">
        <v>6221.9259542286536</v>
      </c>
    </row>
    <row r="5" spans="2:5" x14ac:dyDescent="0.25">
      <c r="B5" s="116" t="s">
        <v>313</v>
      </c>
      <c r="C5" t="s">
        <v>312</v>
      </c>
      <c r="D5" s="126">
        <v>19030.16756708255</v>
      </c>
      <c r="E5" s="126">
        <v>20732.398668629623</v>
      </c>
    </row>
    <row r="6" spans="2:5" x14ac:dyDescent="0.25">
      <c r="B6" s="127" t="s">
        <v>311</v>
      </c>
      <c r="C6" t="s">
        <v>310</v>
      </c>
      <c r="D6" s="126">
        <v>159.61973086509079</v>
      </c>
      <c r="E6" s="126">
        <v>202.39734163733908</v>
      </c>
    </row>
    <row r="7" spans="2:5" x14ac:dyDescent="0.25">
      <c r="B7" s="127" t="s">
        <v>309</v>
      </c>
      <c r="C7" t="s">
        <v>308</v>
      </c>
      <c r="D7" s="126">
        <v>1056.8783932396871</v>
      </c>
      <c r="E7" s="126">
        <v>823.75132959083601</v>
      </c>
    </row>
    <row r="8" spans="2:5" x14ac:dyDescent="0.25">
      <c r="B8" s="127" t="s">
        <v>307</v>
      </c>
      <c r="C8" t="s">
        <v>306</v>
      </c>
      <c r="D8" s="126">
        <v>659.46971027355744</v>
      </c>
      <c r="E8" s="126">
        <v>726.26821565114597</v>
      </c>
    </row>
    <row r="9" spans="2:5" x14ac:dyDescent="0.25">
      <c r="B9" s="127" t="s">
        <v>305</v>
      </c>
      <c r="C9" t="s">
        <v>304</v>
      </c>
      <c r="D9" s="126">
        <v>474.11060420697481</v>
      </c>
      <c r="E9" s="126">
        <v>1741.693522928565</v>
      </c>
    </row>
    <row r="10" spans="2:5" x14ac:dyDescent="0.25">
      <c r="B10" s="127" t="s">
        <v>303</v>
      </c>
      <c r="C10" t="s">
        <v>302</v>
      </c>
      <c r="D10" s="126">
        <v>794.38064007837045</v>
      </c>
      <c r="E10" s="126">
        <v>846.28963809049594</v>
      </c>
    </row>
    <row r="11" spans="2:5" x14ac:dyDescent="0.25">
      <c r="B11" s="127" t="s">
        <v>301</v>
      </c>
      <c r="C11" t="s">
        <v>300</v>
      </c>
      <c r="D11" s="126">
        <v>1160.45426260112</v>
      </c>
      <c r="E11" s="126">
        <v>334.77110062906314</v>
      </c>
    </row>
    <row r="12" spans="2:5" x14ac:dyDescent="0.25">
      <c r="B12" s="127" t="s">
        <v>299</v>
      </c>
      <c r="C12" t="s">
        <v>298</v>
      </c>
      <c r="D12" s="126">
        <v>360.01736555263551</v>
      </c>
      <c r="E12" s="126">
        <v>184.79433263973775</v>
      </c>
    </row>
    <row r="13" spans="2:5" x14ac:dyDescent="0.25">
      <c r="B13" s="127" t="s">
        <v>297</v>
      </c>
      <c r="C13" t="s">
        <v>296</v>
      </c>
      <c r="D13" s="126">
        <v>1733.9343036087084</v>
      </c>
      <c r="E13" s="126">
        <v>1858.2779275952644</v>
      </c>
    </row>
    <row r="14" spans="2:5" x14ac:dyDescent="0.25">
      <c r="B14" s="116" t="s">
        <v>295</v>
      </c>
      <c r="C14" t="s">
        <v>294</v>
      </c>
      <c r="D14" s="126">
        <v>1953.5170393964802</v>
      </c>
      <c r="E14" s="126">
        <v>1475.3908322281168</v>
      </c>
    </row>
    <row r="15" spans="2:5" x14ac:dyDescent="0.25">
      <c r="B15" s="116" t="s">
        <v>293</v>
      </c>
      <c r="C15" t="s">
        <v>292</v>
      </c>
      <c r="D15" s="126">
        <v>8800.0556870388427</v>
      </c>
      <c r="E15" s="126">
        <v>16545.284327323163</v>
      </c>
    </row>
    <row r="16" spans="2:5" x14ac:dyDescent="0.25">
      <c r="B16" s="116" t="s">
        <v>291</v>
      </c>
      <c r="C16" t="s">
        <v>290</v>
      </c>
      <c r="D16" s="126">
        <v>0</v>
      </c>
      <c r="E16" s="126"/>
    </row>
    <row r="17" spans="2:8" x14ac:dyDescent="0.25">
      <c r="B17" s="116" t="s">
        <v>289</v>
      </c>
      <c r="C17" t="s">
        <v>288</v>
      </c>
      <c r="D17" s="126">
        <v>1347.3502436316674</v>
      </c>
      <c r="E17" s="126">
        <v>1493.1564099112707</v>
      </c>
    </row>
    <row r="18" spans="2:8" x14ac:dyDescent="0.25">
      <c r="B18" s="116" t="s">
        <v>287</v>
      </c>
      <c r="C18" t="s">
        <v>286</v>
      </c>
      <c r="D18" s="126">
        <v>2996.7173855870574</v>
      </c>
      <c r="E18" s="126">
        <v>3151.0944966340862</v>
      </c>
    </row>
    <row r="19" spans="2:8" ht="15.75" thickBot="1" x14ac:dyDescent="0.3">
      <c r="B19" s="125" t="s">
        <v>285</v>
      </c>
      <c r="C19" s="124" t="s">
        <v>284</v>
      </c>
      <c r="D19" s="123">
        <v>12619.980532849366</v>
      </c>
      <c r="E19" s="123">
        <v>12302.804876255133</v>
      </c>
    </row>
    <row r="20" spans="2:8" x14ac:dyDescent="0.25">
      <c r="B20" s="122"/>
      <c r="C20" s="121" t="s">
        <v>283</v>
      </c>
      <c r="D20" s="120"/>
      <c r="E20" s="119">
        <v>1000</v>
      </c>
    </row>
    <row r="21" spans="2:8" x14ac:dyDescent="0.25">
      <c r="B21" s="116"/>
      <c r="C21" s="118" t="s">
        <v>282</v>
      </c>
      <c r="D21" s="114"/>
      <c r="E21" s="117">
        <f>22590*(1+1.06%)</f>
        <v>22829.453999999998</v>
      </c>
      <c r="G21" s="117">
        <f>22590*(1.06%+1)</f>
        <v>22829.453999999998</v>
      </c>
      <c r="H21" t="s">
        <v>281</v>
      </c>
    </row>
    <row r="22" spans="2:8" x14ac:dyDescent="0.25">
      <c r="B22" s="116"/>
      <c r="C22" s="118" t="s">
        <v>280</v>
      </c>
      <c r="D22" s="114"/>
      <c r="E22" s="117">
        <f>30804*(1+1.06%)</f>
        <v>31130.522399999998</v>
      </c>
      <c r="G22" s="117">
        <f>30804*(1.06%+1)</f>
        <v>31130.522399999998</v>
      </c>
      <c r="H22" t="s">
        <v>279</v>
      </c>
    </row>
    <row r="23" spans="2:8" x14ac:dyDescent="0.25">
      <c r="B23" s="116"/>
      <c r="C23" s="118" t="s">
        <v>278</v>
      </c>
      <c r="D23" s="114"/>
      <c r="E23" s="117">
        <f>39018*(1+1.06%)</f>
        <v>39431.590799999998</v>
      </c>
      <c r="G23" s="117">
        <f>39018*(1.06%+1)</f>
        <v>39431.590799999998</v>
      </c>
    </row>
    <row r="24" spans="2:8" x14ac:dyDescent="0.25">
      <c r="B24" s="116"/>
      <c r="C24" s="115" t="s">
        <v>277</v>
      </c>
      <c r="D24" s="114"/>
      <c r="E24" s="113">
        <f>43123*(1.06%+1)</f>
        <v>43580.103799999997</v>
      </c>
    </row>
    <row r="25" spans="2:8" x14ac:dyDescent="0.25">
      <c r="B25" s="116"/>
      <c r="C25" s="115" t="s">
        <v>276</v>
      </c>
      <c r="D25" s="114"/>
      <c r="E25" s="113">
        <v>21500</v>
      </c>
    </row>
    <row r="26" spans="2:8" ht="15.75" thickBot="1" x14ac:dyDescent="0.3">
      <c r="B26" s="102"/>
      <c r="C26" s="112" t="s">
        <v>275</v>
      </c>
      <c r="D26" s="111"/>
      <c r="E26" s="110">
        <v>1000</v>
      </c>
    </row>
    <row r="29" spans="2:8" ht="15.75" thickBot="1" x14ac:dyDescent="0.3"/>
    <row r="30" spans="2:8" hidden="1" x14ac:dyDescent="0.25"/>
    <row r="31" spans="2:8" hidden="1" x14ac:dyDescent="0.25"/>
    <row r="32" spans="2:8" hidden="1" x14ac:dyDescent="0.25">
      <c r="C32" s="1884" t="s">
        <v>274</v>
      </c>
      <c r="D32" s="1885"/>
    </row>
    <row r="33" spans="3:4" hidden="1" x14ac:dyDescent="0.25">
      <c r="C33" s="108" t="s">
        <v>272</v>
      </c>
      <c r="D33" s="107">
        <f>'[20]Clean Data'!$BN$3</f>
        <v>0.19760532777955617</v>
      </c>
    </row>
    <row r="34" spans="3:4" hidden="1" x14ac:dyDescent="0.25">
      <c r="C34" s="106" t="s">
        <v>271</v>
      </c>
      <c r="D34" s="105">
        <f>'[20]Clean Data'!$BN$4</f>
        <v>0.20761444165416432</v>
      </c>
    </row>
    <row r="35" spans="3:4" ht="15.75" hidden="1" thickBot="1" x14ac:dyDescent="0.3">
      <c r="C35" s="104" t="s">
        <v>270</v>
      </c>
      <c r="D35" s="109">
        <v>0.27379999999999999</v>
      </c>
    </row>
    <row r="36" spans="3:4" hidden="1" x14ac:dyDescent="0.25"/>
    <row r="37" spans="3:4" hidden="1" x14ac:dyDescent="0.25">
      <c r="C37" s="1884" t="s">
        <v>273</v>
      </c>
      <c r="D37" s="1885"/>
    </row>
    <row r="38" spans="3:4" hidden="1" x14ac:dyDescent="0.25">
      <c r="C38" s="108" t="s">
        <v>272</v>
      </c>
      <c r="D38" s="107">
        <f>'[20]Clean Data'!$CX$3</f>
        <v>0.14146982114996537</v>
      </c>
    </row>
    <row r="39" spans="3:4" hidden="1" x14ac:dyDescent="0.25">
      <c r="C39" s="106" t="s">
        <v>271</v>
      </c>
      <c r="D39" s="105">
        <f>'[20]Clean Data'!$CX$4</f>
        <v>0.12515967887956961</v>
      </c>
    </row>
    <row r="40" spans="3:4" ht="15.75" hidden="1" thickBot="1" x14ac:dyDescent="0.3">
      <c r="C40" s="104" t="s">
        <v>270</v>
      </c>
      <c r="D40" s="103">
        <v>0.12</v>
      </c>
    </row>
    <row r="41" spans="3:4" hidden="1" x14ac:dyDescent="0.25"/>
    <row r="42" spans="3:4" hidden="1" x14ac:dyDescent="0.25">
      <c r="C42" s="1884" t="s">
        <v>269</v>
      </c>
      <c r="D42" s="1885"/>
    </row>
    <row r="43" spans="3:4" ht="15.75" hidden="1" thickBot="1" x14ac:dyDescent="0.3">
      <c r="C43" s="102" t="s">
        <v>268</v>
      </c>
      <c r="D43" s="101">
        <f>'CAF Spring 2023'!CI26</f>
        <v>2.7100379121522307E-2</v>
      </c>
    </row>
    <row r="44" spans="3:4" hidden="1" x14ac:dyDescent="0.25"/>
    <row r="45" spans="3:4" hidden="1" x14ac:dyDescent="0.25"/>
    <row r="46" spans="3:4" ht="15.75" thickBot="1" x14ac:dyDescent="0.3">
      <c r="C46" s="1884" t="s">
        <v>274</v>
      </c>
      <c r="D46" s="1885"/>
    </row>
    <row r="47" spans="3:4" x14ac:dyDescent="0.25">
      <c r="C47" s="108" t="s">
        <v>272</v>
      </c>
      <c r="D47" s="107">
        <f>'[20]Clean Data'!$BN$3</f>
        <v>0.19760532777955617</v>
      </c>
    </row>
    <row r="48" spans="3:4" x14ac:dyDescent="0.25">
      <c r="C48" s="106" t="s">
        <v>271</v>
      </c>
      <c r="D48" s="105">
        <f>'[20]Clean Data'!$BN$4</f>
        <v>0.20761444165416432</v>
      </c>
    </row>
    <row r="49" spans="3:4" ht="15.75" thickBot="1" x14ac:dyDescent="0.3">
      <c r="C49" s="104" t="s">
        <v>270</v>
      </c>
      <c r="D49" s="109">
        <v>0.27379999999999999</v>
      </c>
    </row>
    <row r="51" spans="3:4" ht="15.75" thickBot="1" x14ac:dyDescent="0.3"/>
    <row r="52" spans="3:4" ht="15.75" thickBot="1" x14ac:dyDescent="0.3">
      <c r="C52" s="1884" t="s">
        <v>273</v>
      </c>
      <c r="D52" s="1885"/>
    </row>
    <row r="53" spans="3:4" x14ac:dyDescent="0.25">
      <c r="C53" s="108" t="s">
        <v>272</v>
      </c>
      <c r="D53" s="107">
        <f>'[20]Clean Data'!$CX$3</f>
        <v>0.14146982114996537</v>
      </c>
    </row>
    <row r="54" spans="3:4" x14ac:dyDescent="0.25">
      <c r="C54" s="106" t="s">
        <v>271</v>
      </c>
      <c r="D54" s="105">
        <f>'[20]Clean Data'!$CX$4</f>
        <v>0.12515967887956961</v>
      </c>
    </row>
    <row r="55" spans="3:4" ht="15.75" thickBot="1" x14ac:dyDescent="0.3">
      <c r="C55" s="104" t="s">
        <v>270</v>
      </c>
      <c r="D55" s="103">
        <v>0.12</v>
      </c>
    </row>
    <row r="57" spans="3:4" ht="15.75" thickBot="1" x14ac:dyDescent="0.3"/>
    <row r="58" spans="3:4" x14ac:dyDescent="0.25">
      <c r="C58" s="1884" t="s">
        <v>269</v>
      </c>
      <c r="D58" s="1885"/>
    </row>
    <row r="59" spans="3:4" ht="15.75" thickBot="1" x14ac:dyDescent="0.3">
      <c r="C59" s="102" t="s">
        <v>268</v>
      </c>
      <c r="D59" s="101">
        <v>2.7099999999999999E-2</v>
      </c>
    </row>
  </sheetData>
  <mergeCells count="6">
    <mergeCell ref="C58:D58"/>
    <mergeCell ref="C32:D32"/>
    <mergeCell ref="C37:D37"/>
    <mergeCell ref="C42:D42"/>
    <mergeCell ref="C46:D46"/>
    <mergeCell ref="C52:D5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FAA33-A835-492B-87EB-5DC326D86FF7}">
  <sheetPr>
    <tabColor theme="9" tint="0.59999389629810485"/>
  </sheetPr>
  <dimension ref="B2:H43"/>
  <sheetViews>
    <sheetView zoomScaleNormal="100" workbookViewId="0">
      <selection activeCell="E21" sqref="E21"/>
    </sheetView>
  </sheetViews>
  <sheetFormatPr defaultRowHeight="15" x14ac:dyDescent="0.25"/>
  <cols>
    <col min="2" max="2" width="13.5703125" bestFit="1" customWidth="1"/>
    <col min="3" max="3" width="38.85546875" bestFit="1" customWidth="1"/>
    <col min="4" max="4" width="19.5703125" bestFit="1" customWidth="1"/>
    <col min="5" max="5" width="11.85546875" bestFit="1" customWidth="1"/>
    <col min="6" max="6" width="11.140625" bestFit="1" customWidth="1"/>
    <col min="7" max="7" width="11.140625" hidden="1" customWidth="1"/>
    <col min="8" max="8" width="0" hidden="1" customWidth="1"/>
  </cols>
  <sheetData>
    <row r="2" spans="2:5" ht="15.75" thickBot="1" x14ac:dyDescent="0.3"/>
    <row r="3" spans="2:5" ht="15.75" thickBot="1" x14ac:dyDescent="0.3">
      <c r="B3" s="130" t="s">
        <v>319</v>
      </c>
      <c r="C3" s="129" t="s">
        <v>318</v>
      </c>
      <c r="D3" s="129" t="s">
        <v>317</v>
      </c>
      <c r="E3" s="128" t="s">
        <v>316</v>
      </c>
    </row>
    <row r="4" spans="2:5" x14ac:dyDescent="0.25">
      <c r="B4" s="116" t="s">
        <v>315</v>
      </c>
      <c r="C4" t="s">
        <v>314</v>
      </c>
      <c r="D4" s="126">
        <v>5963.9694954316819</v>
      </c>
      <c r="E4" s="126">
        <v>6221.9259542286536</v>
      </c>
    </row>
    <row r="5" spans="2:5" x14ac:dyDescent="0.25">
      <c r="B5" s="116" t="s">
        <v>313</v>
      </c>
      <c r="C5" t="s">
        <v>312</v>
      </c>
      <c r="D5" s="126">
        <v>19030.16756708255</v>
      </c>
      <c r="E5" s="126">
        <v>20732.398668629623</v>
      </c>
    </row>
    <row r="6" spans="2:5" x14ac:dyDescent="0.25">
      <c r="B6" s="116" t="s">
        <v>311</v>
      </c>
      <c r="C6" t="s">
        <v>310</v>
      </c>
      <c r="D6" s="126">
        <v>159.61973086509079</v>
      </c>
      <c r="E6" s="126">
        <v>202.39734163733908</v>
      </c>
    </row>
    <row r="7" spans="2:5" x14ac:dyDescent="0.25">
      <c r="B7" s="1161" t="s">
        <v>309</v>
      </c>
      <c r="C7" t="s">
        <v>308</v>
      </c>
      <c r="D7" s="126">
        <v>1056.8783932396871</v>
      </c>
      <c r="E7" s="126">
        <v>823.75132959083601</v>
      </c>
    </row>
    <row r="8" spans="2:5" x14ac:dyDescent="0.25">
      <c r="B8" s="116" t="s">
        <v>307</v>
      </c>
      <c r="C8" t="s">
        <v>306</v>
      </c>
      <c r="D8" s="126">
        <v>659.46971027355744</v>
      </c>
      <c r="E8" s="126">
        <v>726.26821565114597</v>
      </c>
    </row>
    <row r="9" spans="2:5" x14ac:dyDescent="0.25">
      <c r="B9" s="1161" t="s">
        <v>305</v>
      </c>
      <c r="C9" t="s">
        <v>304</v>
      </c>
      <c r="D9" s="126">
        <v>474.11060420697481</v>
      </c>
      <c r="E9" s="126">
        <v>1741.693522928565</v>
      </c>
    </row>
    <row r="10" spans="2:5" x14ac:dyDescent="0.25">
      <c r="B10" s="1161" t="s">
        <v>303</v>
      </c>
      <c r="C10" t="s">
        <v>302</v>
      </c>
      <c r="D10" s="126">
        <v>794.38064007837045</v>
      </c>
      <c r="E10" s="126">
        <v>846.28963809049594</v>
      </c>
    </row>
    <row r="11" spans="2:5" x14ac:dyDescent="0.25">
      <c r="B11" s="1161" t="s">
        <v>301</v>
      </c>
      <c r="C11" t="s">
        <v>300</v>
      </c>
      <c r="D11" s="126">
        <v>1160.45426260112</v>
      </c>
      <c r="E11" s="126">
        <v>334.77110062906314</v>
      </c>
    </row>
    <row r="12" spans="2:5" x14ac:dyDescent="0.25">
      <c r="B12" s="116" t="s">
        <v>299</v>
      </c>
      <c r="C12" t="s">
        <v>298</v>
      </c>
      <c r="D12" s="126">
        <v>360.01736555263551</v>
      </c>
      <c r="E12" s="126">
        <v>184.79433263973775</v>
      </c>
    </row>
    <row r="13" spans="2:5" x14ac:dyDescent="0.25">
      <c r="B13" s="116" t="s">
        <v>297</v>
      </c>
      <c r="C13" t="s">
        <v>296</v>
      </c>
      <c r="D13" s="126">
        <v>1733.9343036087084</v>
      </c>
      <c r="E13" s="126">
        <v>1858.2779275952644</v>
      </c>
    </row>
    <row r="14" spans="2:5" x14ac:dyDescent="0.25">
      <c r="B14" s="116" t="s">
        <v>295</v>
      </c>
      <c r="C14" t="s">
        <v>294</v>
      </c>
      <c r="D14" s="126">
        <v>1953.5170393964802</v>
      </c>
      <c r="E14" s="126">
        <v>1475.3908322281168</v>
      </c>
    </row>
    <row r="15" spans="2:5" x14ac:dyDescent="0.25">
      <c r="B15" s="116" t="s">
        <v>293</v>
      </c>
      <c r="C15" t="s">
        <v>292</v>
      </c>
      <c r="D15" s="126">
        <v>8800.0556870388427</v>
      </c>
      <c r="E15" s="126">
        <v>16545.284327323163</v>
      </c>
    </row>
    <row r="16" spans="2:5" x14ac:dyDescent="0.25">
      <c r="B16" s="116" t="s">
        <v>291</v>
      </c>
      <c r="C16" t="s">
        <v>290</v>
      </c>
      <c r="D16" s="126">
        <v>0</v>
      </c>
      <c r="E16" s="126"/>
    </row>
    <row r="17" spans="2:8" x14ac:dyDescent="0.25">
      <c r="B17" s="116" t="s">
        <v>289</v>
      </c>
      <c r="C17" t="s">
        <v>288</v>
      </c>
      <c r="D17" s="126">
        <v>1347.3502436316674</v>
      </c>
      <c r="E17" s="126">
        <v>1493.1564099112707</v>
      </c>
    </row>
    <row r="18" spans="2:8" x14ac:dyDescent="0.25">
      <c r="B18" s="116" t="s">
        <v>287</v>
      </c>
      <c r="C18" t="s">
        <v>286</v>
      </c>
      <c r="D18" s="126">
        <v>2996.7173855870574</v>
      </c>
      <c r="E18" s="126">
        <v>3151.0944966340862</v>
      </c>
    </row>
    <row r="19" spans="2:8" ht="15.75" thickBot="1" x14ac:dyDescent="0.3">
      <c r="B19" s="125" t="s">
        <v>285</v>
      </c>
      <c r="C19" s="124" t="s">
        <v>284</v>
      </c>
      <c r="D19" s="123">
        <v>12619.980532849366</v>
      </c>
      <c r="E19" s="123">
        <v>12302.804876255133</v>
      </c>
    </row>
    <row r="20" spans="2:8" x14ac:dyDescent="0.25">
      <c r="B20" s="122"/>
      <c r="C20" s="121" t="s">
        <v>283</v>
      </c>
      <c r="D20" s="120"/>
      <c r="E20" s="119">
        <v>1000</v>
      </c>
    </row>
    <row r="21" spans="2:8" x14ac:dyDescent="0.25">
      <c r="B21" s="116"/>
      <c r="C21" s="118" t="s">
        <v>282</v>
      </c>
      <c r="D21" s="114"/>
      <c r="E21" s="117">
        <f>22590*(1.06%+1)</f>
        <v>22829.453999999998</v>
      </c>
      <c r="G21" s="117">
        <f>22590*(1.06%+1)</f>
        <v>22829.453999999998</v>
      </c>
      <c r="H21" t="s">
        <v>281</v>
      </c>
    </row>
    <row r="22" spans="2:8" x14ac:dyDescent="0.25">
      <c r="B22" s="116"/>
      <c r="C22" s="118" t="s">
        <v>280</v>
      </c>
      <c r="D22" s="114"/>
      <c r="E22" s="117">
        <f>30804*(1.06%+1)</f>
        <v>31130.522399999998</v>
      </c>
      <c r="G22" s="117">
        <f>30804*(1.06%+1)</f>
        <v>31130.522399999998</v>
      </c>
      <c r="H22" t="s">
        <v>279</v>
      </c>
    </row>
    <row r="23" spans="2:8" x14ac:dyDescent="0.25">
      <c r="B23" s="116"/>
      <c r="C23" s="118" t="s">
        <v>278</v>
      </c>
      <c r="D23" s="114"/>
      <c r="E23" s="117">
        <f>39018*(1.06%+1)</f>
        <v>39431.590799999998</v>
      </c>
      <c r="G23" s="117">
        <f>39018*(1.06%+1)</f>
        <v>39431.590799999998</v>
      </c>
    </row>
    <row r="24" spans="2:8" x14ac:dyDescent="0.25">
      <c r="B24" s="116"/>
      <c r="C24" s="115" t="s">
        <v>277</v>
      </c>
      <c r="D24" s="114"/>
      <c r="E24" s="113">
        <f>43123*(1.06%+1)</f>
        <v>43580.103799999997</v>
      </c>
    </row>
    <row r="25" spans="2:8" x14ac:dyDescent="0.25">
      <c r="B25" s="116"/>
      <c r="C25" s="115" t="s">
        <v>276</v>
      </c>
      <c r="D25" s="114"/>
      <c r="E25" s="113">
        <v>21500</v>
      </c>
    </row>
    <row r="26" spans="2:8" ht="15.75" thickBot="1" x14ac:dyDescent="0.3">
      <c r="B26" s="102"/>
      <c r="C26" s="112" t="s">
        <v>275</v>
      </c>
      <c r="D26" s="111"/>
      <c r="E26" s="110">
        <v>1000</v>
      </c>
    </row>
    <row r="31" spans="2:8" ht="15.75" thickBot="1" x14ac:dyDescent="0.3"/>
    <row r="32" spans="2:8" ht="15.75" thickBot="1" x14ac:dyDescent="0.3">
      <c r="C32" s="1884" t="s">
        <v>274</v>
      </c>
      <c r="D32" s="1885"/>
    </row>
    <row r="33" spans="3:4" x14ac:dyDescent="0.25">
      <c r="C33" s="108" t="s">
        <v>272</v>
      </c>
      <c r="D33" s="107">
        <f>'[20]Clean Data'!$BN$3</f>
        <v>0.19760532777955617</v>
      </c>
    </row>
    <row r="34" spans="3:4" x14ac:dyDescent="0.25">
      <c r="C34" s="106" t="s">
        <v>271</v>
      </c>
      <c r="D34" s="105">
        <f>'[20]Clean Data'!$BN$4</f>
        <v>0.20761444165416432</v>
      </c>
    </row>
    <row r="35" spans="3:4" ht="15.75" thickBot="1" x14ac:dyDescent="0.3">
      <c r="C35" s="104" t="s">
        <v>270</v>
      </c>
      <c r="D35" s="109">
        <v>0.27379999999999999</v>
      </c>
    </row>
    <row r="36" spans="3:4" ht="15.75" thickBot="1" x14ac:dyDescent="0.3"/>
    <row r="37" spans="3:4" ht="15.75" thickBot="1" x14ac:dyDescent="0.3">
      <c r="C37" s="1884" t="s">
        <v>273</v>
      </c>
      <c r="D37" s="1885"/>
    </row>
    <row r="38" spans="3:4" x14ac:dyDescent="0.25">
      <c r="C38" s="108" t="s">
        <v>272</v>
      </c>
      <c r="D38" s="107">
        <f>'[20]Clean Data'!$CX$3</f>
        <v>0.14146982114996537</v>
      </c>
    </row>
    <row r="39" spans="3:4" x14ac:dyDescent="0.25">
      <c r="C39" s="106" t="s">
        <v>271</v>
      </c>
      <c r="D39" s="105">
        <f>'[20]Clean Data'!$CX$4</f>
        <v>0.12515967887956961</v>
      </c>
    </row>
    <row r="40" spans="3:4" ht="15.75" thickBot="1" x14ac:dyDescent="0.3">
      <c r="C40" s="104" t="s">
        <v>270</v>
      </c>
      <c r="D40" s="103">
        <v>0.12</v>
      </c>
    </row>
    <row r="41" spans="3:4" ht="15.75" thickBot="1" x14ac:dyDescent="0.3"/>
    <row r="42" spans="3:4" x14ac:dyDescent="0.25">
      <c r="C42" s="1884" t="s">
        <v>269</v>
      </c>
      <c r="D42" s="1885"/>
    </row>
    <row r="43" spans="3:4" ht="15.75" thickBot="1" x14ac:dyDescent="0.3">
      <c r="C43" s="102" t="s">
        <v>268</v>
      </c>
      <c r="D43" s="101">
        <f>'[21]CAF Spring 2023'!CI26</f>
        <v>2.7100379121522307E-2</v>
      </c>
    </row>
  </sheetData>
  <mergeCells count="3">
    <mergeCell ref="C32:D32"/>
    <mergeCell ref="C37:D37"/>
    <mergeCell ref="C42:D4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6F512-BF28-47B1-93E6-C0B76AA3F5CA}">
  <dimension ref="B1:AC500"/>
  <sheetViews>
    <sheetView topLeftCell="A381" zoomScaleNormal="100" workbookViewId="0">
      <selection activeCell="C412" sqref="C412"/>
    </sheetView>
  </sheetViews>
  <sheetFormatPr defaultRowHeight="15" x14ac:dyDescent="0.25"/>
  <cols>
    <col min="2" max="2" width="38.85546875" bestFit="1" customWidth="1"/>
    <col min="3" max="3" width="25.140625" bestFit="1" customWidth="1"/>
    <col min="4" max="4" width="22.140625" bestFit="1" customWidth="1"/>
    <col min="5" max="5" width="18.42578125" bestFit="1" customWidth="1"/>
    <col min="6" max="6" width="20" bestFit="1" customWidth="1"/>
    <col min="7" max="7" width="20.42578125" bestFit="1" customWidth="1"/>
    <col min="8" max="8" width="26.140625" bestFit="1" customWidth="1"/>
    <col min="9" max="9" width="29.7109375" customWidth="1"/>
    <col min="10" max="10" width="19.85546875" bestFit="1" customWidth="1"/>
    <col min="11" max="11" width="22.140625" customWidth="1"/>
    <col min="12" max="12" width="19.140625" bestFit="1" customWidth="1"/>
    <col min="13" max="13" width="17.5703125" customWidth="1"/>
    <col min="14" max="14" width="27" customWidth="1"/>
    <col min="15" max="15" width="19.85546875" customWidth="1"/>
    <col min="16" max="16" width="29.140625" customWidth="1"/>
    <col min="17" max="31" width="8.42578125" bestFit="1" customWidth="1"/>
    <col min="33" max="33" width="8.42578125" bestFit="1" customWidth="1"/>
    <col min="35" max="35" width="8.42578125" bestFit="1" customWidth="1"/>
  </cols>
  <sheetData>
    <row r="1" spans="2:5" ht="15.75" thickBot="1" x14ac:dyDescent="0.3"/>
    <row r="2" spans="2:5" ht="27" thickBot="1" x14ac:dyDescent="0.45">
      <c r="B2" s="1673" t="s">
        <v>263</v>
      </c>
      <c r="C2" s="1674"/>
      <c r="D2" s="1674"/>
      <c r="E2" s="1685"/>
    </row>
    <row r="3" spans="2:5" ht="21" x14ac:dyDescent="0.35">
      <c r="B3" s="1711" t="s">
        <v>336</v>
      </c>
      <c r="C3" s="1712"/>
      <c r="D3" s="253" t="s">
        <v>335</v>
      </c>
      <c r="E3" s="252" t="s">
        <v>366</v>
      </c>
    </row>
    <row r="4" spans="2:5" x14ac:dyDescent="0.25">
      <c r="B4" s="138" t="s">
        <v>333</v>
      </c>
      <c r="C4" s="138" t="s">
        <v>332</v>
      </c>
      <c r="D4" s="147" t="s">
        <v>331</v>
      </c>
      <c r="E4" s="251" t="s">
        <v>263</v>
      </c>
    </row>
    <row r="5" spans="2:5" x14ac:dyDescent="0.25">
      <c r="B5" s="99" t="s">
        <v>451</v>
      </c>
      <c r="C5" s="220" t="s">
        <v>327</v>
      </c>
      <c r="D5" s="98">
        <f>INDEX('Salary lookup FY24'!F5:F19,MATCH(C5,'Salary lookup FY24'!B5:B19,0))</f>
        <v>41600</v>
      </c>
      <c r="E5" s="250">
        <v>1</v>
      </c>
    </row>
    <row r="6" spans="2:5" hidden="1" x14ac:dyDescent="0.25">
      <c r="B6" s="135"/>
      <c r="C6" s="135"/>
      <c r="D6" s="218"/>
      <c r="E6" s="249"/>
    </row>
    <row r="7" spans="2:5" hidden="1" x14ac:dyDescent="0.25">
      <c r="B7" s="135"/>
      <c r="C7" s="135"/>
      <c r="D7" s="218"/>
      <c r="E7" s="249"/>
    </row>
    <row r="8" spans="2:5" hidden="1" x14ac:dyDescent="0.25">
      <c r="B8" s="135"/>
      <c r="C8" s="135"/>
      <c r="D8" s="218"/>
      <c r="E8" s="249"/>
    </row>
    <row r="9" spans="2:5" hidden="1" x14ac:dyDescent="0.25">
      <c r="B9" s="135"/>
      <c r="C9" s="135"/>
      <c r="D9" s="218"/>
      <c r="E9" s="249"/>
    </row>
    <row r="10" spans="2:5" hidden="1" x14ac:dyDescent="0.25">
      <c r="B10" s="135"/>
      <c r="C10" s="135"/>
      <c r="D10" s="218"/>
      <c r="E10" s="249"/>
    </row>
    <row r="13" spans="2:5" x14ac:dyDescent="0.25">
      <c r="B13" s="137" t="s">
        <v>326</v>
      </c>
      <c r="C13" s="137" t="s">
        <v>325</v>
      </c>
      <c r="D13" s="1713" t="s">
        <v>324</v>
      </c>
      <c r="E13" s="1713"/>
    </row>
    <row r="14" spans="2:5" x14ac:dyDescent="0.25">
      <c r="B14" s="99" t="s">
        <v>308</v>
      </c>
      <c r="C14" s="136">
        <f>INDEX('Below the Line'!$E$4:$E$20,MATCH(B14,'Below the Line'!$C$4:$C$20,0))</f>
        <v>823.75132959083601</v>
      </c>
      <c r="D14" s="1661" t="s">
        <v>323</v>
      </c>
      <c r="E14" s="1661"/>
    </row>
    <row r="15" spans="2:5" hidden="1" x14ac:dyDescent="0.25">
      <c r="B15" s="135"/>
      <c r="C15" s="238"/>
      <c r="D15" s="248"/>
      <c r="E15" s="248"/>
    </row>
    <row r="16" spans="2:5" hidden="1" x14ac:dyDescent="0.25">
      <c r="B16" s="135"/>
      <c r="C16" s="238"/>
      <c r="D16" s="248"/>
      <c r="E16" s="248"/>
    </row>
    <row r="17" spans="2:29" hidden="1" x14ac:dyDescent="0.25">
      <c r="B17" s="135"/>
      <c r="C17" s="238"/>
      <c r="D17" s="248"/>
      <c r="E17" s="248"/>
    </row>
    <row r="18" spans="2:29" hidden="1" x14ac:dyDescent="0.25">
      <c r="B18" s="135"/>
      <c r="C18" s="238"/>
      <c r="D18" s="248"/>
      <c r="E18" s="248"/>
    </row>
    <row r="19" spans="2:29" x14ac:dyDescent="0.25">
      <c r="B19" s="132"/>
      <c r="C19" s="132"/>
      <c r="D19" s="1686"/>
      <c r="E19" s="1686"/>
    </row>
    <row r="20" spans="2:29" x14ac:dyDescent="0.25">
      <c r="B20" s="99" t="s">
        <v>322</v>
      </c>
      <c r="C20" s="131">
        <f>'Below the Line'!$D$35</f>
        <v>0.27379999999999999</v>
      </c>
      <c r="D20" s="1661" t="s">
        <v>270</v>
      </c>
      <c r="E20" s="1661"/>
    </row>
    <row r="21" spans="2:29" x14ac:dyDescent="0.25">
      <c r="B21" s="99" t="s">
        <v>321</v>
      </c>
      <c r="C21" s="131">
        <f>'Below the Line'!$D$43</f>
        <v>2.7100379121522307E-2</v>
      </c>
      <c r="D21" s="1661" t="s">
        <v>268</v>
      </c>
      <c r="E21" s="1661"/>
    </row>
    <row r="22" spans="2:29" x14ac:dyDescent="0.25">
      <c r="B22" s="99" t="s">
        <v>320</v>
      </c>
      <c r="C22" s="131">
        <f>'Below the Line'!$D$40</f>
        <v>0.12</v>
      </c>
      <c r="D22" s="1661" t="s">
        <v>270</v>
      </c>
      <c r="E22" s="1661"/>
    </row>
    <row r="23" spans="2:29" ht="15.75" thickBot="1" x14ac:dyDescent="0.3"/>
    <row r="24" spans="2:29" ht="27" thickBot="1" x14ac:dyDescent="0.45">
      <c r="B24" s="1703" t="s">
        <v>450</v>
      </c>
      <c r="C24" s="1704"/>
      <c r="D24" s="1704"/>
      <c r="E24" s="1704"/>
      <c r="F24" s="1704"/>
      <c r="G24" s="1704"/>
      <c r="H24" s="1704"/>
      <c r="I24" s="1704"/>
      <c r="J24" s="1704"/>
      <c r="K24" s="1704"/>
      <c r="L24" s="1704"/>
      <c r="M24" s="1704"/>
      <c r="N24" s="1704"/>
      <c r="O24" s="1704"/>
      <c r="P24" s="1704"/>
      <c r="Q24" s="1704"/>
      <c r="R24" s="1704"/>
      <c r="S24" s="1704"/>
      <c r="T24" s="1704"/>
      <c r="U24" s="1704"/>
      <c r="V24" s="1704"/>
      <c r="W24" s="1704"/>
      <c r="X24" s="1704"/>
      <c r="Y24" s="1704"/>
      <c r="Z24" s="1704"/>
      <c r="AA24" s="1704"/>
      <c r="AB24" s="1705"/>
    </row>
    <row r="25" spans="2:29" ht="18.75" x14ac:dyDescent="0.3">
      <c r="B25" s="1706" t="s">
        <v>333</v>
      </c>
      <c r="C25" s="1706" t="s">
        <v>332</v>
      </c>
      <c r="D25" s="1708" t="s">
        <v>331</v>
      </c>
      <c r="E25" s="1710" t="s">
        <v>449</v>
      </c>
      <c r="F25" s="1710"/>
      <c r="G25" s="1710"/>
      <c r="H25" s="1710"/>
      <c r="I25" s="1710"/>
      <c r="J25" s="1710"/>
      <c r="K25" s="1710"/>
      <c r="L25" s="1710"/>
      <c r="M25" s="1710"/>
      <c r="N25" s="1710"/>
      <c r="O25" s="1710"/>
      <c r="P25" s="1710"/>
      <c r="Q25" s="1710"/>
      <c r="R25" s="1710"/>
      <c r="S25" s="1710"/>
      <c r="T25" s="1710"/>
      <c r="U25" s="1710"/>
      <c r="V25" s="1710"/>
      <c r="W25" s="1710"/>
      <c r="X25" s="1710"/>
      <c r="Y25" s="1710"/>
      <c r="Z25" s="1710"/>
      <c r="AA25" s="1710"/>
      <c r="AB25" s="1710"/>
    </row>
    <row r="26" spans="2:29" ht="60" x14ac:dyDescent="0.25">
      <c r="B26" s="1707"/>
      <c r="C26" s="1707"/>
      <c r="D26" s="1709"/>
      <c r="E26" s="246" t="s">
        <v>448</v>
      </c>
      <c r="F26" s="245" t="s">
        <v>447</v>
      </c>
      <c r="G26" s="245" t="s">
        <v>446</v>
      </c>
      <c r="H26" s="245" t="s">
        <v>445</v>
      </c>
      <c r="I26" s="245" t="s">
        <v>444</v>
      </c>
      <c r="J26" s="245" t="s">
        <v>443</v>
      </c>
      <c r="K26" s="245" t="s">
        <v>442</v>
      </c>
      <c r="L26" s="245" t="s">
        <v>441</v>
      </c>
      <c r="M26" s="245" t="s">
        <v>440</v>
      </c>
      <c r="N26" s="245" t="s">
        <v>439</v>
      </c>
      <c r="O26" s="245" t="s">
        <v>438</v>
      </c>
      <c r="P26" s="245" t="s">
        <v>437</v>
      </c>
      <c r="Q26" s="245" t="s">
        <v>436</v>
      </c>
      <c r="R26" s="245" t="s">
        <v>435</v>
      </c>
      <c r="S26" s="245" t="s">
        <v>434</v>
      </c>
      <c r="T26" s="245" t="s">
        <v>433</v>
      </c>
      <c r="U26" s="245" t="s">
        <v>432</v>
      </c>
      <c r="V26" s="245" t="s">
        <v>431</v>
      </c>
      <c r="W26" s="245" t="s">
        <v>430</v>
      </c>
      <c r="X26" s="245" t="s">
        <v>429</v>
      </c>
      <c r="Y26" s="245" t="s">
        <v>428</v>
      </c>
      <c r="Z26" s="245" t="s">
        <v>427</v>
      </c>
      <c r="AA26" s="245" t="s">
        <v>426</v>
      </c>
      <c r="AB26" s="245" t="s">
        <v>425</v>
      </c>
      <c r="AC26" s="245" t="s">
        <v>424</v>
      </c>
    </row>
    <row r="27" spans="2:29" x14ac:dyDescent="0.25">
      <c r="B27" s="244" t="s">
        <v>423</v>
      </c>
      <c r="C27" s="167" t="s">
        <v>329</v>
      </c>
      <c r="D27" s="98">
        <f>INDEX('Salary lookup FY24'!F5:F19,MATCH(C27,'Salary lookup FY24'!B5:B19,0))</f>
        <v>79415.232000000018</v>
      </c>
      <c r="E27" s="243">
        <v>0.08</v>
      </c>
      <c r="F27" s="243">
        <v>0.16</v>
      </c>
      <c r="G27" s="243">
        <v>0.24</v>
      </c>
      <c r="H27" s="243">
        <v>0.32</v>
      </c>
      <c r="I27" s="243">
        <v>0.33750000000000002</v>
      </c>
      <c r="J27" s="243">
        <v>0.36</v>
      </c>
      <c r="K27" s="243">
        <v>0.38500000000000001</v>
      </c>
      <c r="L27" s="243">
        <v>0.42</v>
      </c>
      <c r="M27" s="243">
        <v>0.47249999999999998</v>
      </c>
      <c r="N27" s="243">
        <v>0.52</v>
      </c>
      <c r="O27" s="243">
        <v>0.57199999999999995</v>
      </c>
      <c r="P27" s="243">
        <v>0.61799999999999999</v>
      </c>
      <c r="Q27" s="243">
        <v>0.66949999999999998</v>
      </c>
      <c r="R27" s="243">
        <v>0.71399999999999997</v>
      </c>
      <c r="S27" s="243">
        <v>0.76500000000000001</v>
      </c>
      <c r="T27" s="243">
        <v>0.8</v>
      </c>
      <c r="U27" s="243">
        <v>0.81</v>
      </c>
      <c r="V27" s="243">
        <v>0.81</v>
      </c>
      <c r="W27" s="243">
        <v>0.81</v>
      </c>
      <c r="X27" s="243">
        <v>0.8</v>
      </c>
      <c r="Y27" s="243">
        <v>0.79</v>
      </c>
      <c r="Z27" s="243">
        <v>0.77</v>
      </c>
      <c r="AA27" s="243">
        <v>0.75</v>
      </c>
      <c r="AB27" s="243">
        <v>0.72</v>
      </c>
      <c r="AC27" s="167">
        <v>0.81</v>
      </c>
    </row>
    <row r="28" spans="2:29" x14ac:dyDescent="0.25">
      <c r="B28" s="242" t="s">
        <v>345</v>
      </c>
      <c r="C28" s="167" t="s">
        <v>342</v>
      </c>
      <c r="D28" s="98">
        <f>INDEX('Salary lookup FY24'!F5:F19,MATCH(C28,'Salary lookup FY24'!B5:B19,0))</f>
        <v>58616.063999999998</v>
      </c>
      <c r="E28" s="241">
        <v>0.5</v>
      </c>
      <c r="F28" s="241">
        <v>1</v>
      </c>
      <c r="G28" s="241">
        <v>1.5</v>
      </c>
      <c r="H28" s="241">
        <v>2</v>
      </c>
      <c r="I28" s="241">
        <v>2.5</v>
      </c>
      <c r="J28" s="241">
        <v>3</v>
      </c>
      <c r="K28" s="241">
        <v>3.5</v>
      </c>
      <c r="L28" s="241">
        <v>4</v>
      </c>
      <c r="M28" s="241">
        <v>4.5</v>
      </c>
      <c r="N28" s="241">
        <v>5</v>
      </c>
      <c r="O28" s="241">
        <v>5.5</v>
      </c>
      <c r="P28" s="241">
        <v>6</v>
      </c>
      <c r="Q28" s="241">
        <v>6.5</v>
      </c>
      <c r="R28" s="241">
        <v>7</v>
      </c>
      <c r="S28" s="241">
        <v>7.5</v>
      </c>
      <c r="T28" s="241">
        <v>8</v>
      </c>
      <c r="U28" s="241">
        <v>8.5</v>
      </c>
      <c r="V28" s="241">
        <v>9</v>
      </c>
      <c r="W28" s="241">
        <v>9.5</v>
      </c>
      <c r="X28" s="241">
        <v>10</v>
      </c>
      <c r="Y28" s="241">
        <v>10.5</v>
      </c>
      <c r="Z28" s="241">
        <v>11</v>
      </c>
      <c r="AA28" s="241">
        <v>11.5</v>
      </c>
      <c r="AB28" s="241">
        <v>12</v>
      </c>
      <c r="AC28" s="167">
        <v>9</v>
      </c>
    </row>
    <row r="29" spans="2:29" hidden="1" x14ac:dyDescent="0.25">
      <c r="B29" s="240"/>
      <c r="C29" s="237"/>
      <c r="D29" s="218"/>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7"/>
    </row>
    <row r="30" spans="2:29" hidden="1" x14ac:dyDescent="0.25">
      <c r="B30" s="240"/>
      <c r="C30" s="237"/>
      <c r="D30" s="218"/>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7"/>
    </row>
    <row r="31" spans="2:29" hidden="1" x14ac:dyDescent="0.25">
      <c r="B31" s="240"/>
      <c r="C31" s="237"/>
      <c r="D31" s="218"/>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7"/>
    </row>
    <row r="32" spans="2:29" hidden="1" x14ac:dyDescent="0.25">
      <c r="B32" s="240"/>
      <c r="C32" s="237"/>
      <c r="D32" s="218"/>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7"/>
    </row>
    <row r="33" spans="2:29" hidden="1" x14ac:dyDescent="0.25">
      <c r="B33" s="240"/>
      <c r="C33" s="237"/>
      <c r="D33" s="218"/>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7"/>
    </row>
    <row r="34" spans="2:29" x14ac:dyDescent="0.25">
      <c r="B34" s="158" t="s">
        <v>422</v>
      </c>
      <c r="C34" s="158" t="s">
        <v>422</v>
      </c>
      <c r="D34" s="99"/>
      <c r="E34" s="210">
        <v>2.5</v>
      </c>
      <c r="F34" s="210">
        <v>2.5</v>
      </c>
      <c r="G34" s="210">
        <v>2.5</v>
      </c>
      <c r="H34" s="210">
        <v>2.5</v>
      </c>
      <c r="I34" s="210">
        <v>2.2000000000000002</v>
      </c>
      <c r="J34" s="142">
        <v>2.1312500000000001</v>
      </c>
      <c r="K34" s="142">
        <v>2.0620535714285713</v>
      </c>
      <c r="L34" s="142">
        <v>1.9761346726190476</v>
      </c>
      <c r="M34" s="142">
        <v>1.8663494130291005</v>
      </c>
      <c r="N34" s="142">
        <v>1.7811074927224828</v>
      </c>
      <c r="O34" s="142">
        <v>1.7001480612350972</v>
      </c>
      <c r="P34" s="142">
        <v>1.6579653153792102</v>
      </c>
      <c r="Q34" s="142">
        <v>1.6154533842156407</v>
      </c>
      <c r="R34" s="142">
        <v>1.5818923778675567</v>
      </c>
      <c r="S34" s="142">
        <v>1.5467392139149443</v>
      </c>
      <c r="T34" s="142">
        <v>1.5241826003786847</v>
      </c>
      <c r="U34" s="142">
        <v>1.5179102439985255</v>
      </c>
      <c r="V34" s="142">
        <v>1.5179102439985255</v>
      </c>
      <c r="W34" s="142">
        <v>1.5179102439985255</v>
      </c>
      <c r="X34" s="142">
        <v>1.523331352012806</v>
      </c>
      <c r="Y34" s="142">
        <v>1.5288406878247873</v>
      </c>
      <c r="Z34" s="142">
        <v>1.5401864443207041</v>
      </c>
      <c r="AA34" s="142">
        <v>1.5519211981821952</v>
      </c>
      <c r="AB34" s="142">
        <v>1.5703964505415069</v>
      </c>
      <c r="AC34" s="167" t="s">
        <v>421</v>
      </c>
    </row>
    <row r="36" spans="2:29" x14ac:dyDescent="0.25">
      <c r="B36" s="138" t="s">
        <v>326</v>
      </c>
      <c r="C36" s="138" t="s">
        <v>325</v>
      </c>
      <c r="D36" s="1677" t="s">
        <v>324</v>
      </c>
      <c r="E36" s="1677"/>
    </row>
    <row r="37" spans="2:29" x14ac:dyDescent="0.25">
      <c r="B37" s="99" t="s">
        <v>314</v>
      </c>
      <c r="C37" s="136">
        <f>INDEX('Below the Line'!$E$4:$E$20,MATCH(B37,'Below the Line'!$C$4:$C$20,0))</f>
        <v>6221.9259542286536</v>
      </c>
      <c r="D37" s="1702" t="s">
        <v>420</v>
      </c>
      <c r="E37" s="1702"/>
    </row>
    <row r="38" spans="2:29" x14ac:dyDescent="0.25">
      <c r="B38" s="99" t="s">
        <v>310</v>
      </c>
      <c r="C38" s="136">
        <f>INDEX('Below the Line'!$E$4:$E$20,MATCH(B38,'Below the Line'!$C$4:$C$20,0))</f>
        <v>202.39734163733908</v>
      </c>
      <c r="D38" s="1702" t="s">
        <v>420</v>
      </c>
      <c r="E38" s="1702"/>
    </row>
    <row r="39" spans="2:29" x14ac:dyDescent="0.25">
      <c r="B39" s="99" t="s">
        <v>308</v>
      </c>
      <c r="C39" s="136">
        <f>INDEX('Below the Line'!$E$4:$E$20,MATCH(B39,'Below the Line'!$C$4:$C$20,0))</f>
        <v>823.75132959083601</v>
      </c>
      <c r="D39" s="1702" t="s">
        <v>420</v>
      </c>
      <c r="E39" s="1702"/>
    </row>
    <row r="40" spans="2:29" x14ac:dyDescent="0.25">
      <c r="B40" s="99" t="s">
        <v>288</v>
      </c>
      <c r="C40" s="136">
        <f>INDEX('Below the Line'!$E$4:$E$20,MATCH(B40,'Below the Line'!$C$4:$C$20,0))</f>
        <v>1493.1564099112707</v>
      </c>
      <c r="D40" s="1702" t="s">
        <v>420</v>
      </c>
      <c r="E40" s="1702"/>
    </row>
    <row r="41" spans="2:29" x14ac:dyDescent="0.25">
      <c r="B41" s="99" t="s">
        <v>286</v>
      </c>
      <c r="C41" s="136">
        <f>INDEX('Below the Line'!$E$4:$E$20,MATCH(B41,'Below the Line'!$C$4:$C$20,0))</f>
        <v>3151.0944966340862</v>
      </c>
      <c r="D41" s="1702" t="s">
        <v>420</v>
      </c>
      <c r="E41" s="1702"/>
    </row>
    <row r="42" spans="2:29" hidden="1" x14ac:dyDescent="0.25">
      <c r="B42" s="135"/>
      <c r="C42" s="238"/>
      <c r="D42" s="1701"/>
      <c r="E42" s="1701"/>
    </row>
    <row r="43" spans="2:29" hidden="1" x14ac:dyDescent="0.25">
      <c r="B43" s="135"/>
      <c r="C43" s="135"/>
      <c r="D43" s="1650"/>
      <c r="E43" s="1651"/>
    </row>
    <row r="44" spans="2:29" hidden="1" x14ac:dyDescent="0.25">
      <c r="B44" s="135"/>
      <c r="C44" s="135"/>
      <c r="D44" s="1650"/>
      <c r="E44" s="1651"/>
    </row>
    <row r="45" spans="2:29" hidden="1" x14ac:dyDescent="0.25">
      <c r="B45" s="135"/>
      <c r="C45" s="135"/>
      <c r="D45" s="1650"/>
      <c r="E45" s="1651"/>
    </row>
    <row r="46" spans="2:29" hidden="1" x14ac:dyDescent="0.25">
      <c r="B46" s="135"/>
      <c r="C46" s="135"/>
      <c r="D46" s="134"/>
      <c r="E46" s="133"/>
    </row>
    <row r="47" spans="2:29" x14ac:dyDescent="0.25">
      <c r="B47" s="99" t="s">
        <v>283</v>
      </c>
      <c r="C47" s="136">
        <f>INDEX('Below the Line'!$E$4:$E$20,MATCH(B47,'Below the Line'!$C$4:$C$20,0))</f>
        <v>1000</v>
      </c>
      <c r="D47" s="1687" t="s">
        <v>419</v>
      </c>
      <c r="E47" s="1688"/>
    </row>
    <row r="48" spans="2:29" x14ac:dyDescent="0.25">
      <c r="B48" s="236"/>
      <c r="C48" s="236"/>
      <c r="D48" s="235"/>
      <c r="E48" s="234"/>
    </row>
    <row r="49" spans="2:20" x14ac:dyDescent="0.25">
      <c r="B49" s="99" t="s">
        <v>322</v>
      </c>
      <c r="C49" s="131">
        <f>'Below the Line'!$D$35</f>
        <v>0.27379999999999999</v>
      </c>
      <c r="D49" s="1648" t="s">
        <v>270</v>
      </c>
      <c r="E49" s="1649"/>
    </row>
    <row r="50" spans="2:20" x14ac:dyDescent="0.25">
      <c r="B50" s="99" t="s">
        <v>321</v>
      </c>
      <c r="C50" s="131">
        <f>'Below the Line'!$D$43</f>
        <v>2.7100379121522307E-2</v>
      </c>
      <c r="D50" s="1648" t="s">
        <v>268</v>
      </c>
      <c r="E50" s="1649"/>
    </row>
    <row r="51" spans="2:20" x14ac:dyDescent="0.25">
      <c r="B51" s="99" t="s">
        <v>320</v>
      </c>
      <c r="C51" s="131">
        <f>'Below the Line'!$D$40</f>
        <v>0.12</v>
      </c>
      <c r="D51" s="1648" t="s">
        <v>270</v>
      </c>
      <c r="E51" s="1649"/>
    </row>
    <row r="52" spans="2:20" x14ac:dyDescent="0.25">
      <c r="C52" s="232"/>
      <c r="R52" s="233"/>
      <c r="S52" s="172"/>
      <c r="T52" s="172"/>
    </row>
    <row r="53" spans="2:20" x14ac:dyDescent="0.25">
      <c r="C53" s="232"/>
      <c r="R53" s="233"/>
      <c r="S53" s="172"/>
      <c r="T53" s="172"/>
    </row>
    <row r="54" spans="2:20" ht="15.75" thickBot="1" x14ac:dyDescent="0.3">
      <c r="C54" s="232"/>
    </row>
    <row r="55" spans="2:20" ht="27" thickBot="1" x14ac:dyDescent="0.45">
      <c r="B55" s="1673" t="s">
        <v>418</v>
      </c>
      <c r="C55" s="1674"/>
      <c r="D55" s="1674"/>
      <c r="E55" s="1674"/>
      <c r="F55" s="1685"/>
    </row>
    <row r="56" spans="2:20" ht="21" x14ac:dyDescent="0.35">
      <c r="B56" s="1695" t="s">
        <v>336</v>
      </c>
      <c r="C56" s="1657"/>
      <c r="D56" s="149" t="s">
        <v>335</v>
      </c>
      <c r="E56" s="1699" t="s">
        <v>366</v>
      </c>
      <c r="F56" s="1700"/>
    </row>
    <row r="57" spans="2:20" ht="30" x14ac:dyDescent="0.25">
      <c r="B57" s="138" t="s">
        <v>333</v>
      </c>
      <c r="C57" s="138" t="s">
        <v>332</v>
      </c>
      <c r="D57" s="147" t="s">
        <v>331</v>
      </c>
      <c r="E57" s="146" t="s">
        <v>417</v>
      </c>
      <c r="F57" s="146" t="s">
        <v>416</v>
      </c>
    </row>
    <row r="58" spans="2:20" x14ac:dyDescent="0.25">
      <c r="B58" s="167" t="s">
        <v>330</v>
      </c>
      <c r="C58" s="167" t="s">
        <v>329</v>
      </c>
      <c r="D58" s="140">
        <f>INDEX('Salary lookup FY24'!F5:F19,MATCH(C58,'Salary lookup FY24'!B5:B19,0))</f>
        <v>79415.232000000018</v>
      </c>
      <c r="E58" s="142">
        <v>0.08</v>
      </c>
      <c r="F58" s="142">
        <v>0.08</v>
      </c>
    </row>
    <row r="59" spans="2:20" x14ac:dyDescent="0.25">
      <c r="B59" s="167" t="s">
        <v>415</v>
      </c>
      <c r="C59" s="167" t="s">
        <v>342</v>
      </c>
      <c r="D59" s="140">
        <f>INDEX('Salary lookup FY24'!F6:F20,MATCH(C59,'Salary lookup FY24'!B6:B20,0))</f>
        <v>58616.063999999998</v>
      </c>
      <c r="E59" s="142">
        <v>2</v>
      </c>
      <c r="F59" s="142">
        <v>2</v>
      </c>
    </row>
    <row r="60" spans="2:20" x14ac:dyDescent="0.25">
      <c r="B60" s="167" t="s">
        <v>400</v>
      </c>
      <c r="C60" s="167" t="s">
        <v>327</v>
      </c>
      <c r="D60" s="140">
        <f>INDEX('Salary lookup FY24'!F5:F19,MATCH(C60,'Salary lookup FY24'!B5:B19,0))</f>
        <v>41600</v>
      </c>
      <c r="E60" s="142">
        <v>0.1</v>
      </c>
      <c r="F60" s="142">
        <v>0.1</v>
      </c>
    </row>
    <row r="61" spans="2:20" hidden="1" x14ac:dyDescent="0.25">
      <c r="B61" s="135"/>
      <c r="C61" s="135"/>
      <c r="D61" s="135"/>
      <c r="E61" s="135"/>
      <c r="F61" s="135"/>
    </row>
    <row r="62" spans="2:20" hidden="1" x14ac:dyDescent="0.25">
      <c r="B62" s="135"/>
      <c r="C62" s="135"/>
      <c r="D62" s="135"/>
      <c r="E62" s="135"/>
      <c r="F62" s="135"/>
    </row>
    <row r="63" spans="2:20" hidden="1" x14ac:dyDescent="0.25">
      <c r="B63" s="135"/>
      <c r="C63" s="135"/>
      <c r="D63" s="135"/>
      <c r="E63" s="135"/>
      <c r="F63" s="135"/>
    </row>
    <row r="64" spans="2:20" hidden="1" x14ac:dyDescent="0.25">
      <c r="B64" s="135"/>
      <c r="C64" s="135"/>
      <c r="D64" s="135"/>
      <c r="E64" s="135"/>
      <c r="F64" s="135"/>
    </row>
    <row r="65" spans="2:6" hidden="1" x14ac:dyDescent="0.25">
      <c r="B65" s="135"/>
      <c r="C65" s="135"/>
      <c r="D65" s="135"/>
      <c r="E65" s="135"/>
      <c r="F65" s="135"/>
    </row>
    <row r="66" spans="2:6" hidden="1" x14ac:dyDescent="0.25">
      <c r="B66" s="135"/>
      <c r="C66" s="135"/>
      <c r="D66" s="135"/>
      <c r="E66" s="135"/>
      <c r="F66" s="135"/>
    </row>
    <row r="67" spans="2:6" hidden="1" x14ac:dyDescent="0.25">
      <c r="B67" s="135"/>
      <c r="C67" s="135"/>
      <c r="D67" s="135"/>
      <c r="E67" s="135"/>
      <c r="F67" s="135"/>
    </row>
    <row r="68" spans="2:6" hidden="1" x14ac:dyDescent="0.25"/>
    <row r="71" spans="2:6" x14ac:dyDescent="0.25">
      <c r="B71" s="137" t="s">
        <v>326</v>
      </c>
      <c r="C71" s="137" t="s">
        <v>325</v>
      </c>
      <c r="D71" s="1658" t="s">
        <v>324</v>
      </c>
      <c r="E71" s="1659"/>
    </row>
    <row r="72" spans="2:6" x14ac:dyDescent="0.25">
      <c r="B72" s="99" t="s">
        <v>308</v>
      </c>
      <c r="C72" s="136">
        <f>INDEX('Below the Line'!$E$4:$E$20,MATCH(B72,'Below the Line'!$C$4:$C$20,0))</f>
        <v>823.75132959083601</v>
      </c>
      <c r="D72" s="1648" t="s">
        <v>323</v>
      </c>
      <c r="E72" s="1649"/>
    </row>
    <row r="73" spans="2:6" x14ac:dyDescent="0.25">
      <c r="B73" s="99" t="s">
        <v>288</v>
      </c>
      <c r="C73" s="136">
        <f>INDEX('Below the Line'!$E$4:$E$20,MATCH(B73,'Below the Line'!$C$4:$C$20,0))</f>
        <v>1493.1564099112707</v>
      </c>
      <c r="D73" s="1648" t="s">
        <v>323</v>
      </c>
      <c r="E73" s="1649"/>
    </row>
    <row r="74" spans="2:6" x14ac:dyDescent="0.25">
      <c r="B74" s="99" t="s">
        <v>286</v>
      </c>
      <c r="C74" s="136">
        <f>INDEX('Below the Line'!$E$4:$E$20,MATCH(B74,'Below the Line'!$C$4:$C$20,0))</f>
        <v>3151.0944966340862</v>
      </c>
      <c r="D74" s="1648" t="s">
        <v>323</v>
      </c>
      <c r="E74" s="1649"/>
    </row>
    <row r="75" spans="2:6" x14ac:dyDescent="0.25">
      <c r="B75" s="99" t="s">
        <v>283</v>
      </c>
      <c r="C75" s="136">
        <f>INDEX('Below the Line'!$E$4:$E$20,MATCH(B75,'Below the Line'!$C$4:$C$20,0))</f>
        <v>1000</v>
      </c>
      <c r="D75" s="1648" t="s">
        <v>395</v>
      </c>
      <c r="E75" s="1649"/>
    </row>
    <row r="76" spans="2:6" hidden="1" x14ac:dyDescent="0.25">
      <c r="B76" s="135"/>
      <c r="C76" s="135"/>
      <c r="D76" s="1650"/>
      <c r="E76" s="1651"/>
    </row>
    <row r="77" spans="2:6" hidden="1" x14ac:dyDescent="0.25">
      <c r="B77" s="135"/>
      <c r="C77" s="135"/>
      <c r="D77" s="1650"/>
      <c r="E77" s="1651"/>
    </row>
    <row r="78" spans="2:6" hidden="1" x14ac:dyDescent="0.25">
      <c r="B78" s="135"/>
      <c r="C78" s="135"/>
      <c r="D78" s="1650"/>
      <c r="E78" s="1651"/>
    </row>
    <row r="79" spans="2:6" hidden="1" x14ac:dyDescent="0.25">
      <c r="B79" s="135"/>
      <c r="C79" s="135"/>
      <c r="D79" s="1650"/>
      <c r="E79" s="1651"/>
    </row>
    <row r="80" spans="2:6" hidden="1" x14ac:dyDescent="0.25">
      <c r="B80" s="135"/>
      <c r="C80" s="135"/>
      <c r="D80" s="1650"/>
      <c r="E80" s="1651"/>
    </row>
    <row r="81" spans="2:9" x14ac:dyDescent="0.25">
      <c r="B81" s="132"/>
      <c r="C81" s="132"/>
      <c r="D81" s="1652"/>
      <c r="E81" s="1653"/>
    </row>
    <row r="82" spans="2:9" x14ac:dyDescent="0.25">
      <c r="B82" s="99" t="s">
        <v>322</v>
      </c>
      <c r="C82" s="131">
        <f>'Below the Line'!$D$35</f>
        <v>0.27379999999999999</v>
      </c>
      <c r="D82" s="1648" t="s">
        <v>270</v>
      </c>
      <c r="E82" s="1649"/>
    </row>
    <row r="83" spans="2:9" x14ac:dyDescent="0.25">
      <c r="B83" s="99" t="s">
        <v>321</v>
      </c>
      <c r="C83" s="131">
        <f>'Below the Line'!$D$43</f>
        <v>2.7100379121522307E-2</v>
      </c>
      <c r="D83" s="1648" t="s">
        <v>268</v>
      </c>
      <c r="E83" s="1649"/>
    </row>
    <row r="84" spans="2:9" x14ac:dyDescent="0.25">
      <c r="B84" s="99" t="s">
        <v>320</v>
      </c>
      <c r="C84" s="131">
        <f>'Below the Line'!$D$40</f>
        <v>0.12</v>
      </c>
      <c r="D84" s="1648" t="s">
        <v>270</v>
      </c>
      <c r="E84" s="1649"/>
    </row>
    <row r="89" spans="2:9" ht="15.75" thickBot="1" x14ac:dyDescent="0.3"/>
    <row r="90" spans="2:9" ht="27" thickBot="1" x14ac:dyDescent="0.45">
      <c r="B90" s="1673" t="s">
        <v>414</v>
      </c>
      <c r="C90" s="1674"/>
      <c r="D90" s="1674"/>
      <c r="E90" s="1674"/>
      <c r="F90" s="1674"/>
      <c r="G90" s="1685"/>
    </row>
    <row r="91" spans="2:9" ht="21" x14ac:dyDescent="0.35">
      <c r="B91" s="1695" t="s">
        <v>336</v>
      </c>
      <c r="C91" s="1657"/>
      <c r="D91" s="149" t="s">
        <v>335</v>
      </c>
      <c r="E91" s="1696" t="s">
        <v>366</v>
      </c>
      <c r="F91" s="1697"/>
      <c r="G91" s="1698"/>
      <c r="H91" s="230"/>
      <c r="I91" s="230"/>
    </row>
    <row r="92" spans="2:9" ht="60" x14ac:dyDescent="0.25">
      <c r="B92" s="146" t="s">
        <v>333</v>
      </c>
      <c r="C92" s="146" t="s">
        <v>332</v>
      </c>
      <c r="D92" s="146" t="s">
        <v>331</v>
      </c>
      <c r="E92" s="146" t="s">
        <v>413</v>
      </c>
      <c r="F92" s="146" t="s">
        <v>412</v>
      </c>
      <c r="G92" s="146" t="s">
        <v>411</v>
      </c>
      <c r="H92" s="230"/>
      <c r="I92" s="230"/>
    </row>
    <row r="93" spans="2:9" x14ac:dyDescent="0.25">
      <c r="B93" s="99" t="s">
        <v>410</v>
      </c>
      <c r="C93" s="99" t="s">
        <v>410</v>
      </c>
      <c r="D93" s="140">
        <f>INDEX('Salary lookup FY24'!F5:F23,MATCH(C93,'Salary lookup FY24'!B5:B23,0))</f>
        <v>58616.063999999998</v>
      </c>
      <c r="E93" s="99">
        <v>1</v>
      </c>
      <c r="F93" s="99">
        <v>0</v>
      </c>
      <c r="G93" s="231">
        <v>0</v>
      </c>
      <c r="H93" s="230"/>
      <c r="I93" s="230"/>
    </row>
    <row r="94" spans="2:9" x14ac:dyDescent="0.25">
      <c r="B94" s="99" t="s">
        <v>409</v>
      </c>
      <c r="C94" s="99" t="s">
        <v>409</v>
      </c>
      <c r="D94" s="140">
        <f>INDEX('Salary lookup FY24'!F6:F24,MATCH(C94,'Salary lookup FY24'!B6:B24,0))</f>
        <v>101383.77600000001</v>
      </c>
      <c r="E94" s="99">
        <v>0</v>
      </c>
      <c r="F94" s="99">
        <v>0</v>
      </c>
      <c r="G94" s="99">
        <v>1</v>
      </c>
    </row>
    <row r="95" spans="2:9" x14ac:dyDescent="0.25">
      <c r="B95" s="99" t="s">
        <v>408</v>
      </c>
      <c r="C95" s="99" t="s">
        <v>408</v>
      </c>
      <c r="D95" s="140">
        <f>INDEX('Salary lookup FY24'!F7:F25,MATCH(C95,'Salary lookup FY24'!B7:B25,0))</f>
        <v>80606.448000000004</v>
      </c>
      <c r="E95" s="99">
        <v>0</v>
      </c>
      <c r="F95" s="99">
        <v>1</v>
      </c>
      <c r="G95" s="99">
        <v>0</v>
      </c>
    </row>
    <row r="96" spans="2:9" hidden="1" x14ac:dyDescent="0.25">
      <c r="B96" s="135"/>
      <c r="C96" s="135"/>
      <c r="D96" s="170"/>
      <c r="E96" s="135"/>
      <c r="F96" s="135"/>
      <c r="G96" s="135"/>
    </row>
    <row r="97" spans="2:7" hidden="1" x14ac:dyDescent="0.25">
      <c r="B97" s="135"/>
      <c r="C97" s="135"/>
      <c r="D97" s="170"/>
      <c r="E97" s="135"/>
      <c r="F97" s="135"/>
      <c r="G97" s="135"/>
    </row>
    <row r="98" spans="2:7" hidden="1" x14ac:dyDescent="0.25">
      <c r="B98" s="135"/>
      <c r="C98" s="135"/>
      <c r="D98" s="170"/>
      <c r="E98" s="135"/>
      <c r="F98" s="135"/>
      <c r="G98" s="135"/>
    </row>
    <row r="99" spans="2:7" hidden="1" x14ac:dyDescent="0.25">
      <c r="B99" s="135"/>
      <c r="C99" s="135"/>
      <c r="D99" s="170"/>
      <c r="E99" s="135"/>
      <c r="F99" s="135"/>
      <c r="G99" s="135"/>
    </row>
    <row r="100" spans="2:7" hidden="1" x14ac:dyDescent="0.25">
      <c r="B100" s="135"/>
      <c r="C100" s="135"/>
      <c r="D100" s="170"/>
      <c r="E100" s="135"/>
      <c r="F100" s="135"/>
      <c r="G100" s="135"/>
    </row>
    <row r="101" spans="2:7" hidden="1" x14ac:dyDescent="0.25"/>
    <row r="104" spans="2:7" x14ac:dyDescent="0.25">
      <c r="B104" s="137" t="s">
        <v>326</v>
      </c>
      <c r="C104" s="137" t="s">
        <v>325</v>
      </c>
      <c r="D104" s="1681" t="s">
        <v>324</v>
      </c>
      <c r="E104" s="1682"/>
    </row>
    <row r="105" spans="2:7" x14ac:dyDescent="0.25">
      <c r="B105" s="99" t="s">
        <v>314</v>
      </c>
      <c r="C105" s="136">
        <f>INDEX('Below the Line'!$E$4:$E$20,MATCH(B105,'Below the Line'!$C$4:$C$20,0))</f>
        <v>6221.9259542286536</v>
      </c>
      <c r="D105" s="1687" t="s">
        <v>407</v>
      </c>
      <c r="E105" s="1688"/>
    </row>
    <row r="106" spans="2:7" x14ac:dyDescent="0.25">
      <c r="B106" s="99" t="s">
        <v>304</v>
      </c>
      <c r="C106" s="136">
        <f>INDEX('Below the Line'!$E$4:$E$20,MATCH(B106,'Below the Line'!$C$4:$C$20,0))</f>
        <v>1741.693522928565</v>
      </c>
      <c r="D106" s="1687" t="s">
        <v>407</v>
      </c>
      <c r="E106" s="1688"/>
    </row>
    <row r="107" spans="2:7" hidden="1" x14ac:dyDescent="0.25">
      <c r="B107" s="135"/>
      <c r="C107" s="135"/>
      <c r="D107" s="1650"/>
      <c r="E107" s="1651"/>
    </row>
    <row r="108" spans="2:7" hidden="1" x14ac:dyDescent="0.25">
      <c r="B108" s="135"/>
      <c r="C108" s="135"/>
      <c r="D108" s="1650"/>
      <c r="E108" s="1651"/>
    </row>
    <row r="109" spans="2:7" hidden="1" x14ac:dyDescent="0.25">
      <c r="B109" s="135"/>
      <c r="C109" s="135"/>
      <c r="D109" s="1650"/>
      <c r="E109" s="1651"/>
    </row>
    <row r="110" spans="2:7" hidden="1" x14ac:dyDescent="0.25">
      <c r="B110" s="135"/>
      <c r="C110" s="135"/>
      <c r="D110" s="1650"/>
      <c r="E110" s="1651"/>
    </row>
    <row r="111" spans="2:7" hidden="1" x14ac:dyDescent="0.25">
      <c r="B111" s="135"/>
      <c r="C111" s="135"/>
      <c r="D111" s="1650"/>
      <c r="E111" s="1651"/>
    </row>
    <row r="112" spans="2:7" x14ac:dyDescent="0.25">
      <c r="B112" s="132"/>
      <c r="C112" s="132"/>
      <c r="D112" s="1652"/>
      <c r="E112" s="1653"/>
    </row>
    <row r="113" spans="2:5" x14ac:dyDescent="0.25">
      <c r="B113" s="99" t="s">
        <v>322</v>
      </c>
      <c r="C113" s="131">
        <f>'Below the Line'!$D$35</f>
        <v>0.27379999999999999</v>
      </c>
      <c r="D113" s="1648" t="s">
        <v>270</v>
      </c>
      <c r="E113" s="1649"/>
    </row>
    <row r="114" spans="2:5" x14ac:dyDescent="0.25">
      <c r="B114" s="99" t="s">
        <v>321</v>
      </c>
      <c r="C114" s="131">
        <f>'Below the Line'!$D$43</f>
        <v>2.7100379121522307E-2</v>
      </c>
      <c r="D114" s="1648" t="s">
        <v>268</v>
      </c>
      <c r="E114" s="1649"/>
    </row>
    <row r="115" spans="2:5" x14ac:dyDescent="0.25">
      <c r="B115" s="99" t="s">
        <v>320</v>
      </c>
      <c r="C115" s="131">
        <f>'Below the Line'!$D$40</f>
        <v>0.12</v>
      </c>
      <c r="D115" s="1648" t="s">
        <v>270</v>
      </c>
      <c r="E115" s="1649"/>
    </row>
    <row r="119" spans="2:5" ht="15.75" thickBot="1" x14ac:dyDescent="0.3"/>
    <row r="120" spans="2:5" ht="26.25" x14ac:dyDescent="0.4">
      <c r="B120" s="1693" t="s">
        <v>262</v>
      </c>
      <c r="C120" s="1694"/>
      <c r="D120" s="1694"/>
      <c r="E120" s="1675"/>
    </row>
    <row r="121" spans="2:5" ht="21" x14ac:dyDescent="0.35">
      <c r="B121" s="1692" t="s">
        <v>336</v>
      </c>
      <c r="C121" s="1692"/>
      <c r="D121" s="227" t="s">
        <v>335</v>
      </c>
      <c r="E121" s="226" t="s">
        <v>366</v>
      </c>
    </row>
    <row r="122" spans="2:5" x14ac:dyDescent="0.25">
      <c r="B122" s="229" t="s">
        <v>333</v>
      </c>
      <c r="C122" s="229" t="s">
        <v>332</v>
      </c>
      <c r="D122" s="229" t="s">
        <v>331</v>
      </c>
      <c r="E122" s="229" t="s">
        <v>262</v>
      </c>
    </row>
    <row r="123" spans="2:5" x14ac:dyDescent="0.25">
      <c r="B123" s="153" t="s">
        <v>330</v>
      </c>
      <c r="C123" s="99" t="s">
        <v>329</v>
      </c>
      <c r="D123" s="140">
        <f>INDEX('Salary lookup FY24'!F5:F19,MATCH(C123,'Salary lookup FY24'!B5:B19,0))</f>
        <v>79415.232000000018</v>
      </c>
      <c r="E123" s="142">
        <v>0.06</v>
      </c>
    </row>
    <row r="124" spans="2:5" x14ac:dyDescent="0.25">
      <c r="B124" s="228" t="s">
        <v>400</v>
      </c>
      <c r="C124" s="99" t="s">
        <v>342</v>
      </c>
      <c r="D124" s="140">
        <f>INDEX('Salary lookup FY24'!F6:F20,MATCH(C124,'Salary lookup FY24'!B6:B20,0))</f>
        <v>58616.063999999998</v>
      </c>
      <c r="E124" s="142">
        <v>1</v>
      </c>
    </row>
    <row r="125" spans="2:5" hidden="1" x14ac:dyDescent="0.25">
      <c r="B125" s="135"/>
      <c r="C125" s="135"/>
      <c r="D125" s="1650"/>
      <c r="E125" s="1651"/>
    </row>
    <row r="126" spans="2:5" hidden="1" x14ac:dyDescent="0.25">
      <c r="B126" s="135"/>
      <c r="C126" s="135"/>
      <c r="D126" s="1650"/>
      <c r="E126" s="1651"/>
    </row>
    <row r="127" spans="2:5" hidden="1" x14ac:dyDescent="0.25">
      <c r="B127" s="135"/>
      <c r="C127" s="135"/>
      <c r="D127" s="1650"/>
      <c r="E127" s="1651"/>
    </row>
    <row r="128" spans="2:5" hidden="1" x14ac:dyDescent="0.25">
      <c r="B128" s="135"/>
      <c r="C128" s="135"/>
      <c r="D128" s="1650"/>
      <c r="E128" s="1651"/>
    </row>
    <row r="129" spans="2:5" hidden="1" x14ac:dyDescent="0.25">
      <c r="B129" s="135"/>
      <c r="C129" s="135"/>
      <c r="D129" s="1650"/>
      <c r="E129" s="1651"/>
    </row>
    <row r="131" spans="2:5" x14ac:dyDescent="0.25">
      <c r="B131" s="137" t="s">
        <v>326</v>
      </c>
      <c r="C131" s="137" t="s">
        <v>325</v>
      </c>
      <c r="D131" s="1681" t="s">
        <v>324</v>
      </c>
      <c r="E131" s="1682"/>
    </row>
    <row r="132" spans="2:5" x14ac:dyDescent="0.25">
      <c r="B132" s="99" t="s">
        <v>310</v>
      </c>
      <c r="C132" s="136">
        <f>INDEX('Below the Line'!$E$4:$E$20,MATCH(B132,'Below the Line'!$C$4:$C$20,0))</f>
        <v>202.39734163733908</v>
      </c>
      <c r="D132" s="1648" t="s">
        <v>323</v>
      </c>
      <c r="E132" s="1649"/>
    </row>
    <row r="133" spans="2:5" x14ac:dyDescent="0.25">
      <c r="B133" s="99" t="s">
        <v>308</v>
      </c>
      <c r="C133" s="136">
        <f>INDEX('Below the Line'!$E$4:$E$20,MATCH(B133,'Below the Line'!$C$4:$C$20,0))</f>
        <v>823.75132959083601</v>
      </c>
      <c r="D133" s="1648" t="s">
        <v>323</v>
      </c>
      <c r="E133" s="1649"/>
    </row>
    <row r="134" spans="2:5" hidden="1" x14ac:dyDescent="0.25">
      <c r="B134" s="171"/>
      <c r="C134" s="135"/>
      <c r="D134" s="1650"/>
      <c r="E134" s="1651"/>
    </row>
    <row r="135" spans="2:5" hidden="1" x14ac:dyDescent="0.25">
      <c r="B135" s="135"/>
      <c r="C135" s="135"/>
      <c r="D135" s="1650"/>
      <c r="E135" s="1651"/>
    </row>
    <row r="136" spans="2:5" x14ac:dyDescent="0.25">
      <c r="B136" s="132"/>
      <c r="C136" s="132"/>
      <c r="D136" s="1652"/>
      <c r="E136" s="1653"/>
    </row>
    <row r="137" spans="2:5" x14ac:dyDescent="0.25">
      <c r="B137" s="99" t="s">
        <v>322</v>
      </c>
      <c r="C137" s="131">
        <f>'Below the Line'!$D$35</f>
        <v>0.27379999999999999</v>
      </c>
      <c r="D137" s="1648" t="s">
        <v>270</v>
      </c>
      <c r="E137" s="1649"/>
    </row>
    <row r="138" spans="2:5" x14ac:dyDescent="0.25">
      <c r="B138" s="99" t="s">
        <v>321</v>
      </c>
      <c r="C138" s="131">
        <f>'Below the Line'!$D$43</f>
        <v>2.7100379121522307E-2</v>
      </c>
      <c r="D138" s="1648" t="s">
        <v>268</v>
      </c>
      <c r="E138" s="1649"/>
    </row>
    <row r="139" spans="2:5" x14ac:dyDescent="0.25">
      <c r="B139" s="99" t="s">
        <v>320</v>
      </c>
      <c r="C139" s="131">
        <f>'Below the Line'!$D$40</f>
        <v>0.12</v>
      </c>
      <c r="D139" s="1648" t="s">
        <v>270</v>
      </c>
      <c r="E139" s="1649"/>
    </row>
    <row r="142" spans="2:5" ht="15.75" thickBot="1" x14ac:dyDescent="0.3"/>
    <row r="143" spans="2:5" ht="26.25" x14ac:dyDescent="0.4">
      <c r="B143" s="1693" t="s">
        <v>255</v>
      </c>
      <c r="C143" s="1694"/>
      <c r="D143" s="1694"/>
      <c r="E143" s="1675"/>
    </row>
    <row r="144" spans="2:5" ht="21" x14ac:dyDescent="0.35">
      <c r="B144" s="1692" t="s">
        <v>336</v>
      </c>
      <c r="C144" s="1692"/>
      <c r="D144" s="227" t="s">
        <v>335</v>
      </c>
      <c r="E144" s="226" t="s">
        <v>366</v>
      </c>
    </row>
    <row r="145" spans="2:5" x14ac:dyDescent="0.25">
      <c r="B145" s="229" t="s">
        <v>333</v>
      </c>
      <c r="C145" s="229" t="s">
        <v>332</v>
      </c>
      <c r="D145" s="229" t="s">
        <v>331</v>
      </c>
      <c r="E145" s="229" t="s">
        <v>262</v>
      </c>
    </row>
    <row r="146" spans="2:5" x14ac:dyDescent="0.25">
      <c r="B146" s="153" t="s">
        <v>330</v>
      </c>
      <c r="C146" s="99" t="s">
        <v>329</v>
      </c>
      <c r="D146" s="140">
        <f>INDEX('Salary lookup FY24'!F5:F19,MATCH(C146,'Salary lookup FY24'!B5:B19,0))</f>
        <v>79415.232000000018</v>
      </c>
      <c r="E146" s="142">
        <v>0.06</v>
      </c>
    </row>
    <row r="147" spans="2:5" x14ac:dyDescent="0.25">
      <c r="B147" s="228" t="s">
        <v>400</v>
      </c>
      <c r="C147" s="154" t="s">
        <v>327</v>
      </c>
      <c r="D147" s="140">
        <f>INDEX('Salary lookup FY24'!F5:F19,MATCH(C147,'Salary lookup FY24'!B5:B19,0))</f>
        <v>41600</v>
      </c>
      <c r="E147" s="142">
        <v>1</v>
      </c>
    </row>
    <row r="148" spans="2:5" hidden="1" x14ac:dyDescent="0.25">
      <c r="B148" s="135"/>
      <c r="C148" s="135"/>
      <c r="D148" s="1650"/>
      <c r="E148" s="1651"/>
    </row>
    <row r="149" spans="2:5" hidden="1" x14ac:dyDescent="0.25">
      <c r="B149" s="135"/>
      <c r="C149" s="135"/>
      <c r="D149" s="1650"/>
      <c r="E149" s="1651"/>
    </row>
    <row r="150" spans="2:5" hidden="1" x14ac:dyDescent="0.25">
      <c r="B150" s="135"/>
      <c r="C150" s="135"/>
      <c r="D150" s="1650"/>
      <c r="E150" s="1651"/>
    </row>
    <row r="151" spans="2:5" hidden="1" x14ac:dyDescent="0.25">
      <c r="B151" s="135"/>
      <c r="C151" s="135"/>
      <c r="D151" s="1650"/>
      <c r="E151" s="1651"/>
    </row>
    <row r="152" spans="2:5" hidden="1" x14ac:dyDescent="0.25">
      <c r="B152" s="135"/>
      <c r="C152" s="135"/>
      <c r="D152" s="1650"/>
      <c r="E152" s="1651"/>
    </row>
    <row r="154" spans="2:5" x14ac:dyDescent="0.25">
      <c r="B154" s="137" t="s">
        <v>326</v>
      </c>
      <c r="C154" s="137" t="s">
        <v>325</v>
      </c>
      <c r="D154" s="1681" t="s">
        <v>324</v>
      </c>
      <c r="E154" s="1682"/>
    </row>
    <row r="155" spans="2:5" x14ac:dyDescent="0.25">
      <c r="B155" s="99" t="s">
        <v>310</v>
      </c>
      <c r="C155" s="136">
        <f>INDEX('Below the Line'!$E$4:$E$20,MATCH(B155,'Below the Line'!$C$4:$C$20,0))</f>
        <v>202.39734163733908</v>
      </c>
      <c r="D155" s="1648" t="s">
        <v>323</v>
      </c>
      <c r="E155" s="1649"/>
    </row>
    <row r="156" spans="2:5" x14ac:dyDescent="0.25">
      <c r="B156" s="99" t="s">
        <v>308</v>
      </c>
      <c r="C156" s="136">
        <f>INDEX('Below the Line'!$E$4:$E$20,MATCH(B156,'Below the Line'!$C$4:$C$20,0))</f>
        <v>823.75132959083601</v>
      </c>
      <c r="D156" s="1648" t="s">
        <v>323</v>
      </c>
      <c r="E156" s="1649"/>
    </row>
    <row r="157" spans="2:5" hidden="1" x14ac:dyDescent="0.25">
      <c r="B157" s="171"/>
      <c r="C157" s="135"/>
      <c r="D157" s="1650"/>
      <c r="E157" s="1651"/>
    </row>
    <row r="158" spans="2:5" hidden="1" x14ac:dyDescent="0.25">
      <c r="B158" s="135"/>
      <c r="C158" s="135"/>
      <c r="D158" s="1650"/>
      <c r="E158" s="1651"/>
    </row>
    <row r="159" spans="2:5" x14ac:dyDescent="0.25">
      <c r="B159" s="132"/>
      <c r="C159" s="132"/>
      <c r="D159" s="1652"/>
      <c r="E159" s="1653"/>
    </row>
    <row r="160" spans="2:5" x14ac:dyDescent="0.25">
      <c r="B160" s="99" t="s">
        <v>322</v>
      </c>
      <c r="C160" s="131">
        <f>'Below the Line'!$D$35</f>
        <v>0.27379999999999999</v>
      </c>
      <c r="D160" s="1648" t="s">
        <v>270</v>
      </c>
      <c r="E160" s="1649"/>
    </row>
    <row r="161" spans="2:5" x14ac:dyDescent="0.25">
      <c r="B161" s="99" t="s">
        <v>321</v>
      </c>
      <c r="C161" s="131">
        <f>'Below the Line'!$D$43</f>
        <v>2.7100379121522307E-2</v>
      </c>
      <c r="D161" s="1648" t="s">
        <v>268</v>
      </c>
      <c r="E161" s="1649"/>
    </row>
    <row r="162" spans="2:5" x14ac:dyDescent="0.25">
      <c r="B162" s="99" t="s">
        <v>320</v>
      </c>
      <c r="C162" s="131">
        <f>'Below the Line'!$D$40</f>
        <v>0.12</v>
      </c>
      <c r="D162" s="1648" t="s">
        <v>270</v>
      </c>
      <c r="E162" s="1649"/>
    </row>
    <row r="165" spans="2:5" ht="15.75" thickBot="1" x14ac:dyDescent="0.3"/>
    <row r="166" spans="2:5" ht="26.25" x14ac:dyDescent="0.4">
      <c r="B166" s="1693" t="s">
        <v>406</v>
      </c>
      <c r="C166" s="1694"/>
      <c r="D166" s="1694"/>
      <c r="E166" s="1675"/>
    </row>
    <row r="167" spans="2:5" ht="21" x14ac:dyDescent="0.35">
      <c r="B167" s="1692" t="s">
        <v>336</v>
      </c>
      <c r="C167" s="1692"/>
      <c r="D167" s="227" t="s">
        <v>335</v>
      </c>
      <c r="E167" s="226" t="s">
        <v>366</v>
      </c>
    </row>
    <row r="168" spans="2:5" ht="30" x14ac:dyDescent="0.25">
      <c r="B168" s="229" t="s">
        <v>333</v>
      </c>
      <c r="C168" s="229" t="s">
        <v>332</v>
      </c>
      <c r="D168" s="229" t="s">
        <v>331</v>
      </c>
      <c r="E168" s="229" t="s">
        <v>405</v>
      </c>
    </row>
    <row r="169" spans="2:5" x14ac:dyDescent="0.25">
      <c r="B169" s="153" t="s">
        <v>330</v>
      </c>
      <c r="C169" s="99" t="s">
        <v>329</v>
      </c>
      <c r="D169" s="140">
        <f>INDEX('Salary lookup FY24'!F5:F19,MATCH(C169,'Salary lookup FY24'!B5:B19,0))</f>
        <v>79415.232000000018</v>
      </c>
      <c r="E169" s="142">
        <v>0.06</v>
      </c>
    </row>
    <row r="170" spans="2:5" x14ac:dyDescent="0.25">
      <c r="B170" s="228" t="s">
        <v>400</v>
      </c>
      <c r="C170" s="154" t="s">
        <v>327</v>
      </c>
      <c r="D170" s="140">
        <f>INDEX('Salary lookup'!D5:D23,MATCH(C170,'Salary lookup'!B5:B23,0))</f>
        <v>46842.432000000008</v>
      </c>
      <c r="E170" s="142">
        <v>1</v>
      </c>
    </row>
    <row r="171" spans="2:5" hidden="1" x14ac:dyDescent="0.25">
      <c r="B171" s="135"/>
      <c r="C171" s="135"/>
      <c r="D171" s="135"/>
      <c r="E171" s="222"/>
    </row>
    <row r="172" spans="2:5" hidden="1" x14ac:dyDescent="0.25">
      <c r="B172" s="135"/>
      <c r="C172" s="135"/>
      <c r="D172" s="135"/>
      <c r="E172" s="222"/>
    </row>
    <row r="173" spans="2:5" hidden="1" x14ac:dyDescent="0.25">
      <c r="B173" s="135"/>
      <c r="C173" s="135"/>
      <c r="D173" s="135"/>
      <c r="E173" s="222"/>
    </row>
    <row r="174" spans="2:5" hidden="1" x14ac:dyDescent="0.25">
      <c r="B174" s="135"/>
      <c r="C174" s="135"/>
      <c r="D174" s="135"/>
      <c r="E174" s="222"/>
    </row>
    <row r="175" spans="2:5" hidden="1" x14ac:dyDescent="0.25">
      <c r="B175" s="135"/>
      <c r="C175" s="135"/>
      <c r="D175" s="135"/>
      <c r="E175" s="222"/>
    </row>
    <row r="177" spans="2:5" x14ac:dyDescent="0.25">
      <c r="B177" s="137" t="s">
        <v>326</v>
      </c>
      <c r="C177" s="137" t="s">
        <v>325</v>
      </c>
      <c r="D177" s="1681" t="s">
        <v>324</v>
      </c>
      <c r="E177" s="1682"/>
    </row>
    <row r="178" spans="2:5" x14ac:dyDescent="0.25">
      <c r="B178" s="99" t="s">
        <v>310</v>
      </c>
      <c r="C178" s="136">
        <f>INDEX('Below the Line'!$E$4:$E$20,MATCH(B178,'Below the Line'!$C$4:$C$20,0))</f>
        <v>202.39734163733908</v>
      </c>
      <c r="D178" s="1648" t="s">
        <v>323</v>
      </c>
      <c r="E178" s="1649"/>
    </row>
    <row r="179" spans="2:5" x14ac:dyDescent="0.25">
      <c r="B179" s="99" t="s">
        <v>308</v>
      </c>
      <c r="C179" s="136">
        <f>INDEX('Below the Line'!$E$4:$E$20,MATCH(B179,'Below the Line'!$C$4:$C$20,0))</f>
        <v>823.75132959083601</v>
      </c>
      <c r="D179" s="1648" t="s">
        <v>323</v>
      </c>
      <c r="E179" s="1649"/>
    </row>
    <row r="180" spans="2:5" hidden="1" x14ac:dyDescent="0.25">
      <c r="B180" s="171"/>
      <c r="C180" s="135"/>
      <c r="D180" s="1650"/>
      <c r="E180" s="1651"/>
    </row>
    <row r="181" spans="2:5" hidden="1" x14ac:dyDescent="0.25">
      <c r="B181" s="135"/>
      <c r="C181" s="135"/>
      <c r="D181" s="1650"/>
      <c r="E181" s="1651"/>
    </row>
    <row r="182" spans="2:5" x14ac:dyDescent="0.25">
      <c r="B182" s="132"/>
      <c r="C182" s="132"/>
      <c r="D182" s="1652"/>
      <c r="E182" s="1653"/>
    </row>
    <row r="183" spans="2:5" x14ac:dyDescent="0.25">
      <c r="B183" s="99" t="s">
        <v>322</v>
      </c>
      <c r="C183" s="131">
        <f>'Below the Line'!$D$35</f>
        <v>0.27379999999999999</v>
      </c>
      <c r="D183" s="1648" t="s">
        <v>270</v>
      </c>
      <c r="E183" s="1649"/>
    </row>
    <row r="184" spans="2:5" x14ac:dyDescent="0.25">
      <c r="B184" s="99" t="s">
        <v>321</v>
      </c>
      <c r="C184" s="131">
        <f>'Below the Line'!$D$43</f>
        <v>2.7100379121522307E-2</v>
      </c>
      <c r="D184" s="1648" t="s">
        <v>268</v>
      </c>
      <c r="E184" s="1649"/>
    </row>
    <row r="185" spans="2:5" x14ac:dyDescent="0.25">
      <c r="B185" s="99" t="s">
        <v>320</v>
      </c>
      <c r="C185" s="131">
        <f>'Below the Line'!$D$40</f>
        <v>0.12</v>
      </c>
      <c r="D185" s="1648" t="s">
        <v>270</v>
      </c>
      <c r="E185" s="1649"/>
    </row>
    <row r="189" spans="2:5" ht="15.75" thickBot="1" x14ac:dyDescent="0.3"/>
    <row r="190" spans="2:5" ht="26.25" x14ac:dyDescent="0.4">
      <c r="B190" s="1693" t="s">
        <v>404</v>
      </c>
      <c r="C190" s="1694"/>
      <c r="D190" s="1694"/>
      <c r="E190" s="1675"/>
    </row>
    <row r="191" spans="2:5" ht="21" x14ac:dyDescent="0.35">
      <c r="B191" s="1692" t="s">
        <v>336</v>
      </c>
      <c r="C191" s="1692"/>
      <c r="D191" s="227" t="s">
        <v>335</v>
      </c>
      <c r="E191" s="226" t="s">
        <v>366</v>
      </c>
    </row>
    <row r="192" spans="2:5" ht="45" x14ac:dyDescent="0.25">
      <c r="B192" s="146" t="s">
        <v>333</v>
      </c>
      <c r="C192" s="146" t="s">
        <v>332</v>
      </c>
      <c r="D192" s="146" t="s">
        <v>331</v>
      </c>
      <c r="E192" s="146" t="s">
        <v>403</v>
      </c>
    </row>
    <row r="193" spans="2:5" x14ac:dyDescent="0.25">
      <c r="B193" s="99" t="s">
        <v>330</v>
      </c>
      <c r="C193" s="99" t="s">
        <v>329</v>
      </c>
      <c r="D193" s="140">
        <f>INDEX('Salary lookup FY24'!F5:F19,MATCH(C193,'Salary lookup FY24'!B5:B19,0))</f>
        <v>79415.232000000018</v>
      </c>
      <c r="E193" s="142">
        <v>5.0099999999999999E-2</v>
      </c>
    </row>
    <row r="194" spans="2:5" x14ac:dyDescent="0.25">
      <c r="B194" s="99" t="s">
        <v>400</v>
      </c>
      <c r="C194" s="99" t="s">
        <v>327</v>
      </c>
      <c r="D194" s="140">
        <f>INDEX('Salary lookup FY24'!F6:F20,MATCH(C194,'Salary lookup FY24'!B5:B19,0))</f>
        <v>53206.566400000003</v>
      </c>
      <c r="E194" s="142">
        <v>0.90439999999999998</v>
      </c>
    </row>
    <row r="195" spans="2:5" hidden="1" x14ac:dyDescent="0.25">
      <c r="B195" s="135"/>
      <c r="C195" s="135"/>
      <c r="D195" s="135"/>
      <c r="E195" s="222"/>
    </row>
    <row r="196" spans="2:5" hidden="1" x14ac:dyDescent="0.25">
      <c r="B196" s="135"/>
      <c r="C196" s="135"/>
      <c r="D196" s="135"/>
      <c r="E196" s="222"/>
    </row>
    <row r="197" spans="2:5" hidden="1" x14ac:dyDescent="0.25">
      <c r="B197" s="135"/>
      <c r="C197" s="135"/>
      <c r="D197" s="135"/>
      <c r="E197" s="222"/>
    </row>
    <row r="198" spans="2:5" hidden="1" x14ac:dyDescent="0.25">
      <c r="B198" s="135"/>
      <c r="C198" s="135"/>
      <c r="D198" s="135"/>
      <c r="E198" s="222"/>
    </row>
    <row r="199" spans="2:5" hidden="1" x14ac:dyDescent="0.25">
      <c r="B199" s="135"/>
      <c r="C199" s="135"/>
      <c r="D199" s="135"/>
      <c r="E199" s="222"/>
    </row>
    <row r="201" spans="2:5" x14ac:dyDescent="0.25">
      <c r="B201" s="137" t="s">
        <v>326</v>
      </c>
      <c r="C201" s="137" t="s">
        <v>325</v>
      </c>
      <c r="D201" s="1681" t="s">
        <v>324</v>
      </c>
      <c r="E201" s="1682"/>
    </row>
    <row r="202" spans="2:5" x14ac:dyDescent="0.25">
      <c r="B202" s="99" t="s">
        <v>288</v>
      </c>
      <c r="C202" s="136">
        <f>INDEX('Below the Line'!$E$4:$E$20,MATCH(B202,'Below the Line'!$C$4:$C$20,0))</f>
        <v>1493.1564099112707</v>
      </c>
      <c r="D202" s="1648" t="s">
        <v>323</v>
      </c>
      <c r="E202" s="1649"/>
    </row>
    <row r="203" spans="2:5" hidden="1" x14ac:dyDescent="0.25">
      <c r="B203" s="171"/>
      <c r="C203" s="135"/>
      <c r="D203" s="1650"/>
      <c r="E203" s="1651"/>
    </row>
    <row r="204" spans="2:5" hidden="1" x14ac:dyDescent="0.25">
      <c r="B204" s="135"/>
      <c r="C204" s="135"/>
      <c r="D204" s="1650"/>
      <c r="E204" s="1651"/>
    </row>
    <row r="205" spans="2:5" hidden="1" x14ac:dyDescent="0.25">
      <c r="B205" s="135"/>
      <c r="C205" s="135"/>
      <c r="D205" s="1650"/>
      <c r="E205" s="1651"/>
    </row>
    <row r="206" spans="2:5" hidden="1" x14ac:dyDescent="0.25">
      <c r="B206" s="135"/>
      <c r="C206" s="135"/>
      <c r="D206" s="1650"/>
      <c r="E206" s="1651"/>
    </row>
    <row r="207" spans="2:5" x14ac:dyDescent="0.25">
      <c r="B207" s="132"/>
      <c r="C207" s="132"/>
      <c r="D207" s="132"/>
      <c r="E207" s="132"/>
    </row>
    <row r="208" spans="2:5" x14ac:dyDescent="0.25">
      <c r="B208" s="99" t="s">
        <v>322</v>
      </c>
      <c r="C208" s="131">
        <f>'Below the Line'!$D$35</f>
        <v>0.27379999999999999</v>
      </c>
      <c r="D208" s="1648" t="s">
        <v>270</v>
      </c>
      <c r="E208" s="1649"/>
    </row>
    <row r="209" spans="2:5" x14ac:dyDescent="0.25">
      <c r="B209" s="99" t="s">
        <v>321</v>
      </c>
      <c r="C209" s="131">
        <f>'Below the Line'!$D$43</f>
        <v>2.7100379121522307E-2</v>
      </c>
      <c r="D209" s="1687" t="s">
        <v>268</v>
      </c>
      <c r="E209" s="1688"/>
    </row>
    <row r="210" spans="2:5" x14ac:dyDescent="0.25">
      <c r="B210" s="99" t="s">
        <v>320</v>
      </c>
      <c r="C210" s="131">
        <f>'Below the Line'!$D$40</f>
        <v>0.12</v>
      </c>
      <c r="D210" s="1687" t="s">
        <v>270</v>
      </c>
      <c r="E210" s="1688"/>
    </row>
    <row r="212" spans="2:5" ht="15.75" thickBot="1" x14ac:dyDescent="0.3"/>
    <row r="213" spans="2:5" ht="26.25" x14ac:dyDescent="0.4">
      <c r="B213" s="1689" t="s">
        <v>402</v>
      </c>
      <c r="C213" s="1690"/>
      <c r="D213" s="1690"/>
      <c r="E213" s="1691"/>
    </row>
    <row r="214" spans="2:5" ht="21" x14ac:dyDescent="0.35">
      <c r="B214" s="1692" t="s">
        <v>336</v>
      </c>
      <c r="C214" s="1692"/>
      <c r="D214" s="227" t="s">
        <v>335</v>
      </c>
      <c r="E214" s="226" t="s">
        <v>366</v>
      </c>
    </row>
    <row r="215" spans="2:5" ht="60" x14ac:dyDescent="0.25">
      <c r="B215" s="146" t="s">
        <v>333</v>
      </c>
      <c r="C215" s="146" t="s">
        <v>332</v>
      </c>
      <c r="D215" s="146" t="s">
        <v>331</v>
      </c>
      <c r="E215" s="146" t="s">
        <v>401</v>
      </c>
    </row>
    <row r="216" spans="2:5" x14ac:dyDescent="0.25">
      <c r="B216" s="99" t="s">
        <v>330</v>
      </c>
      <c r="C216" s="99" t="s">
        <v>329</v>
      </c>
      <c r="D216" s="140">
        <f>INDEX('Salary lookup FY24'!F5:F19,MATCH(C216,'Salary lookup FY24'!B5:B19,0))</f>
        <v>79415.232000000018</v>
      </c>
      <c r="E216" s="142">
        <v>0.05</v>
      </c>
    </row>
    <row r="217" spans="2:5" x14ac:dyDescent="0.25">
      <c r="B217" s="99" t="s">
        <v>400</v>
      </c>
      <c r="C217" s="99" t="s">
        <v>327</v>
      </c>
      <c r="D217" s="140">
        <f>INDEX('Salary lookup FY24'!F6:F20,MATCH(C217,'Salary lookup FY24'!B5:B19,0))</f>
        <v>53206.566400000003</v>
      </c>
      <c r="E217" s="142">
        <v>0.05</v>
      </c>
    </row>
    <row r="218" spans="2:5" hidden="1" x14ac:dyDescent="0.25">
      <c r="B218" s="135"/>
      <c r="C218" s="135"/>
      <c r="D218" s="140" t="e">
        <f>INDEX('Salary lookup FY24'!F7:F21,MATCH(C218,'Salary lookup FY24'!B7:B21,0))</f>
        <v>#N/A</v>
      </c>
      <c r="E218" s="135"/>
    </row>
    <row r="219" spans="2:5" hidden="1" x14ac:dyDescent="0.25">
      <c r="B219" s="135"/>
      <c r="C219" s="135"/>
      <c r="D219" s="140" t="e">
        <f>INDEX('Salary lookup FY24'!F8:F22,MATCH(C219,'Salary lookup FY24'!B8:B22,0))</f>
        <v>#N/A</v>
      </c>
      <c r="E219" s="135"/>
    </row>
    <row r="220" spans="2:5" hidden="1" x14ac:dyDescent="0.25">
      <c r="B220" s="135"/>
      <c r="C220" s="135"/>
      <c r="D220" s="140" t="e">
        <f>INDEX('Salary lookup FY24'!F9:F23,MATCH(C220,'Salary lookup FY24'!B9:B23,0))</f>
        <v>#N/A</v>
      </c>
      <c r="E220" s="135"/>
    </row>
    <row r="221" spans="2:5" hidden="1" x14ac:dyDescent="0.25">
      <c r="B221" s="135"/>
      <c r="C221" s="135"/>
      <c r="D221" s="140" t="e">
        <f>INDEX('Salary lookup FY24'!F10:F24,MATCH(C221,'Salary lookup FY24'!B10:B24,0))</f>
        <v>#N/A</v>
      </c>
      <c r="E221" s="135"/>
    </row>
    <row r="222" spans="2:5" hidden="1" x14ac:dyDescent="0.25">
      <c r="B222" s="135"/>
      <c r="C222" s="135"/>
      <c r="D222" s="140" t="e">
        <f>INDEX('Salary lookup FY24'!F11:F25,MATCH(C222,'Salary lookup FY24'!B11:B25,0))</f>
        <v>#N/A</v>
      </c>
      <c r="E222" s="135"/>
    </row>
    <row r="224" spans="2:5" x14ac:dyDescent="0.25">
      <c r="B224" s="137" t="s">
        <v>326</v>
      </c>
      <c r="C224" s="137" t="s">
        <v>325</v>
      </c>
      <c r="D224" s="1681" t="s">
        <v>324</v>
      </c>
      <c r="E224" s="1682"/>
    </row>
    <row r="225" spans="2:9" x14ac:dyDescent="0.25">
      <c r="B225" s="99" t="s">
        <v>288</v>
      </c>
      <c r="C225" s="140">
        <f>20.11*(1.06%+1)</f>
        <v>20.323165999999997</v>
      </c>
      <c r="D225" s="1648" t="s">
        <v>399</v>
      </c>
      <c r="E225" s="1649"/>
    </row>
    <row r="226" spans="2:9" hidden="1" x14ac:dyDescent="0.25">
      <c r="B226" s="171"/>
      <c r="C226" s="135"/>
      <c r="D226" s="1650"/>
      <c r="E226" s="1651"/>
    </row>
    <row r="227" spans="2:9" hidden="1" x14ac:dyDescent="0.25">
      <c r="B227" s="135"/>
      <c r="C227" s="135"/>
      <c r="D227" s="1650"/>
      <c r="E227" s="1651"/>
    </row>
    <row r="228" spans="2:9" hidden="1" x14ac:dyDescent="0.25">
      <c r="B228" s="135"/>
      <c r="C228" s="135"/>
      <c r="D228" s="1650"/>
      <c r="E228" s="1651"/>
    </row>
    <row r="229" spans="2:9" hidden="1" x14ac:dyDescent="0.25">
      <c r="B229" s="135"/>
      <c r="C229" s="135"/>
      <c r="D229" s="1650"/>
      <c r="E229" s="1651"/>
    </row>
    <row r="230" spans="2:9" x14ac:dyDescent="0.25">
      <c r="B230" s="132"/>
      <c r="C230" s="132"/>
      <c r="D230" s="1686"/>
      <c r="E230" s="1686"/>
    </row>
    <row r="231" spans="2:9" x14ac:dyDescent="0.25">
      <c r="B231" s="99" t="s">
        <v>322</v>
      </c>
      <c r="C231" s="131">
        <f>'Below the Line'!$D$35</f>
        <v>0.27379999999999999</v>
      </c>
      <c r="D231" s="1648" t="s">
        <v>270</v>
      </c>
      <c r="E231" s="1649"/>
    </row>
    <row r="232" spans="2:9" x14ac:dyDescent="0.25">
      <c r="B232" s="99" t="s">
        <v>321</v>
      </c>
      <c r="C232" s="131">
        <f>'Below the Line'!$D$43</f>
        <v>2.7100379121522307E-2</v>
      </c>
      <c r="D232" s="1687" t="s">
        <v>268</v>
      </c>
      <c r="E232" s="1688"/>
    </row>
    <row r="233" spans="2:9" x14ac:dyDescent="0.25">
      <c r="B233" s="99" t="s">
        <v>320</v>
      </c>
      <c r="C233" s="131">
        <f>'Below the Line'!$D$40</f>
        <v>0.12</v>
      </c>
      <c r="D233" s="1687" t="s">
        <v>270</v>
      </c>
      <c r="E233" s="1688"/>
    </row>
    <row r="236" spans="2:9" ht="15.75" thickBot="1" x14ac:dyDescent="0.3"/>
    <row r="237" spans="2:9" ht="27" thickBot="1" x14ac:dyDescent="0.45">
      <c r="B237" s="1673" t="s">
        <v>398</v>
      </c>
      <c r="C237" s="1674"/>
      <c r="D237" s="1674"/>
      <c r="E237" s="1674"/>
      <c r="F237" s="1685"/>
    </row>
    <row r="238" spans="2:9" ht="42" x14ac:dyDescent="0.25">
      <c r="B238" s="1676" t="s">
        <v>336</v>
      </c>
      <c r="C238" s="1676"/>
      <c r="D238" s="193" t="s">
        <v>397</v>
      </c>
      <c r="E238" s="189" t="s">
        <v>335</v>
      </c>
      <c r="F238" s="189" t="s">
        <v>366</v>
      </c>
    </row>
    <row r="239" spans="2:9" ht="30" x14ac:dyDescent="0.25">
      <c r="B239" s="146" t="s">
        <v>333</v>
      </c>
      <c r="C239" s="146" t="s">
        <v>332</v>
      </c>
      <c r="D239" s="225" t="s">
        <v>396</v>
      </c>
      <c r="E239" s="146" t="s">
        <v>331</v>
      </c>
      <c r="F239" s="146" t="s">
        <v>250</v>
      </c>
      <c r="G239" s="224"/>
      <c r="H239" s="223"/>
      <c r="I239" s="223"/>
    </row>
    <row r="240" spans="2:9" x14ac:dyDescent="0.25">
      <c r="B240" s="99" t="s">
        <v>330</v>
      </c>
      <c r="C240" s="99" t="s">
        <v>329</v>
      </c>
      <c r="D240" s="211">
        <v>580</v>
      </c>
      <c r="E240" s="140">
        <f>INDEX('Salary lookup FY24'!F5:F19,MATCH(C240,'Salary lookup FY24'!B5:B19,0))</f>
        <v>79415.232000000018</v>
      </c>
      <c r="F240" s="142">
        <v>0.06</v>
      </c>
    </row>
    <row r="241" spans="2:6" x14ac:dyDescent="0.25">
      <c r="B241" s="99" t="s">
        <v>342</v>
      </c>
      <c r="C241" s="99" t="s">
        <v>342</v>
      </c>
      <c r="D241" s="211">
        <v>35</v>
      </c>
      <c r="E241" s="140">
        <f>INDEX('Salary lookup FY24'!F6:F20,MATCH(C241,'Salary lookup FY24'!B6:B20,0))</f>
        <v>58616.063999999998</v>
      </c>
      <c r="F241" s="142">
        <v>1.63</v>
      </c>
    </row>
    <row r="242" spans="2:6" hidden="1" x14ac:dyDescent="0.25">
      <c r="B242" s="135"/>
      <c r="C242" s="135"/>
      <c r="D242" s="135"/>
      <c r="E242" s="135"/>
      <c r="F242" s="222"/>
    </row>
    <row r="243" spans="2:6" hidden="1" x14ac:dyDescent="0.25">
      <c r="B243" s="135"/>
      <c r="C243" s="135"/>
      <c r="D243" s="135"/>
      <c r="E243" s="135"/>
      <c r="F243" s="222"/>
    </row>
    <row r="244" spans="2:6" hidden="1" x14ac:dyDescent="0.25">
      <c r="B244" s="135"/>
      <c r="C244" s="135"/>
      <c r="D244" s="135"/>
      <c r="E244" s="135"/>
      <c r="F244" s="222"/>
    </row>
    <row r="245" spans="2:6" hidden="1" x14ac:dyDescent="0.25">
      <c r="B245" s="135"/>
      <c r="C245" s="135"/>
      <c r="D245" s="135"/>
      <c r="E245" s="135"/>
      <c r="F245" s="222"/>
    </row>
    <row r="246" spans="2:6" hidden="1" x14ac:dyDescent="0.25">
      <c r="B246" s="135"/>
      <c r="C246" s="135"/>
      <c r="D246" s="135"/>
      <c r="E246" s="135"/>
      <c r="F246" s="222"/>
    </row>
    <row r="248" spans="2:6" x14ac:dyDescent="0.25">
      <c r="B248" s="137" t="s">
        <v>326</v>
      </c>
      <c r="C248" s="137" t="s">
        <v>325</v>
      </c>
      <c r="D248" s="1681" t="s">
        <v>324</v>
      </c>
      <c r="E248" s="1682"/>
    </row>
    <row r="249" spans="2:6" x14ac:dyDescent="0.25">
      <c r="B249" s="99" t="s">
        <v>314</v>
      </c>
      <c r="C249" s="136">
        <f>INDEX('Below the Line'!$E$4:$E$20,MATCH(B249,'Below the Line'!$C$4:$C$20,0))</f>
        <v>6221.9259542286536</v>
      </c>
      <c r="D249" s="1648" t="s">
        <v>323</v>
      </c>
      <c r="E249" s="1649"/>
    </row>
    <row r="250" spans="2:6" x14ac:dyDescent="0.25">
      <c r="B250" s="99" t="s">
        <v>310</v>
      </c>
      <c r="C250" s="136">
        <f>INDEX('Below the Line'!$E$4:$E$20,MATCH(B250,'Below the Line'!$C$4:$C$20,0))</f>
        <v>202.39734163733908</v>
      </c>
      <c r="D250" s="1648" t="s">
        <v>323</v>
      </c>
      <c r="E250" s="1649"/>
    </row>
    <row r="251" spans="2:6" x14ac:dyDescent="0.25">
      <c r="B251" s="99" t="s">
        <v>308</v>
      </c>
      <c r="C251" s="136">
        <f>INDEX('Below the Line'!$E$4:$E$20,MATCH(B251,'Below the Line'!$C$4:$C$20,0))</f>
        <v>823.75132959083601</v>
      </c>
      <c r="D251" s="1648" t="s">
        <v>323</v>
      </c>
      <c r="E251" s="1649"/>
    </row>
    <row r="252" spans="2:6" x14ac:dyDescent="0.25">
      <c r="B252" s="99" t="s">
        <v>304</v>
      </c>
      <c r="C252" s="136">
        <f>INDEX('Below the Line'!$E$4:$E$20,MATCH(B252,'Below the Line'!$C$4:$C$20,0))</f>
        <v>1741.693522928565</v>
      </c>
      <c r="D252" s="1648" t="s">
        <v>323</v>
      </c>
      <c r="E252" s="1649"/>
    </row>
    <row r="253" spans="2:6" x14ac:dyDescent="0.25">
      <c r="B253" s="99" t="s">
        <v>288</v>
      </c>
      <c r="C253" s="136">
        <f>INDEX('Below the Line'!$E$4:$E$20,MATCH(B253,'Below the Line'!$C$4:$C$20,0))</f>
        <v>1493.1564099112707</v>
      </c>
      <c r="D253" s="1648" t="s">
        <v>323</v>
      </c>
      <c r="E253" s="1649"/>
    </row>
    <row r="254" spans="2:6" x14ac:dyDescent="0.25">
      <c r="B254" s="99" t="s">
        <v>286</v>
      </c>
      <c r="C254" s="136">
        <f>INDEX('Below the Line'!$E$4:$E$20,MATCH(B254,'Below the Line'!$C$4:$C$20,0))</f>
        <v>3151.0944966340862</v>
      </c>
      <c r="D254" s="1648" t="s">
        <v>323</v>
      </c>
      <c r="E254" s="1649"/>
    </row>
    <row r="255" spans="2:6" x14ac:dyDescent="0.25">
      <c r="B255" s="99" t="s">
        <v>283</v>
      </c>
      <c r="C255" s="136">
        <f>INDEX('Below the Line'!$E$4:$E$20,MATCH(B255,'Below the Line'!$C$4:$C$20,0))</f>
        <v>1000</v>
      </c>
      <c r="D255" s="1648" t="s">
        <v>395</v>
      </c>
      <c r="E255" s="1649"/>
    </row>
    <row r="256" spans="2:6" hidden="1" x14ac:dyDescent="0.25">
      <c r="B256" s="135"/>
      <c r="C256" s="135"/>
      <c r="D256" s="134"/>
      <c r="E256" s="133"/>
    </row>
    <row r="257" spans="2:7" hidden="1" x14ac:dyDescent="0.25">
      <c r="B257" s="135"/>
      <c r="C257" s="135"/>
      <c r="D257" s="134"/>
      <c r="E257" s="133"/>
    </row>
    <row r="258" spans="2:7" hidden="1" x14ac:dyDescent="0.25">
      <c r="B258" s="135"/>
      <c r="C258" s="135"/>
      <c r="D258" s="134"/>
      <c r="E258" s="133"/>
    </row>
    <row r="259" spans="2:7" hidden="1" x14ac:dyDescent="0.25">
      <c r="B259" s="135"/>
      <c r="C259" s="135"/>
      <c r="D259" s="134"/>
      <c r="E259" s="133"/>
    </row>
    <row r="260" spans="2:7" hidden="1" x14ac:dyDescent="0.25">
      <c r="B260" s="135"/>
      <c r="C260" s="135"/>
      <c r="D260" s="134"/>
      <c r="E260" s="133"/>
    </row>
    <row r="261" spans="2:7" x14ac:dyDescent="0.25">
      <c r="B261" s="132"/>
      <c r="C261" s="132"/>
      <c r="D261" s="132"/>
      <c r="E261" s="132"/>
    </row>
    <row r="262" spans="2:7" x14ac:dyDescent="0.25">
      <c r="B262" s="99" t="s">
        <v>322</v>
      </c>
      <c r="C262" s="131">
        <f>'Below the Line'!$D$35</f>
        <v>0.27379999999999999</v>
      </c>
      <c r="D262" s="1648" t="s">
        <v>270</v>
      </c>
      <c r="E262" s="1649"/>
    </row>
    <row r="263" spans="2:7" x14ac:dyDescent="0.25">
      <c r="B263" s="99" t="s">
        <v>321</v>
      </c>
      <c r="C263" s="131">
        <f>'Below the Line'!$D$43</f>
        <v>2.7100379121522307E-2</v>
      </c>
      <c r="D263" s="1661" t="s">
        <v>268</v>
      </c>
      <c r="E263" s="1661"/>
    </row>
    <row r="264" spans="2:7" x14ac:dyDescent="0.25">
      <c r="B264" s="99" t="s">
        <v>320</v>
      </c>
      <c r="C264" s="131">
        <f>'Below the Line'!$D$40</f>
        <v>0.12</v>
      </c>
      <c r="D264" s="1661" t="s">
        <v>270</v>
      </c>
      <c r="E264" s="1661"/>
    </row>
    <row r="265" spans="2:7" x14ac:dyDescent="0.25">
      <c r="B265" s="221" t="s">
        <v>394</v>
      </c>
      <c r="C265" s="220">
        <v>35</v>
      </c>
      <c r="D265" s="1648"/>
      <c r="E265" s="1649"/>
    </row>
    <row r="269" spans="2:7" ht="15.75" thickBot="1" x14ac:dyDescent="0.3">
      <c r="E269" s="97"/>
    </row>
    <row r="270" spans="2:7" ht="27" thickBot="1" x14ac:dyDescent="0.45">
      <c r="B270" s="1673" t="s">
        <v>393</v>
      </c>
      <c r="C270" s="1674"/>
      <c r="D270" s="1674"/>
      <c r="E270" s="1674"/>
      <c r="F270" s="1674"/>
      <c r="G270" s="1685"/>
    </row>
    <row r="271" spans="2:7" ht="21" x14ac:dyDescent="0.35">
      <c r="B271" s="1669" t="s">
        <v>336</v>
      </c>
      <c r="C271" s="1669"/>
      <c r="D271" s="148" t="s">
        <v>335</v>
      </c>
      <c r="E271" s="1670" t="s">
        <v>366</v>
      </c>
      <c r="F271" s="1670"/>
      <c r="G271" s="1670"/>
    </row>
    <row r="272" spans="2:7" x14ac:dyDescent="0.25">
      <c r="B272" s="146" t="s">
        <v>333</v>
      </c>
      <c r="C272" s="146" t="s">
        <v>332</v>
      </c>
      <c r="D272" s="146" t="s">
        <v>331</v>
      </c>
      <c r="E272" s="146" t="s">
        <v>392</v>
      </c>
      <c r="F272" s="146" t="s">
        <v>391</v>
      </c>
      <c r="G272" s="146" t="s">
        <v>390</v>
      </c>
    </row>
    <row r="273" spans="2:7" x14ac:dyDescent="0.25">
      <c r="B273" s="167" t="s">
        <v>342</v>
      </c>
      <c r="C273" s="167" t="s">
        <v>342</v>
      </c>
      <c r="D273" s="140">
        <f>INDEX('Salary lookup FY24'!F5:F19,MATCH(B273,'Salary lookup FY24'!B5:B19,0))</f>
        <v>58616.063999999998</v>
      </c>
      <c r="E273" s="219">
        <v>0.15</v>
      </c>
      <c r="F273" s="219">
        <v>0.15</v>
      </c>
      <c r="G273" s="219">
        <v>0.15</v>
      </c>
    </row>
    <row r="274" spans="2:7" hidden="1" x14ac:dyDescent="0.25">
      <c r="B274" s="135"/>
      <c r="C274" s="135"/>
      <c r="D274" s="135"/>
      <c r="E274" s="135"/>
      <c r="F274" s="135"/>
      <c r="G274" s="135"/>
    </row>
    <row r="275" spans="2:7" hidden="1" x14ac:dyDescent="0.25">
      <c r="B275" s="135"/>
      <c r="C275" s="135"/>
      <c r="D275" s="135"/>
      <c r="E275" s="135"/>
      <c r="F275" s="135"/>
      <c r="G275" s="135"/>
    </row>
    <row r="276" spans="2:7" hidden="1" x14ac:dyDescent="0.25">
      <c r="B276" s="135"/>
      <c r="C276" s="218"/>
      <c r="D276" s="135"/>
      <c r="E276" s="135"/>
      <c r="F276" s="135"/>
      <c r="G276" s="135"/>
    </row>
    <row r="277" spans="2:7" hidden="1" x14ac:dyDescent="0.25">
      <c r="B277" s="135"/>
      <c r="C277" s="218"/>
      <c r="D277" s="135"/>
      <c r="E277" s="135"/>
      <c r="F277" s="135"/>
      <c r="G277" s="135"/>
    </row>
    <row r="279" spans="2:7" x14ac:dyDescent="0.25">
      <c r="B279" s="137" t="s">
        <v>326</v>
      </c>
      <c r="C279" s="137" t="s">
        <v>325</v>
      </c>
      <c r="D279" s="1681" t="s">
        <v>324</v>
      </c>
      <c r="E279" s="1682"/>
    </row>
    <row r="280" spans="2:7" x14ac:dyDescent="0.25">
      <c r="B280" s="217" t="s">
        <v>304</v>
      </c>
      <c r="C280" s="136">
        <f>INDEX('Below the Line'!$E$4:$E$23,MATCH(B280,'Below the Line'!$C$4:$C$23,0))</f>
        <v>1741.693522928565</v>
      </c>
      <c r="D280" s="1648" t="s">
        <v>323</v>
      </c>
      <c r="E280" s="1649"/>
    </row>
    <row r="281" spans="2:7" x14ac:dyDescent="0.25">
      <c r="B281" s="217" t="s">
        <v>314</v>
      </c>
      <c r="C281" s="136">
        <f>INDEX('Below the Line'!$E$4:$E$23,MATCH(B281,'Below the Line'!$C$4:$C$23,0))</f>
        <v>6221.9259542286536</v>
      </c>
      <c r="D281" s="1648" t="s">
        <v>323</v>
      </c>
      <c r="E281" s="1649"/>
    </row>
    <row r="282" spans="2:7" hidden="1" x14ac:dyDescent="0.25">
      <c r="B282" s="135"/>
      <c r="C282" s="135"/>
      <c r="D282" s="135"/>
      <c r="E282" s="135"/>
    </row>
    <row r="283" spans="2:7" hidden="1" x14ac:dyDescent="0.25">
      <c r="B283" s="135"/>
      <c r="C283" s="135"/>
      <c r="D283" s="135"/>
      <c r="E283" s="135"/>
    </row>
    <row r="284" spans="2:7" hidden="1" x14ac:dyDescent="0.25">
      <c r="B284" s="135"/>
      <c r="C284" s="135"/>
      <c r="D284" s="135"/>
      <c r="E284" s="135"/>
    </row>
    <row r="285" spans="2:7" hidden="1" x14ac:dyDescent="0.25">
      <c r="B285" s="135"/>
      <c r="C285" s="135"/>
      <c r="D285" s="135"/>
      <c r="E285" s="135"/>
    </row>
    <row r="286" spans="2:7" x14ac:dyDescent="0.25">
      <c r="B286" s="100"/>
      <c r="C286" s="100"/>
      <c r="D286" s="1683"/>
      <c r="E286" s="1683"/>
    </row>
    <row r="287" spans="2:7" x14ac:dyDescent="0.25">
      <c r="B287" s="216" t="s">
        <v>282</v>
      </c>
      <c r="C287" s="136">
        <f>INDEX('Non-Salary Expense'!E21:E23,MATCH(B287,'Non-Salary Expense'!C21:C23,0))</f>
        <v>22829.453999999998</v>
      </c>
      <c r="D287" s="1684" t="s">
        <v>389</v>
      </c>
      <c r="E287" s="1684"/>
    </row>
    <row r="288" spans="2:7" x14ac:dyDescent="0.25">
      <c r="B288" s="216" t="s">
        <v>280</v>
      </c>
      <c r="C288" s="136">
        <f>INDEX('Non-Salary Expense'!E22:E24,MATCH(B288,'Non-Salary Expense'!C22:C24,0))</f>
        <v>31130.522399999998</v>
      </c>
      <c r="D288" s="1684" t="s">
        <v>389</v>
      </c>
      <c r="E288" s="1684"/>
    </row>
    <row r="289" spans="2:16" x14ac:dyDescent="0.25">
      <c r="B289" s="216" t="s">
        <v>278</v>
      </c>
      <c r="C289" s="136">
        <f>INDEX('Non-Salary Expense'!E23:E25,MATCH(B289,'Non-Salary Expense'!C23:C25,0))</f>
        <v>39431.590799999998</v>
      </c>
      <c r="D289" s="1684" t="s">
        <v>389</v>
      </c>
      <c r="E289" s="1684"/>
    </row>
    <row r="290" spans="2:16" x14ac:dyDescent="0.25">
      <c r="B290" s="132"/>
      <c r="C290" s="132"/>
      <c r="D290" s="132"/>
      <c r="E290" s="132"/>
    </row>
    <row r="291" spans="2:16" x14ac:dyDescent="0.25">
      <c r="B291" s="99" t="s">
        <v>322</v>
      </c>
      <c r="C291" s="131">
        <f>'Below the Line'!$D$35</f>
        <v>0.27379999999999999</v>
      </c>
      <c r="D291" s="1648" t="s">
        <v>270</v>
      </c>
      <c r="E291" s="1649"/>
    </row>
    <row r="292" spans="2:16" x14ac:dyDescent="0.25">
      <c r="B292" s="99" t="s">
        <v>321</v>
      </c>
      <c r="C292" s="131">
        <f>'Below the Line'!$D$43</f>
        <v>2.7100379121522307E-2</v>
      </c>
      <c r="D292" s="1661" t="s">
        <v>268</v>
      </c>
      <c r="E292" s="1661"/>
    </row>
    <row r="293" spans="2:16" x14ac:dyDescent="0.25">
      <c r="B293" s="99" t="s">
        <v>320</v>
      </c>
      <c r="C293" s="131">
        <f>'Below the Line'!$D$40</f>
        <v>0.12</v>
      </c>
      <c r="D293" s="1661" t="s">
        <v>270</v>
      </c>
      <c r="E293" s="1661"/>
    </row>
    <row r="296" spans="2:16" ht="15.75" thickBot="1" x14ac:dyDescent="0.3"/>
    <row r="297" spans="2:16" ht="27" thickBot="1" x14ac:dyDescent="0.3">
      <c r="B297" s="1678" t="s">
        <v>388</v>
      </c>
      <c r="C297" s="1679"/>
      <c r="D297" s="1679"/>
      <c r="E297" s="1679"/>
      <c r="F297" s="1679"/>
      <c r="G297" s="1679"/>
      <c r="H297" s="1679"/>
      <c r="I297" s="1679"/>
      <c r="J297" s="1679"/>
      <c r="K297" s="1679"/>
      <c r="L297" s="1679"/>
      <c r="M297" s="1679"/>
      <c r="N297" s="1679"/>
      <c r="O297" s="1679"/>
      <c r="P297" s="1680"/>
    </row>
    <row r="298" spans="2:16" ht="21" x14ac:dyDescent="0.35">
      <c r="B298" s="1669" t="s">
        <v>336</v>
      </c>
      <c r="C298" s="1669"/>
      <c r="D298" s="148" t="s">
        <v>335</v>
      </c>
      <c r="E298" s="1670" t="s">
        <v>366</v>
      </c>
      <c r="F298" s="1670"/>
      <c r="G298" s="1670"/>
      <c r="H298" s="1670"/>
      <c r="I298" s="1670"/>
      <c r="J298" s="1670"/>
      <c r="K298" s="1670"/>
      <c r="L298" s="1670"/>
      <c r="M298" s="1670"/>
      <c r="N298" s="1670"/>
      <c r="O298" s="1670"/>
      <c r="P298" s="1670"/>
    </row>
    <row r="299" spans="2:16" ht="105" x14ac:dyDescent="0.25">
      <c r="B299" s="146" t="s">
        <v>333</v>
      </c>
      <c r="C299" s="146" t="s">
        <v>332</v>
      </c>
      <c r="D299" s="146" t="s">
        <v>331</v>
      </c>
      <c r="E299" s="187" t="s">
        <v>387</v>
      </c>
      <c r="F299" s="187" t="s">
        <v>386</v>
      </c>
      <c r="G299" s="215" t="s">
        <v>385</v>
      </c>
      <c r="H299" s="214" t="s">
        <v>384</v>
      </c>
      <c r="I299" s="214" t="s">
        <v>383</v>
      </c>
      <c r="J299" s="214" t="s">
        <v>382</v>
      </c>
      <c r="K299" s="213" t="s">
        <v>381</v>
      </c>
      <c r="L299" s="213" t="s">
        <v>380</v>
      </c>
      <c r="M299" s="213" t="s">
        <v>379</v>
      </c>
      <c r="N299" s="212" t="s">
        <v>378</v>
      </c>
      <c r="O299" s="212" t="s">
        <v>377</v>
      </c>
      <c r="P299" s="212" t="s">
        <v>376</v>
      </c>
    </row>
    <row r="300" spans="2:16" x14ac:dyDescent="0.25">
      <c r="B300" s="99" t="s">
        <v>330</v>
      </c>
      <c r="C300" s="99" t="s">
        <v>329</v>
      </c>
      <c r="D300" s="140">
        <f>INDEX('Salary lookup FY24'!F5:F19,MATCH(C300,'Salary lookup FY24'!B5:B19,0))</f>
        <v>79415.232000000018</v>
      </c>
      <c r="E300" s="179">
        <v>8</v>
      </c>
      <c r="F300" s="178">
        <v>5</v>
      </c>
      <c r="G300" s="158">
        <f>($C$321/E300)*(F300/$C$321)</f>
        <v>0.625</v>
      </c>
      <c r="H300" s="179">
        <v>8</v>
      </c>
      <c r="I300" s="178">
        <v>5</v>
      </c>
      <c r="J300" s="158">
        <f>($C$321/H300)*(I300/$C$321)</f>
        <v>0.625</v>
      </c>
      <c r="K300" s="142">
        <v>8</v>
      </c>
      <c r="L300" s="211">
        <v>2</v>
      </c>
      <c r="M300" s="158">
        <f>($C$321/K300)*(L300/$C$321)</f>
        <v>0.25</v>
      </c>
      <c r="N300" s="180">
        <v>8</v>
      </c>
      <c r="O300" s="178">
        <v>2</v>
      </c>
      <c r="P300" s="158">
        <f>($C$321/N300)*(O300/$C$321)</f>
        <v>0.25</v>
      </c>
    </row>
    <row r="301" spans="2:16" x14ac:dyDescent="0.25">
      <c r="B301" s="99" t="s">
        <v>375</v>
      </c>
      <c r="C301" s="99" t="s">
        <v>374</v>
      </c>
      <c r="D301" s="140">
        <f>INDEX('Salary lookup FY24'!F20:F23,MATCH(C301,'Salary lookup FY24'!B20:B23,0))</f>
        <v>83967.52</v>
      </c>
      <c r="E301" s="158">
        <v>0</v>
      </c>
      <c r="F301" s="158">
        <v>0</v>
      </c>
      <c r="G301" s="158">
        <v>0</v>
      </c>
      <c r="H301" s="179">
        <v>5</v>
      </c>
      <c r="I301" s="178">
        <v>5</v>
      </c>
      <c r="J301" s="158">
        <f>($C$321/H301)*(I301/$C$321)</f>
        <v>1</v>
      </c>
      <c r="K301" s="142">
        <v>10</v>
      </c>
      <c r="L301" s="211">
        <v>2</v>
      </c>
      <c r="M301" s="158">
        <f>($C$321/K301)*(L301/$C$321)</f>
        <v>0.2</v>
      </c>
      <c r="N301" s="180">
        <v>10</v>
      </c>
      <c r="O301" s="178">
        <v>2</v>
      </c>
      <c r="P301" s="158">
        <f>($C$321/N301)*(O301/$C$321)</f>
        <v>0.2</v>
      </c>
    </row>
    <row r="302" spans="2:16" x14ac:dyDescent="0.25">
      <c r="B302" s="99" t="s">
        <v>373</v>
      </c>
      <c r="C302" s="99" t="s">
        <v>327</v>
      </c>
      <c r="D302" s="140">
        <f>INDEX('Salary lookup FY24'!F7:F21,MATCH(C302,'Salary lookup FY24'!B5:B19,0))</f>
        <v>39772.927999999993</v>
      </c>
      <c r="E302" s="178">
        <v>25</v>
      </c>
      <c r="F302" s="178">
        <v>5</v>
      </c>
      <c r="G302" s="158">
        <f>($C$321/E302)*(F302/$C$321)</f>
        <v>0.2</v>
      </c>
      <c r="H302" s="209">
        <v>25</v>
      </c>
      <c r="I302" s="209">
        <v>5</v>
      </c>
      <c r="J302" s="158">
        <f>($C$321/H302)*(I302/$C$321)</f>
        <v>0.2</v>
      </c>
      <c r="K302" s="210">
        <v>25</v>
      </c>
      <c r="L302" s="210">
        <v>2</v>
      </c>
      <c r="M302" s="158">
        <f>($C$321/K302)*(L302/$C$321)</f>
        <v>8.0000000000000016E-2</v>
      </c>
      <c r="N302" s="209">
        <v>25</v>
      </c>
      <c r="O302" s="178">
        <v>2</v>
      </c>
      <c r="P302" s="158">
        <f>($C$321/N302)*(O302/$C$321)</f>
        <v>8.0000000000000016E-2</v>
      </c>
    </row>
    <row r="303" spans="2:16" x14ac:dyDescent="0.25">
      <c r="B303" s="208" t="s">
        <v>327</v>
      </c>
      <c r="C303" s="208" t="s">
        <v>327</v>
      </c>
      <c r="D303" s="140">
        <f>INDEX('Salary lookup FY24'!F5:F19,MATCH(C303,'Salary lookup FY24'!B5:B19,0))</f>
        <v>41600</v>
      </c>
      <c r="E303" s="206">
        <v>2.5</v>
      </c>
      <c r="F303" s="202">
        <v>7</v>
      </c>
      <c r="G303" s="207">
        <v>7</v>
      </c>
      <c r="H303" s="206">
        <v>2.5</v>
      </c>
      <c r="I303" s="202">
        <v>7</v>
      </c>
      <c r="J303" s="201">
        <v>7.3</v>
      </c>
      <c r="K303" s="205">
        <v>2.5</v>
      </c>
      <c r="L303" s="204">
        <v>2</v>
      </c>
      <c r="M303" s="201">
        <v>2.63</v>
      </c>
      <c r="N303" s="203">
        <v>2</v>
      </c>
      <c r="O303" s="202">
        <v>2</v>
      </c>
      <c r="P303" s="201">
        <v>3.69</v>
      </c>
    </row>
    <row r="304" spans="2:16" hidden="1" x14ac:dyDescent="0.25">
      <c r="B304" s="135"/>
      <c r="C304" s="135"/>
      <c r="D304" s="135"/>
      <c r="E304" s="135"/>
      <c r="F304" s="135"/>
      <c r="G304" s="135"/>
      <c r="H304" s="135"/>
      <c r="I304" s="135"/>
      <c r="J304" s="135"/>
      <c r="K304" s="135"/>
      <c r="L304" s="135"/>
      <c r="M304" s="135"/>
      <c r="N304" s="135"/>
      <c r="O304" s="135"/>
      <c r="P304" s="135"/>
    </row>
    <row r="305" spans="2:16" hidden="1" x14ac:dyDescent="0.25">
      <c r="B305" s="135"/>
      <c r="C305" s="135"/>
      <c r="D305" s="135"/>
      <c r="E305" s="135"/>
      <c r="F305" s="135"/>
      <c r="G305" s="135"/>
      <c r="H305" s="135"/>
      <c r="I305" s="135"/>
      <c r="J305" s="135"/>
      <c r="K305" s="135"/>
      <c r="L305" s="135"/>
      <c r="M305" s="135"/>
      <c r="N305" s="135"/>
      <c r="O305" s="135"/>
      <c r="P305" s="135"/>
    </row>
    <row r="306" spans="2:16" hidden="1" x14ac:dyDescent="0.25">
      <c r="B306" s="135"/>
      <c r="C306" s="135"/>
      <c r="D306" s="135"/>
      <c r="E306" s="135"/>
      <c r="F306" s="135"/>
      <c r="G306" s="135"/>
      <c r="H306" s="135"/>
      <c r="I306" s="135"/>
      <c r="J306" s="135"/>
      <c r="K306" s="135"/>
      <c r="L306" s="135"/>
      <c r="M306" s="135"/>
      <c r="N306" s="135"/>
      <c r="O306" s="135"/>
      <c r="P306" s="135"/>
    </row>
    <row r="307" spans="2:16" hidden="1" x14ac:dyDescent="0.25">
      <c r="B307" s="135"/>
      <c r="C307" s="135"/>
      <c r="D307" s="135"/>
      <c r="E307" s="135"/>
      <c r="F307" s="135"/>
      <c r="G307" s="135"/>
      <c r="H307" s="135"/>
      <c r="I307" s="135"/>
      <c r="J307" s="135"/>
      <c r="K307" s="135"/>
      <c r="L307" s="135"/>
      <c r="M307" s="135"/>
      <c r="N307" s="135"/>
      <c r="O307" s="135"/>
      <c r="P307" s="135"/>
    </row>
    <row r="310" spans="2:16" x14ac:dyDescent="0.25">
      <c r="B310" s="137" t="s">
        <v>326</v>
      </c>
      <c r="C310" s="137" t="s">
        <v>325</v>
      </c>
      <c r="D310" s="1681" t="s">
        <v>324</v>
      </c>
      <c r="E310" s="1682"/>
    </row>
    <row r="311" spans="2:16" x14ac:dyDescent="0.25">
      <c r="B311" s="99" t="s">
        <v>314</v>
      </c>
      <c r="C311" s="136">
        <f>INDEX('Below the Line'!$E$4:$E$23,MATCH(B311,'Below the Line'!$C$4:$C$23,0))</f>
        <v>6221.9259542286536</v>
      </c>
      <c r="D311" s="1648" t="s">
        <v>323</v>
      </c>
      <c r="E311" s="1649"/>
    </row>
    <row r="312" spans="2:16" x14ac:dyDescent="0.25">
      <c r="B312" s="99" t="s">
        <v>286</v>
      </c>
      <c r="C312" s="136">
        <f>INDEX('Below the Line'!$E$4:$E$23,MATCH(B312,'Below the Line'!$C$4:$C$23,0))</f>
        <v>3151.0944966340862</v>
      </c>
      <c r="D312" s="1648" t="s">
        <v>323</v>
      </c>
      <c r="E312" s="1649"/>
    </row>
    <row r="313" spans="2:16" hidden="1" x14ac:dyDescent="0.25">
      <c r="B313" s="135"/>
      <c r="C313" s="135"/>
      <c r="D313" s="1650"/>
      <c r="E313" s="1651"/>
      <c r="G313" s="196"/>
      <c r="H313" s="200"/>
      <c r="I313" s="195"/>
    </row>
    <row r="314" spans="2:16" hidden="1" x14ac:dyDescent="0.25">
      <c r="B314" s="135"/>
      <c r="C314" s="135"/>
      <c r="D314" s="1650"/>
      <c r="E314" s="1651"/>
      <c r="G314" s="196"/>
      <c r="H314" s="200"/>
      <c r="I314" s="195"/>
    </row>
    <row r="315" spans="2:16" hidden="1" x14ac:dyDescent="0.25">
      <c r="B315" s="135"/>
      <c r="C315" s="135"/>
      <c r="D315" s="1650"/>
      <c r="E315" s="1651"/>
      <c r="G315" s="196"/>
      <c r="H315" s="200"/>
      <c r="I315" s="195"/>
    </row>
    <row r="316" spans="2:16" hidden="1" x14ac:dyDescent="0.25">
      <c r="B316" s="135"/>
      <c r="C316" s="135"/>
      <c r="D316" s="1650"/>
      <c r="E316" s="1651"/>
      <c r="G316" s="196"/>
      <c r="H316" s="199"/>
      <c r="I316" s="195"/>
    </row>
    <row r="317" spans="2:16" x14ac:dyDescent="0.25">
      <c r="B317" s="132"/>
      <c r="C317" s="132"/>
      <c r="D317" s="132"/>
      <c r="E317" s="132"/>
    </row>
    <row r="318" spans="2:16" x14ac:dyDescent="0.25">
      <c r="B318" s="99" t="s">
        <v>322</v>
      </c>
      <c r="C318" s="131">
        <f>'Below the Line'!$D$35</f>
        <v>0.27379999999999999</v>
      </c>
      <c r="D318" s="1648" t="s">
        <v>270</v>
      </c>
      <c r="E318" s="1649"/>
    </row>
    <row r="319" spans="2:16" x14ac:dyDescent="0.25">
      <c r="B319" s="99" t="s">
        <v>321</v>
      </c>
      <c r="C319" s="131">
        <f>'Below the Line'!$D$43</f>
        <v>2.7100379121522307E-2</v>
      </c>
      <c r="D319" s="1661" t="s">
        <v>268</v>
      </c>
      <c r="E319" s="1661"/>
    </row>
    <row r="320" spans="2:16" x14ac:dyDescent="0.25">
      <c r="B320" s="99" t="s">
        <v>320</v>
      </c>
      <c r="C320" s="131">
        <f>'Below the Line'!$D$40</f>
        <v>0.12</v>
      </c>
      <c r="D320" s="1661" t="s">
        <v>270</v>
      </c>
      <c r="E320" s="1661"/>
      <c r="G320" s="196"/>
      <c r="H320" s="197"/>
      <c r="I320" s="195"/>
    </row>
    <row r="321" spans="2:9" x14ac:dyDescent="0.25">
      <c r="B321" s="198" t="s">
        <v>372</v>
      </c>
      <c r="C321" s="198">
        <v>5</v>
      </c>
      <c r="D321" s="198"/>
      <c r="E321" s="198"/>
      <c r="G321" s="196"/>
      <c r="H321" s="197"/>
      <c r="I321" s="195"/>
    </row>
    <row r="322" spans="2:9" x14ac:dyDescent="0.25">
      <c r="B322" s="99" t="s">
        <v>371</v>
      </c>
      <c r="C322" s="131">
        <v>0.9</v>
      </c>
      <c r="D322" s="99"/>
      <c r="E322" s="99"/>
      <c r="G322" s="196"/>
      <c r="H322" s="195"/>
      <c r="I322" s="195"/>
    </row>
    <row r="327" spans="2:9" ht="15.75" thickBot="1" x14ac:dyDescent="0.3"/>
    <row r="328" spans="2:9" ht="27" thickBot="1" x14ac:dyDescent="0.45">
      <c r="B328" s="1673" t="s">
        <v>370</v>
      </c>
      <c r="C328" s="1674"/>
      <c r="D328" s="1674"/>
      <c r="E328" s="1675"/>
      <c r="F328" s="194"/>
    </row>
    <row r="329" spans="2:9" ht="21" x14ac:dyDescent="0.25">
      <c r="B329" s="1676" t="s">
        <v>336</v>
      </c>
      <c r="C329" s="1676"/>
      <c r="D329" s="189" t="s">
        <v>335</v>
      </c>
      <c r="E329" s="192" t="s">
        <v>366</v>
      </c>
    </row>
    <row r="330" spans="2:9" ht="30" x14ac:dyDescent="0.25">
      <c r="B330" s="146" t="s">
        <v>333</v>
      </c>
      <c r="C330" s="146" t="s">
        <v>332</v>
      </c>
      <c r="D330" s="146" t="s">
        <v>331</v>
      </c>
      <c r="E330" s="146" t="s">
        <v>370</v>
      </c>
    </row>
    <row r="331" spans="2:9" x14ac:dyDescent="0.25">
      <c r="B331" s="99" t="s">
        <v>330</v>
      </c>
      <c r="C331" s="99" t="s">
        <v>329</v>
      </c>
      <c r="D331" s="140">
        <f>INDEX('Salary lookup FY24'!F5:F19,MATCH(C331,'Salary lookup FY24'!B5:B19,0))</f>
        <v>79415.232000000018</v>
      </c>
      <c r="E331" s="191">
        <v>0.25</v>
      </c>
    </row>
    <row r="332" spans="2:9" x14ac:dyDescent="0.25">
      <c r="B332" s="99" t="s">
        <v>342</v>
      </c>
      <c r="C332" s="99" t="s">
        <v>342</v>
      </c>
      <c r="D332" s="140">
        <f>INDEX('Salary lookup FY24'!F5:F19,MATCH(C332,'Salary lookup FY24'!B5:B19,0))</f>
        <v>58616.063999999998</v>
      </c>
      <c r="E332" s="191">
        <v>2</v>
      </c>
    </row>
    <row r="333" spans="2:9" hidden="1" x14ac:dyDescent="0.25">
      <c r="B333" s="135"/>
      <c r="C333" s="135"/>
      <c r="D333" s="135"/>
      <c r="E333" s="135"/>
    </row>
    <row r="334" spans="2:9" hidden="1" x14ac:dyDescent="0.25">
      <c r="B334" s="135"/>
      <c r="C334" s="135"/>
      <c r="D334" s="135"/>
      <c r="E334" s="135"/>
    </row>
    <row r="337" spans="2:16" x14ac:dyDescent="0.25">
      <c r="B337" s="138" t="s">
        <v>326</v>
      </c>
      <c r="C337" s="138" t="s">
        <v>325</v>
      </c>
      <c r="D337" s="1677" t="s">
        <v>324</v>
      </c>
      <c r="E337" s="1677"/>
    </row>
    <row r="338" spans="2:16" x14ac:dyDescent="0.25">
      <c r="B338" s="99" t="s">
        <v>277</v>
      </c>
      <c r="C338" s="136">
        <f>INDEX('Below the Line'!$E$4:$E$26,MATCH(B338,'Below the Line'!$C$4:$C$26,0))</f>
        <v>43580.103799999997</v>
      </c>
      <c r="D338" s="1648" t="s">
        <v>369</v>
      </c>
      <c r="E338" s="1649"/>
    </row>
    <row r="339" spans="2:16" x14ac:dyDescent="0.25">
      <c r="B339" s="99" t="s">
        <v>276</v>
      </c>
      <c r="C339" s="136">
        <f>INDEX('Below the Line'!$E$4:$E$26,MATCH(B339,'Below the Line'!$C$4:$C$26,0))</f>
        <v>21500</v>
      </c>
      <c r="D339" s="1648" t="s">
        <v>368</v>
      </c>
      <c r="E339" s="1649"/>
      <c r="F339" s="115"/>
    </row>
    <row r="340" spans="2:16" x14ac:dyDescent="0.25">
      <c r="B340" s="99" t="s">
        <v>275</v>
      </c>
      <c r="C340" s="136">
        <f>INDEX('Below the Line'!$E$4:$E$26,MATCH(B340,'Below the Line'!$C$4:$C$26,0))</f>
        <v>1000</v>
      </c>
      <c r="D340" s="1648" t="s">
        <v>368</v>
      </c>
      <c r="E340" s="1649"/>
      <c r="F340" s="115"/>
    </row>
    <row r="341" spans="2:16" hidden="1" x14ac:dyDescent="0.25">
      <c r="B341" s="135"/>
      <c r="C341" s="135"/>
      <c r="D341" s="1672"/>
      <c r="E341" s="1672"/>
    </row>
    <row r="342" spans="2:16" hidden="1" x14ac:dyDescent="0.25">
      <c r="B342" s="135"/>
      <c r="C342" s="135"/>
      <c r="D342" s="1672"/>
      <c r="E342" s="1672"/>
    </row>
    <row r="343" spans="2:16" hidden="1" x14ac:dyDescent="0.25">
      <c r="B343" s="135"/>
      <c r="C343" s="135"/>
      <c r="D343" s="1672"/>
      <c r="E343" s="1672"/>
    </row>
    <row r="344" spans="2:16" x14ac:dyDescent="0.25">
      <c r="B344" s="132"/>
      <c r="C344" s="132"/>
      <c r="D344" s="132"/>
      <c r="E344" s="132"/>
    </row>
    <row r="345" spans="2:16" x14ac:dyDescent="0.25">
      <c r="B345" s="99" t="s">
        <v>322</v>
      </c>
      <c r="C345" s="131">
        <f>'Below the Line'!$D$35</f>
        <v>0.27379999999999999</v>
      </c>
      <c r="D345" s="1648" t="s">
        <v>270</v>
      </c>
      <c r="E345" s="1649"/>
    </row>
    <row r="346" spans="2:16" x14ac:dyDescent="0.25">
      <c r="B346" s="99" t="s">
        <v>321</v>
      </c>
      <c r="C346" s="131">
        <f>'Below the Line'!$D$43</f>
        <v>2.7100379121522307E-2</v>
      </c>
      <c r="D346" s="1661" t="s">
        <v>268</v>
      </c>
      <c r="E346" s="1661"/>
    </row>
    <row r="347" spans="2:16" x14ac:dyDescent="0.25">
      <c r="B347" s="99" t="s">
        <v>320</v>
      </c>
      <c r="C347" s="131">
        <f>'Below the Line'!$D$40</f>
        <v>0.12</v>
      </c>
      <c r="D347" s="1661" t="s">
        <v>270</v>
      </c>
      <c r="E347" s="1661"/>
    </row>
    <row r="350" spans="2:16" ht="15.75" thickBot="1" x14ac:dyDescent="0.3"/>
    <row r="351" spans="2:16" ht="27" thickBot="1" x14ac:dyDescent="0.3">
      <c r="B351" s="1666" t="s">
        <v>367</v>
      </c>
      <c r="C351" s="1667"/>
      <c r="D351" s="1667"/>
      <c r="E351" s="1667"/>
      <c r="F351" s="1667"/>
      <c r="G351" s="1667"/>
      <c r="H351" s="1667"/>
      <c r="I351" s="1667"/>
      <c r="J351" s="1667"/>
      <c r="K351" s="1667"/>
      <c r="L351" s="1667"/>
      <c r="M351" s="1668"/>
      <c r="N351" s="190"/>
      <c r="O351" s="190"/>
      <c r="P351" s="190"/>
    </row>
    <row r="352" spans="2:16" ht="21" x14ac:dyDescent="0.35">
      <c r="B352" s="1669" t="s">
        <v>336</v>
      </c>
      <c r="C352" s="1669"/>
      <c r="D352" s="148" t="s">
        <v>335</v>
      </c>
      <c r="E352" s="1670" t="s">
        <v>366</v>
      </c>
      <c r="F352" s="1670"/>
      <c r="G352" s="1670"/>
      <c r="H352" s="1670"/>
      <c r="I352" s="1670"/>
      <c r="J352" s="1670"/>
      <c r="K352" s="1670"/>
      <c r="L352" s="1670"/>
      <c r="M352" s="1670"/>
      <c r="N352" s="1671"/>
      <c r="O352" s="1671"/>
      <c r="P352" s="1671"/>
    </row>
    <row r="353" spans="2:15" ht="45" x14ac:dyDescent="0.25">
      <c r="B353" s="146" t="s">
        <v>333</v>
      </c>
      <c r="C353" s="146" t="s">
        <v>332</v>
      </c>
      <c r="D353" s="146" t="s">
        <v>331</v>
      </c>
      <c r="E353" s="188" t="s">
        <v>365</v>
      </c>
      <c r="F353" s="187" t="s">
        <v>364</v>
      </c>
      <c r="G353" s="186" t="s">
        <v>363</v>
      </c>
      <c r="H353" s="185" t="s">
        <v>362</v>
      </c>
      <c r="I353" s="185" t="s">
        <v>361</v>
      </c>
      <c r="J353" s="184" t="s">
        <v>360</v>
      </c>
      <c r="K353" s="183" t="s">
        <v>359</v>
      </c>
      <c r="L353" s="182" t="s">
        <v>358</v>
      </c>
      <c r="M353" s="181"/>
      <c r="N353" s="181"/>
      <c r="O353" s="181"/>
    </row>
    <row r="354" spans="2:15" x14ac:dyDescent="0.25">
      <c r="B354" s="153" t="s">
        <v>330</v>
      </c>
      <c r="C354" s="99" t="s">
        <v>329</v>
      </c>
      <c r="D354" s="140">
        <f>INDEX('Salary lookup FY24'!F5:F19,MATCH(C354,'Salary lookup FY24'!B5:B19,0))</f>
        <v>79415.232000000018</v>
      </c>
      <c r="E354" s="180">
        <v>0.20793500000000001</v>
      </c>
      <c r="F354" s="180">
        <v>0.20793500000000001</v>
      </c>
      <c r="G354" s="139">
        <v>0.45454499999999998</v>
      </c>
      <c r="H354" s="142">
        <v>0.17141010000000001</v>
      </c>
      <c r="I354" s="142">
        <v>0.57834859999999999</v>
      </c>
      <c r="J354" s="142">
        <v>0.69090910000000005</v>
      </c>
      <c r="K354" s="142">
        <v>0.54186582999999999</v>
      </c>
      <c r="L354" s="175">
        <v>0.56619470000000005</v>
      </c>
      <c r="M354" s="174"/>
      <c r="N354" s="173"/>
      <c r="O354" s="172"/>
    </row>
    <row r="355" spans="2:15" x14ac:dyDescent="0.25">
      <c r="B355" s="153" t="s">
        <v>357</v>
      </c>
      <c r="C355" s="154" t="s">
        <v>356</v>
      </c>
      <c r="D355" s="140">
        <f>INDEX('Salary lookup FY24'!F6:F20,MATCH(C355,'Salary lookup FY24'!B6:B20,0))</f>
        <v>80606.448000000004</v>
      </c>
      <c r="E355" s="179"/>
      <c r="F355" s="178"/>
      <c r="G355" s="158">
        <v>0.65</v>
      </c>
      <c r="H355" s="142">
        <v>0.52</v>
      </c>
      <c r="I355" s="142">
        <v>1.02</v>
      </c>
      <c r="J355" s="142">
        <v>1.0900000000000001</v>
      </c>
      <c r="K355" s="142">
        <v>1.47</v>
      </c>
      <c r="L355" s="177">
        <v>1.0900000000000001</v>
      </c>
      <c r="M355" s="174"/>
      <c r="N355" s="173"/>
      <c r="O355" s="172"/>
    </row>
    <row r="356" spans="2:15" x14ac:dyDescent="0.25">
      <c r="B356" s="153" t="s">
        <v>345</v>
      </c>
      <c r="C356" s="99" t="s">
        <v>351</v>
      </c>
      <c r="D356" s="140">
        <f>INDEX('Salary lookup FY24'!F7:F21,MATCH(C356,'Salary lookup FY24'!B7:B21,0))</f>
        <v>64330.864000000001</v>
      </c>
      <c r="E356" s="142">
        <v>0.45</v>
      </c>
      <c r="F356" s="142">
        <v>0.7</v>
      </c>
      <c r="G356" s="142">
        <v>0.64</v>
      </c>
      <c r="H356" s="142">
        <v>0.51</v>
      </c>
      <c r="I356" s="142">
        <v>1.02</v>
      </c>
      <c r="J356" s="142">
        <v>1.0900000000000001</v>
      </c>
      <c r="K356" s="142">
        <v>1.48</v>
      </c>
      <c r="L356" s="177">
        <v>1.0900000000000001</v>
      </c>
      <c r="M356" s="174"/>
      <c r="N356" s="173"/>
      <c r="O356" s="172"/>
    </row>
    <row r="357" spans="2:15" x14ac:dyDescent="0.25">
      <c r="B357" s="143" t="s">
        <v>344</v>
      </c>
      <c r="C357" s="99" t="s">
        <v>340</v>
      </c>
      <c r="D357" s="140">
        <f>INDEX('Salary lookup FY24'!F5:F19,MATCH(C357,'Salary lookup FY24'!B5:B19,0))</f>
        <v>53206.566400000003</v>
      </c>
      <c r="E357" s="142">
        <v>0.95</v>
      </c>
      <c r="F357" s="142">
        <v>1.62</v>
      </c>
      <c r="G357" s="142">
        <v>1.05</v>
      </c>
      <c r="H357" s="142">
        <v>1.91</v>
      </c>
      <c r="I357" s="142"/>
      <c r="J357" s="142">
        <v>1.21</v>
      </c>
      <c r="K357" s="142">
        <v>3.79</v>
      </c>
      <c r="L357" s="177">
        <v>2.39</v>
      </c>
      <c r="M357" s="176"/>
      <c r="N357" s="173"/>
      <c r="O357" s="172"/>
    </row>
    <row r="358" spans="2:15" x14ac:dyDescent="0.25">
      <c r="B358" s="143" t="s">
        <v>355</v>
      </c>
      <c r="C358" s="99" t="s">
        <v>327</v>
      </c>
      <c r="D358" s="140">
        <f>INDEX('Salary lookup FY24'!F5:F19,MATCH(C358,'Salary lookup FY24'!B5:B19,0))</f>
        <v>41600</v>
      </c>
      <c r="E358" s="142">
        <v>0.13539999999999999</v>
      </c>
      <c r="F358" s="142">
        <v>0.13539999999999999</v>
      </c>
      <c r="G358" s="142">
        <v>0.25</v>
      </c>
      <c r="H358" s="142">
        <v>0.1656</v>
      </c>
      <c r="I358" s="142">
        <v>0.13059999999999999</v>
      </c>
      <c r="J358" s="142">
        <v>0.2049</v>
      </c>
      <c r="K358" s="142">
        <v>0.33460000000000001</v>
      </c>
      <c r="L358" s="175">
        <v>0.47349999999999998</v>
      </c>
      <c r="M358" s="174"/>
      <c r="N358" s="173"/>
      <c r="O358" s="172"/>
    </row>
    <row r="359" spans="2:15" hidden="1" x14ac:dyDescent="0.25">
      <c r="B359" s="135"/>
      <c r="C359" s="135"/>
      <c r="D359" s="140" t="e">
        <f>INDEX('Salary lookup FY24'!F10:F24,MATCH(C359,'Salary lookup FY24'!B10:B24,0))</f>
        <v>#N/A</v>
      </c>
      <c r="E359" s="171"/>
      <c r="F359" s="171"/>
      <c r="G359" s="171"/>
      <c r="H359" s="171"/>
      <c r="I359" s="171"/>
      <c r="J359" s="171"/>
      <c r="K359" s="171"/>
      <c r="L359" s="170"/>
    </row>
    <row r="360" spans="2:15" hidden="1" x14ac:dyDescent="0.25">
      <c r="B360" s="135"/>
      <c r="C360" s="135"/>
      <c r="D360" s="140" t="e">
        <f>INDEX('Salary lookup FY24'!F11:F25,MATCH(C360,'Salary lookup FY24'!B11:B25,0))</f>
        <v>#N/A</v>
      </c>
      <c r="E360" s="135"/>
      <c r="F360" s="135"/>
      <c r="G360" s="135"/>
      <c r="H360" s="135"/>
      <c r="I360" s="135"/>
      <c r="J360" s="135"/>
      <c r="K360" s="135"/>
      <c r="L360" s="170"/>
    </row>
    <row r="362" spans="2:15" ht="15.75" thickBot="1" x14ac:dyDescent="0.3"/>
    <row r="363" spans="2:15" x14ac:dyDescent="0.25">
      <c r="B363" s="165" t="s">
        <v>326</v>
      </c>
      <c r="C363" s="164" t="s">
        <v>325</v>
      </c>
      <c r="D363" s="1663" t="s">
        <v>324</v>
      </c>
      <c r="E363" s="1664"/>
    </row>
    <row r="364" spans="2:15" x14ac:dyDescent="0.25">
      <c r="B364" s="163" t="s">
        <v>314</v>
      </c>
      <c r="C364" s="136">
        <f>INDEX('Below the Line'!$E$4:$E$23,MATCH(B364,'Below the Line'!$C$4:$C$23,0))</f>
        <v>6221.9259542286536</v>
      </c>
      <c r="D364" s="1648" t="s">
        <v>323</v>
      </c>
      <c r="E364" s="1660"/>
    </row>
    <row r="365" spans="2:15" x14ac:dyDescent="0.25">
      <c r="B365" s="163" t="s">
        <v>310</v>
      </c>
      <c r="C365" s="136">
        <f>INDEX('Below the Line'!$E$4:$E$23,MATCH(B365,'Below the Line'!$C$4:$C$23,0))</f>
        <v>202.39734163733908</v>
      </c>
      <c r="D365" s="1648" t="s">
        <v>323</v>
      </c>
      <c r="E365" s="1660"/>
    </row>
    <row r="366" spans="2:15" x14ac:dyDescent="0.25">
      <c r="B366" s="163" t="s">
        <v>308</v>
      </c>
      <c r="C366" s="136">
        <f>INDEX('Below the Line'!$E$4:$E$23,MATCH(B366,'Below the Line'!$C$4:$C$23,0))</f>
        <v>823.75132959083601</v>
      </c>
      <c r="D366" s="1648" t="s">
        <v>323</v>
      </c>
      <c r="E366" s="1660"/>
    </row>
    <row r="367" spans="2:15" x14ac:dyDescent="0.25">
      <c r="B367" s="163" t="s">
        <v>306</v>
      </c>
      <c r="C367" s="136">
        <f>INDEX('Below the Line'!$E$4:$E$23,MATCH(B367,'Below the Line'!$C$4:$C$23,0))</f>
        <v>726.26821565114597</v>
      </c>
      <c r="D367" s="1648" t="s">
        <v>323</v>
      </c>
      <c r="E367" s="1660"/>
    </row>
    <row r="368" spans="2:15" x14ac:dyDescent="0.25">
      <c r="B368" s="163" t="s">
        <v>304</v>
      </c>
      <c r="C368" s="136">
        <f>INDEX('Below the Line'!$E$4:$E$23,MATCH(B368,'Below the Line'!$C$4:$C$23,0))</f>
        <v>1741.693522928565</v>
      </c>
      <c r="D368" s="1648" t="s">
        <v>323</v>
      </c>
      <c r="E368" s="1660"/>
    </row>
    <row r="369" spans="2:6" x14ac:dyDescent="0.25">
      <c r="B369" s="163" t="s">
        <v>296</v>
      </c>
      <c r="C369" s="136">
        <f>INDEX('Below the Line'!$E$4:$E$23,MATCH(B369,'Below the Line'!$C$4:$C$23,0))</f>
        <v>1858.2779275952644</v>
      </c>
      <c r="D369" s="1648" t="s">
        <v>323</v>
      </c>
      <c r="E369" s="1660"/>
    </row>
    <row r="370" spans="2:6" x14ac:dyDescent="0.25">
      <c r="B370" s="163" t="s">
        <v>288</v>
      </c>
      <c r="C370" s="136">
        <f>INDEX('Below the Line'!$E$4:$E$23,MATCH(B370,'Below the Line'!$C$4:$C$23,0))</f>
        <v>1493.1564099112707</v>
      </c>
      <c r="D370" s="1648" t="s">
        <v>323</v>
      </c>
      <c r="E370" s="1660"/>
    </row>
    <row r="371" spans="2:6" x14ac:dyDescent="0.25">
      <c r="B371" s="162"/>
      <c r="C371" s="132"/>
      <c r="D371" s="161"/>
      <c r="E371" s="160"/>
    </row>
    <row r="372" spans="2:6" x14ac:dyDescent="0.25">
      <c r="B372" s="159" t="s">
        <v>322</v>
      </c>
      <c r="C372" s="131">
        <f>'Below the Line'!$D$35</f>
        <v>0.27379999999999999</v>
      </c>
      <c r="D372" s="1648" t="s">
        <v>270</v>
      </c>
      <c r="E372" s="1660"/>
    </row>
    <row r="373" spans="2:6" x14ac:dyDescent="0.25">
      <c r="B373" s="159" t="s">
        <v>321</v>
      </c>
      <c r="C373" s="131">
        <f>'Below the Line'!$D$43</f>
        <v>2.7100379121522307E-2</v>
      </c>
      <c r="D373" s="1661" t="s">
        <v>268</v>
      </c>
      <c r="E373" s="1662"/>
    </row>
    <row r="374" spans="2:6" x14ac:dyDescent="0.25">
      <c r="B374" s="159" t="s">
        <v>320</v>
      </c>
      <c r="C374" s="131">
        <f>'Below the Line'!$D$40</f>
        <v>0.12</v>
      </c>
      <c r="D374" s="1661" t="s">
        <v>270</v>
      </c>
      <c r="E374" s="1662"/>
    </row>
    <row r="375" spans="2:6" ht="15.75" thickBot="1" x14ac:dyDescent="0.3">
      <c r="B375" s="157" t="s">
        <v>348</v>
      </c>
      <c r="C375" s="156">
        <v>10</v>
      </c>
      <c r="D375" s="156"/>
      <c r="E375" s="155"/>
    </row>
    <row r="378" spans="2:6" ht="15.75" thickBot="1" x14ac:dyDescent="0.3"/>
    <row r="379" spans="2:6" ht="27" thickBot="1" x14ac:dyDescent="0.45">
      <c r="B379" s="1654" t="s">
        <v>354</v>
      </c>
      <c r="C379" s="1655"/>
      <c r="D379" s="1655"/>
      <c r="E379" s="1655"/>
      <c r="F379" s="1665"/>
    </row>
    <row r="380" spans="2:6" ht="21" x14ac:dyDescent="0.35">
      <c r="B380" s="1656" t="s">
        <v>336</v>
      </c>
      <c r="C380" s="1657"/>
      <c r="D380" s="149" t="s">
        <v>335</v>
      </c>
      <c r="E380" s="169" t="s">
        <v>353</v>
      </c>
      <c r="F380" s="148" t="s">
        <v>334</v>
      </c>
    </row>
    <row r="381" spans="2:6" x14ac:dyDescent="0.25">
      <c r="B381" s="137" t="s">
        <v>333</v>
      </c>
      <c r="C381" s="138" t="s">
        <v>332</v>
      </c>
      <c r="D381" s="147" t="s">
        <v>331</v>
      </c>
      <c r="E381" s="168"/>
      <c r="F381" s="146"/>
    </row>
    <row r="382" spans="2:6" x14ac:dyDescent="0.25">
      <c r="B382" s="145" t="s">
        <v>330</v>
      </c>
      <c r="C382" s="167" t="s">
        <v>329</v>
      </c>
      <c r="D382" s="140">
        <f>INDEX('Salary lookup FY24'!F5:F19,MATCH(C382,'Salary lookup FY24'!B5:B19,0))</f>
        <v>79415.232000000018</v>
      </c>
      <c r="E382" s="142">
        <v>228.57142857142856</v>
      </c>
      <c r="F382" s="142">
        <v>0.14000000000000001</v>
      </c>
    </row>
    <row r="383" spans="2:6" x14ac:dyDescent="0.25">
      <c r="B383" s="166" t="s">
        <v>352</v>
      </c>
      <c r="C383" s="99" t="s">
        <v>351</v>
      </c>
      <c r="D383" s="140">
        <f>INDEX('Salary lookup FY24'!F6:F20,MATCH(C383,'Salary lookup FY24'!B6:B20,0))</f>
        <v>64330.864000000001</v>
      </c>
      <c r="E383" s="142">
        <v>246.15384615384613</v>
      </c>
      <c r="F383" s="142">
        <v>0.13</v>
      </c>
    </row>
    <row r="384" spans="2:6" x14ac:dyDescent="0.25">
      <c r="B384" s="143" t="s">
        <v>344</v>
      </c>
      <c r="C384" s="99" t="s">
        <v>340</v>
      </c>
      <c r="D384" s="140">
        <f>INDEX('Salary lookup FY24'!F5:F19,MATCH(C384,'Salary lookup FY24'!B5:B19,0))</f>
        <v>53206.566400000003</v>
      </c>
      <c r="E384" s="139"/>
      <c r="F384" s="142">
        <v>1</v>
      </c>
    </row>
    <row r="385" spans="2:6" x14ac:dyDescent="0.25">
      <c r="B385" s="143" t="s">
        <v>327</v>
      </c>
      <c r="C385" s="99" t="s">
        <v>327</v>
      </c>
      <c r="D385" s="140">
        <f>INDEX('Salary lookup FY24'!F5:F19,MATCH(C385,'Salary lookup FY24'!B5:B19,0))</f>
        <v>41600</v>
      </c>
      <c r="E385" s="142">
        <v>12.851405622489958</v>
      </c>
      <c r="F385" s="139">
        <v>1.49</v>
      </c>
    </row>
    <row r="386" spans="2:6" x14ac:dyDescent="0.25">
      <c r="B386" s="145" t="s">
        <v>350</v>
      </c>
      <c r="C386" s="99" t="s">
        <v>327</v>
      </c>
      <c r="D386" s="140">
        <f>INDEX('Salary lookup FY24'!F5:F193,MATCH(C386,'Salary lookup FY24'!B5:B19,0))</f>
        <v>41600</v>
      </c>
      <c r="E386" s="142">
        <v>1066.6666666666667</v>
      </c>
      <c r="F386" s="158">
        <v>0.03</v>
      </c>
    </row>
    <row r="387" spans="2:6" hidden="1" x14ac:dyDescent="0.25">
      <c r="B387" s="135"/>
      <c r="C387" s="135"/>
      <c r="D387" s="135"/>
      <c r="E387" s="135"/>
      <c r="F387" s="135"/>
    </row>
    <row r="388" spans="2:6" hidden="1" x14ac:dyDescent="0.25">
      <c r="B388" s="135"/>
      <c r="C388" s="135"/>
      <c r="D388" s="135"/>
      <c r="E388" s="135"/>
      <c r="F388" s="135"/>
    </row>
    <row r="391" spans="2:6" x14ac:dyDescent="0.25">
      <c r="B391" s="137" t="s">
        <v>326</v>
      </c>
      <c r="C391" s="137" t="s">
        <v>325</v>
      </c>
      <c r="D391" s="1658" t="s">
        <v>324</v>
      </c>
      <c r="E391" s="1659"/>
    </row>
    <row r="392" spans="2:6" x14ac:dyDescent="0.25">
      <c r="B392" t="s">
        <v>294</v>
      </c>
      <c r="C392" s="136">
        <f>INDEX('Below the Line'!$E$4:$E$23,MATCH(B392,'Below the Line'!$C$4:$C$23,0))</f>
        <v>1475.3908322281168</v>
      </c>
      <c r="D392" s="1648" t="s">
        <v>323</v>
      </c>
      <c r="E392" s="1649"/>
    </row>
    <row r="393" spans="2:6" hidden="1" x14ac:dyDescent="0.25">
      <c r="B393" s="135"/>
      <c r="C393" s="135"/>
      <c r="D393" s="1650"/>
      <c r="E393" s="1651"/>
    </row>
    <row r="394" spans="2:6" hidden="1" x14ac:dyDescent="0.25">
      <c r="B394" s="135"/>
      <c r="C394" s="135"/>
      <c r="D394" s="1650"/>
      <c r="E394" s="1651"/>
    </row>
    <row r="395" spans="2:6" x14ac:dyDescent="0.25">
      <c r="B395" s="132"/>
      <c r="C395" s="132"/>
      <c r="D395" s="1652"/>
      <c r="E395" s="1653"/>
    </row>
    <row r="396" spans="2:6" x14ac:dyDescent="0.25">
      <c r="B396" s="99" t="s">
        <v>322</v>
      </c>
      <c r="C396" s="131">
        <f>'Below the Line'!$D$35</f>
        <v>0.27379999999999999</v>
      </c>
      <c r="D396" s="1648" t="s">
        <v>270</v>
      </c>
      <c r="E396" s="1649"/>
    </row>
    <row r="397" spans="2:6" x14ac:dyDescent="0.25">
      <c r="B397" s="99" t="s">
        <v>321</v>
      </c>
      <c r="C397" s="131">
        <f>'Below the Line'!$D$43</f>
        <v>2.7100379121522307E-2</v>
      </c>
      <c r="D397" s="1648" t="s">
        <v>268</v>
      </c>
      <c r="E397" s="1649"/>
    </row>
    <row r="398" spans="2:6" x14ac:dyDescent="0.25">
      <c r="B398" s="99" t="s">
        <v>320</v>
      </c>
      <c r="C398" s="131">
        <f>'Below the Line'!$D$40</f>
        <v>0.12</v>
      </c>
      <c r="D398" s="1648" t="s">
        <v>270</v>
      </c>
      <c r="E398" s="1649"/>
    </row>
    <row r="400" spans="2:6" ht="15.75" thickBot="1" x14ac:dyDescent="0.3"/>
    <row r="401" spans="2:5" ht="27" thickBot="1" x14ac:dyDescent="0.45">
      <c r="B401" s="1654" t="s">
        <v>349</v>
      </c>
      <c r="C401" s="1655"/>
      <c r="D401" s="1655"/>
      <c r="E401" s="1655"/>
    </row>
    <row r="402" spans="2:5" ht="21" x14ac:dyDescent="0.35">
      <c r="B402" s="1656" t="s">
        <v>336</v>
      </c>
      <c r="C402" s="1657"/>
      <c r="D402" s="149" t="s">
        <v>335</v>
      </c>
      <c r="E402" s="148" t="s">
        <v>334</v>
      </c>
    </row>
    <row r="403" spans="2:5" x14ac:dyDescent="0.25">
      <c r="B403" s="137" t="s">
        <v>333</v>
      </c>
      <c r="C403" s="138" t="s">
        <v>332</v>
      </c>
      <c r="D403" s="147" t="s">
        <v>331</v>
      </c>
      <c r="E403" s="146"/>
    </row>
    <row r="404" spans="2:5" x14ac:dyDescent="0.25">
      <c r="B404" s="145" t="s">
        <v>330</v>
      </c>
      <c r="C404" s="144" t="s">
        <v>329</v>
      </c>
      <c r="D404" s="140">
        <f>INDEX('Salary lookup FY24'!F5:F19,MATCH(C404,'Salary lookup FY24'!B5:B19,0))</f>
        <v>79415.232000000018</v>
      </c>
      <c r="E404" s="142">
        <v>0.01</v>
      </c>
    </row>
    <row r="405" spans="2:5" x14ac:dyDescent="0.25">
      <c r="B405" s="153" t="s">
        <v>345</v>
      </c>
      <c r="C405" s="153" t="s">
        <v>345</v>
      </c>
      <c r="D405" s="140">
        <f>INDEX('Salary lookup FY24'!F6:F20,MATCH(C405,'Salary lookup FY24'!B6:B20,0))</f>
        <v>64330.864000000001</v>
      </c>
      <c r="E405" s="142">
        <v>0.09</v>
      </c>
    </row>
    <row r="406" spans="2:5" x14ac:dyDescent="0.25">
      <c r="B406" s="143" t="s">
        <v>344</v>
      </c>
      <c r="C406" s="99" t="s">
        <v>340</v>
      </c>
      <c r="D406" s="140">
        <f>INDEX('Salary lookup FY24'!F5:F19,MATCH(C406,'Salary lookup FY24'!B5:B19,0))</f>
        <v>53206.566400000003</v>
      </c>
      <c r="E406" s="139">
        <v>0.1</v>
      </c>
    </row>
    <row r="407" spans="2:5" hidden="1" x14ac:dyDescent="0.25">
      <c r="B407" s="135"/>
      <c r="C407" s="135"/>
      <c r="D407" s="140" t="e">
        <f>INDEX('Salary lookup FY24'!F8:F22,MATCH(C407,'Salary lookup FY24'!B8:B22,0))</f>
        <v>#N/A</v>
      </c>
      <c r="E407" s="135"/>
    </row>
    <row r="408" spans="2:5" hidden="1" x14ac:dyDescent="0.25">
      <c r="B408" s="135"/>
      <c r="C408" s="135"/>
      <c r="D408" s="140" t="e">
        <f>INDEX('Salary lookup FY24'!F9:F23,MATCH(C408,'Salary lookup FY24'!B9:B23,0))</f>
        <v>#N/A</v>
      </c>
      <c r="E408" s="135"/>
    </row>
    <row r="410" spans="2:5" ht="15.75" thickBot="1" x14ac:dyDescent="0.3"/>
    <row r="411" spans="2:5" x14ac:dyDescent="0.25">
      <c r="B411" s="165" t="s">
        <v>326</v>
      </c>
      <c r="C411" s="164" t="s">
        <v>325</v>
      </c>
      <c r="D411" s="1663" t="s">
        <v>324</v>
      </c>
      <c r="E411" s="1664"/>
    </row>
    <row r="412" spans="2:5" x14ac:dyDescent="0.25">
      <c r="B412" s="163" t="s">
        <v>314</v>
      </c>
      <c r="C412" s="136">
        <f>INDEX('Below the Line'!$E$4:$E$23,MATCH(B412,'Below the Line'!$C$4:$C$23,0))</f>
        <v>6221.9259542286536</v>
      </c>
      <c r="D412" s="1648" t="s">
        <v>323</v>
      </c>
      <c r="E412" s="1660"/>
    </row>
    <row r="413" spans="2:5" x14ac:dyDescent="0.25">
      <c r="B413" s="163" t="s">
        <v>310</v>
      </c>
      <c r="C413" s="136">
        <f>INDEX('Below the Line'!$E$4:$E$23,MATCH(B413,'Below the Line'!$C$4:$C$23,0))</f>
        <v>202.39734163733908</v>
      </c>
      <c r="D413" s="1648" t="s">
        <v>323</v>
      </c>
      <c r="E413" s="1660"/>
    </row>
    <row r="414" spans="2:5" x14ac:dyDescent="0.25">
      <c r="B414" s="163" t="s">
        <v>308</v>
      </c>
      <c r="C414" s="136">
        <f>INDEX('Below the Line'!$E$4:$E$23,MATCH(B414,'Below the Line'!$C$4:$C$23,0))</f>
        <v>823.75132959083601</v>
      </c>
      <c r="D414" s="1648" t="s">
        <v>323</v>
      </c>
      <c r="E414" s="1660"/>
    </row>
    <row r="415" spans="2:5" x14ac:dyDescent="0.25">
      <c r="B415" s="163" t="s">
        <v>306</v>
      </c>
      <c r="C415" s="136">
        <f>INDEX('Below the Line'!$E$4:$E$23,MATCH(B415,'Below the Line'!$C$4:$C$23,0))</f>
        <v>726.26821565114597</v>
      </c>
      <c r="D415" s="1648" t="s">
        <v>323</v>
      </c>
      <c r="E415" s="1660"/>
    </row>
    <row r="416" spans="2:5" x14ac:dyDescent="0.25">
      <c r="B416" s="163" t="s">
        <v>304</v>
      </c>
      <c r="C416" s="136">
        <f>INDEX('Below the Line'!$E$4:$E$23,MATCH(B416,'Below the Line'!$C$4:$C$23,0))</f>
        <v>1741.693522928565</v>
      </c>
      <c r="D416" s="1648" t="s">
        <v>323</v>
      </c>
      <c r="E416" s="1660"/>
    </row>
    <row r="417" spans="2:5" x14ac:dyDescent="0.25">
      <c r="B417" s="163" t="s">
        <v>296</v>
      </c>
      <c r="C417" s="136">
        <f>INDEX('Below the Line'!$E$4:$E$23,MATCH(B417,'Below the Line'!$C$4:$C$23,0))</f>
        <v>1858.2779275952644</v>
      </c>
      <c r="D417" s="1648" t="s">
        <v>323</v>
      </c>
      <c r="E417" s="1660"/>
    </row>
    <row r="418" spans="2:5" x14ac:dyDescent="0.25">
      <c r="B418" s="163" t="s">
        <v>288</v>
      </c>
      <c r="C418" s="136">
        <f>INDEX('Below the Line'!$E$4:$E$23,MATCH(B418,'Below the Line'!$C$4:$C$23,0))</f>
        <v>1493.1564099112707</v>
      </c>
      <c r="D418" s="1648" t="s">
        <v>323</v>
      </c>
      <c r="E418" s="1660"/>
    </row>
    <row r="419" spans="2:5" x14ac:dyDescent="0.25">
      <c r="B419" s="162"/>
      <c r="C419" s="132"/>
      <c r="D419" s="161"/>
      <c r="E419" s="160"/>
    </row>
    <row r="420" spans="2:5" x14ac:dyDescent="0.25">
      <c r="B420" s="159" t="s">
        <v>322</v>
      </c>
      <c r="C420" s="131">
        <f>'Below the Line'!$D$35</f>
        <v>0.27379999999999999</v>
      </c>
      <c r="D420" s="1648" t="s">
        <v>270</v>
      </c>
      <c r="E420" s="1660"/>
    </row>
    <row r="421" spans="2:5" x14ac:dyDescent="0.25">
      <c r="B421" s="159" t="s">
        <v>321</v>
      </c>
      <c r="C421" s="131">
        <f>'Below the Line'!$D$43</f>
        <v>2.7100379121522307E-2</v>
      </c>
      <c r="D421" s="1661" t="s">
        <v>268</v>
      </c>
      <c r="E421" s="1662"/>
    </row>
    <row r="422" spans="2:5" x14ac:dyDescent="0.25">
      <c r="B422" s="159" t="s">
        <v>320</v>
      </c>
      <c r="C422" s="131">
        <f>'Below the Line'!$D$40</f>
        <v>0.12</v>
      </c>
      <c r="D422" s="1661" t="s">
        <v>270</v>
      </c>
      <c r="E422" s="1662"/>
    </row>
    <row r="423" spans="2:5" ht="15.75" thickBot="1" x14ac:dyDescent="0.3">
      <c r="B423" s="157" t="s">
        <v>348</v>
      </c>
      <c r="C423" s="156">
        <v>10</v>
      </c>
      <c r="D423" s="156"/>
      <c r="E423" s="155"/>
    </row>
    <row r="425" spans="2:5" ht="15.75" thickBot="1" x14ac:dyDescent="0.3"/>
    <row r="426" spans="2:5" ht="27" thickBot="1" x14ac:dyDescent="0.45">
      <c r="B426" s="1654" t="s">
        <v>347</v>
      </c>
      <c r="C426" s="1655"/>
      <c r="D426" s="1655"/>
      <c r="E426" s="1655"/>
    </row>
    <row r="427" spans="2:5" ht="21" x14ac:dyDescent="0.35">
      <c r="B427" s="1656" t="s">
        <v>336</v>
      </c>
      <c r="C427" s="1657"/>
      <c r="D427" s="149" t="s">
        <v>335</v>
      </c>
      <c r="E427" s="148" t="s">
        <v>334</v>
      </c>
    </row>
    <row r="428" spans="2:5" x14ac:dyDescent="0.25">
      <c r="B428" s="137" t="s">
        <v>333</v>
      </c>
      <c r="C428" s="138" t="s">
        <v>332</v>
      </c>
      <c r="D428" s="147" t="s">
        <v>331</v>
      </c>
      <c r="E428" s="146"/>
    </row>
    <row r="429" spans="2:5" x14ac:dyDescent="0.25">
      <c r="B429" s="145" t="s">
        <v>330</v>
      </c>
      <c r="C429" s="144" t="s">
        <v>329</v>
      </c>
      <c r="D429" s="140">
        <f>INDEX('Salary lookup FY24'!F5:F19,MATCH(C429,'Salary lookup FY24'!B5:B19,0))</f>
        <v>79415.232000000018</v>
      </c>
      <c r="E429" s="142">
        <v>0.01</v>
      </c>
    </row>
    <row r="430" spans="2:5" x14ac:dyDescent="0.25">
      <c r="B430" s="153" t="s">
        <v>345</v>
      </c>
      <c r="C430" s="153" t="s">
        <v>345</v>
      </c>
      <c r="D430" s="140">
        <f>INDEX('Salary lookup FY24'!F6:F20,MATCH(C430,'Salary lookup FY24'!B6:B20,0))</f>
        <v>64330.864000000001</v>
      </c>
      <c r="E430" s="142">
        <v>0.09</v>
      </c>
    </row>
    <row r="431" spans="2:5" x14ac:dyDescent="0.25">
      <c r="B431" s="143" t="s">
        <v>344</v>
      </c>
      <c r="C431" s="99" t="s">
        <v>340</v>
      </c>
      <c r="D431" s="140">
        <f>INDEX('Salary lookup FY24'!F5:F19,MATCH(C431,'Salary lookup FY24'!B5:B19,0))</f>
        <v>53206.566400000003</v>
      </c>
      <c r="E431" s="139">
        <v>0.1</v>
      </c>
    </row>
    <row r="432" spans="2:5" hidden="1" x14ac:dyDescent="0.25">
      <c r="B432" s="135"/>
      <c r="C432" s="135"/>
      <c r="D432" s="135"/>
      <c r="E432" s="135"/>
    </row>
    <row r="433" spans="2:5" hidden="1" x14ac:dyDescent="0.25">
      <c r="B433" s="135"/>
      <c r="C433" s="135"/>
      <c r="D433" s="135"/>
      <c r="E433" s="135"/>
    </row>
    <row r="435" spans="2:5" x14ac:dyDescent="0.25">
      <c r="B435" s="138" t="s">
        <v>326</v>
      </c>
      <c r="C435" s="137" t="s">
        <v>325</v>
      </c>
      <c r="D435" s="1658" t="s">
        <v>324</v>
      </c>
      <c r="E435" s="1659"/>
    </row>
    <row r="436" spans="2:5" x14ac:dyDescent="0.25">
      <c r="B436" s="99" t="s">
        <v>314</v>
      </c>
      <c r="C436" s="136">
        <f>INDEX('Below the Line'!$E$4:$E$23,MATCH(B436,'Below the Line'!$C$4:$C$23,0))</f>
        <v>6221.9259542286536</v>
      </c>
      <c r="D436" s="1648" t="s">
        <v>323</v>
      </c>
      <c r="E436" s="1649"/>
    </row>
    <row r="437" spans="2:5" x14ac:dyDescent="0.25">
      <c r="B437" s="99" t="s">
        <v>288</v>
      </c>
      <c r="C437" s="136">
        <f>INDEX('Below the Line'!$E$4:$E$23,MATCH(B437,'Below the Line'!$C$4:$C$23,0))</f>
        <v>1493.1564099112707</v>
      </c>
      <c r="D437" s="1648" t="s">
        <v>323</v>
      </c>
      <c r="E437" s="1649"/>
    </row>
    <row r="438" spans="2:5" hidden="1" x14ac:dyDescent="0.25">
      <c r="B438" s="135"/>
      <c r="C438" s="135"/>
      <c r="D438" s="1650"/>
      <c r="E438" s="1651"/>
    </row>
    <row r="439" spans="2:5" x14ac:dyDescent="0.25">
      <c r="B439" s="132"/>
      <c r="C439" s="132"/>
      <c r="D439" s="1652"/>
      <c r="E439" s="1653"/>
    </row>
    <row r="440" spans="2:5" x14ac:dyDescent="0.25">
      <c r="B440" s="99" t="s">
        <v>322</v>
      </c>
      <c r="C440" s="131">
        <f>'Below the Line'!$D$35</f>
        <v>0.27379999999999999</v>
      </c>
      <c r="D440" s="1648" t="s">
        <v>270</v>
      </c>
      <c r="E440" s="1649"/>
    </row>
    <row r="441" spans="2:5" x14ac:dyDescent="0.25">
      <c r="B441" s="99" t="s">
        <v>321</v>
      </c>
      <c r="C441" s="131">
        <f>'Below the Line'!$D$43</f>
        <v>2.7100379121522307E-2</v>
      </c>
      <c r="D441" s="1648" t="s">
        <v>268</v>
      </c>
      <c r="E441" s="1649"/>
    </row>
    <row r="442" spans="2:5" x14ac:dyDescent="0.25">
      <c r="B442" s="99" t="s">
        <v>320</v>
      </c>
      <c r="C442" s="131">
        <f>'Below the Line'!$D$40</f>
        <v>0.12</v>
      </c>
      <c r="D442" s="1648" t="s">
        <v>270</v>
      </c>
      <c r="E442" s="1649"/>
    </row>
    <row r="444" spans="2:5" ht="15.75" thickBot="1" x14ac:dyDescent="0.3"/>
    <row r="445" spans="2:5" ht="27" thickBot="1" x14ac:dyDescent="0.45">
      <c r="B445" s="1654" t="s">
        <v>346</v>
      </c>
      <c r="C445" s="1655"/>
      <c r="D445" s="1655"/>
      <c r="E445" s="1655"/>
    </row>
    <row r="446" spans="2:5" ht="21" x14ac:dyDescent="0.35">
      <c r="B446" s="1656" t="s">
        <v>336</v>
      </c>
      <c r="C446" s="1657"/>
      <c r="D446" s="149" t="s">
        <v>335</v>
      </c>
      <c r="E446" s="148" t="s">
        <v>334</v>
      </c>
    </row>
    <row r="447" spans="2:5" x14ac:dyDescent="0.25">
      <c r="B447" s="137" t="s">
        <v>333</v>
      </c>
      <c r="C447" s="138" t="s">
        <v>332</v>
      </c>
      <c r="D447" s="147" t="s">
        <v>331</v>
      </c>
      <c r="E447" s="146"/>
    </row>
    <row r="448" spans="2:5" x14ac:dyDescent="0.25">
      <c r="B448" s="145" t="s">
        <v>330</v>
      </c>
      <c r="C448" s="144" t="s">
        <v>329</v>
      </c>
      <c r="D448" s="140">
        <f>INDEX('Salary lookup FY24'!F5:F19,MATCH(C448,'Salary lookup FY24'!B5:B19,0))</f>
        <v>79415.232000000018</v>
      </c>
      <c r="E448" s="142">
        <v>0.01</v>
      </c>
    </row>
    <row r="449" spans="2:5" x14ac:dyDescent="0.25">
      <c r="B449" s="153" t="s">
        <v>345</v>
      </c>
      <c r="C449" s="153" t="s">
        <v>345</v>
      </c>
      <c r="D449" s="140">
        <f>INDEX('Salary lookup FY24'!F5:F19,MATCH(C449,'Salary lookup FY24'!B5:B19,0))</f>
        <v>64330.864000000001</v>
      </c>
      <c r="E449" s="142">
        <v>7.0000000000000007E-2</v>
      </c>
    </row>
    <row r="450" spans="2:5" x14ac:dyDescent="0.25">
      <c r="B450" s="143" t="s">
        <v>344</v>
      </c>
      <c r="C450" s="99" t="s">
        <v>340</v>
      </c>
      <c r="D450" s="140">
        <f>INDEX('Salary lookup FY24'!F5:F19,MATCH(C450,'Salary lookup FY24'!B5:B19,0))</f>
        <v>53206.566400000003</v>
      </c>
      <c r="E450" s="139">
        <v>0.08</v>
      </c>
    </row>
    <row r="451" spans="2:5" hidden="1" x14ac:dyDescent="0.25">
      <c r="B451" s="135"/>
      <c r="C451" s="135"/>
      <c r="D451" s="135"/>
      <c r="E451" s="135"/>
    </row>
    <row r="452" spans="2:5" hidden="1" x14ac:dyDescent="0.25">
      <c r="B452" s="135"/>
      <c r="C452" s="135"/>
      <c r="D452" s="135"/>
      <c r="E452" s="135"/>
    </row>
    <row r="454" spans="2:5" x14ac:dyDescent="0.25">
      <c r="B454" s="138" t="s">
        <v>326</v>
      </c>
      <c r="C454" s="137" t="s">
        <v>325</v>
      </c>
      <c r="D454" s="1658" t="s">
        <v>324</v>
      </c>
      <c r="E454" s="1659"/>
    </row>
    <row r="455" spans="2:5" x14ac:dyDescent="0.25">
      <c r="B455" s="99" t="s">
        <v>314</v>
      </c>
      <c r="C455" s="136">
        <f>INDEX('Below the Line'!$E$4:$E$23,MATCH(B455,'Below the Line'!$C$4:$C$23,0))</f>
        <v>6221.9259542286536</v>
      </c>
      <c r="D455" s="1648" t="s">
        <v>323</v>
      </c>
      <c r="E455" s="1649"/>
    </row>
    <row r="456" spans="2:5" x14ac:dyDescent="0.25">
      <c r="B456" s="99" t="s">
        <v>288</v>
      </c>
      <c r="C456" s="136">
        <f>INDEX('Below the Line'!$E$4:$E$23,MATCH(B456,'Below the Line'!$C$4:$C$23,0))</f>
        <v>1493.1564099112707</v>
      </c>
      <c r="D456" s="1648" t="s">
        <v>323</v>
      </c>
      <c r="E456" s="1649"/>
    </row>
    <row r="457" spans="2:5" hidden="1" x14ac:dyDescent="0.25">
      <c r="B457" s="135"/>
      <c r="C457" s="135"/>
      <c r="D457" s="1650"/>
      <c r="E457" s="1651"/>
    </row>
    <row r="458" spans="2:5" x14ac:dyDescent="0.25">
      <c r="B458" s="132"/>
      <c r="C458" s="132"/>
      <c r="D458" s="1652"/>
      <c r="E458" s="1653"/>
    </row>
    <row r="459" spans="2:5" x14ac:dyDescent="0.25">
      <c r="B459" s="99" t="s">
        <v>322</v>
      </c>
      <c r="C459" s="131">
        <f>'Below the Line'!$D$35</f>
        <v>0.27379999999999999</v>
      </c>
      <c r="D459" s="1648" t="s">
        <v>270</v>
      </c>
      <c r="E459" s="1649"/>
    </row>
    <row r="460" spans="2:5" x14ac:dyDescent="0.25">
      <c r="B460" s="99" t="s">
        <v>321</v>
      </c>
      <c r="C460" s="131">
        <f>'Below the Line'!$D$43</f>
        <v>2.7100379121522307E-2</v>
      </c>
      <c r="D460" s="1648" t="s">
        <v>268</v>
      </c>
      <c r="E460" s="1649"/>
    </row>
    <row r="461" spans="2:5" x14ac:dyDescent="0.25">
      <c r="B461" s="99" t="s">
        <v>320</v>
      </c>
      <c r="C461" s="131">
        <f>'Below the Line'!$D$40</f>
        <v>0.12</v>
      </c>
      <c r="D461" s="1648" t="s">
        <v>270</v>
      </c>
      <c r="E461" s="1649"/>
    </row>
    <row r="464" spans="2:5" ht="15.75" thickBot="1" x14ac:dyDescent="0.3"/>
    <row r="465" spans="2:5" ht="27" thickBot="1" x14ac:dyDescent="0.45">
      <c r="B465" s="1654" t="s">
        <v>343</v>
      </c>
      <c r="C465" s="1655"/>
      <c r="D465" s="1655"/>
      <c r="E465" s="1655"/>
    </row>
    <row r="466" spans="2:5" ht="21" x14ac:dyDescent="0.35">
      <c r="B466" s="1656" t="s">
        <v>336</v>
      </c>
      <c r="C466" s="1657"/>
      <c r="D466" s="149" t="s">
        <v>335</v>
      </c>
      <c r="E466" s="148" t="s">
        <v>334</v>
      </c>
    </row>
    <row r="467" spans="2:5" x14ac:dyDescent="0.25">
      <c r="B467" s="137" t="s">
        <v>333</v>
      </c>
      <c r="C467" s="138" t="s">
        <v>332</v>
      </c>
      <c r="D467" s="147" t="s">
        <v>331</v>
      </c>
      <c r="E467" s="146"/>
    </row>
    <row r="468" spans="2:5" x14ac:dyDescent="0.25">
      <c r="B468" s="154" t="s">
        <v>342</v>
      </c>
      <c r="C468" s="154" t="s">
        <v>342</v>
      </c>
      <c r="D468" s="140">
        <f>INDEX('Salary lookup FY24'!F5:F19,MATCH(C468,'Salary lookup FY24'!B5:B19,0))</f>
        <v>58616.063999999998</v>
      </c>
      <c r="E468" s="142">
        <v>0.6</v>
      </c>
    </row>
    <row r="469" spans="2:5" x14ac:dyDescent="0.25">
      <c r="B469" s="153" t="s">
        <v>341</v>
      </c>
      <c r="C469" s="153" t="s">
        <v>340</v>
      </c>
      <c r="D469" s="140">
        <f>INDEX('Salary lookup FY24'!F6:F20,MATCH(C469,'Salary lookup FY24'!B6:B20,0))</f>
        <v>53206.566400000003</v>
      </c>
      <c r="E469" s="142">
        <v>1</v>
      </c>
    </row>
    <row r="470" spans="2:5" hidden="1" x14ac:dyDescent="0.25">
      <c r="B470" s="152"/>
      <c r="C470" s="135"/>
      <c r="D470" s="140" t="e">
        <f>INDEX('Salary lookup FY24'!F7:F21,MATCH(C470,'Salary lookup FY24'!B7:B21,0))</f>
        <v>#N/A</v>
      </c>
      <c r="E470" s="150"/>
    </row>
    <row r="471" spans="2:5" hidden="1" x14ac:dyDescent="0.25">
      <c r="B471" s="135"/>
      <c r="C471" s="135"/>
      <c r="D471" s="140" t="e">
        <f>INDEX('Salary lookup FY24'!F8:F22,MATCH(C471,'Salary lookup FY24'!B8:B22,0))</f>
        <v>#N/A</v>
      </c>
      <c r="E471" s="135"/>
    </row>
    <row r="472" spans="2:5" hidden="1" x14ac:dyDescent="0.25">
      <c r="B472" s="135"/>
      <c r="C472" s="135"/>
      <c r="D472" s="140" t="e">
        <f>INDEX('Salary lookup FY24'!F9:F23,MATCH(C472,'Salary lookup FY24'!B9:B23,0))</f>
        <v>#N/A</v>
      </c>
      <c r="E472" s="135"/>
    </row>
    <row r="474" spans="2:5" x14ac:dyDescent="0.25">
      <c r="B474" s="138" t="s">
        <v>326</v>
      </c>
      <c r="C474" s="137" t="s">
        <v>325</v>
      </c>
      <c r="D474" s="1658" t="s">
        <v>324</v>
      </c>
      <c r="E474" s="1659"/>
    </row>
    <row r="475" spans="2:5" x14ac:dyDescent="0.25">
      <c r="B475" s="99" t="s">
        <v>339</v>
      </c>
      <c r="C475" s="136">
        <f>'Below the Line'!E7+'Below the Line'!E9+'Below the Line'!E10+'Below the Line'!E11</f>
        <v>3746.5055912389603</v>
      </c>
      <c r="D475" s="1648" t="s">
        <v>338</v>
      </c>
      <c r="E475" s="1649"/>
    </row>
    <row r="476" spans="2:5" x14ac:dyDescent="0.25">
      <c r="B476" t="s">
        <v>310</v>
      </c>
      <c r="C476" s="136">
        <f>INDEX('Below the Line'!$E$4:$E$23,MATCH(B476,'Below the Line'!$C$4:$C$23,0))</f>
        <v>202.39734163733908</v>
      </c>
      <c r="D476" s="1648" t="s">
        <v>323</v>
      </c>
      <c r="E476" s="1649"/>
    </row>
    <row r="477" spans="2:5" hidden="1" x14ac:dyDescent="0.25">
      <c r="B477" s="135"/>
      <c r="C477" s="135"/>
      <c r="D477" s="1650"/>
      <c r="E477" s="1651"/>
    </row>
    <row r="478" spans="2:5" x14ac:dyDescent="0.25">
      <c r="B478" s="132"/>
      <c r="C478" s="132"/>
      <c r="D478" s="1652"/>
      <c r="E478" s="1653"/>
    </row>
    <row r="479" spans="2:5" x14ac:dyDescent="0.25">
      <c r="B479" s="99" t="s">
        <v>322</v>
      </c>
      <c r="C479" s="131">
        <f>'Below the Line'!$D$35</f>
        <v>0.27379999999999999</v>
      </c>
      <c r="D479" s="1648" t="s">
        <v>270</v>
      </c>
      <c r="E479" s="1649"/>
    </row>
    <row r="480" spans="2:5" x14ac:dyDescent="0.25">
      <c r="B480" s="99" t="s">
        <v>321</v>
      </c>
      <c r="C480" s="131">
        <f>'Below the Line'!$D$43</f>
        <v>2.7100379121522307E-2</v>
      </c>
      <c r="D480" s="1648" t="s">
        <v>268</v>
      </c>
      <c r="E480" s="1649"/>
    </row>
    <row r="481" spans="2:5" x14ac:dyDescent="0.25">
      <c r="B481" s="99" t="s">
        <v>320</v>
      </c>
      <c r="C481" s="131">
        <f>'Below the Line'!$D$40</f>
        <v>0.12</v>
      </c>
      <c r="D481" s="1648" t="s">
        <v>270</v>
      </c>
      <c r="E481" s="1649"/>
    </row>
    <row r="483" spans="2:5" ht="15.75" thickBot="1" x14ac:dyDescent="0.3"/>
    <row r="484" spans="2:5" ht="27" thickBot="1" x14ac:dyDescent="0.45">
      <c r="B484" s="1654" t="s">
        <v>337</v>
      </c>
      <c r="C484" s="1655"/>
      <c r="D484" s="1655"/>
      <c r="E484" s="1655"/>
    </row>
    <row r="485" spans="2:5" ht="21" x14ac:dyDescent="0.35">
      <c r="B485" s="1656" t="s">
        <v>336</v>
      </c>
      <c r="C485" s="1657"/>
      <c r="D485" s="149" t="s">
        <v>335</v>
      </c>
      <c r="E485" s="148" t="s">
        <v>334</v>
      </c>
    </row>
    <row r="486" spans="2:5" x14ac:dyDescent="0.25">
      <c r="B486" s="137" t="s">
        <v>333</v>
      </c>
      <c r="C486" s="138" t="s">
        <v>332</v>
      </c>
      <c r="D486" s="147" t="s">
        <v>331</v>
      </c>
      <c r="E486" s="146"/>
    </row>
    <row r="487" spans="2:5" x14ac:dyDescent="0.25">
      <c r="B487" s="145" t="s">
        <v>330</v>
      </c>
      <c r="C487" s="144" t="s">
        <v>329</v>
      </c>
      <c r="D487" s="140">
        <f>INDEX('Salary lookup FY24'!F5:F19,MATCH(C487,'Salary lookup FY24'!B5:B19,0))</f>
        <v>79415.232000000018</v>
      </c>
      <c r="E487" s="142">
        <v>1</v>
      </c>
    </row>
    <row r="488" spans="2:5" x14ac:dyDescent="0.25">
      <c r="B488" s="143" t="s">
        <v>327</v>
      </c>
      <c r="C488" s="99" t="s">
        <v>327</v>
      </c>
      <c r="D488" s="140">
        <f>INDEX('Salary lookup FY24'!F5:F19,MATCH(C488,'Salary lookup FY24'!B5:B19,0))</f>
        <v>41600</v>
      </c>
      <c r="E488" s="142">
        <v>3</v>
      </c>
    </row>
    <row r="489" spans="2:5" x14ac:dyDescent="0.25">
      <c r="B489" s="141" t="s">
        <v>328</v>
      </c>
      <c r="C489" s="99" t="s">
        <v>327</v>
      </c>
      <c r="D489" s="140">
        <f>INDEX('Salary lookup FY24'!F5:F19,MATCH(C489,'Salary lookup FY24'!B5:B19,0))</f>
        <v>41600</v>
      </c>
      <c r="E489" s="139">
        <v>1</v>
      </c>
    </row>
    <row r="490" spans="2:5" hidden="1" x14ac:dyDescent="0.25">
      <c r="B490" s="135"/>
      <c r="C490" s="135"/>
      <c r="D490" s="135"/>
      <c r="E490" s="135"/>
    </row>
    <row r="491" spans="2:5" hidden="1" x14ac:dyDescent="0.25">
      <c r="B491" s="135"/>
      <c r="C491" s="135"/>
      <c r="D491" s="135"/>
      <c r="E491" s="135"/>
    </row>
    <row r="493" spans="2:5" x14ac:dyDescent="0.25">
      <c r="B493" s="138" t="s">
        <v>326</v>
      </c>
      <c r="C493" s="137" t="s">
        <v>325</v>
      </c>
      <c r="D493" s="1658" t="s">
        <v>324</v>
      </c>
      <c r="E493" s="1659"/>
    </row>
    <row r="494" spans="2:5" x14ac:dyDescent="0.25">
      <c r="B494" t="s">
        <v>286</v>
      </c>
      <c r="C494" s="136">
        <f>INDEX('Below the Line'!$E$4:$E$23,MATCH(B494,'Below the Line'!$C$4:$C$23,0))</f>
        <v>3151.0944966340862</v>
      </c>
      <c r="D494" s="1648" t="s">
        <v>323</v>
      </c>
      <c r="E494" s="1649"/>
    </row>
    <row r="495" spans="2:5" x14ac:dyDescent="0.25">
      <c r="B495" t="s">
        <v>294</v>
      </c>
      <c r="C495" s="136">
        <f>INDEX('Below the Line'!$E$4:$E$23,MATCH(B495,'Below the Line'!$C$4:$C$23,0))</f>
        <v>1475.3908322281168</v>
      </c>
      <c r="D495" s="1648" t="s">
        <v>323</v>
      </c>
      <c r="E495" s="1649"/>
    </row>
    <row r="496" spans="2:5" hidden="1" x14ac:dyDescent="0.25">
      <c r="B496" s="135"/>
      <c r="C496" s="135"/>
      <c r="D496" s="1650"/>
      <c r="E496" s="1651"/>
    </row>
    <row r="497" spans="2:5" x14ac:dyDescent="0.25">
      <c r="B497" s="132"/>
      <c r="C497" s="132"/>
      <c r="D497" s="1652"/>
      <c r="E497" s="1653"/>
    </row>
    <row r="498" spans="2:5" x14ac:dyDescent="0.25">
      <c r="B498" s="99" t="s">
        <v>322</v>
      </c>
      <c r="C498" s="131">
        <f>'Below the Line'!$D$35</f>
        <v>0.27379999999999999</v>
      </c>
      <c r="D498" s="1648" t="s">
        <v>270</v>
      </c>
      <c r="E498" s="1649"/>
    </row>
    <row r="499" spans="2:5" x14ac:dyDescent="0.25">
      <c r="B499" s="99" t="s">
        <v>321</v>
      </c>
      <c r="C499" s="131">
        <f>'Below the Line'!$D$43</f>
        <v>2.7100379121522307E-2</v>
      </c>
      <c r="D499" s="1648" t="s">
        <v>268</v>
      </c>
      <c r="E499" s="1649"/>
    </row>
    <row r="500" spans="2:5" x14ac:dyDescent="0.25">
      <c r="B500" s="99" t="s">
        <v>320</v>
      </c>
      <c r="C500" s="131">
        <f>'Below the Line'!$D$40</f>
        <v>0.12</v>
      </c>
      <c r="D500" s="1648" t="s">
        <v>270</v>
      </c>
      <c r="E500" s="1649"/>
    </row>
  </sheetData>
  <mergeCells count="254">
    <mergeCell ref="D500:E500"/>
    <mergeCell ref="D476:E476"/>
    <mergeCell ref="D477:E477"/>
    <mergeCell ref="D478:E478"/>
    <mergeCell ref="D479:E479"/>
    <mergeCell ref="D480:E480"/>
    <mergeCell ref="D481:E481"/>
    <mergeCell ref="B484:E484"/>
    <mergeCell ref="B485:C485"/>
    <mergeCell ref="D493:E493"/>
    <mergeCell ref="D494:E494"/>
    <mergeCell ref="D495:E495"/>
    <mergeCell ref="D496:E496"/>
    <mergeCell ref="D497:E497"/>
    <mergeCell ref="D498:E498"/>
    <mergeCell ref="D499:E499"/>
    <mergeCell ref="D460:E460"/>
    <mergeCell ref="D461:E461"/>
    <mergeCell ref="B465:E465"/>
    <mergeCell ref="B466:C466"/>
    <mergeCell ref="D474:E474"/>
    <mergeCell ref="D475:E475"/>
    <mergeCell ref="D454:E454"/>
    <mergeCell ref="D455:E455"/>
    <mergeCell ref="D456:E456"/>
    <mergeCell ref="D457:E457"/>
    <mergeCell ref="D458:E458"/>
    <mergeCell ref="D459:E459"/>
    <mergeCell ref="D439:E439"/>
    <mergeCell ref="D440:E440"/>
    <mergeCell ref="D441:E441"/>
    <mergeCell ref="D442:E442"/>
    <mergeCell ref="B445:E445"/>
    <mergeCell ref="B446:C446"/>
    <mergeCell ref="B426:E426"/>
    <mergeCell ref="B427:C427"/>
    <mergeCell ref="D435:E435"/>
    <mergeCell ref="D436:E436"/>
    <mergeCell ref="D437:E437"/>
    <mergeCell ref="D438:E438"/>
    <mergeCell ref="D417:E417"/>
    <mergeCell ref="D418:E418"/>
    <mergeCell ref="B401:E401"/>
    <mergeCell ref="D420:E420"/>
    <mergeCell ref="D421:E421"/>
    <mergeCell ref="D422:E422"/>
    <mergeCell ref="D411:E411"/>
    <mergeCell ref="D412:E412"/>
    <mergeCell ref="D413:E413"/>
    <mergeCell ref="D414:E414"/>
    <mergeCell ref="D415:E415"/>
    <mergeCell ref="D416:E416"/>
    <mergeCell ref="D367:E367"/>
    <mergeCell ref="D368:E368"/>
    <mergeCell ref="D369:E369"/>
    <mergeCell ref="D397:E397"/>
    <mergeCell ref="D346:E346"/>
    <mergeCell ref="D347:E347"/>
    <mergeCell ref="D398:E398"/>
    <mergeCell ref="B379:F379"/>
    <mergeCell ref="B402:C402"/>
    <mergeCell ref="D391:E391"/>
    <mergeCell ref="D392:E392"/>
    <mergeCell ref="D393:E393"/>
    <mergeCell ref="D394:E394"/>
    <mergeCell ref="D372:E372"/>
    <mergeCell ref="D373:E373"/>
    <mergeCell ref="D374:E374"/>
    <mergeCell ref="D395:E395"/>
    <mergeCell ref="D396:E396"/>
    <mergeCell ref="B329:C329"/>
    <mergeCell ref="B352:C352"/>
    <mergeCell ref="E352:P352"/>
    <mergeCell ref="B351:M351"/>
    <mergeCell ref="D363:E363"/>
    <mergeCell ref="B380:C380"/>
    <mergeCell ref="D315:E315"/>
    <mergeCell ref="D316:E316"/>
    <mergeCell ref="D318:E318"/>
    <mergeCell ref="D319:E319"/>
    <mergeCell ref="D320:E320"/>
    <mergeCell ref="B328:E328"/>
    <mergeCell ref="D337:E337"/>
    <mergeCell ref="D340:E340"/>
    <mergeCell ref="D339:E339"/>
    <mergeCell ref="D338:E338"/>
    <mergeCell ref="D341:E341"/>
    <mergeCell ref="D342:E342"/>
    <mergeCell ref="D343:E343"/>
    <mergeCell ref="D345:E345"/>
    <mergeCell ref="D370:E370"/>
    <mergeCell ref="D364:E364"/>
    <mergeCell ref="D365:E365"/>
    <mergeCell ref="D366:E366"/>
    <mergeCell ref="D264:E264"/>
    <mergeCell ref="D263:E263"/>
    <mergeCell ref="B213:E213"/>
    <mergeCell ref="B214:C214"/>
    <mergeCell ref="D224:E224"/>
    <mergeCell ref="D225:E225"/>
    <mergeCell ref="D226:E226"/>
    <mergeCell ref="D227:E227"/>
    <mergeCell ref="B237:F237"/>
    <mergeCell ref="D252:E252"/>
    <mergeCell ref="D208:E208"/>
    <mergeCell ref="D253:E253"/>
    <mergeCell ref="D262:E262"/>
    <mergeCell ref="D255:E255"/>
    <mergeCell ref="D231:E231"/>
    <mergeCell ref="D232:E232"/>
    <mergeCell ref="D233:E233"/>
    <mergeCell ref="D230:E230"/>
    <mergeCell ref="D254:E254"/>
    <mergeCell ref="B298:C298"/>
    <mergeCell ref="D311:E311"/>
    <mergeCell ref="D312:E312"/>
    <mergeCell ref="D313:E313"/>
    <mergeCell ref="D314:E314"/>
    <mergeCell ref="D265:E265"/>
    <mergeCell ref="B271:C271"/>
    <mergeCell ref="E271:G271"/>
    <mergeCell ref="B270:G270"/>
    <mergeCell ref="D279:E279"/>
    <mergeCell ref="D310:E310"/>
    <mergeCell ref="E298:P298"/>
    <mergeCell ref="B297:P297"/>
    <mergeCell ref="D291:E291"/>
    <mergeCell ref="D292:E292"/>
    <mergeCell ref="D293:E293"/>
    <mergeCell ref="D286:E286"/>
    <mergeCell ref="D287:E287"/>
    <mergeCell ref="D288:E288"/>
    <mergeCell ref="D289:E289"/>
    <mergeCell ref="D280:E280"/>
    <mergeCell ref="D281:E281"/>
    <mergeCell ref="B2:E2"/>
    <mergeCell ref="B3:C3"/>
    <mergeCell ref="B56:C56"/>
    <mergeCell ref="D13:E13"/>
    <mergeCell ref="D22:E22"/>
    <mergeCell ref="B55:F55"/>
    <mergeCell ref="D71:E71"/>
    <mergeCell ref="D72:E72"/>
    <mergeCell ref="D81:E81"/>
    <mergeCell ref="D42:E42"/>
    <mergeCell ref="D41:E41"/>
    <mergeCell ref="D40:E40"/>
    <mergeCell ref="D39:E39"/>
    <mergeCell ref="D38:E38"/>
    <mergeCell ref="D37:E37"/>
    <mergeCell ref="D21:E21"/>
    <mergeCell ref="D20:E20"/>
    <mergeCell ref="D14:E14"/>
    <mergeCell ref="D19:E19"/>
    <mergeCell ref="B24:AB24"/>
    <mergeCell ref="D36:E36"/>
    <mergeCell ref="D50:E50"/>
    <mergeCell ref="D47:E47"/>
    <mergeCell ref="D49:E49"/>
    <mergeCell ref="B25:B26"/>
    <mergeCell ref="E25:AB25"/>
    <mergeCell ref="B91:C91"/>
    <mergeCell ref="E91:G91"/>
    <mergeCell ref="B90:G90"/>
    <mergeCell ref="D84:E84"/>
    <mergeCell ref="D83:E83"/>
    <mergeCell ref="D43:E43"/>
    <mergeCell ref="D44:E44"/>
    <mergeCell ref="D45:E45"/>
    <mergeCell ref="D51:E51"/>
    <mergeCell ref="D25:D26"/>
    <mergeCell ref="C25:C26"/>
    <mergeCell ref="E56:F56"/>
    <mergeCell ref="D73:E73"/>
    <mergeCell ref="D74:E74"/>
    <mergeCell ref="D75:E75"/>
    <mergeCell ref="D82:E82"/>
    <mergeCell ref="D76:E76"/>
    <mergeCell ref="D77:E77"/>
    <mergeCell ref="D78:E78"/>
    <mergeCell ref="B121:C121"/>
    <mergeCell ref="B120:E120"/>
    <mergeCell ref="D125:E125"/>
    <mergeCell ref="D111:E111"/>
    <mergeCell ref="D112:E112"/>
    <mergeCell ref="D113:E113"/>
    <mergeCell ref="D114:E114"/>
    <mergeCell ref="D115:E115"/>
    <mergeCell ref="D126:E126"/>
    <mergeCell ref="D127:E127"/>
    <mergeCell ref="D128:E128"/>
    <mergeCell ref="D129:E129"/>
    <mergeCell ref="D136:E136"/>
    <mergeCell ref="D79:E79"/>
    <mergeCell ref="D80:E80"/>
    <mergeCell ref="D104:E104"/>
    <mergeCell ref="D107:E107"/>
    <mergeCell ref="D108:E108"/>
    <mergeCell ref="D109:E109"/>
    <mergeCell ref="D110:E110"/>
    <mergeCell ref="D106:E106"/>
    <mergeCell ref="D105:E105"/>
    <mergeCell ref="D137:E137"/>
    <mergeCell ref="D138:E138"/>
    <mergeCell ref="D139:E139"/>
    <mergeCell ref="D131:E131"/>
    <mergeCell ref="D132:E132"/>
    <mergeCell ref="D133:E133"/>
    <mergeCell ref="D134:E134"/>
    <mergeCell ref="D135:E135"/>
    <mergeCell ref="D151:E151"/>
    <mergeCell ref="D152:E152"/>
    <mergeCell ref="D154:E154"/>
    <mergeCell ref="D155:E155"/>
    <mergeCell ref="D156:E156"/>
    <mergeCell ref="B143:E143"/>
    <mergeCell ref="B144:C144"/>
    <mergeCell ref="D148:E148"/>
    <mergeCell ref="D149:E149"/>
    <mergeCell ref="D150:E150"/>
    <mergeCell ref="D157:E157"/>
    <mergeCell ref="D158:E158"/>
    <mergeCell ref="D159:E159"/>
    <mergeCell ref="D160:E160"/>
    <mergeCell ref="D161:E161"/>
    <mergeCell ref="D251:E251"/>
    <mergeCell ref="D210:E210"/>
    <mergeCell ref="B190:E190"/>
    <mergeCell ref="B191:C191"/>
    <mergeCell ref="D201:E201"/>
    <mergeCell ref="D202:E202"/>
    <mergeCell ref="D203:E203"/>
    <mergeCell ref="D228:E228"/>
    <mergeCell ref="D229:E229"/>
    <mergeCell ref="D177:E177"/>
    <mergeCell ref="D178:E178"/>
    <mergeCell ref="D209:E209"/>
    <mergeCell ref="B238:C238"/>
    <mergeCell ref="D248:E248"/>
    <mergeCell ref="D249:E249"/>
    <mergeCell ref="D250:E250"/>
    <mergeCell ref="D204:E204"/>
    <mergeCell ref="D205:E205"/>
    <mergeCell ref="D206:E206"/>
    <mergeCell ref="D185:E185"/>
    <mergeCell ref="D179:E179"/>
    <mergeCell ref="D180:E180"/>
    <mergeCell ref="D181:E181"/>
    <mergeCell ref="D182:E182"/>
    <mergeCell ref="D183:E183"/>
    <mergeCell ref="D184:E184"/>
    <mergeCell ref="D162:E162"/>
    <mergeCell ref="B166:E166"/>
    <mergeCell ref="B167:C16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A0DD4-E11F-4056-ABB4-F0ED563EA7E1}">
  <dimension ref="A1:DG28"/>
  <sheetViews>
    <sheetView topLeftCell="CB1" workbookViewId="0">
      <selection activeCell="CU32" sqref="CU32"/>
    </sheetView>
  </sheetViews>
  <sheetFormatPr defaultRowHeight="12.75" x14ac:dyDescent="0.2"/>
  <cols>
    <col min="1" max="1" width="38.42578125" style="58" customWidth="1"/>
    <col min="2" max="2" width="12.85546875" style="59" customWidth="1"/>
    <col min="3" max="78" width="7.7109375" style="58" hidden="1" customWidth="1"/>
    <col min="79" max="82" width="7.7109375" style="58" customWidth="1"/>
    <col min="83" max="16384" width="9.140625" style="58"/>
  </cols>
  <sheetData>
    <row r="1" spans="1:111" ht="18" x14ac:dyDescent="0.25">
      <c r="A1" s="1714" t="s">
        <v>242</v>
      </c>
      <c r="B1" s="1715"/>
    </row>
    <row r="2" spans="1:111" ht="15.75" x14ac:dyDescent="0.25">
      <c r="A2" s="96" t="s">
        <v>729</v>
      </c>
      <c r="B2" s="95"/>
    </row>
    <row r="3" spans="1:111" ht="15.75" thickBot="1" x14ac:dyDescent="0.3">
      <c r="A3" s="94" t="s">
        <v>240</v>
      </c>
      <c r="B3" s="93"/>
    </row>
    <row r="6" spans="1:111" x14ac:dyDescent="0.2">
      <c r="CC6" s="1175"/>
      <c r="CD6" s="1175"/>
      <c r="CE6" s="1175"/>
      <c r="CF6" s="1175"/>
      <c r="CG6" s="1176" t="s">
        <v>237</v>
      </c>
      <c r="CH6" s="1176" t="s">
        <v>237</v>
      </c>
      <c r="CI6" s="1176" t="s">
        <v>237</v>
      </c>
      <c r="CJ6" s="1176" t="s">
        <v>237</v>
      </c>
      <c r="CK6" s="1177" t="s">
        <v>236</v>
      </c>
      <c r="CL6" s="1177" t="s">
        <v>236</v>
      </c>
      <c r="CM6" s="1177" t="s">
        <v>236</v>
      </c>
      <c r="CN6" s="1177" t="s">
        <v>236</v>
      </c>
      <c r="CO6" s="1178" t="s">
        <v>730</v>
      </c>
      <c r="CP6" s="1178" t="s">
        <v>730</v>
      </c>
      <c r="CQ6" s="1178" t="s">
        <v>730</v>
      </c>
      <c r="CR6" s="1178" t="s">
        <v>730</v>
      </c>
      <c r="CS6" s="1179" t="s">
        <v>731</v>
      </c>
      <c r="CT6" s="1179" t="s">
        <v>731</v>
      </c>
      <c r="CU6" s="1179" t="s">
        <v>731</v>
      </c>
      <c r="CV6" s="1179" t="s">
        <v>731</v>
      </c>
    </row>
    <row r="7" spans="1:111" s="59" customFormat="1" x14ac:dyDescent="0.2">
      <c r="B7" s="59" t="s">
        <v>235</v>
      </c>
      <c r="C7" s="87" t="s">
        <v>234</v>
      </c>
      <c r="D7" s="87" t="s">
        <v>233</v>
      </c>
      <c r="E7" s="87" t="s">
        <v>232</v>
      </c>
      <c r="F7" s="87" t="s">
        <v>231</v>
      </c>
      <c r="G7" s="87" t="s">
        <v>230</v>
      </c>
      <c r="H7" s="87" t="s">
        <v>229</v>
      </c>
      <c r="I7" s="87" t="s">
        <v>228</v>
      </c>
      <c r="J7" s="87" t="s">
        <v>227</v>
      </c>
      <c r="K7" s="87" t="s">
        <v>226</v>
      </c>
      <c r="L7" s="87" t="s">
        <v>225</v>
      </c>
      <c r="M7" s="87" t="s">
        <v>224</v>
      </c>
      <c r="N7" s="87" t="s">
        <v>223</v>
      </c>
      <c r="O7" s="87" t="s">
        <v>222</v>
      </c>
      <c r="P7" s="87" t="s">
        <v>221</v>
      </c>
      <c r="Q7" s="87" t="s">
        <v>220</v>
      </c>
      <c r="R7" s="87" t="s">
        <v>219</v>
      </c>
      <c r="S7" s="87" t="s">
        <v>218</v>
      </c>
      <c r="T7" s="87" t="s">
        <v>217</v>
      </c>
      <c r="U7" s="87" t="s">
        <v>216</v>
      </c>
      <c r="V7" s="87" t="s">
        <v>215</v>
      </c>
      <c r="W7" s="87" t="s">
        <v>214</v>
      </c>
      <c r="X7" s="87" t="s">
        <v>213</v>
      </c>
      <c r="Y7" s="87" t="s">
        <v>212</v>
      </c>
      <c r="Z7" s="87" t="s">
        <v>211</v>
      </c>
      <c r="AA7" s="87" t="s">
        <v>210</v>
      </c>
      <c r="AB7" s="87" t="s">
        <v>209</v>
      </c>
      <c r="AC7" s="87" t="s">
        <v>208</v>
      </c>
      <c r="AD7" s="87" t="s">
        <v>207</v>
      </c>
      <c r="AE7" s="87" t="s">
        <v>206</v>
      </c>
      <c r="AF7" s="87" t="s">
        <v>205</v>
      </c>
      <c r="AG7" s="87" t="s">
        <v>204</v>
      </c>
      <c r="AH7" s="87" t="s">
        <v>203</v>
      </c>
      <c r="AI7" s="87" t="s">
        <v>202</v>
      </c>
      <c r="AJ7" s="87" t="s">
        <v>201</v>
      </c>
      <c r="AK7" s="87" t="s">
        <v>200</v>
      </c>
      <c r="AL7" s="87" t="s">
        <v>199</v>
      </c>
      <c r="AM7" s="87" t="s">
        <v>198</v>
      </c>
      <c r="AN7" s="87" t="s">
        <v>197</v>
      </c>
      <c r="AO7" s="87" t="s">
        <v>196</v>
      </c>
      <c r="AP7" s="87" t="s">
        <v>195</v>
      </c>
      <c r="AQ7" s="87" t="s">
        <v>194</v>
      </c>
      <c r="AR7" s="87" t="s">
        <v>193</v>
      </c>
      <c r="AS7" s="87" t="s">
        <v>192</v>
      </c>
      <c r="AT7" s="87" t="s">
        <v>191</v>
      </c>
      <c r="AU7" s="59" t="s">
        <v>190</v>
      </c>
      <c r="AV7" s="59" t="s">
        <v>189</v>
      </c>
      <c r="AW7" s="59" t="s">
        <v>188</v>
      </c>
      <c r="AX7" s="59" t="s">
        <v>187</v>
      </c>
      <c r="AY7" s="59" t="s">
        <v>186</v>
      </c>
      <c r="AZ7" s="59" t="s">
        <v>185</v>
      </c>
      <c r="BA7" s="59" t="s">
        <v>184</v>
      </c>
      <c r="BB7" s="59" t="s">
        <v>183</v>
      </c>
      <c r="BC7" s="59" t="s">
        <v>182</v>
      </c>
      <c r="BD7" s="59" t="s">
        <v>181</v>
      </c>
      <c r="BE7" s="59" t="s">
        <v>180</v>
      </c>
      <c r="BF7" s="59" t="s">
        <v>179</v>
      </c>
      <c r="BG7" s="59" t="s">
        <v>178</v>
      </c>
      <c r="BH7" s="59" t="s">
        <v>177</v>
      </c>
      <c r="BI7" s="59" t="s">
        <v>176</v>
      </c>
      <c r="BJ7" s="59" t="s">
        <v>175</v>
      </c>
      <c r="BK7" s="59" t="s">
        <v>174</v>
      </c>
      <c r="BL7" s="59" t="s">
        <v>173</v>
      </c>
      <c r="BM7" s="59" t="s">
        <v>172</v>
      </c>
      <c r="BN7" s="59" t="s">
        <v>171</v>
      </c>
      <c r="BO7" s="59" t="s">
        <v>170</v>
      </c>
      <c r="BP7" s="59" t="s">
        <v>169</v>
      </c>
      <c r="BQ7" s="59" t="s">
        <v>168</v>
      </c>
      <c r="BR7" s="59" t="s">
        <v>167</v>
      </c>
      <c r="BS7" s="59" t="s">
        <v>166</v>
      </c>
      <c r="BT7" s="59" t="s">
        <v>165</v>
      </c>
      <c r="BU7" s="59" t="s">
        <v>164</v>
      </c>
      <c r="BV7" s="59" t="s">
        <v>163</v>
      </c>
      <c r="BW7" s="59" t="s">
        <v>162</v>
      </c>
      <c r="BX7" s="59" t="s">
        <v>161</v>
      </c>
      <c r="BY7" s="59" t="s">
        <v>160</v>
      </c>
      <c r="BZ7" s="59" t="s">
        <v>159</v>
      </c>
      <c r="CA7" s="59" t="s">
        <v>158</v>
      </c>
      <c r="CB7" s="59" t="s">
        <v>157</v>
      </c>
      <c r="CC7" s="59" t="s">
        <v>156</v>
      </c>
      <c r="CD7" s="59" t="s">
        <v>155</v>
      </c>
      <c r="CE7" s="59" t="s">
        <v>129</v>
      </c>
      <c r="CF7" s="59" t="s">
        <v>128</v>
      </c>
      <c r="CG7" s="59" t="s">
        <v>127</v>
      </c>
      <c r="CH7" s="59" t="s">
        <v>126</v>
      </c>
      <c r="CI7" s="59" t="s">
        <v>125</v>
      </c>
      <c r="CJ7" s="59" t="s">
        <v>124</v>
      </c>
      <c r="CK7" s="59" t="s">
        <v>123</v>
      </c>
      <c r="CL7" s="59" t="s">
        <v>122</v>
      </c>
      <c r="CM7" s="59" t="s">
        <v>154</v>
      </c>
      <c r="CN7" s="59" t="s">
        <v>153</v>
      </c>
      <c r="CO7" s="59" t="s">
        <v>152</v>
      </c>
      <c r="CP7" s="59" t="s">
        <v>151</v>
      </c>
      <c r="CQ7" s="59" t="s">
        <v>150</v>
      </c>
      <c r="CR7" s="59" t="s">
        <v>149</v>
      </c>
      <c r="CS7" s="59" t="s">
        <v>148</v>
      </c>
      <c r="CT7" s="59" t="s">
        <v>147</v>
      </c>
      <c r="CU7" s="59" t="s">
        <v>146</v>
      </c>
      <c r="CV7" s="59" t="s">
        <v>145</v>
      </c>
      <c r="CW7" s="59" t="s">
        <v>144</v>
      </c>
      <c r="CX7" s="59" t="s">
        <v>143</v>
      </c>
      <c r="CY7" s="59" t="s">
        <v>732</v>
      </c>
      <c r="CZ7" s="59" t="s">
        <v>733</v>
      </c>
      <c r="DA7" s="59" t="s">
        <v>734</v>
      </c>
      <c r="DB7" s="59" t="s">
        <v>735</v>
      </c>
      <c r="DC7" s="59" t="s">
        <v>736</v>
      </c>
      <c r="DD7" s="59" t="s">
        <v>737</v>
      </c>
      <c r="DE7" s="59" t="s">
        <v>738</v>
      </c>
      <c r="DF7" s="59" t="s">
        <v>739</v>
      </c>
    </row>
    <row r="8" spans="1:111" x14ac:dyDescent="0.2">
      <c r="A8" s="59" t="s">
        <v>142</v>
      </c>
      <c r="B8" s="59" t="s">
        <v>141</v>
      </c>
      <c r="C8" s="85">
        <v>2.0063242019995098</v>
      </c>
      <c r="D8" s="85">
        <v>2.0291282349893098</v>
      </c>
      <c r="E8" s="85">
        <v>2.0375396537992998</v>
      </c>
      <c r="F8" s="85">
        <v>2.0605757461988299</v>
      </c>
      <c r="G8" s="85">
        <v>2.0744916701599601</v>
      </c>
      <c r="H8" s="85">
        <v>2.0847415521764501</v>
      </c>
      <c r="I8" s="85">
        <v>2.1206428407981601</v>
      </c>
      <c r="J8" s="85">
        <v>2.1424538059801699</v>
      </c>
      <c r="K8" s="85">
        <v>2.1577760921196698</v>
      </c>
      <c r="L8" s="85">
        <v>2.18317446723852</v>
      </c>
      <c r="M8" s="85">
        <v>2.2041735816988299</v>
      </c>
      <c r="N8" s="85">
        <v>2.1895839731400302</v>
      </c>
      <c r="O8" s="85">
        <v>2.2079881141659499</v>
      </c>
      <c r="P8" s="85">
        <v>2.2276611594626199</v>
      </c>
      <c r="Q8" s="85">
        <v>2.2459850074152801</v>
      </c>
      <c r="R8" s="85">
        <v>2.2732860401443298</v>
      </c>
      <c r="S8" s="85">
        <v>2.2978325902332899</v>
      </c>
      <c r="T8" s="85">
        <v>2.3346020605495701</v>
      </c>
      <c r="U8" s="85">
        <v>2.3735276211582401</v>
      </c>
      <c r="V8" s="85">
        <v>2.3215409716883499</v>
      </c>
      <c r="W8" s="85">
        <v>2.3038226527588002</v>
      </c>
      <c r="X8" s="85">
        <v>2.3145837090650598</v>
      </c>
      <c r="Y8" s="85">
        <v>2.3339717038978098</v>
      </c>
      <c r="Z8" s="85">
        <v>2.3520758531232699</v>
      </c>
      <c r="AA8" s="85">
        <v>2.3568446385384498</v>
      </c>
      <c r="AB8" s="85">
        <v>2.3598082084575198</v>
      </c>
      <c r="AC8" s="85">
        <v>2.3676526808939902</v>
      </c>
      <c r="AD8" s="85">
        <v>2.38950697283444</v>
      </c>
      <c r="AE8" s="85">
        <v>2.4083550647675001</v>
      </c>
      <c r="AF8" s="85">
        <v>2.4444130504222099</v>
      </c>
      <c r="AG8" s="85">
        <v>2.4604640784842702</v>
      </c>
      <c r="AH8" s="85">
        <v>2.4673874511369598</v>
      </c>
      <c r="AI8" s="85">
        <v>2.4804181534887402</v>
      </c>
      <c r="AJ8" s="85">
        <v>2.4867756454644101</v>
      </c>
      <c r="AK8" s="85">
        <v>2.4979566250823502</v>
      </c>
      <c r="AL8" s="85">
        <v>2.5174388651260799</v>
      </c>
      <c r="AM8" s="85">
        <v>2.5233148246383998</v>
      </c>
      <c r="AN8" s="85">
        <v>2.5235914844993701</v>
      </c>
      <c r="AO8" s="85">
        <v>2.5384869576563101</v>
      </c>
      <c r="AP8" s="85">
        <v>2.5493165220603302</v>
      </c>
      <c r="AQ8" s="85">
        <v>2.5640878270376</v>
      </c>
      <c r="AR8" s="85">
        <v>2.5682010799061801</v>
      </c>
      <c r="AS8" s="85">
        <v>2.5745284656131302</v>
      </c>
      <c r="AT8" s="85">
        <v>2.5703540066002799</v>
      </c>
      <c r="AU8" s="85">
        <v>2.5620964089634599</v>
      </c>
      <c r="AV8" s="85">
        <v>2.5737808658450598</v>
      </c>
      <c r="AW8" s="85">
        <v>2.5763433131395899</v>
      </c>
      <c r="AX8" s="85">
        <v>2.5766992708793199</v>
      </c>
      <c r="AY8" s="85">
        <v>2.5717107318479902</v>
      </c>
      <c r="AZ8" s="85">
        <v>2.5921156618377301</v>
      </c>
      <c r="BA8" s="85">
        <v>2.6069387531606401</v>
      </c>
      <c r="BB8" s="85">
        <v>2.6253431904293598</v>
      </c>
      <c r="BC8" s="85">
        <v>2.6431101616580301</v>
      </c>
      <c r="BD8" s="85">
        <v>2.6454235385008298</v>
      </c>
      <c r="BE8" s="85">
        <v>2.6515794028402699</v>
      </c>
      <c r="BF8" s="85">
        <v>2.6730735090076099</v>
      </c>
      <c r="BG8" s="85">
        <v>2.7025845040057699</v>
      </c>
      <c r="BH8" s="85">
        <v>2.7191562543850001</v>
      </c>
      <c r="BI8" s="85">
        <v>2.7259924929413102</v>
      </c>
      <c r="BJ8" s="85">
        <v>2.73992606692231</v>
      </c>
      <c r="BK8" s="85">
        <v>2.7502945492423101</v>
      </c>
      <c r="BL8" s="85">
        <v>2.7689500101723898</v>
      </c>
      <c r="BM8" s="85">
        <v>2.7814096361355198</v>
      </c>
      <c r="BN8" s="85">
        <v>2.7939823611208201</v>
      </c>
      <c r="BO8" s="85">
        <v>2.8066571115732</v>
      </c>
      <c r="BP8" s="85">
        <v>2.789069417081</v>
      </c>
      <c r="BQ8" s="85">
        <v>2.8003358691635101</v>
      </c>
      <c r="BR8" s="85">
        <v>2.8138932593987098</v>
      </c>
      <c r="BS8" s="85">
        <v>2.8441364271136802</v>
      </c>
      <c r="BT8" s="85">
        <v>2.8773216475971899</v>
      </c>
      <c r="BU8" s="85">
        <v>2.91889734231578</v>
      </c>
      <c r="BV8" s="85">
        <v>2.9746409679231198</v>
      </c>
      <c r="BW8" s="85">
        <v>3.0357131501719299</v>
      </c>
      <c r="BX8" s="85">
        <v>3.0936413828755098</v>
      </c>
      <c r="BY8" s="85">
        <v>3.1296486651784101</v>
      </c>
      <c r="BZ8" s="85">
        <v>3.1622026276566801</v>
      </c>
      <c r="CA8" s="85">
        <v>3.1722489121908599</v>
      </c>
      <c r="CB8" s="85">
        <v>3.1732614751305199</v>
      </c>
      <c r="CC8" s="85">
        <v>3.19804134092354</v>
      </c>
      <c r="CD8" s="85">
        <v>3.22162837939393</v>
      </c>
      <c r="CE8" s="85">
        <v>3.2544930937994199</v>
      </c>
      <c r="CF8" s="85">
        <v>3.3022200302311102</v>
      </c>
      <c r="CG8" s="85">
        <v>3.3166050351231502</v>
      </c>
      <c r="CH8" s="85">
        <v>3.3368236923679002</v>
      </c>
      <c r="CI8" s="85">
        <v>3.37011065424548</v>
      </c>
      <c r="CJ8" s="85">
        <v>3.41939449308809</v>
      </c>
      <c r="CK8" s="85">
        <v>3.45067500590967</v>
      </c>
      <c r="CL8" s="85">
        <v>3.4736821386754499</v>
      </c>
      <c r="CM8" s="85">
        <v>3.49931506549617</v>
      </c>
      <c r="CN8" s="85">
        <v>3.51338511253658</v>
      </c>
      <c r="CO8" s="85">
        <v>3.5359237438715101</v>
      </c>
      <c r="CP8" s="85">
        <v>3.55894446256021</v>
      </c>
      <c r="CQ8" s="85">
        <v>3.5750398262796899</v>
      </c>
      <c r="CR8" s="85">
        <v>3.5903136808117901</v>
      </c>
      <c r="CS8" s="85">
        <v>3.6008049107670601</v>
      </c>
      <c r="CT8" s="85">
        <v>3.6183053339686699</v>
      </c>
      <c r="CU8" s="85">
        <v>3.6376951812524898</v>
      </c>
      <c r="CV8" s="85">
        <v>3.6560774959501501</v>
      </c>
      <c r="CW8" s="85">
        <v>3.67014251725467</v>
      </c>
      <c r="CX8" s="85">
        <v>3.6862303022121599</v>
      </c>
      <c r="CY8" s="85">
        <v>3.7022035803381499</v>
      </c>
      <c r="CZ8" s="85">
        <v>3.7206821665280301</v>
      </c>
      <c r="DA8" s="85">
        <v>3.7408389759534</v>
      </c>
      <c r="DB8" s="85">
        <v>3.7603426628221102</v>
      </c>
      <c r="DC8" s="85">
        <v>3.7806564682541799</v>
      </c>
      <c r="DD8" s="85">
        <v>3.8005635136687999</v>
      </c>
      <c r="DE8" s="85">
        <v>3.8228124453516701</v>
      </c>
      <c r="DF8" s="85">
        <v>3.8451437846978598</v>
      </c>
      <c r="DG8" s="85"/>
    </row>
    <row r="9" spans="1:111" x14ac:dyDescent="0.2">
      <c r="A9" s="59" t="s">
        <v>140</v>
      </c>
      <c r="B9" s="59" t="s">
        <v>139</v>
      </c>
      <c r="C9" s="85">
        <v>2.0063242019995098</v>
      </c>
      <c r="D9" s="85">
        <v>2.0291282349893098</v>
      </c>
      <c r="E9" s="85">
        <v>2.0375396537992998</v>
      </c>
      <c r="F9" s="85">
        <v>2.0605757461988299</v>
      </c>
      <c r="G9" s="85">
        <v>2.0744916701599601</v>
      </c>
      <c r="H9" s="85">
        <v>2.0847415521764501</v>
      </c>
      <c r="I9" s="85">
        <v>2.1206428407981601</v>
      </c>
      <c r="J9" s="85">
        <v>2.1424538059801699</v>
      </c>
      <c r="K9" s="85">
        <v>2.1577760921196698</v>
      </c>
      <c r="L9" s="85">
        <v>2.18317446723852</v>
      </c>
      <c r="M9" s="85">
        <v>2.2041735816988299</v>
      </c>
      <c r="N9" s="85">
        <v>2.1895839731400302</v>
      </c>
      <c r="O9" s="85">
        <v>2.2079881141659499</v>
      </c>
      <c r="P9" s="85">
        <v>2.2276611594626199</v>
      </c>
      <c r="Q9" s="85">
        <v>2.2459850074152801</v>
      </c>
      <c r="R9" s="85">
        <v>2.2732860401443298</v>
      </c>
      <c r="S9" s="85">
        <v>2.2978325902332899</v>
      </c>
      <c r="T9" s="85">
        <v>2.3346020605495701</v>
      </c>
      <c r="U9" s="85">
        <v>2.3735276211582401</v>
      </c>
      <c r="V9" s="85">
        <v>2.3215409716883499</v>
      </c>
      <c r="W9" s="85">
        <v>2.3038226527588002</v>
      </c>
      <c r="X9" s="85">
        <v>2.3145837090650598</v>
      </c>
      <c r="Y9" s="85">
        <v>2.3339717038978098</v>
      </c>
      <c r="Z9" s="85">
        <v>2.3520758531232699</v>
      </c>
      <c r="AA9" s="85">
        <v>2.3568446385384498</v>
      </c>
      <c r="AB9" s="85">
        <v>2.3598082084575198</v>
      </c>
      <c r="AC9" s="85">
        <v>2.3676526808939902</v>
      </c>
      <c r="AD9" s="85">
        <v>2.38950697283444</v>
      </c>
      <c r="AE9" s="85">
        <v>2.4083550647675001</v>
      </c>
      <c r="AF9" s="85">
        <v>2.4444130504222099</v>
      </c>
      <c r="AG9" s="85">
        <v>2.4604640784842702</v>
      </c>
      <c r="AH9" s="85">
        <v>2.4673874511369598</v>
      </c>
      <c r="AI9" s="85">
        <v>2.4804181534887402</v>
      </c>
      <c r="AJ9" s="85">
        <v>2.4867756454644101</v>
      </c>
      <c r="AK9" s="85">
        <v>2.4979566250823502</v>
      </c>
      <c r="AL9" s="85">
        <v>2.5174388651260799</v>
      </c>
      <c r="AM9" s="85">
        <v>2.5233148246383998</v>
      </c>
      <c r="AN9" s="85">
        <v>2.5235914844993701</v>
      </c>
      <c r="AO9" s="85">
        <v>2.5384869576563101</v>
      </c>
      <c r="AP9" s="85">
        <v>2.5493165220603302</v>
      </c>
      <c r="AQ9" s="85">
        <v>2.5640878270376</v>
      </c>
      <c r="AR9" s="85">
        <v>2.5682010799061801</v>
      </c>
      <c r="AS9" s="85">
        <v>2.5745284656131302</v>
      </c>
      <c r="AT9" s="85">
        <v>2.5703540066002799</v>
      </c>
      <c r="AU9" s="85">
        <v>2.5620964089634599</v>
      </c>
      <c r="AV9" s="85">
        <v>2.5737808658450598</v>
      </c>
      <c r="AW9" s="85">
        <v>2.5763433131395899</v>
      </c>
      <c r="AX9" s="85">
        <v>2.5766992708793199</v>
      </c>
      <c r="AY9" s="85">
        <v>2.5717107318479902</v>
      </c>
      <c r="AZ9" s="85">
        <v>2.5921156618377301</v>
      </c>
      <c r="BA9" s="85">
        <v>2.6069387531606401</v>
      </c>
      <c r="BB9" s="85">
        <v>2.6253431904293598</v>
      </c>
      <c r="BC9" s="85">
        <v>2.6431101616580301</v>
      </c>
      <c r="BD9" s="85">
        <v>2.6454235385008298</v>
      </c>
      <c r="BE9" s="85">
        <v>2.6515794028402699</v>
      </c>
      <c r="BF9" s="85">
        <v>2.6730735090076099</v>
      </c>
      <c r="BG9" s="85">
        <v>2.7025845040057699</v>
      </c>
      <c r="BH9" s="85">
        <v>2.7191562543850001</v>
      </c>
      <c r="BI9" s="85">
        <v>2.7259924929413102</v>
      </c>
      <c r="BJ9" s="85">
        <v>2.73992606692231</v>
      </c>
      <c r="BK9" s="85">
        <v>2.7502945492423101</v>
      </c>
      <c r="BL9" s="85">
        <v>2.7689500101723898</v>
      </c>
      <c r="BM9" s="85">
        <v>2.7814096361355198</v>
      </c>
      <c r="BN9" s="85">
        <v>2.7939823611208201</v>
      </c>
      <c r="BO9" s="85">
        <v>2.8066571115732</v>
      </c>
      <c r="BP9" s="85">
        <v>2.789069417081</v>
      </c>
      <c r="BQ9" s="85">
        <v>2.8003358691635101</v>
      </c>
      <c r="BR9" s="85">
        <v>2.8138932593987098</v>
      </c>
      <c r="BS9" s="85">
        <v>2.8441364271136802</v>
      </c>
      <c r="BT9" s="85">
        <v>2.8773216475971899</v>
      </c>
      <c r="BU9" s="85">
        <v>2.91889734231578</v>
      </c>
      <c r="BV9" s="85">
        <v>2.9746409679231198</v>
      </c>
      <c r="BW9" s="85">
        <v>3.0357131501719299</v>
      </c>
      <c r="BX9" s="85">
        <v>3.0936413828755098</v>
      </c>
      <c r="BY9" s="85">
        <v>3.1296486651784101</v>
      </c>
      <c r="BZ9" s="85">
        <v>3.1622026276566801</v>
      </c>
      <c r="CA9" s="85">
        <v>3.1722489121908599</v>
      </c>
      <c r="CB9" s="85">
        <v>3.1732614751305199</v>
      </c>
      <c r="CC9" s="85">
        <v>3.19804134092354</v>
      </c>
      <c r="CD9" s="85">
        <v>3.22162837939393</v>
      </c>
      <c r="CE9" s="85">
        <v>3.2544930937994199</v>
      </c>
      <c r="CF9" s="85">
        <v>3.3022200302311102</v>
      </c>
      <c r="CG9" s="85">
        <v>3.3166050351231502</v>
      </c>
      <c r="CH9" s="85">
        <v>3.3368236923679002</v>
      </c>
      <c r="CI9" s="85">
        <v>3.3688295561688402</v>
      </c>
      <c r="CJ9" s="85">
        <v>3.4164282930560699</v>
      </c>
      <c r="CK9" s="85">
        <v>3.4450962826692599</v>
      </c>
      <c r="CL9" s="85">
        <v>3.4656982418569302</v>
      </c>
      <c r="CM9" s="85">
        <v>3.4893258871105699</v>
      </c>
      <c r="CN9" s="85">
        <v>3.5012608009988599</v>
      </c>
      <c r="CO9" s="85">
        <v>3.5216497885078502</v>
      </c>
      <c r="CP9" s="85">
        <v>3.5424924063985399</v>
      </c>
      <c r="CQ9" s="85">
        <v>3.5564566997386602</v>
      </c>
      <c r="CR9" s="85">
        <v>3.5694961527343798</v>
      </c>
      <c r="CS9" s="85">
        <v>3.5778296502729199</v>
      </c>
      <c r="CT9" s="85">
        <v>3.59326814397232</v>
      </c>
      <c r="CU9" s="85">
        <v>3.6106226083089101</v>
      </c>
      <c r="CV9" s="85">
        <v>3.6269728245152302</v>
      </c>
      <c r="CW9" s="85">
        <v>3.63905833590412</v>
      </c>
      <c r="CX9" s="85">
        <v>3.6529940700760402</v>
      </c>
      <c r="CY9" s="85">
        <v>3.6669504329226501</v>
      </c>
      <c r="CZ9" s="85">
        <v>3.68320445217674</v>
      </c>
      <c r="DA9" s="85">
        <v>3.7009457185407002</v>
      </c>
      <c r="DB9" s="85">
        <v>3.7178753205516601</v>
      </c>
      <c r="DC9" s="85">
        <v>3.7356257581638301</v>
      </c>
      <c r="DD9" s="85">
        <v>3.7527221934945199</v>
      </c>
      <c r="DE9" s="85">
        <v>3.77199471431567</v>
      </c>
      <c r="DF9" s="85">
        <v>3.7911728201144701</v>
      </c>
      <c r="DG9" s="85"/>
    </row>
    <row r="10" spans="1:111" x14ac:dyDescent="0.2">
      <c r="A10" s="59" t="s">
        <v>138</v>
      </c>
      <c r="B10" s="59" t="s">
        <v>137</v>
      </c>
      <c r="C10" s="85">
        <v>2.0063242019995098</v>
      </c>
      <c r="D10" s="85">
        <v>2.0291282349893098</v>
      </c>
      <c r="E10" s="85">
        <v>2.0375396537992998</v>
      </c>
      <c r="F10" s="85">
        <v>2.0605757461988299</v>
      </c>
      <c r="G10" s="85">
        <v>2.0744916701599601</v>
      </c>
      <c r="H10" s="85">
        <v>2.0847415521764501</v>
      </c>
      <c r="I10" s="85">
        <v>2.1206428407981601</v>
      </c>
      <c r="J10" s="85">
        <v>2.1424538059801699</v>
      </c>
      <c r="K10" s="85">
        <v>2.1577760921196698</v>
      </c>
      <c r="L10" s="85">
        <v>2.18317446723852</v>
      </c>
      <c r="M10" s="85">
        <v>2.2041735816988299</v>
      </c>
      <c r="N10" s="85">
        <v>2.1895839731400302</v>
      </c>
      <c r="O10" s="85">
        <v>2.2079881141659499</v>
      </c>
      <c r="P10" s="85">
        <v>2.2276611594626199</v>
      </c>
      <c r="Q10" s="85">
        <v>2.2459850074152801</v>
      </c>
      <c r="R10" s="85">
        <v>2.2732860401443298</v>
      </c>
      <c r="S10" s="85">
        <v>2.2978325902332899</v>
      </c>
      <c r="T10" s="85">
        <v>2.3346020605495701</v>
      </c>
      <c r="U10" s="85">
        <v>2.3735276211582401</v>
      </c>
      <c r="V10" s="85">
        <v>2.3215409716883499</v>
      </c>
      <c r="W10" s="85">
        <v>2.3038226527588002</v>
      </c>
      <c r="X10" s="85">
        <v>2.3145837090650598</v>
      </c>
      <c r="Y10" s="85">
        <v>2.3339717038978098</v>
      </c>
      <c r="Z10" s="85">
        <v>2.3520758531232699</v>
      </c>
      <c r="AA10" s="85">
        <v>2.3568446385384498</v>
      </c>
      <c r="AB10" s="85">
        <v>2.3598082084575198</v>
      </c>
      <c r="AC10" s="85">
        <v>2.3676526808939902</v>
      </c>
      <c r="AD10" s="85">
        <v>2.38950697283444</v>
      </c>
      <c r="AE10" s="85">
        <v>2.4083550647675001</v>
      </c>
      <c r="AF10" s="85">
        <v>2.4444130504222099</v>
      </c>
      <c r="AG10" s="85">
        <v>2.4604640784842702</v>
      </c>
      <c r="AH10" s="85">
        <v>2.4673874511369598</v>
      </c>
      <c r="AI10" s="85">
        <v>2.4804181534887402</v>
      </c>
      <c r="AJ10" s="85">
        <v>2.4867756454644101</v>
      </c>
      <c r="AK10" s="85">
        <v>2.4979566250823502</v>
      </c>
      <c r="AL10" s="85">
        <v>2.5174388651260799</v>
      </c>
      <c r="AM10" s="85">
        <v>2.5233148246383998</v>
      </c>
      <c r="AN10" s="85">
        <v>2.5235914844993701</v>
      </c>
      <c r="AO10" s="85">
        <v>2.5384869576563101</v>
      </c>
      <c r="AP10" s="85">
        <v>2.5493165220603302</v>
      </c>
      <c r="AQ10" s="85">
        <v>2.5640878270376</v>
      </c>
      <c r="AR10" s="85">
        <v>2.5682010799061801</v>
      </c>
      <c r="AS10" s="85">
        <v>2.5745284656131302</v>
      </c>
      <c r="AT10" s="85">
        <v>2.5703540066002799</v>
      </c>
      <c r="AU10" s="85">
        <v>2.5620964089634599</v>
      </c>
      <c r="AV10" s="85">
        <v>2.5737808658450598</v>
      </c>
      <c r="AW10" s="85">
        <v>2.5763433131395899</v>
      </c>
      <c r="AX10" s="85">
        <v>2.5766992708793199</v>
      </c>
      <c r="AY10" s="85">
        <v>2.5717107318479902</v>
      </c>
      <c r="AZ10" s="85">
        <v>2.5921156618377301</v>
      </c>
      <c r="BA10" s="85">
        <v>2.6069387531606401</v>
      </c>
      <c r="BB10" s="85">
        <v>2.6253431904293598</v>
      </c>
      <c r="BC10" s="85">
        <v>2.6431101616580301</v>
      </c>
      <c r="BD10" s="85">
        <v>2.6454235385008298</v>
      </c>
      <c r="BE10" s="85">
        <v>2.6515794028402699</v>
      </c>
      <c r="BF10" s="85">
        <v>2.6730735090076099</v>
      </c>
      <c r="BG10" s="85">
        <v>2.7025845040057699</v>
      </c>
      <c r="BH10" s="85">
        <v>2.7191562543850001</v>
      </c>
      <c r="BI10" s="85">
        <v>2.7259924929413102</v>
      </c>
      <c r="BJ10" s="85">
        <v>2.73992606692231</v>
      </c>
      <c r="BK10" s="85">
        <v>2.7502945492423101</v>
      </c>
      <c r="BL10" s="85">
        <v>2.7689500101723898</v>
      </c>
      <c r="BM10" s="85">
        <v>2.7814096361355198</v>
      </c>
      <c r="BN10" s="85">
        <v>2.7939823611208201</v>
      </c>
      <c r="BO10" s="85">
        <v>2.8066571115732</v>
      </c>
      <c r="BP10" s="85">
        <v>2.789069417081</v>
      </c>
      <c r="BQ10" s="85">
        <v>2.8003358691635101</v>
      </c>
      <c r="BR10" s="85">
        <v>2.8138932593987098</v>
      </c>
      <c r="BS10" s="85">
        <v>2.8441364271136802</v>
      </c>
      <c r="BT10" s="85">
        <v>2.8773216475971899</v>
      </c>
      <c r="BU10" s="85">
        <v>2.91889734231578</v>
      </c>
      <c r="BV10" s="85">
        <v>2.9746409679231198</v>
      </c>
      <c r="BW10" s="85">
        <v>3.0357131501719299</v>
      </c>
      <c r="BX10" s="85">
        <v>3.0936413828755098</v>
      </c>
      <c r="BY10" s="85">
        <v>3.1296486651784101</v>
      </c>
      <c r="BZ10" s="85">
        <v>3.1622026276566801</v>
      </c>
      <c r="CA10" s="85">
        <v>3.1722489121908599</v>
      </c>
      <c r="CB10" s="85">
        <v>3.1732614751305199</v>
      </c>
      <c r="CC10" s="85">
        <v>3.19804134092354</v>
      </c>
      <c r="CD10" s="85">
        <v>3.22162837939393</v>
      </c>
      <c r="CE10" s="85">
        <v>3.2544930937994199</v>
      </c>
      <c r="CF10" s="85">
        <v>3.3022200302311102</v>
      </c>
      <c r="CG10" s="85">
        <v>3.3166050351231502</v>
      </c>
      <c r="CH10" s="85">
        <v>3.3368236923679002</v>
      </c>
      <c r="CI10" s="85">
        <v>3.3845254807101699</v>
      </c>
      <c r="CJ10" s="85">
        <v>3.4458102330157101</v>
      </c>
      <c r="CK10" s="85">
        <v>3.4894651234399401</v>
      </c>
      <c r="CL10" s="85">
        <v>3.5243102944062801</v>
      </c>
      <c r="CM10" s="85">
        <v>3.5612280051219698</v>
      </c>
      <c r="CN10" s="85">
        <v>3.58630088624906</v>
      </c>
      <c r="CO10" s="85">
        <v>3.62049154271884</v>
      </c>
      <c r="CP10" s="85">
        <v>3.6554721560263399</v>
      </c>
      <c r="CQ10" s="85">
        <v>3.6837697196158801</v>
      </c>
      <c r="CR10" s="85">
        <v>3.7114384668478499</v>
      </c>
      <c r="CS10" s="85">
        <v>3.7334149408642499</v>
      </c>
      <c r="CT10" s="85">
        <v>3.7627467853749001</v>
      </c>
      <c r="CU10" s="85">
        <v>3.7947762230737401</v>
      </c>
      <c r="CV10" s="85">
        <v>3.82599936768775</v>
      </c>
      <c r="CW10" s="85">
        <v>3.8529458180807699</v>
      </c>
      <c r="CX10" s="85">
        <v>3.8821483085932602</v>
      </c>
      <c r="CY10" s="85">
        <v>3.9114234581913099</v>
      </c>
      <c r="CZ10" s="85">
        <v>3.9430290804969901</v>
      </c>
      <c r="DA10" s="85">
        <v>3.9764730585702202</v>
      </c>
      <c r="DB10" s="85">
        <v>4.0093811067722704</v>
      </c>
      <c r="DC10" s="85">
        <v>4.0435445052828101</v>
      </c>
      <c r="DD10" s="85">
        <v>4.0771502566987703</v>
      </c>
      <c r="DE10" s="85">
        <v>4.1133351364971498</v>
      </c>
      <c r="DF10" s="85">
        <v>4.14990283413709</v>
      </c>
      <c r="DG10" s="85"/>
    </row>
    <row r="12" spans="1:111" x14ac:dyDescent="0.2">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row>
    <row r="13" spans="1:111" x14ac:dyDescent="0.2">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row>
    <row r="14" spans="1:111" x14ac:dyDescent="0.2">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row>
    <row r="15" spans="1:111" x14ac:dyDescent="0.2">
      <c r="C15" s="85"/>
      <c r="D15" s="85"/>
      <c r="E15" s="85"/>
      <c r="F15" s="85"/>
    </row>
    <row r="16" spans="1:111" x14ac:dyDescent="0.2">
      <c r="C16" s="85"/>
      <c r="D16" s="85"/>
      <c r="E16" s="85"/>
      <c r="F16" s="85"/>
      <c r="CI16" s="84" t="s">
        <v>136</v>
      </c>
      <c r="CJ16" s="65"/>
      <c r="CK16" s="65"/>
      <c r="CL16" s="83" t="s">
        <v>740</v>
      </c>
      <c r="CM16" s="82"/>
      <c r="CN16" s="82"/>
      <c r="CO16" s="82"/>
      <c r="CP16" s="82"/>
      <c r="CQ16" s="82"/>
      <c r="CR16" s="65"/>
      <c r="CS16" s="65" t="s">
        <v>741</v>
      </c>
      <c r="CT16" s="65"/>
      <c r="CU16" s="1175"/>
    </row>
    <row r="17" spans="3:99" x14ac:dyDescent="0.2">
      <c r="C17" s="85"/>
      <c r="D17" s="85"/>
      <c r="E17" s="85"/>
      <c r="F17" s="85"/>
      <c r="CI17" s="80"/>
      <c r="CJ17" s="79"/>
      <c r="CK17" s="79"/>
      <c r="CL17" s="79"/>
      <c r="CM17" s="79"/>
      <c r="CN17" s="79"/>
      <c r="CO17" s="79"/>
      <c r="CP17" s="79"/>
      <c r="CQ17" s="79"/>
      <c r="CR17" s="79"/>
      <c r="CS17" s="79"/>
      <c r="CT17" s="78"/>
      <c r="CU17" s="1175"/>
    </row>
    <row r="18" spans="3:99" x14ac:dyDescent="0.2">
      <c r="CI18" s="66"/>
      <c r="CJ18" s="70" t="s">
        <v>134</v>
      </c>
      <c r="CK18" s="77" t="s">
        <v>236</v>
      </c>
      <c r="CL18" s="65"/>
      <c r="CM18" s="65"/>
      <c r="CN18" s="65"/>
      <c r="CO18" s="65"/>
      <c r="CP18" s="65"/>
      <c r="CQ18" s="65"/>
      <c r="CR18" s="65"/>
      <c r="CS18" s="65"/>
      <c r="CT18" s="76"/>
      <c r="CU18" s="1175"/>
    </row>
    <row r="19" spans="3:99" x14ac:dyDescent="0.2">
      <c r="CI19" s="66"/>
      <c r="CJ19" s="65"/>
      <c r="CK19" s="59" t="s">
        <v>122</v>
      </c>
      <c r="CL19" s="75"/>
      <c r="CM19" s="75"/>
      <c r="CN19" s="75"/>
      <c r="CO19" s="65"/>
      <c r="CP19" s="65"/>
      <c r="CQ19" s="65"/>
      <c r="CR19" s="65"/>
      <c r="CS19" s="65"/>
      <c r="CT19" s="74" t="s">
        <v>132</v>
      </c>
      <c r="CU19" s="1175"/>
    </row>
    <row r="20" spans="3:99" x14ac:dyDescent="0.2">
      <c r="CI20" s="66"/>
      <c r="CJ20" s="65"/>
      <c r="CK20" s="85">
        <v>3.4736821386754499</v>
      </c>
      <c r="CL20" s="72"/>
      <c r="CM20" s="72"/>
      <c r="CN20" s="72"/>
      <c r="CO20" s="65"/>
      <c r="CP20" s="65"/>
      <c r="CQ20" s="65"/>
      <c r="CR20" s="65"/>
      <c r="CS20" s="65"/>
      <c r="CT20" s="68">
        <f>AVERAGE(CK20:CN20)</f>
        <v>3.4736821386754499</v>
      </c>
      <c r="CU20" s="1175"/>
    </row>
    <row r="21" spans="3:99" x14ac:dyDescent="0.2">
      <c r="CI21" s="66"/>
      <c r="CJ21" s="65"/>
      <c r="CK21" s="65"/>
      <c r="CL21" s="65"/>
      <c r="CM21" s="65"/>
      <c r="CN21" s="65"/>
      <c r="CO21" s="65"/>
      <c r="CP21" s="65"/>
      <c r="CQ21" s="65"/>
      <c r="CR21" s="65"/>
      <c r="CS21" s="65"/>
      <c r="CT21" s="67"/>
      <c r="CU21" s="1175"/>
    </row>
    <row r="22" spans="3:99" x14ac:dyDescent="0.2">
      <c r="CI22" s="1716" t="s">
        <v>131</v>
      </c>
      <c r="CJ22" s="1717"/>
      <c r="CK22" s="1717"/>
      <c r="CL22" s="65" t="s">
        <v>742</v>
      </c>
      <c r="CM22" s="65"/>
      <c r="CN22" s="65"/>
      <c r="CO22" s="65"/>
      <c r="CP22" s="65"/>
      <c r="CQ22" s="65"/>
      <c r="CR22" s="65"/>
      <c r="CS22" s="65"/>
      <c r="CT22" s="67"/>
      <c r="CU22" s="1175"/>
    </row>
    <row r="23" spans="3:99" x14ac:dyDescent="0.2">
      <c r="CI23" s="71"/>
      <c r="CJ23" s="70"/>
      <c r="CK23" s="59" t="s">
        <v>154</v>
      </c>
      <c r="CL23" s="59" t="s">
        <v>153</v>
      </c>
      <c r="CM23" s="59" t="s">
        <v>152</v>
      </c>
      <c r="CN23" s="59" t="s">
        <v>151</v>
      </c>
      <c r="CO23" s="59" t="s">
        <v>150</v>
      </c>
      <c r="CP23" s="59" t="s">
        <v>149</v>
      </c>
      <c r="CQ23" s="59" t="s">
        <v>148</v>
      </c>
      <c r="CR23" s="59" t="s">
        <v>147</v>
      </c>
      <c r="CS23" s="65"/>
      <c r="CT23" s="67"/>
      <c r="CU23" s="1175"/>
    </row>
    <row r="24" spans="3:99" x14ac:dyDescent="0.2">
      <c r="CI24" s="66"/>
      <c r="CJ24" s="65"/>
      <c r="CK24" s="85">
        <v>3.49931506549617</v>
      </c>
      <c r="CL24" s="85">
        <v>3.51338511253658</v>
      </c>
      <c r="CM24" s="85">
        <v>3.5359237438715101</v>
      </c>
      <c r="CN24" s="85">
        <v>3.55894446256021</v>
      </c>
      <c r="CO24" s="85">
        <v>3.5750398262796899</v>
      </c>
      <c r="CP24" s="85">
        <v>3.5903136808117901</v>
      </c>
      <c r="CQ24" s="85">
        <v>3.6008049107670601</v>
      </c>
      <c r="CR24" s="85">
        <v>3.6183053339686699</v>
      </c>
      <c r="CS24" s="65"/>
      <c r="CT24" s="68">
        <f>AVERAGE(CK24:CR24)</f>
        <v>3.56150401703646</v>
      </c>
      <c r="CU24" s="1175"/>
    </row>
    <row r="25" spans="3:99" x14ac:dyDescent="0.2">
      <c r="CI25" s="66"/>
      <c r="CJ25" s="65"/>
      <c r="CK25" s="65"/>
      <c r="CL25" s="65"/>
      <c r="CM25" s="65"/>
      <c r="CN25" s="65"/>
      <c r="CO25" s="65"/>
      <c r="CP25" s="65"/>
      <c r="CQ25" s="65"/>
      <c r="CR25" s="65"/>
      <c r="CS25" s="65"/>
      <c r="CT25" s="67"/>
      <c r="CU25" s="1175"/>
    </row>
    <row r="26" spans="3:99" x14ac:dyDescent="0.2">
      <c r="CI26" s="66"/>
      <c r="CJ26" s="65"/>
      <c r="CK26" s="65"/>
      <c r="CL26" s="65"/>
      <c r="CM26" s="65"/>
      <c r="CN26" s="65"/>
      <c r="CO26" s="65"/>
      <c r="CP26" s="65"/>
      <c r="CQ26" s="65"/>
      <c r="CR26" s="65"/>
      <c r="CS26" s="64" t="s">
        <v>121</v>
      </c>
      <c r="CT26" s="63">
        <f>(CT24-CT20)/CT20</f>
        <v>2.5282070971092779E-2</v>
      </c>
      <c r="CU26" s="1175"/>
    </row>
    <row r="27" spans="3:99" x14ac:dyDescent="0.2">
      <c r="CI27" s="62"/>
      <c r="CJ27" s="61"/>
      <c r="CK27" s="61"/>
      <c r="CL27" s="61"/>
      <c r="CM27" s="61"/>
      <c r="CN27" s="61"/>
      <c r="CO27" s="61"/>
      <c r="CP27" s="61"/>
      <c r="CQ27" s="61"/>
      <c r="CR27" s="61"/>
      <c r="CS27" s="61"/>
      <c r="CT27" s="60"/>
      <c r="CU27" s="1175"/>
    </row>
    <row r="28" spans="3:99" x14ac:dyDescent="0.2">
      <c r="CI28" s="1175"/>
      <c r="CJ28" s="1175"/>
      <c r="CK28" s="1175"/>
      <c r="CL28" s="1175"/>
      <c r="CM28" s="1175"/>
      <c r="CN28" s="1175"/>
      <c r="CO28" s="1175"/>
      <c r="CP28" s="1175"/>
      <c r="CQ28" s="1175"/>
      <c r="CR28" s="1175"/>
      <c r="CS28" s="1175"/>
      <c r="CT28" s="1175"/>
      <c r="CU28" s="1175"/>
    </row>
  </sheetData>
  <mergeCells count="2">
    <mergeCell ref="A1:B1"/>
    <mergeCell ref="CI22:CK22"/>
  </mergeCells>
  <pageMargins left="0.25" right="0.2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299C3-9F08-478C-A027-E97565EF14BC}">
  <dimension ref="B1:M103"/>
  <sheetViews>
    <sheetView tabSelected="1" topLeftCell="A26" workbookViewId="0">
      <selection activeCell="P49" sqref="P49"/>
    </sheetView>
  </sheetViews>
  <sheetFormatPr defaultRowHeight="15" x14ac:dyDescent="0.25"/>
  <cols>
    <col min="2" max="2" width="55.28515625" customWidth="1"/>
    <col min="3" max="3" width="14.5703125" customWidth="1"/>
    <col min="4" max="4" width="15.85546875" customWidth="1"/>
    <col min="5" max="5" width="17.28515625" customWidth="1"/>
    <col min="6" max="6" width="15" bestFit="1" customWidth="1"/>
    <col min="7" max="7" width="9.140625" style="1127"/>
  </cols>
  <sheetData>
    <row r="1" spans="2:7" ht="15.75" thickBot="1" x14ac:dyDescent="0.3"/>
    <row r="2" spans="2:7" ht="15.75" thickBot="1" x14ac:dyDescent="0.3">
      <c r="B2" s="1591" t="s">
        <v>814</v>
      </c>
      <c r="C2" s="1592" t="s">
        <v>267</v>
      </c>
      <c r="D2" s="1592" t="s">
        <v>266</v>
      </c>
      <c r="E2" s="1592" t="s">
        <v>265</v>
      </c>
      <c r="F2" s="1591" t="s">
        <v>537</v>
      </c>
    </row>
    <row r="3" spans="2:7" ht="15.75" thickBot="1" x14ac:dyDescent="0.3">
      <c r="B3" s="1593" t="s">
        <v>815</v>
      </c>
      <c r="C3" s="1594"/>
      <c r="D3" s="1594" t="s">
        <v>247</v>
      </c>
      <c r="E3" s="1595">
        <v>26.75</v>
      </c>
      <c r="F3" s="1595">
        <f>'Adolescent Supprt Network FY26'!J23</f>
        <v>31.884588337240469</v>
      </c>
      <c r="G3" s="1127">
        <f>(F3-E3)/E3</f>
        <v>0.19194722756039137</v>
      </c>
    </row>
    <row r="4" spans="2:7" ht="15.75" thickBot="1" x14ac:dyDescent="0.3">
      <c r="B4" s="1593" t="s">
        <v>263</v>
      </c>
      <c r="C4" s="1594"/>
      <c r="D4" s="1594" t="s">
        <v>245</v>
      </c>
      <c r="E4" s="1595">
        <v>9.75</v>
      </c>
      <c r="F4" s="1595">
        <f>'Adult Comp-Respite Recp FY26'!F34</f>
        <v>10.7</v>
      </c>
      <c r="G4" s="1127">
        <f t="shared" ref="G4:G67" si="0">(F4-E4)/E4</f>
        <v>9.7435897435897367E-2</v>
      </c>
    </row>
    <row r="5" spans="2:7" ht="15.75" thickBot="1" x14ac:dyDescent="0.3">
      <c r="B5" s="1593" t="s">
        <v>816</v>
      </c>
      <c r="C5" s="1594"/>
      <c r="D5" s="1594" t="s">
        <v>245</v>
      </c>
      <c r="E5" s="1595">
        <v>4.88</v>
      </c>
      <c r="F5" s="1595">
        <f>'Adult Comp-Respite Recp FY26'!F35</f>
        <v>5.35</v>
      </c>
      <c r="G5" s="1127">
        <f t="shared" si="0"/>
        <v>9.631147540983602E-2</v>
      </c>
    </row>
    <row r="6" spans="2:7" ht="15.75" thickBot="1" x14ac:dyDescent="0.3">
      <c r="B6" s="1593" t="s">
        <v>817</v>
      </c>
      <c r="C6" s="1594"/>
      <c r="D6" s="1594" t="s">
        <v>245</v>
      </c>
      <c r="E6" s="1595">
        <v>3.25</v>
      </c>
      <c r="F6" s="1595">
        <f>'Adult Comp-Respite Recp FY26'!F36</f>
        <v>3.57</v>
      </c>
      <c r="G6" s="1127">
        <f t="shared" si="0"/>
        <v>9.8461538461538406E-2</v>
      </c>
    </row>
    <row r="7" spans="2:7" ht="15.75" thickBot="1" x14ac:dyDescent="0.3">
      <c r="B7" s="1593" t="s">
        <v>818</v>
      </c>
      <c r="C7" s="1594"/>
      <c r="D7" s="1594" t="s">
        <v>819</v>
      </c>
      <c r="E7" s="1595">
        <v>64.3</v>
      </c>
      <c r="F7" s="1595">
        <f>'HOURLY &amp; AFTER SCHOOL FY26'!J21</f>
        <v>68.565738282531498</v>
      </c>
      <c r="G7" s="1127">
        <f t="shared" si="0"/>
        <v>6.6341186353522569E-2</v>
      </c>
    </row>
    <row r="8" spans="2:7" ht="15.75" thickBot="1" x14ac:dyDescent="0.3">
      <c r="B8" s="1593" t="s">
        <v>818</v>
      </c>
      <c r="C8" s="1594"/>
      <c r="D8" s="1594" t="s">
        <v>820</v>
      </c>
      <c r="E8" s="1595">
        <v>110.58</v>
      </c>
      <c r="F8" s="1595">
        <f>'HOURLY &amp; AFTER SCHOOL FY26'!P21</f>
        <v>118.94206455406119</v>
      </c>
      <c r="G8" s="1127">
        <f t="shared" si="0"/>
        <v>7.5620044800698061E-2</v>
      </c>
    </row>
    <row r="9" spans="2:7" ht="15.75" thickBot="1" x14ac:dyDescent="0.3">
      <c r="B9" s="1593" t="s">
        <v>252</v>
      </c>
      <c r="C9" s="1594">
        <v>0.5</v>
      </c>
      <c r="D9" s="1594" t="s">
        <v>249</v>
      </c>
      <c r="E9" s="1596">
        <v>5827.56</v>
      </c>
      <c r="F9" s="1595">
        <f>'Aut-FamSupCtrs FY26'!G48</f>
        <v>6480.73</v>
      </c>
      <c r="G9" s="1127">
        <f t="shared" si="0"/>
        <v>0.11208293007708185</v>
      </c>
    </row>
    <row r="10" spans="2:7" ht="15.75" thickBot="1" x14ac:dyDescent="0.3">
      <c r="B10" s="1593" t="s">
        <v>252</v>
      </c>
      <c r="C10" s="1594">
        <v>1</v>
      </c>
      <c r="D10" s="1594" t="s">
        <v>249</v>
      </c>
      <c r="E10" s="1596">
        <v>11655.12</v>
      </c>
      <c r="F10" s="1595">
        <f>'Aut-FamSupCtrs FY26'!L48</f>
        <v>12961.46</v>
      </c>
      <c r="G10" s="1127">
        <f t="shared" si="0"/>
        <v>0.11208293007708185</v>
      </c>
    </row>
    <row r="11" spans="2:7" ht="15.75" thickBot="1" x14ac:dyDescent="0.3">
      <c r="B11" s="1593" t="s">
        <v>252</v>
      </c>
      <c r="C11" s="1594">
        <v>1.5</v>
      </c>
      <c r="D11" s="1594" t="s">
        <v>249</v>
      </c>
      <c r="E11" s="1596">
        <v>17482.68</v>
      </c>
      <c r="F11" s="1595">
        <f>'Aut-FamSupCtrs FY26'!Q48</f>
        <v>19442.2</v>
      </c>
      <c r="G11" s="1127">
        <f t="shared" si="0"/>
        <v>0.11208350207176476</v>
      </c>
    </row>
    <row r="12" spans="2:7" ht="15.75" thickBot="1" x14ac:dyDescent="0.3">
      <c r="B12" s="1593" t="s">
        <v>252</v>
      </c>
      <c r="C12" s="1594">
        <v>2</v>
      </c>
      <c r="D12" s="1594" t="s">
        <v>249</v>
      </c>
      <c r="E12" s="1596">
        <v>23310.25</v>
      </c>
      <c r="F12" s="1595">
        <f>'Aut-FamSupCtrs FY26'!V48</f>
        <v>25922.93</v>
      </c>
      <c r="G12" s="1127">
        <f t="shared" si="0"/>
        <v>0.11208288199397262</v>
      </c>
    </row>
    <row r="13" spans="2:7" ht="15.75" thickBot="1" x14ac:dyDescent="0.3">
      <c r="B13" s="1593" t="s">
        <v>252</v>
      </c>
      <c r="C13" s="1594">
        <v>2.5</v>
      </c>
      <c r="D13" s="1594" t="s">
        <v>249</v>
      </c>
      <c r="E13" s="1596">
        <v>27676.7</v>
      </c>
      <c r="F13" s="1595">
        <f>'Aut-FamSupCtrs FY26'!AA48</f>
        <v>30789.73</v>
      </c>
      <c r="G13" s="1127">
        <f t="shared" si="0"/>
        <v>0.11247836627921677</v>
      </c>
    </row>
    <row r="14" spans="2:7" ht="15.75" thickBot="1" x14ac:dyDescent="0.3">
      <c r="B14" s="1593" t="s">
        <v>252</v>
      </c>
      <c r="C14" s="1594">
        <v>3</v>
      </c>
      <c r="D14" s="1594" t="s">
        <v>249</v>
      </c>
      <c r="E14" s="1596">
        <v>32540.52</v>
      </c>
      <c r="F14" s="1595">
        <f>'Aut-FamSupCtrs FY26'!AF48</f>
        <v>36232.82</v>
      </c>
      <c r="G14" s="1127">
        <f t="shared" si="0"/>
        <v>0.11346776265406942</v>
      </c>
    </row>
    <row r="15" spans="2:7" ht="15.75" thickBot="1" x14ac:dyDescent="0.3">
      <c r="B15" s="1593" t="s">
        <v>252</v>
      </c>
      <c r="C15" s="1594">
        <v>3.5</v>
      </c>
      <c r="D15" s="1594" t="s">
        <v>249</v>
      </c>
      <c r="E15" s="1596">
        <v>37348.43</v>
      </c>
      <c r="F15" s="1595">
        <f>'Aut-FamSupCtrs FY26'!AK48</f>
        <v>41606.07</v>
      </c>
      <c r="G15" s="1127">
        <f t="shared" si="0"/>
        <v>0.11399783069863979</v>
      </c>
    </row>
    <row r="16" spans="2:7" ht="15.75" thickBot="1" x14ac:dyDescent="0.3">
      <c r="B16" s="1593" t="s">
        <v>252</v>
      </c>
      <c r="C16" s="1594">
        <v>4</v>
      </c>
      <c r="D16" s="1594" t="s">
        <v>249</v>
      </c>
      <c r="E16" s="1596">
        <v>42098.18</v>
      </c>
      <c r="F16" s="1595">
        <f>'Aut-FamSupCtrs FY26'!AP48</f>
        <v>46894.42</v>
      </c>
      <c r="G16" s="1127">
        <f t="shared" si="0"/>
        <v>0.11392986585168285</v>
      </c>
    </row>
    <row r="17" spans="2:7" ht="15.75" thickBot="1" x14ac:dyDescent="0.3">
      <c r="B17" s="1593" t="s">
        <v>252</v>
      </c>
      <c r="C17" s="1594">
        <v>4.5</v>
      </c>
      <c r="D17" s="1594" t="s">
        <v>249</v>
      </c>
      <c r="E17" s="1596">
        <v>46797.24</v>
      </c>
      <c r="F17" s="1595">
        <f>'Aut-FamSupCtrs FY26'!AU48</f>
        <v>52094.3</v>
      </c>
      <c r="G17" s="1127">
        <f t="shared" si="0"/>
        <v>0.11319171814406159</v>
      </c>
    </row>
    <row r="18" spans="2:7" ht="15.75" thickBot="1" x14ac:dyDescent="0.3">
      <c r="B18" s="1593" t="s">
        <v>252</v>
      </c>
      <c r="C18" s="1594">
        <v>5</v>
      </c>
      <c r="D18" s="1594" t="s">
        <v>249</v>
      </c>
      <c r="E18" s="1596">
        <v>51462.55</v>
      </c>
      <c r="F18" s="1595">
        <f>'Aut-FamSupCtrs FY26'!AZ48</f>
        <v>57262.78</v>
      </c>
      <c r="G18" s="1127">
        <f t="shared" si="0"/>
        <v>0.11270778459287376</v>
      </c>
    </row>
    <row r="19" spans="2:7" ht="15.75" thickBot="1" x14ac:dyDescent="0.3">
      <c r="B19" s="1593" t="s">
        <v>252</v>
      </c>
      <c r="C19" s="1594">
        <v>5.5</v>
      </c>
      <c r="D19" s="1594" t="s">
        <v>249</v>
      </c>
      <c r="E19" s="1596">
        <v>56101.18</v>
      </c>
      <c r="F19" s="1595">
        <f>'Aut-FamSupCtrs FY26'!BE48</f>
        <v>62392.46</v>
      </c>
      <c r="G19" s="1127">
        <f t="shared" si="0"/>
        <v>0.11214166974740992</v>
      </c>
    </row>
    <row r="20" spans="2:7" ht="15.75" thickBot="1" x14ac:dyDescent="0.3">
      <c r="B20" s="1593" t="s">
        <v>252</v>
      </c>
      <c r="C20" s="1594">
        <v>6</v>
      </c>
      <c r="D20" s="1594" t="s">
        <v>249</v>
      </c>
      <c r="E20" s="1596">
        <v>60854.559999999998</v>
      </c>
      <c r="F20" s="1595">
        <f>'Aut-FamSupCtrs FY26'!BJ48</f>
        <v>67666.929999999993</v>
      </c>
      <c r="G20" s="1127">
        <f t="shared" si="0"/>
        <v>0.11194510321001409</v>
      </c>
    </row>
    <row r="21" spans="2:7" ht="15.75" thickBot="1" x14ac:dyDescent="0.3">
      <c r="B21" s="1593" t="s">
        <v>252</v>
      </c>
      <c r="C21" s="1594">
        <v>6.5</v>
      </c>
      <c r="D21" s="1594" t="s">
        <v>249</v>
      </c>
      <c r="E21" s="1596">
        <v>65610.75</v>
      </c>
      <c r="F21" s="1595">
        <f>'Aut-FamSupCtrs FY26'!BO48</f>
        <v>72935.61</v>
      </c>
      <c r="G21" s="1127">
        <f t="shared" si="0"/>
        <v>0.1116411563653822</v>
      </c>
    </row>
    <row r="22" spans="2:7" ht="15.75" thickBot="1" x14ac:dyDescent="0.3">
      <c r="B22" s="1593" t="s">
        <v>252</v>
      </c>
      <c r="C22" s="1594">
        <v>7</v>
      </c>
      <c r="D22" s="1594" t="s">
        <v>249</v>
      </c>
      <c r="E22" s="1596">
        <v>70322.03</v>
      </c>
      <c r="F22" s="1595">
        <f>'Aut-FamSupCtrs FY26'!BT48</f>
        <v>78163.06</v>
      </c>
      <c r="G22" s="1127">
        <f t="shared" si="0"/>
        <v>0.11150175841055782</v>
      </c>
    </row>
    <row r="23" spans="2:7" ht="15.75" thickBot="1" x14ac:dyDescent="0.3">
      <c r="B23" s="1593" t="s">
        <v>252</v>
      </c>
      <c r="C23" s="1594">
        <v>7.5</v>
      </c>
      <c r="D23" s="1594" t="s">
        <v>249</v>
      </c>
      <c r="E23" s="1596">
        <v>75044.460000000006</v>
      </c>
      <c r="F23" s="1595">
        <f>'Aut-FamSupCtrs FY26'!BY48</f>
        <v>83392.89</v>
      </c>
      <c r="G23" s="1127">
        <f t="shared" si="0"/>
        <v>0.11124645310260067</v>
      </c>
    </row>
    <row r="24" spans="2:7" ht="15.75" thickBot="1" x14ac:dyDescent="0.3">
      <c r="B24" s="1593" t="s">
        <v>252</v>
      </c>
      <c r="C24" s="1594">
        <v>8</v>
      </c>
      <c r="D24" s="1594" t="s">
        <v>249</v>
      </c>
      <c r="E24" s="1596">
        <v>79686.55</v>
      </c>
      <c r="F24" s="1595">
        <f>'Aut-FamSupCtrs FY26'!CD48</f>
        <v>88554.72</v>
      </c>
      <c r="G24" s="1127">
        <f t="shared" si="0"/>
        <v>0.11128816594519399</v>
      </c>
    </row>
    <row r="25" spans="2:7" ht="15.75" thickBot="1" x14ac:dyDescent="0.3">
      <c r="B25" s="1593" t="s">
        <v>252</v>
      </c>
      <c r="C25" s="1594">
        <v>8.5</v>
      </c>
      <c r="D25" s="1594" t="s">
        <v>249</v>
      </c>
      <c r="E25" s="1596">
        <v>84218.28</v>
      </c>
      <c r="F25" s="1595">
        <f>'Aut-FamSupCtrs FY26'!CI48</f>
        <v>93628.17</v>
      </c>
      <c r="G25" s="1127">
        <f t="shared" si="0"/>
        <v>0.11173215601173521</v>
      </c>
    </row>
    <row r="26" spans="2:7" ht="15.75" thickBot="1" x14ac:dyDescent="0.3">
      <c r="B26" s="1593" t="s">
        <v>252</v>
      </c>
      <c r="C26" s="1594">
        <v>9</v>
      </c>
      <c r="D26" s="1594" t="s">
        <v>249</v>
      </c>
      <c r="E26" s="1596">
        <v>88710.24</v>
      </c>
      <c r="F26" s="1595">
        <f>'Aut-FamSupCtrs FY26'!CN48</f>
        <v>98671.39</v>
      </c>
      <c r="G26" s="1127">
        <f t="shared" si="0"/>
        <v>0.11228861515874597</v>
      </c>
    </row>
    <row r="27" spans="2:7" ht="15.75" thickBot="1" x14ac:dyDescent="0.3">
      <c r="B27" s="1593" t="s">
        <v>252</v>
      </c>
      <c r="C27" s="1594">
        <v>9.5</v>
      </c>
      <c r="D27" s="1594" t="s">
        <v>249</v>
      </c>
      <c r="E27" s="1596">
        <v>93202.21</v>
      </c>
      <c r="F27" s="1595">
        <f>'Aut-FamSupCtrs FY26'!CS48</f>
        <v>103714.62</v>
      </c>
      <c r="G27" s="1127">
        <f t="shared" si="0"/>
        <v>0.11279142415185206</v>
      </c>
    </row>
    <row r="28" spans="2:7" ht="15.75" thickBot="1" x14ac:dyDescent="0.3">
      <c r="B28" s="1593" t="s">
        <v>252</v>
      </c>
      <c r="C28" s="1594">
        <v>10</v>
      </c>
      <c r="D28" s="1594" t="s">
        <v>249</v>
      </c>
      <c r="E28" s="1596">
        <v>97659</v>
      </c>
      <c r="F28" s="1595">
        <f>'Aut-FamSupCtrs FY26'!CX48</f>
        <v>108733.03</v>
      </c>
      <c r="G28" s="1127">
        <f t="shared" si="0"/>
        <v>0.11339487400034814</v>
      </c>
    </row>
    <row r="29" spans="2:7" ht="15.75" thickBot="1" x14ac:dyDescent="0.3">
      <c r="B29" s="1593" t="s">
        <v>252</v>
      </c>
      <c r="C29" s="1594">
        <v>10.5</v>
      </c>
      <c r="D29" s="1594" t="s">
        <v>249</v>
      </c>
      <c r="E29" s="1596">
        <v>102123.03</v>
      </c>
      <c r="F29" s="1595">
        <f>'Aut-FamSupCtrs FY26'!DC48</f>
        <v>113759.95</v>
      </c>
      <c r="G29" s="1127">
        <f t="shared" si="0"/>
        <v>0.11395000716292886</v>
      </c>
    </row>
    <row r="30" spans="2:7" ht="15.75" thickBot="1" x14ac:dyDescent="0.3">
      <c r="B30" s="1593" t="s">
        <v>252</v>
      </c>
      <c r="C30" s="1594">
        <v>11</v>
      </c>
      <c r="D30" s="1594" t="s">
        <v>249</v>
      </c>
      <c r="E30" s="1596">
        <v>106569.56</v>
      </c>
      <c r="F30" s="1595">
        <f>'Aut-FamSupCtrs FY26'!DH48</f>
        <v>118782.82</v>
      </c>
      <c r="G30" s="1127">
        <f t="shared" si="0"/>
        <v>0.11460364479312864</v>
      </c>
    </row>
    <row r="31" spans="2:7" ht="15.75" thickBot="1" x14ac:dyDescent="0.3">
      <c r="B31" s="1593" t="s">
        <v>252</v>
      </c>
      <c r="C31" s="1594">
        <v>11.5</v>
      </c>
      <c r="D31" s="1594" t="s">
        <v>249</v>
      </c>
      <c r="E31" s="1596">
        <v>111034.12</v>
      </c>
      <c r="F31" s="1595">
        <f>'Aut-FamSupCtrs FY26'!DM48</f>
        <v>123826.88</v>
      </c>
      <c r="G31" s="1127">
        <f t="shared" si="0"/>
        <v>0.11521467455229087</v>
      </c>
    </row>
    <row r="32" spans="2:7" ht="15.75" thickBot="1" x14ac:dyDescent="0.3">
      <c r="B32" s="1593" t="s">
        <v>252</v>
      </c>
      <c r="C32" s="1594">
        <v>12</v>
      </c>
      <c r="D32" s="1594" t="s">
        <v>249</v>
      </c>
      <c r="E32" s="1596">
        <v>115507.3</v>
      </c>
      <c r="F32" s="1595">
        <f>'Aut-FamSupCtrs FY26'!DR48</f>
        <v>128897.60000000001</v>
      </c>
      <c r="G32" s="1127">
        <f t="shared" si="0"/>
        <v>0.11592600640825301</v>
      </c>
    </row>
    <row r="33" spans="2:13" ht="15.75" thickBot="1" x14ac:dyDescent="0.3">
      <c r="B33" s="1593" t="s">
        <v>821</v>
      </c>
      <c r="C33" s="1594" t="s">
        <v>822</v>
      </c>
      <c r="D33" s="1594" t="s">
        <v>421</v>
      </c>
      <c r="E33" s="1594" t="s">
        <v>823</v>
      </c>
    </row>
    <row r="34" spans="2:13" ht="15.75" thickBot="1" x14ac:dyDescent="0.3">
      <c r="B34" s="1593" t="s">
        <v>824</v>
      </c>
      <c r="C34" s="1594" t="s">
        <v>822</v>
      </c>
      <c r="D34" s="1594" t="s">
        <v>249</v>
      </c>
      <c r="E34" s="1595">
        <v>375.74</v>
      </c>
      <c r="F34" s="1602">
        <f>'AWC Admin-Family Nav FY26'!K32</f>
        <v>420.63</v>
      </c>
      <c r="G34" s="1127">
        <f t="shared" si="0"/>
        <v>0.1194709107361473</v>
      </c>
    </row>
    <row r="35" spans="2:13" ht="15.75" thickBot="1" x14ac:dyDescent="0.3">
      <c r="B35" s="1593" t="s">
        <v>259</v>
      </c>
      <c r="C35" s="1594" t="s">
        <v>825</v>
      </c>
      <c r="D35" s="1594" t="s">
        <v>245</v>
      </c>
      <c r="E35" s="1595">
        <v>20.92</v>
      </c>
      <c r="F35" s="1595">
        <f>'BehavioralSupport FY26'!L24</f>
        <v>23.08</v>
      </c>
      <c r="G35" s="1127">
        <f t="shared" si="0"/>
        <v>0.10325047801147211</v>
      </c>
      <c r="I35" s="1608" t="s">
        <v>876</v>
      </c>
      <c r="J35" s="1608"/>
      <c r="K35" s="1608"/>
      <c r="L35" s="1608"/>
      <c r="M35" s="1608"/>
    </row>
    <row r="36" spans="2:13" ht="15.75" thickBot="1" x14ac:dyDescent="0.3">
      <c r="B36" s="1593" t="s">
        <v>258</v>
      </c>
      <c r="C36" s="1594" t="s">
        <v>825</v>
      </c>
      <c r="D36" s="1594" t="s">
        <v>245</v>
      </c>
      <c r="E36" s="1595">
        <v>33.14</v>
      </c>
      <c r="F36" s="1595">
        <f>'BehavioralSupport FY26'!S24</f>
        <v>33.9</v>
      </c>
      <c r="G36" s="1127">
        <f t="shared" si="0"/>
        <v>2.2933011466505674E-2</v>
      </c>
      <c r="I36" s="1608"/>
      <c r="J36" s="1608"/>
      <c r="K36" s="1608"/>
      <c r="L36" s="1608"/>
      <c r="M36" s="1608"/>
    </row>
    <row r="37" spans="2:13" ht="15.75" thickBot="1" x14ac:dyDescent="0.3">
      <c r="B37" s="1593" t="s">
        <v>257</v>
      </c>
      <c r="C37" s="1594" t="s">
        <v>825</v>
      </c>
      <c r="D37" s="1594" t="s">
        <v>245</v>
      </c>
      <c r="E37" s="1595">
        <v>41.95</v>
      </c>
      <c r="F37" s="1595">
        <f>'BehavioralSupport FY26'!Z24</f>
        <v>43.65</v>
      </c>
      <c r="G37" s="1127">
        <f t="shared" si="0"/>
        <v>4.0524433849821108E-2</v>
      </c>
      <c r="I37" s="1608"/>
      <c r="J37" s="1608"/>
      <c r="K37" s="1608"/>
      <c r="L37" s="1608"/>
      <c r="M37" s="1608"/>
    </row>
    <row r="38" spans="2:13" ht="15.75" thickBot="1" x14ac:dyDescent="0.3">
      <c r="B38" s="1593" t="s">
        <v>826</v>
      </c>
      <c r="C38" s="1594" t="s">
        <v>825</v>
      </c>
      <c r="D38" s="1594" t="s">
        <v>421</v>
      </c>
      <c r="E38" s="1594" t="s">
        <v>823</v>
      </c>
      <c r="I38" s="1608"/>
      <c r="J38" s="1608"/>
      <c r="K38" s="1608"/>
      <c r="L38" s="1608"/>
      <c r="M38" s="1608"/>
    </row>
    <row r="39" spans="2:13" ht="15.75" thickBot="1" x14ac:dyDescent="0.3">
      <c r="B39" s="1593" t="s">
        <v>827</v>
      </c>
      <c r="C39" s="1594" t="s">
        <v>825</v>
      </c>
      <c r="D39" s="1594" t="s">
        <v>248</v>
      </c>
      <c r="E39" s="1596">
        <v>18.649999999999999</v>
      </c>
      <c r="F39" s="1602">
        <f>'Fin. Assistance Admin FY26'!F27</f>
        <v>20.84</v>
      </c>
      <c r="G39" s="1127">
        <f t="shared" si="0"/>
        <v>0.11742627345844511</v>
      </c>
      <c r="I39" s="1608"/>
      <c r="J39" s="1608"/>
      <c r="K39" s="1608"/>
      <c r="L39" s="1608"/>
      <c r="M39" s="1608"/>
    </row>
    <row r="40" spans="2:13" ht="18.75" customHeight="1" thickBot="1" x14ac:dyDescent="0.3">
      <c r="B40" s="1593" t="s">
        <v>828</v>
      </c>
      <c r="C40" s="1594" t="s">
        <v>822</v>
      </c>
      <c r="D40" s="1594" t="s">
        <v>829</v>
      </c>
      <c r="E40" s="1596">
        <v>42.38</v>
      </c>
      <c r="F40" s="1595">
        <v>46.5</v>
      </c>
      <c r="G40" s="1127">
        <f t="shared" si="0"/>
        <v>9.7215667767814942E-2</v>
      </c>
      <c r="I40" s="1608"/>
      <c r="J40" s="1608"/>
      <c r="K40" s="1608"/>
      <c r="L40" s="1608"/>
      <c r="M40" s="1608"/>
    </row>
    <row r="41" spans="2:13" ht="15.75" customHeight="1" thickBot="1" x14ac:dyDescent="0.3">
      <c r="B41" s="1609" t="s">
        <v>830</v>
      </c>
      <c r="C41" s="1610"/>
      <c r="D41" s="1610"/>
      <c r="E41" s="1611"/>
      <c r="I41" s="1608"/>
      <c r="J41" s="1608"/>
      <c r="K41" s="1608"/>
      <c r="L41" s="1608"/>
      <c r="M41" s="1608"/>
    </row>
    <row r="42" spans="2:13" ht="15.75" customHeight="1" thickBot="1" x14ac:dyDescent="0.3">
      <c r="B42" s="1597" t="s">
        <v>831</v>
      </c>
      <c r="C42" s="1594" t="s">
        <v>825</v>
      </c>
      <c r="D42" s="1594" t="s">
        <v>832</v>
      </c>
      <c r="E42" s="1595">
        <v>68.84</v>
      </c>
      <c r="F42" s="1604">
        <f>'Clinical Non Clinical Hrly FY26'!I20</f>
        <v>76.201013897442152</v>
      </c>
      <c r="G42" s="1127">
        <f t="shared" si="0"/>
        <v>0.10692931286232057</v>
      </c>
      <c r="I42" s="1608"/>
      <c r="J42" s="1608"/>
      <c r="K42" s="1608"/>
      <c r="L42" s="1608"/>
      <c r="M42" s="1608"/>
    </row>
    <row r="43" spans="2:13" ht="15.75" customHeight="1" thickBot="1" x14ac:dyDescent="0.3">
      <c r="B43" s="1597" t="s">
        <v>357</v>
      </c>
      <c r="C43" s="1594" t="s">
        <v>825</v>
      </c>
      <c r="D43" s="1594" t="s">
        <v>832</v>
      </c>
      <c r="E43" s="1595">
        <v>103.65</v>
      </c>
      <c r="F43" s="1603">
        <f>'Clinical Non Clinical Hrly FY26'!O20</f>
        <v>107.70735060808271</v>
      </c>
      <c r="G43" s="1127">
        <f t="shared" si="0"/>
        <v>3.9144723666982149E-2</v>
      </c>
      <c r="I43" s="1608"/>
      <c r="J43" s="1608"/>
      <c r="K43" s="1608"/>
      <c r="L43" s="1608"/>
      <c r="M43" s="1608"/>
    </row>
    <row r="44" spans="2:13" ht="15.75" customHeight="1" thickBot="1" x14ac:dyDescent="0.3">
      <c r="B44" s="1609" t="s">
        <v>833</v>
      </c>
      <c r="C44" s="1610"/>
      <c r="D44" s="1610"/>
      <c r="E44" s="1611"/>
      <c r="I44" s="1608"/>
      <c r="J44" s="1608"/>
      <c r="K44" s="1608"/>
      <c r="L44" s="1608"/>
      <c r="M44" s="1608"/>
    </row>
    <row r="45" spans="2:13" ht="15.75" customHeight="1" thickBot="1" x14ac:dyDescent="0.3">
      <c r="B45" s="1597" t="s">
        <v>834</v>
      </c>
      <c r="C45" s="1594" t="s">
        <v>822</v>
      </c>
      <c r="D45" s="1594" t="s">
        <v>243</v>
      </c>
      <c r="E45" s="1596">
        <v>47.98</v>
      </c>
      <c r="F45" s="1604">
        <f>'DCFClinicalComp FY26'!D17</f>
        <v>52.062806430584189</v>
      </c>
      <c r="G45" s="1127">
        <f t="shared" si="0"/>
        <v>8.5093923105131142E-2</v>
      </c>
      <c r="I45" s="1608"/>
      <c r="J45" s="1608"/>
      <c r="K45" s="1608"/>
      <c r="L45" s="1608"/>
      <c r="M45" s="1608"/>
    </row>
    <row r="46" spans="2:13" ht="15.75" customHeight="1" thickBot="1" x14ac:dyDescent="0.3">
      <c r="B46" s="1597" t="s">
        <v>835</v>
      </c>
      <c r="C46" s="1594" t="s">
        <v>822</v>
      </c>
      <c r="D46" s="1594" t="s">
        <v>243</v>
      </c>
      <c r="E46" s="1596">
        <v>72.540000000000006</v>
      </c>
      <c r="F46" s="1603">
        <f>'DCFClinicalComp FY26'!D18</f>
        <v>78.815484093276936</v>
      </c>
      <c r="G46" s="1127">
        <f t="shared" si="0"/>
        <v>8.6510671261054994E-2</v>
      </c>
      <c r="I46" s="1608"/>
      <c r="J46" s="1608"/>
      <c r="K46" s="1608"/>
      <c r="L46" s="1608"/>
      <c r="M46" s="1608"/>
    </row>
    <row r="47" spans="2:13" ht="15.75" customHeight="1" thickBot="1" x14ac:dyDescent="0.3">
      <c r="B47" s="1597" t="s">
        <v>836</v>
      </c>
      <c r="C47" s="1594" t="s">
        <v>822</v>
      </c>
      <c r="D47" s="1594" t="s">
        <v>243</v>
      </c>
      <c r="E47" s="1596">
        <v>91.2</v>
      </c>
      <c r="F47" s="1603">
        <f>'DCFClinicalComp FY26'!D19</f>
        <v>97.281224923703562</v>
      </c>
      <c r="G47" s="1127">
        <f t="shared" si="0"/>
        <v>6.668009784762674E-2</v>
      </c>
      <c r="I47" s="1608"/>
      <c r="J47" s="1608"/>
      <c r="K47" s="1608"/>
      <c r="L47" s="1608"/>
      <c r="M47" s="1608"/>
    </row>
    <row r="48" spans="2:13" ht="15.75" customHeight="1" thickBot="1" x14ac:dyDescent="0.3">
      <c r="B48" s="1597" t="s">
        <v>837</v>
      </c>
      <c r="C48" s="1594" t="s">
        <v>822</v>
      </c>
      <c r="D48" s="1594" t="s">
        <v>243</v>
      </c>
      <c r="E48" s="1596">
        <v>92.52</v>
      </c>
      <c r="F48" s="1603">
        <f>'DCFClinicalComp FY26'!D20</f>
        <v>98.890962961925339</v>
      </c>
      <c r="G48" s="1127">
        <f t="shared" si="0"/>
        <v>6.8860386531834669E-2</v>
      </c>
      <c r="I48" s="1608"/>
      <c r="J48" s="1608"/>
      <c r="K48" s="1608"/>
      <c r="L48" s="1608"/>
      <c r="M48" s="1608"/>
    </row>
    <row r="49" spans="2:13" ht="15.75" customHeight="1" thickBot="1" x14ac:dyDescent="0.3">
      <c r="B49" s="1597" t="s">
        <v>361</v>
      </c>
      <c r="C49" s="1594" t="s">
        <v>822</v>
      </c>
      <c r="D49" s="1594" t="s">
        <v>243</v>
      </c>
      <c r="E49" s="1596">
        <v>91.29</v>
      </c>
      <c r="F49" s="1603">
        <f>'DCFClinicalComp FY26'!D21</f>
        <v>98.043496608041423</v>
      </c>
      <c r="G49" s="1127">
        <f t="shared" si="0"/>
        <v>7.397849280360845E-2</v>
      </c>
      <c r="I49" s="1608"/>
      <c r="J49" s="1608"/>
      <c r="K49" s="1608"/>
      <c r="L49" s="1608"/>
      <c r="M49" s="1608"/>
    </row>
    <row r="50" spans="2:13" ht="15.75" customHeight="1" thickBot="1" x14ac:dyDescent="0.3">
      <c r="B50" s="1597" t="s">
        <v>838</v>
      </c>
      <c r="C50" s="1594" t="s">
        <v>822</v>
      </c>
      <c r="D50" s="1594" t="s">
        <v>243</v>
      </c>
      <c r="E50" s="1596">
        <v>132.37</v>
      </c>
      <c r="F50" s="1603">
        <f>'DCFClinicalComp FY26'!D22</f>
        <v>141.60964203525438</v>
      </c>
      <c r="G50" s="1127">
        <f t="shared" si="0"/>
        <v>6.9801632056012516E-2</v>
      </c>
      <c r="I50" s="1608"/>
      <c r="J50" s="1608"/>
      <c r="K50" s="1608"/>
      <c r="L50" s="1608"/>
      <c r="M50" s="1608"/>
    </row>
    <row r="51" spans="2:13" ht="15.75" customHeight="1" thickBot="1" x14ac:dyDescent="0.3">
      <c r="B51" s="1597" t="s">
        <v>839</v>
      </c>
      <c r="C51" s="1594" t="s">
        <v>822</v>
      </c>
      <c r="D51" s="1594" t="s">
        <v>243</v>
      </c>
      <c r="E51" s="1596">
        <v>220.98</v>
      </c>
      <c r="F51" s="1603">
        <f>'DCFClinicalComp FY26'!D23</f>
        <v>236.58376419634541</v>
      </c>
      <c r="G51" s="1127">
        <f t="shared" si="0"/>
        <v>7.0611658052065457E-2</v>
      </c>
      <c r="I51" s="1608"/>
      <c r="J51" s="1608"/>
      <c r="K51" s="1608"/>
      <c r="L51" s="1608"/>
      <c r="M51" s="1608"/>
    </row>
    <row r="52" spans="2:13" ht="15.75" thickBot="1" x14ac:dyDescent="0.3">
      <c r="B52" s="1597" t="s">
        <v>840</v>
      </c>
      <c r="C52" s="1594" t="s">
        <v>822</v>
      </c>
      <c r="D52" s="1594" t="s">
        <v>243</v>
      </c>
      <c r="E52" s="1596">
        <v>163.54</v>
      </c>
      <c r="F52" s="1603">
        <f>'DCFClinicalComp FY26'!D24</f>
        <v>174.6573248429203</v>
      </c>
      <c r="G52" s="1127">
        <f t="shared" si="0"/>
        <v>6.7979239592272908E-2</v>
      </c>
    </row>
    <row r="53" spans="2:13" ht="15.75" thickBot="1" x14ac:dyDescent="0.3">
      <c r="B53" s="1593" t="s">
        <v>841</v>
      </c>
      <c r="C53" s="1594" t="s">
        <v>822</v>
      </c>
      <c r="D53" s="1594" t="s">
        <v>247</v>
      </c>
      <c r="E53" s="1595">
        <v>22.66</v>
      </c>
      <c r="F53" s="1595">
        <f>'DCF Ed Coordination FY26'!K26</f>
        <v>24.246600561182564</v>
      </c>
      <c r="G53" s="1127">
        <f t="shared" si="0"/>
        <v>7.0017677016000188E-2</v>
      </c>
    </row>
    <row r="54" spans="2:13" ht="15.75" thickBot="1" x14ac:dyDescent="0.3">
      <c r="B54" s="1593" t="s">
        <v>246</v>
      </c>
      <c r="C54" s="1594" t="s">
        <v>822</v>
      </c>
      <c r="D54" s="1594" t="s">
        <v>245</v>
      </c>
      <c r="E54" s="1595">
        <v>18.7</v>
      </c>
      <c r="F54" s="1595">
        <f>'AWC Admin-Family Nav FY26'!F32</f>
        <v>20.93</v>
      </c>
      <c r="G54" s="1127">
        <f t="shared" si="0"/>
        <v>0.11925133689839575</v>
      </c>
    </row>
    <row r="55" spans="2:13" ht="15.75" hidden="1" thickBot="1" x14ac:dyDescent="0.3">
      <c r="B55" s="1593" t="s">
        <v>842</v>
      </c>
      <c r="C55" s="1594" t="s">
        <v>822</v>
      </c>
      <c r="D55" s="1594" t="s">
        <v>249</v>
      </c>
      <c r="E55" s="1598">
        <v>68425</v>
      </c>
    </row>
    <row r="56" spans="2:13" ht="15.75" hidden="1" thickBot="1" x14ac:dyDescent="0.3">
      <c r="B56" s="1593" t="s">
        <v>843</v>
      </c>
      <c r="C56" s="1594" t="s">
        <v>822</v>
      </c>
      <c r="D56" s="1594" t="s">
        <v>249</v>
      </c>
      <c r="E56" s="1598">
        <v>27988</v>
      </c>
    </row>
    <row r="57" spans="2:13" ht="15.75" hidden="1" thickBot="1" x14ac:dyDescent="0.3">
      <c r="B57" s="1593" t="s">
        <v>844</v>
      </c>
      <c r="C57" s="1594" t="s">
        <v>822</v>
      </c>
      <c r="D57" s="1594" t="s">
        <v>249</v>
      </c>
      <c r="E57" s="1598">
        <v>7940</v>
      </c>
    </row>
    <row r="58" spans="2:13" ht="30.75" hidden="1" thickBot="1" x14ac:dyDescent="0.3">
      <c r="B58" s="1593" t="s">
        <v>845</v>
      </c>
      <c r="C58" s="1594" t="s">
        <v>822</v>
      </c>
      <c r="D58" s="1599" t="s">
        <v>846</v>
      </c>
      <c r="E58" s="1595">
        <v>297.3</v>
      </c>
    </row>
    <row r="59" spans="2:13" ht="15.75" hidden="1" thickBot="1" x14ac:dyDescent="0.3">
      <c r="B59" s="1593" t="s">
        <v>847</v>
      </c>
      <c r="C59" s="1594" t="s">
        <v>822</v>
      </c>
      <c r="D59" s="1599" t="s">
        <v>846</v>
      </c>
      <c r="E59" s="1595">
        <v>411.81</v>
      </c>
    </row>
    <row r="60" spans="2:13" ht="30.75" hidden="1" thickBot="1" x14ac:dyDescent="0.3">
      <c r="B60" s="1593" t="s">
        <v>848</v>
      </c>
      <c r="C60" s="1594" t="s">
        <v>822</v>
      </c>
      <c r="D60" s="1599" t="s">
        <v>846</v>
      </c>
      <c r="E60" s="1595">
        <v>490.58</v>
      </c>
    </row>
    <row r="61" spans="2:13" ht="15.75" hidden="1" thickBot="1" x14ac:dyDescent="0.3">
      <c r="B61" s="1593" t="s">
        <v>849</v>
      </c>
      <c r="C61" s="1594" t="s">
        <v>822</v>
      </c>
      <c r="D61" s="1599" t="s">
        <v>846</v>
      </c>
      <c r="E61" s="1595">
        <v>228.71</v>
      </c>
    </row>
    <row r="62" spans="2:13" ht="15.75" hidden="1" thickBot="1" x14ac:dyDescent="0.3">
      <c r="B62" s="1593" t="s">
        <v>850</v>
      </c>
      <c r="C62" s="1594" t="s">
        <v>822</v>
      </c>
      <c r="D62" s="1599" t="s">
        <v>846</v>
      </c>
      <c r="E62" s="1595">
        <v>377.95</v>
      </c>
    </row>
    <row r="63" spans="2:13" ht="15.75" thickBot="1" x14ac:dyDescent="0.3">
      <c r="B63" s="1609" t="s">
        <v>851</v>
      </c>
      <c r="C63" s="1610"/>
      <c r="D63" s="1610"/>
      <c r="E63" s="1611"/>
    </row>
    <row r="64" spans="2:13" ht="15.75" thickBot="1" x14ac:dyDescent="0.3">
      <c r="B64" s="1597" t="s">
        <v>852</v>
      </c>
      <c r="C64" s="1594" t="s">
        <v>825</v>
      </c>
      <c r="D64" s="1594" t="s">
        <v>244</v>
      </c>
      <c r="E64" s="1595">
        <v>2952.38</v>
      </c>
      <c r="F64" s="1604">
        <f>'DCFSpecialty Fam Skills Grp'!D4</f>
        <v>3125.7162991274918</v>
      </c>
      <c r="G64" s="1127">
        <f t="shared" si="0"/>
        <v>5.8710700901473269E-2</v>
      </c>
    </row>
    <row r="65" spans="2:7" ht="15.75" thickBot="1" x14ac:dyDescent="0.3">
      <c r="B65" s="1612" t="s">
        <v>853</v>
      </c>
      <c r="C65" s="1613"/>
      <c r="D65" s="1613"/>
      <c r="E65" s="1614"/>
    </row>
    <row r="66" spans="2:7" ht="15.75" thickBot="1" x14ac:dyDescent="0.3">
      <c r="B66" s="1600" t="s">
        <v>854</v>
      </c>
      <c r="C66" s="1594" t="s">
        <v>825</v>
      </c>
      <c r="D66" s="1594" t="s">
        <v>244</v>
      </c>
      <c r="E66" s="1595">
        <v>140.77000000000001</v>
      </c>
      <c r="F66" s="1602">
        <f>'DCFSpecialty Fam Skills Grp'!J32</f>
        <v>144.32895713060074</v>
      </c>
      <c r="G66" s="1127">
        <f t="shared" si="0"/>
        <v>2.5282070971092783E-2</v>
      </c>
    </row>
    <row r="67" spans="2:7" ht="15.75" thickBot="1" x14ac:dyDescent="0.3">
      <c r="B67" s="1597" t="s">
        <v>855</v>
      </c>
      <c r="C67" s="1594" t="s">
        <v>825</v>
      </c>
      <c r="D67" s="1594" t="s">
        <v>244</v>
      </c>
      <c r="E67" s="1595">
        <v>2059.3200000000002</v>
      </c>
      <c r="F67" s="1603">
        <f>'DCFFamily Skills Dev Group FY26'!D6</f>
        <v>2135.1793767132031</v>
      </c>
      <c r="G67" s="1127">
        <f t="shared" si="0"/>
        <v>3.6837099971448288E-2</v>
      </c>
    </row>
    <row r="68" spans="2:7" ht="15.75" thickBot="1" x14ac:dyDescent="0.3">
      <c r="B68" s="1605" t="s">
        <v>856</v>
      </c>
      <c r="C68" s="1606"/>
      <c r="D68" s="1606"/>
      <c r="E68" s="1607"/>
    </row>
    <row r="69" spans="2:7" ht="15.75" thickBot="1" x14ac:dyDescent="0.3">
      <c r="B69" s="1600" t="s">
        <v>857</v>
      </c>
      <c r="C69" s="1594" t="s">
        <v>825</v>
      </c>
      <c r="D69" s="1594" t="s">
        <v>244</v>
      </c>
      <c r="E69" s="1595">
        <v>70.58</v>
      </c>
      <c r="F69" s="1595">
        <f>'DCFFamily Skills Dev Group FY26'!K29</f>
        <v>72.358071205977765</v>
      </c>
      <c r="G69" s="1127">
        <f t="shared" ref="G69:G103" si="1">(F69-E69)/E69</f>
        <v>2.5192281184156517E-2</v>
      </c>
    </row>
    <row r="70" spans="2:7" ht="15.75" thickBot="1" x14ac:dyDescent="0.3">
      <c r="B70" s="1600" t="s">
        <v>589</v>
      </c>
      <c r="C70" s="1594" t="s">
        <v>825</v>
      </c>
      <c r="D70" s="1594" t="s">
        <v>244</v>
      </c>
      <c r="E70" s="1595">
        <v>173.1</v>
      </c>
      <c r="F70" s="1595">
        <f>'DCFFamily Skills Dev Group FY26'!K30</f>
        <v>177.47658673375193</v>
      </c>
      <c r="G70" s="1127">
        <f t="shared" si="1"/>
        <v>2.5283574429531691E-2</v>
      </c>
    </row>
    <row r="71" spans="2:7" ht="15.75" thickBot="1" x14ac:dyDescent="0.3">
      <c r="B71" s="1600" t="s">
        <v>588</v>
      </c>
      <c r="C71" s="1594" t="s">
        <v>858</v>
      </c>
      <c r="D71" s="1594" t="s">
        <v>244</v>
      </c>
      <c r="E71" s="1595">
        <v>49.91</v>
      </c>
      <c r="F71" s="1595">
        <f>'DCFFamily Skills Dev Group FY26'!K31</f>
        <v>51.169449649279102</v>
      </c>
      <c r="G71" s="1127">
        <f t="shared" si="1"/>
        <v>2.5234414932460536E-2</v>
      </c>
    </row>
    <row r="72" spans="2:7" ht="15.75" thickBot="1" x14ac:dyDescent="0.3">
      <c r="B72" s="1600" t="s">
        <v>854</v>
      </c>
      <c r="C72" s="1594" t="s">
        <v>825</v>
      </c>
      <c r="D72" s="1594" t="s">
        <v>244</v>
      </c>
      <c r="E72" s="1595">
        <v>140.77000000000001</v>
      </c>
      <c r="F72" s="1595">
        <f>'DCFFamily Skills Dev Group FY26'!K32</f>
        <v>144.33596972484449</v>
      </c>
      <c r="G72" s="1127">
        <f t="shared" si="1"/>
        <v>2.5331886942135954E-2</v>
      </c>
    </row>
    <row r="73" spans="2:7" ht="15.75" thickBot="1" x14ac:dyDescent="0.3">
      <c r="B73" s="1600" t="s">
        <v>339</v>
      </c>
      <c r="C73" s="1594" t="s">
        <v>858</v>
      </c>
      <c r="D73" s="1594" t="s">
        <v>244</v>
      </c>
      <c r="E73" s="1595">
        <v>168.94</v>
      </c>
      <c r="F73" s="1595">
        <f>'DCFFamily Skills Dev Group FY26'!K33</f>
        <v>173.21158835796308</v>
      </c>
      <c r="G73" s="1127">
        <f t="shared" si="1"/>
        <v>2.528464755512657E-2</v>
      </c>
    </row>
    <row r="74" spans="2:7" ht="15.75" thickBot="1" x14ac:dyDescent="0.3">
      <c r="B74" s="1597" t="s">
        <v>859</v>
      </c>
      <c r="C74" s="1594" t="s">
        <v>825</v>
      </c>
      <c r="D74" s="1594" t="s">
        <v>244</v>
      </c>
      <c r="E74" s="1595">
        <v>1532.93</v>
      </c>
      <c r="F74" s="1603">
        <f>'Parent Skill Dev Group FY26'!D4</f>
        <v>1672.4913260045271</v>
      </c>
      <c r="G74" s="1127">
        <f t="shared" si="1"/>
        <v>9.1042204147956537E-2</v>
      </c>
    </row>
    <row r="75" spans="2:7" ht="15.75" thickBot="1" x14ac:dyDescent="0.3">
      <c r="B75" s="1605" t="s">
        <v>860</v>
      </c>
      <c r="C75" s="1606"/>
      <c r="D75" s="1606"/>
      <c r="E75" s="1607"/>
    </row>
    <row r="76" spans="2:7" ht="15.75" thickBot="1" x14ac:dyDescent="0.3">
      <c r="B76" s="1600" t="s">
        <v>861</v>
      </c>
      <c r="C76" s="1594" t="s">
        <v>825</v>
      </c>
      <c r="D76" s="1594" t="s">
        <v>244</v>
      </c>
      <c r="E76" s="1595">
        <v>70.58</v>
      </c>
      <c r="F76" s="1602">
        <f>F69</f>
        <v>72.358071205977765</v>
      </c>
      <c r="G76" s="1127">
        <f t="shared" si="1"/>
        <v>2.5192281184156517E-2</v>
      </c>
    </row>
    <row r="77" spans="2:7" ht="15.75" thickBot="1" x14ac:dyDescent="0.3">
      <c r="B77" s="1600" t="s">
        <v>589</v>
      </c>
      <c r="C77" s="1594" t="s">
        <v>825</v>
      </c>
      <c r="D77" s="1594" t="s">
        <v>244</v>
      </c>
      <c r="E77" s="1595">
        <v>173.1</v>
      </c>
      <c r="F77" s="1595">
        <f t="shared" ref="F77:F80" si="2">F70</f>
        <v>177.47658673375193</v>
      </c>
      <c r="G77" s="1127">
        <f t="shared" si="1"/>
        <v>2.5283574429531691E-2</v>
      </c>
    </row>
    <row r="78" spans="2:7" ht="15.75" thickBot="1" x14ac:dyDescent="0.3">
      <c r="B78" s="1600" t="s">
        <v>588</v>
      </c>
      <c r="C78" s="1594" t="s">
        <v>825</v>
      </c>
      <c r="D78" s="1594" t="s">
        <v>244</v>
      </c>
      <c r="E78" s="1595">
        <v>49.91</v>
      </c>
      <c r="F78" s="1595">
        <f t="shared" si="2"/>
        <v>51.169449649279102</v>
      </c>
      <c r="G78" s="1127">
        <f t="shared" si="1"/>
        <v>2.5234414932460536E-2</v>
      </c>
    </row>
    <row r="79" spans="2:7" ht="15.75" thickBot="1" x14ac:dyDescent="0.3">
      <c r="B79" s="1600" t="s">
        <v>854</v>
      </c>
      <c r="C79" s="1594" t="s">
        <v>825</v>
      </c>
      <c r="D79" s="1594" t="s">
        <v>244</v>
      </c>
      <c r="E79" s="1595">
        <v>140.77000000000001</v>
      </c>
      <c r="F79" s="1595">
        <f t="shared" si="2"/>
        <v>144.33596972484449</v>
      </c>
      <c r="G79" s="1127">
        <f t="shared" si="1"/>
        <v>2.5331886942135954E-2</v>
      </c>
    </row>
    <row r="80" spans="2:7" ht="15.75" thickBot="1" x14ac:dyDescent="0.3">
      <c r="B80" s="1600" t="s">
        <v>339</v>
      </c>
      <c r="C80" s="1594" t="s">
        <v>825</v>
      </c>
      <c r="D80" s="1594" t="s">
        <v>244</v>
      </c>
      <c r="E80" s="1595">
        <v>168.94</v>
      </c>
      <c r="F80" s="1595">
        <f t="shared" si="2"/>
        <v>173.21158835796308</v>
      </c>
      <c r="G80" s="1127">
        <f t="shared" si="1"/>
        <v>2.528464755512657E-2</v>
      </c>
    </row>
    <row r="81" spans="2:7" ht="15.75" thickBot="1" x14ac:dyDescent="0.3">
      <c r="B81" s="1593" t="s">
        <v>262</v>
      </c>
      <c r="C81" s="1594" t="s">
        <v>825</v>
      </c>
      <c r="D81" s="1594" t="s">
        <v>245</v>
      </c>
      <c r="E81" s="1596">
        <v>13.25</v>
      </c>
      <c r="F81" s="1595">
        <f>'Family Training FY26'!I20</f>
        <v>14.67</v>
      </c>
      <c r="G81" s="1127">
        <f t="shared" si="1"/>
        <v>0.10716981132075472</v>
      </c>
    </row>
    <row r="82" spans="2:7" ht="15.75" thickBot="1" x14ac:dyDescent="0.3">
      <c r="B82" s="1593" t="s">
        <v>261</v>
      </c>
      <c r="C82" s="1594" t="s">
        <v>825</v>
      </c>
      <c r="D82" s="1594" t="s">
        <v>245</v>
      </c>
      <c r="E82" s="1596">
        <v>6.63</v>
      </c>
      <c r="F82" s="1595">
        <f>'Family Training FY26'!I21</f>
        <v>7.34</v>
      </c>
      <c r="G82" s="1127">
        <f t="shared" si="1"/>
        <v>0.10708898944193061</v>
      </c>
    </row>
    <row r="83" spans="2:7" ht="15.75" thickBot="1" x14ac:dyDescent="0.3">
      <c r="B83" s="1593" t="s">
        <v>260</v>
      </c>
      <c r="C83" s="1594" t="s">
        <v>825</v>
      </c>
      <c r="D83" s="1594" t="s">
        <v>245</v>
      </c>
      <c r="E83" s="1596">
        <v>2.65</v>
      </c>
      <c r="F83" s="1595">
        <f>'Family Training FY26'!I22</f>
        <v>2.93</v>
      </c>
      <c r="G83" s="1127">
        <f t="shared" si="1"/>
        <v>0.10566037735849067</v>
      </c>
    </row>
    <row r="84" spans="2:7" ht="15.75" thickBot="1" x14ac:dyDescent="0.3">
      <c r="B84" s="1593" t="s">
        <v>251</v>
      </c>
      <c r="C84" s="1594" t="s">
        <v>822</v>
      </c>
      <c r="D84" s="1594" t="s">
        <v>247</v>
      </c>
      <c r="E84" s="1596">
        <v>25.39</v>
      </c>
      <c r="F84" s="1603">
        <f>'IFFS FY26'!H26</f>
        <v>27.329404418306456</v>
      </c>
      <c r="G84" s="1127">
        <f t="shared" si="1"/>
        <v>7.6384577325973049E-2</v>
      </c>
    </row>
    <row r="85" spans="2:7" ht="15.75" thickBot="1" x14ac:dyDescent="0.3">
      <c r="B85" s="1593" t="s">
        <v>250</v>
      </c>
      <c r="C85" s="1594" t="s">
        <v>825</v>
      </c>
      <c r="D85" s="1594" t="s">
        <v>249</v>
      </c>
      <c r="E85" s="1596">
        <v>415.3</v>
      </c>
      <c r="F85" s="1595">
        <f>'Med Complex FY26'!G34</f>
        <v>462.1</v>
      </c>
      <c r="G85" s="1127">
        <f t="shared" si="1"/>
        <v>0.11268962196002892</v>
      </c>
    </row>
    <row r="86" spans="2:7" ht="15.75" thickBot="1" x14ac:dyDescent="0.3">
      <c r="B86" s="1593" t="s">
        <v>255</v>
      </c>
      <c r="C86" s="1594" t="s">
        <v>825</v>
      </c>
      <c r="D86" s="1594" t="s">
        <v>245</v>
      </c>
      <c r="E86" s="1596">
        <v>9.75</v>
      </c>
      <c r="F86" s="1595">
        <f>'Peer Suppt FY26'!F21</f>
        <v>10.7</v>
      </c>
      <c r="G86" s="1127">
        <f t="shared" si="1"/>
        <v>9.7435897435897367E-2</v>
      </c>
    </row>
    <row r="87" spans="2:7" ht="15.75" thickBot="1" x14ac:dyDescent="0.3">
      <c r="B87" s="1593" t="s">
        <v>254</v>
      </c>
      <c r="C87" s="1594" t="s">
        <v>825</v>
      </c>
      <c r="D87" s="1594" t="s">
        <v>245</v>
      </c>
      <c r="E87" s="1596">
        <v>4.88</v>
      </c>
      <c r="F87" s="1595">
        <f>'Peer Suppt FY26'!F22</f>
        <v>5.35</v>
      </c>
      <c r="G87" s="1127">
        <f t="shared" si="1"/>
        <v>9.631147540983602E-2</v>
      </c>
    </row>
    <row r="88" spans="2:7" ht="15.75" thickBot="1" x14ac:dyDescent="0.3">
      <c r="B88" s="1593" t="s">
        <v>253</v>
      </c>
      <c r="C88" s="1594" t="s">
        <v>825</v>
      </c>
      <c r="D88" s="1594" t="s">
        <v>245</v>
      </c>
      <c r="E88" s="1596">
        <v>1.95</v>
      </c>
      <c r="F88" s="1595">
        <f>'Peer Suppt FY26'!F23</f>
        <v>2.14</v>
      </c>
      <c r="G88" s="1127">
        <f t="shared" si="1"/>
        <v>9.743589743589752E-2</v>
      </c>
    </row>
    <row r="89" spans="2:7" ht="15.75" thickBot="1" x14ac:dyDescent="0.3">
      <c r="B89" s="1593" t="s">
        <v>862</v>
      </c>
      <c r="C89" s="1594" t="s">
        <v>825</v>
      </c>
      <c r="D89" s="1594" t="s">
        <v>256</v>
      </c>
      <c r="E89" s="1596">
        <v>437.82</v>
      </c>
      <c r="F89" s="1595">
        <f>'Site Based Respite FY26'!AB33</f>
        <v>471.77</v>
      </c>
      <c r="G89" s="1127">
        <f t="shared" si="1"/>
        <v>7.7543282627563812E-2</v>
      </c>
    </row>
    <row r="90" spans="2:7" ht="30.75" thickBot="1" x14ac:dyDescent="0.3">
      <c r="B90" s="1593" t="s">
        <v>863</v>
      </c>
      <c r="C90" s="1594" t="s">
        <v>822</v>
      </c>
      <c r="D90" s="1594" t="s">
        <v>256</v>
      </c>
      <c r="E90" s="1596">
        <v>569.44000000000005</v>
      </c>
      <c r="F90" s="1595">
        <f>'Site Based Respite FY26'!AI33</f>
        <v>615.38</v>
      </c>
      <c r="G90" s="1127">
        <f t="shared" si="1"/>
        <v>8.0675751615622252E-2</v>
      </c>
    </row>
    <row r="91" spans="2:7" ht="15.75" thickBot="1" x14ac:dyDescent="0.3">
      <c r="B91" s="1593" t="s">
        <v>862</v>
      </c>
      <c r="C91" s="1594" t="s">
        <v>825</v>
      </c>
      <c r="D91" s="1594" t="s">
        <v>864</v>
      </c>
      <c r="E91" s="1596">
        <v>27.37</v>
      </c>
      <c r="F91" s="1595">
        <f>'Site Based Respite FY26'!AB35</f>
        <v>29.49</v>
      </c>
      <c r="G91" s="1127">
        <f t="shared" si="1"/>
        <v>7.7457069784435423E-2</v>
      </c>
    </row>
    <row r="92" spans="2:7" ht="30.75" thickBot="1" x14ac:dyDescent="0.3">
      <c r="B92" s="1593" t="s">
        <v>863</v>
      </c>
      <c r="C92" s="1594" t="s">
        <v>825</v>
      </c>
      <c r="D92" s="1594" t="s">
        <v>864</v>
      </c>
      <c r="E92" s="1596">
        <v>35.590000000000003</v>
      </c>
      <c r="F92" s="1595">
        <f>'Site Based Respite FY26'!AI35</f>
        <v>38.46</v>
      </c>
      <c r="G92" s="1127">
        <f t="shared" si="1"/>
        <v>8.0640629390278093E-2</v>
      </c>
    </row>
    <row r="93" spans="2:7" ht="15.75" thickBot="1" x14ac:dyDescent="0.3">
      <c r="B93" s="1593" t="s">
        <v>865</v>
      </c>
      <c r="C93" s="1594" t="s">
        <v>825</v>
      </c>
      <c r="D93" s="1594" t="s">
        <v>256</v>
      </c>
      <c r="E93" s="1596">
        <v>145.19</v>
      </c>
      <c r="F93" s="1595">
        <f>'Respite Caregiver Home FY26'!F30</f>
        <v>151.91999999999999</v>
      </c>
      <c r="G93" s="1127">
        <f t="shared" si="1"/>
        <v>4.6353054618086573E-2</v>
      </c>
    </row>
    <row r="94" spans="2:7" ht="15.75" thickBot="1" x14ac:dyDescent="0.3">
      <c r="B94" s="1593" t="s">
        <v>866</v>
      </c>
      <c r="C94" s="1594" t="s">
        <v>825</v>
      </c>
      <c r="D94" s="1594" t="s">
        <v>256</v>
      </c>
      <c r="E94" s="1596">
        <v>176.03</v>
      </c>
      <c r="F94" s="1595">
        <f>'Respite Caregiver Home FY26'!K30</f>
        <v>183.53</v>
      </c>
      <c r="G94" s="1127">
        <f t="shared" si="1"/>
        <v>4.2606373913537464E-2</v>
      </c>
    </row>
    <row r="95" spans="2:7" ht="15.75" thickBot="1" x14ac:dyDescent="0.3">
      <c r="B95" s="1593" t="s">
        <v>867</v>
      </c>
      <c r="C95" s="1594" t="s">
        <v>825</v>
      </c>
      <c r="D95" s="1594" t="s">
        <v>256</v>
      </c>
      <c r="E95" s="1596">
        <v>206.86</v>
      </c>
      <c r="F95" s="1595">
        <f>'Respite Caregiver Home FY26'!P30</f>
        <v>215.15</v>
      </c>
      <c r="G95" s="1127">
        <f t="shared" si="1"/>
        <v>4.0075413323020358E-2</v>
      </c>
    </row>
    <row r="96" spans="2:7" ht="15.75" thickBot="1" x14ac:dyDescent="0.3">
      <c r="B96" s="1593" t="s">
        <v>868</v>
      </c>
      <c r="C96" s="1594" t="s">
        <v>825</v>
      </c>
      <c r="D96" s="1594" t="s">
        <v>245</v>
      </c>
      <c r="E96" s="1596">
        <v>9.75</v>
      </c>
      <c r="F96" s="1595">
        <f>'Adult Comp-Respite Recp FY26'!E39</f>
        <v>10.7</v>
      </c>
      <c r="G96" s="1127">
        <f t="shared" si="1"/>
        <v>9.7435897435897367E-2</v>
      </c>
    </row>
    <row r="97" spans="2:7" ht="15.75" thickBot="1" x14ac:dyDescent="0.3">
      <c r="B97" s="1593" t="s">
        <v>869</v>
      </c>
      <c r="C97" s="1594" t="s">
        <v>825</v>
      </c>
      <c r="D97" s="1594" t="s">
        <v>245</v>
      </c>
      <c r="E97" s="1596">
        <v>4.88</v>
      </c>
      <c r="F97" s="1595">
        <f>'Adult Comp-Respite Recp FY26'!E40</f>
        <v>5.35</v>
      </c>
      <c r="G97" s="1127">
        <f t="shared" si="1"/>
        <v>9.631147540983602E-2</v>
      </c>
    </row>
    <row r="98" spans="2:7" ht="15.75" thickBot="1" x14ac:dyDescent="0.3">
      <c r="B98" s="1593" t="s">
        <v>870</v>
      </c>
      <c r="C98" s="1594" t="s">
        <v>825</v>
      </c>
      <c r="D98" s="1594" t="s">
        <v>245</v>
      </c>
      <c r="E98" s="1596">
        <v>3.25</v>
      </c>
      <c r="F98" s="1595">
        <f>'Adult Comp-Respite Recp FY26'!E41</f>
        <v>3.57</v>
      </c>
      <c r="G98" s="1127">
        <f t="shared" si="1"/>
        <v>9.8461538461538406E-2</v>
      </c>
    </row>
    <row r="99" spans="2:7" ht="15.75" thickBot="1" x14ac:dyDescent="0.3">
      <c r="B99" s="1593" t="s">
        <v>264</v>
      </c>
      <c r="C99" s="1594" t="s">
        <v>825</v>
      </c>
      <c r="D99" s="1594" t="s">
        <v>256</v>
      </c>
      <c r="E99" s="1596">
        <v>351</v>
      </c>
      <c r="F99" s="1595">
        <f>'Adult Comp-Respite Recp FY26'!E42</f>
        <v>385.2</v>
      </c>
      <c r="G99" s="1127">
        <f t="shared" si="1"/>
        <v>9.7435897435897409E-2</v>
      </c>
    </row>
    <row r="100" spans="2:7" ht="15.75" thickBot="1" x14ac:dyDescent="0.3">
      <c r="B100" s="1593" t="s">
        <v>871</v>
      </c>
      <c r="C100" s="1594" t="s">
        <v>825</v>
      </c>
      <c r="D100" s="1594" t="s">
        <v>256</v>
      </c>
      <c r="E100" s="1595">
        <v>302.19</v>
      </c>
      <c r="F100" s="1595">
        <f>'Site Based Respite FY26'!N33</f>
        <v>326.33</v>
      </c>
      <c r="G100" s="1127">
        <f t="shared" si="1"/>
        <v>7.9883516992620487E-2</v>
      </c>
    </row>
    <row r="101" spans="2:7" ht="15.75" thickBot="1" x14ac:dyDescent="0.3">
      <c r="B101" s="1593" t="s">
        <v>872</v>
      </c>
      <c r="C101" s="1594" t="s">
        <v>825</v>
      </c>
      <c r="D101" s="1594" t="s">
        <v>256</v>
      </c>
      <c r="E101" s="1595">
        <v>380.96</v>
      </c>
      <c r="F101" s="1603">
        <f>'Site Based Respite FY26'!U33</f>
        <v>410.36</v>
      </c>
      <c r="G101" s="1127">
        <f t="shared" si="1"/>
        <v>7.7173456530869475E-2</v>
      </c>
    </row>
    <row r="102" spans="2:7" ht="15.75" thickBot="1" x14ac:dyDescent="0.3">
      <c r="B102" s="1593" t="s">
        <v>873</v>
      </c>
      <c r="C102" s="1594" t="s">
        <v>825</v>
      </c>
      <c r="D102" s="1594" t="s">
        <v>874</v>
      </c>
      <c r="E102" s="1595">
        <v>63.32</v>
      </c>
      <c r="F102" s="1603">
        <f>'Unbundled IFC Support'!O42</f>
        <v>67.436557755070041</v>
      </c>
      <c r="G102" s="1127">
        <f t="shared" si="1"/>
        <v>6.5011967073121291E-2</v>
      </c>
    </row>
    <row r="103" spans="2:7" ht="15.75" thickBot="1" x14ac:dyDescent="0.3">
      <c r="B103" s="1593" t="s">
        <v>875</v>
      </c>
      <c r="C103" s="1594" t="s">
        <v>822</v>
      </c>
      <c r="D103" s="1594" t="s">
        <v>248</v>
      </c>
      <c r="E103" s="1595">
        <v>40.869999999999997</v>
      </c>
      <c r="F103" s="1595">
        <f>'MCB FAMS FY26'!F26</f>
        <v>42.13</v>
      </c>
      <c r="G103" s="1127">
        <f t="shared" si="1"/>
        <v>3.0829459261071817E-2</v>
      </c>
    </row>
  </sheetData>
  <mergeCells count="7">
    <mergeCell ref="B75:E75"/>
    <mergeCell ref="I35:M51"/>
    <mergeCell ref="B41:E41"/>
    <mergeCell ref="B44:E44"/>
    <mergeCell ref="B63:E63"/>
    <mergeCell ref="B65:E65"/>
    <mergeCell ref="B68:E6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F37F2-E442-4892-AC8E-83EF5C844CB2}">
  <dimension ref="B2:J29"/>
  <sheetViews>
    <sheetView zoomScaleNormal="100" workbookViewId="0">
      <selection activeCell="I50" sqref="I50"/>
    </sheetView>
  </sheetViews>
  <sheetFormatPr defaultRowHeight="12.75" x14ac:dyDescent="0.2"/>
  <cols>
    <col min="1" max="1" width="9.140625" style="464"/>
    <col min="2" max="2" width="25.85546875" style="464" customWidth="1"/>
    <col min="3" max="3" width="10.28515625" style="464" customWidth="1"/>
    <col min="4" max="4" width="9.140625" style="464"/>
    <col min="5" max="5" width="11.85546875" style="464" customWidth="1"/>
    <col min="6" max="6" width="15.5703125" style="464" customWidth="1"/>
    <col min="7" max="7" width="37.5703125" style="464" customWidth="1"/>
    <col min="8" max="8" width="11.5703125" style="464" bestFit="1" customWidth="1"/>
    <col min="9" max="9" width="10" style="464" bestFit="1" customWidth="1"/>
    <col min="10" max="10" width="11" style="464" customWidth="1"/>
    <col min="11" max="16384" width="9.140625" style="464"/>
  </cols>
  <sheetData>
    <row r="2" spans="2:10" ht="13.5" thickBot="1" x14ac:dyDescent="0.25"/>
    <row r="3" spans="2:10" ht="13.5" thickBot="1" x14ac:dyDescent="0.25">
      <c r="G3" s="1718" t="s">
        <v>337</v>
      </c>
      <c r="H3" s="1719"/>
      <c r="I3" s="1719"/>
      <c r="J3" s="1720"/>
    </row>
    <row r="4" spans="2:10" ht="13.5" thickBot="1" x14ac:dyDescent="0.25">
      <c r="G4" s="1070"/>
      <c r="H4" s="1241" t="s">
        <v>600</v>
      </c>
      <c r="I4" s="1241" t="s">
        <v>599</v>
      </c>
      <c r="J4" s="1242" t="s">
        <v>459</v>
      </c>
    </row>
    <row r="5" spans="2:10" ht="26.25" thickBot="1" x14ac:dyDescent="0.25">
      <c r="B5" s="1721" t="s">
        <v>531</v>
      </c>
      <c r="C5" s="1722"/>
      <c r="D5" s="1723"/>
      <c r="E5" s="763" t="s">
        <v>538</v>
      </c>
      <c r="F5" s="464">
        <v>1</v>
      </c>
      <c r="G5" s="666" t="str">
        <f>IF(INDEX('Master Lookup'!$B$487:$B$489,F5)=0,"",INDEX('Master Lookup'!$B$487:$B$489,F5))</f>
        <v>Management</v>
      </c>
      <c r="H5" s="379">
        <f>INDEX('Master Lookup FY26'!D487:D489,MATCH(G5,'Master Lookup FY26'!B487:B489,0))</f>
        <v>81486.911999999997</v>
      </c>
      <c r="I5" s="1243">
        <f>IFERROR(INDEX('Master Lookup'!$E$487:$E$489,MATCH(G5,'Master Lookup'!$B$487:$B$489,0)),"")</f>
        <v>1</v>
      </c>
      <c r="J5" s="1244">
        <f>H5*I5</f>
        <v>81486.911999999997</v>
      </c>
    </row>
    <row r="6" spans="2:10" ht="13.5" thickBot="1" x14ac:dyDescent="0.25">
      <c r="B6" s="1119" t="s">
        <v>527</v>
      </c>
      <c r="C6" s="1118" t="s">
        <v>43</v>
      </c>
      <c r="D6" s="1117" t="s">
        <v>503</v>
      </c>
      <c r="E6" s="1105">
        <v>2080</v>
      </c>
      <c r="F6" s="464">
        <v>2</v>
      </c>
      <c r="G6" s="666" t="str">
        <f>IF(INDEX('Master Lookup'!$B$487:$B$489,F6)=0,"",INDEX('Master Lookup'!$B$487:$B$489,F6))</f>
        <v>Direct Care</v>
      </c>
      <c r="H6" s="379">
        <f>INDEX('Master Lookup FY26'!D488:D490,MATCH(G6,'Master Lookup FY26'!B488:B490,0))</f>
        <v>46842.432000000008</v>
      </c>
      <c r="I6" s="1243">
        <f>IFERROR(INDEX('Master Lookup'!$E$487:$E$489,MATCH(G6,'Master Lookup'!$B$487:$B$489,0)),"")</f>
        <v>3</v>
      </c>
      <c r="J6" s="113">
        <f>H6*I6</f>
        <v>140527.29600000003</v>
      </c>
    </row>
    <row r="7" spans="2:10" x14ac:dyDescent="0.2">
      <c r="B7" s="1116" t="s">
        <v>525</v>
      </c>
      <c r="C7" s="1111">
        <v>120</v>
      </c>
      <c r="D7" s="1115">
        <v>2</v>
      </c>
      <c r="E7" s="1109">
        <f>D7*C7</f>
        <v>240</v>
      </c>
      <c r="F7" s="464">
        <v>3</v>
      </c>
      <c r="G7" s="666" t="str">
        <f>IF(INDEX('Master Lookup'!$B$487:$B$489,F7)=0,"",INDEX('Master Lookup'!$B$487:$B$489,F7))</f>
        <v>Clerical Support</v>
      </c>
      <c r="H7" s="379">
        <f>INDEX('Master Lookup FY26'!D489:D491,MATCH(G7,'Master Lookup FY26'!B489:B491,0))</f>
        <v>46842.432000000008</v>
      </c>
      <c r="I7" s="1243">
        <f>IFERROR(INDEX('Master Lookup'!$E$487:$E$489,MATCH(G7,'Master Lookup'!$B$487:$B$489,0)),"")</f>
        <v>1</v>
      </c>
      <c r="J7" s="113">
        <f>H7*I7</f>
        <v>46842.432000000008</v>
      </c>
    </row>
    <row r="8" spans="2:10" x14ac:dyDescent="0.2">
      <c r="B8" s="1114" t="s">
        <v>522</v>
      </c>
      <c r="C8" s="1111">
        <v>10</v>
      </c>
      <c r="D8" s="1113">
        <v>2.5</v>
      </c>
      <c r="E8" s="1109">
        <f>D8*C8</f>
        <v>25</v>
      </c>
      <c r="G8" s="1245"/>
      <c r="H8" s="1246"/>
      <c r="I8" s="793"/>
      <c r="J8" s="1247"/>
    </row>
    <row r="9" spans="2:10" ht="13.5" thickBot="1" x14ac:dyDescent="0.25">
      <c r="B9" s="1112" t="s">
        <v>521</v>
      </c>
      <c r="C9" s="1111">
        <v>40</v>
      </c>
      <c r="D9" s="1110">
        <v>1</v>
      </c>
      <c r="E9" s="1109">
        <f>D9*C9</f>
        <v>40</v>
      </c>
      <c r="G9" s="676" t="s">
        <v>457</v>
      </c>
      <c r="H9" s="1248"/>
      <c r="I9" s="1249">
        <f>SUM(I5:I8)</f>
        <v>5</v>
      </c>
      <c r="J9" s="1250">
        <f>SUM(J5:J8)</f>
        <v>268856.64000000007</v>
      </c>
    </row>
    <row r="10" spans="2:10" ht="13.5" thickBot="1" x14ac:dyDescent="0.25">
      <c r="B10" s="1108" t="s">
        <v>518</v>
      </c>
      <c r="C10" s="1107"/>
      <c r="D10" s="1106"/>
      <c r="E10" s="1105">
        <f>SUM(E7:E9)</f>
        <v>305</v>
      </c>
      <c r="G10" s="1251" t="s">
        <v>322</v>
      </c>
      <c r="H10" s="1252"/>
      <c r="I10" s="426">
        <f>INDEX('Master Lookup FY26'!C498:C500,MATCH(G10,'Master Lookup FY26'!B498:B500,0))</f>
        <v>0.24970000000000001</v>
      </c>
      <c r="J10" s="1253">
        <f>J9*I10</f>
        <v>67133.503008000014</v>
      </c>
    </row>
    <row r="11" spans="2:10" ht="13.5" thickBot="1" x14ac:dyDescent="0.25">
      <c r="B11" s="1104" t="s">
        <v>517</v>
      </c>
      <c r="C11" s="1103"/>
      <c r="D11" s="1102"/>
      <c r="E11" s="1101">
        <f>E6-E10</f>
        <v>1775</v>
      </c>
      <c r="G11" s="1254" t="s">
        <v>550</v>
      </c>
      <c r="H11" s="1255"/>
      <c r="I11" s="1255"/>
      <c r="J11" s="1256">
        <f>SUM(J9:J10)</f>
        <v>335990.1430080001</v>
      </c>
    </row>
    <row r="12" spans="2:10" x14ac:dyDescent="0.2">
      <c r="G12" s="1257"/>
      <c r="H12" s="1258"/>
      <c r="I12" s="1258"/>
      <c r="J12" s="1259"/>
    </row>
    <row r="13" spans="2:10" x14ac:dyDescent="0.2">
      <c r="G13" s="1257" t="s">
        <v>326</v>
      </c>
      <c r="H13" s="1260"/>
      <c r="I13" s="1260"/>
      <c r="J13" s="1261"/>
    </row>
    <row r="14" spans="2:10" x14ac:dyDescent="0.2">
      <c r="G14" s="464" t="s">
        <v>286</v>
      </c>
      <c r="H14" s="1260"/>
      <c r="I14" s="379">
        <f>INDEX('Master Lookup FY26'!C494:C495,MATCH(G14,'Master Lookup FY26'!B494:B495,0))</f>
        <v>3236.4891574928697</v>
      </c>
      <c r="J14" s="1262">
        <f>I14*(I6+I7)</f>
        <v>12945.956629971479</v>
      </c>
    </row>
    <row r="15" spans="2:10" x14ac:dyDescent="0.2">
      <c r="G15" s="427" t="s">
        <v>294</v>
      </c>
      <c r="H15" s="971"/>
      <c r="I15" s="379">
        <f>INDEX('Master Lookup FY26'!C495:C496,MATCH(G15,'Master Lookup FY26'!B495:B496,0))</f>
        <v>1766.2389753369646</v>
      </c>
      <c r="J15" s="1262">
        <f>I15*(I7+I8)</f>
        <v>1766.2389753369646</v>
      </c>
    </row>
    <row r="16" spans="2:10" ht="13.5" thickBot="1" x14ac:dyDescent="0.25">
      <c r="F16" s="464">
        <v>1</v>
      </c>
      <c r="G16" s="1254" t="s">
        <v>492</v>
      </c>
      <c r="H16" s="994"/>
      <c r="I16" s="994"/>
      <c r="J16" s="1263">
        <f>SUM(J14:J15)</f>
        <v>14712.195605308443</v>
      </c>
    </row>
    <row r="17" spans="6:10" ht="13.5" thickTop="1" x14ac:dyDescent="0.2">
      <c r="F17" s="464">
        <v>2</v>
      </c>
      <c r="G17" s="1257"/>
      <c r="H17" s="340"/>
      <c r="I17" s="340"/>
      <c r="J17" s="1264"/>
    </row>
    <row r="18" spans="6:10" x14ac:dyDescent="0.2">
      <c r="G18" s="1195" t="s">
        <v>491</v>
      </c>
      <c r="H18" s="790"/>
      <c r="I18" s="1265"/>
      <c r="J18" s="1266">
        <f>J16+J11</f>
        <v>350702.33861330856</v>
      </c>
    </row>
    <row r="19" spans="6:10" x14ac:dyDescent="0.2">
      <c r="G19" s="365" t="s">
        <v>570</v>
      </c>
      <c r="H19" s="426"/>
      <c r="I19" s="426">
        <f>'Master Lookup FY26'!C498</f>
        <v>0.24970000000000001</v>
      </c>
      <c r="J19" s="113">
        <f>J18*I19</f>
        <v>87570.373951743153</v>
      </c>
    </row>
    <row r="20" spans="6:10" x14ac:dyDescent="0.2">
      <c r="G20" s="990" t="s">
        <v>569</v>
      </c>
      <c r="H20" s="426"/>
      <c r="I20" s="836">
        <f>'Master Lookup FY26'!C499</f>
        <v>2.5282070971092779E-2</v>
      </c>
      <c r="J20" s="113">
        <f>I20*(J18+J19)</f>
        <v>11080.441823762983</v>
      </c>
    </row>
    <row r="21" spans="6:10" ht="13.5" thickBot="1" x14ac:dyDescent="0.25">
      <c r="G21" s="1267" t="s">
        <v>490</v>
      </c>
      <c r="H21" s="1013"/>
      <c r="I21" s="1268"/>
      <c r="J21" s="1263">
        <f>SUM(J18:J20)</f>
        <v>449353.1543888147</v>
      </c>
    </row>
    <row r="22" spans="6:10" ht="13.5" thickTop="1" x14ac:dyDescent="0.2">
      <c r="G22" s="365" t="s">
        <v>43</v>
      </c>
      <c r="H22" s="340">
        <v>1775</v>
      </c>
      <c r="I22" s="340"/>
      <c r="J22" s="1269">
        <f>J21/E11</f>
        <v>253.15670669792377</v>
      </c>
    </row>
    <row r="23" spans="6:10" ht="13.5" thickBot="1" x14ac:dyDescent="0.25">
      <c r="G23" s="905" t="s">
        <v>598</v>
      </c>
      <c r="H23" s="786"/>
      <c r="I23" s="786"/>
      <c r="J23" s="1270">
        <f>J22/8+0.24</f>
        <v>31.884588337240469</v>
      </c>
    </row>
    <row r="24" spans="6:10" x14ac:dyDescent="0.2">
      <c r="I24" s="464" t="s">
        <v>718</v>
      </c>
      <c r="J24" s="464">
        <v>26.75</v>
      </c>
    </row>
    <row r="25" spans="6:10" x14ac:dyDescent="0.2">
      <c r="I25" s="464" t="s">
        <v>602</v>
      </c>
      <c r="J25" s="1099">
        <f>(J23-J24)/J24</f>
        <v>0.19194722756039137</v>
      </c>
    </row>
    <row r="28" spans="6:10" x14ac:dyDescent="0.2">
      <c r="J28" s="1100"/>
    </row>
    <row r="29" spans="6:10" x14ac:dyDescent="0.2">
      <c r="J29" s="1099"/>
    </row>
  </sheetData>
  <mergeCells count="2">
    <mergeCell ref="G3:J3"/>
    <mergeCell ref="B5:D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15AAF-F3A0-4B91-AA2F-26439E6329FF}">
  <sheetPr>
    <pageSetUpPr fitToPage="1"/>
  </sheetPr>
  <dimension ref="A1:I46"/>
  <sheetViews>
    <sheetView zoomScaleNormal="100" workbookViewId="0">
      <selection activeCell="I50" sqref="I50"/>
    </sheetView>
  </sheetViews>
  <sheetFormatPr defaultRowHeight="12.75" x14ac:dyDescent="0.2"/>
  <cols>
    <col min="1" max="2" width="5.5703125" style="115" customWidth="1"/>
    <col min="3" max="3" width="32.42578125" style="115" customWidth="1"/>
    <col min="4" max="4" width="8.5703125" style="115" bestFit="1" customWidth="1"/>
    <col min="5" max="5" width="8.85546875" style="115" customWidth="1"/>
    <col min="6" max="6" width="9.85546875" style="115" bestFit="1" customWidth="1"/>
    <col min="7" max="7" width="7.5703125" style="115" customWidth="1"/>
    <col min="8" max="8" width="25.85546875" style="115" bestFit="1" customWidth="1"/>
    <col min="9" max="9" width="15.7109375" style="115" bestFit="1" customWidth="1"/>
    <col min="10" max="235" width="9.140625" style="115"/>
    <col min="236" max="236" width="27.7109375" style="115" customWidth="1"/>
    <col min="237" max="237" width="32.85546875" style="115" bestFit="1" customWidth="1"/>
    <col min="238" max="238" width="11.5703125" style="115" bestFit="1" customWidth="1"/>
    <col min="239" max="239" width="9.7109375" style="115" customWidth="1"/>
    <col min="240" max="240" width="12" style="115" customWidth="1"/>
    <col min="241" max="241" width="30.140625" style="115" customWidth="1"/>
    <col min="242" max="242" width="12" style="115" customWidth="1"/>
    <col min="243" max="243" width="12.140625" style="115" customWidth="1"/>
    <col min="244" max="491" width="9.140625" style="115"/>
    <col min="492" max="492" width="27.7109375" style="115" customWidth="1"/>
    <col min="493" max="493" width="32.85546875" style="115" bestFit="1" customWidth="1"/>
    <col min="494" max="494" width="11.5703125" style="115" bestFit="1" customWidth="1"/>
    <col min="495" max="495" width="9.7109375" style="115" customWidth="1"/>
    <col min="496" max="496" width="12" style="115" customWidth="1"/>
    <col min="497" max="497" width="30.140625" style="115" customWidth="1"/>
    <col min="498" max="498" width="12" style="115" customWidth="1"/>
    <col min="499" max="499" width="12.140625" style="115" customWidth="1"/>
    <col min="500" max="747" width="9.140625" style="115"/>
    <col min="748" max="748" width="27.7109375" style="115" customWidth="1"/>
    <col min="749" max="749" width="32.85546875" style="115" bestFit="1" customWidth="1"/>
    <col min="750" max="750" width="11.5703125" style="115" bestFit="1" customWidth="1"/>
    <col min="751" max="751" width="9.7109375" style="115" customWidth="1"/>
    <col min="752" max="752" width="12" style="115" customWidth="1"/>
    <col min="753" max="753" width="30.140625" style="115" customWidth="1"/>
    <col min="754" max="754" width="12" style="115" customWidth="1"/>
    <col min="755" max="755" width="12.140625" style="115" customWidth="1"/>
    <col min="756" max="1003" width="9.140625" style="115"/>
    <col min="1004" max="1004" width="27.7109375" style="115" customWidth="1"/>
    <col min="1005" max="1005" width="32.85546875" style="115" bestFit="1" customWidth="1"/>
    <col min="1006" max="1006" width="11.5703125" style="115" bestFit="1" customWidth="1"/>
    <col min="1007" max="1007" width="9.7109375" style="115" customWidth="1"/>
    <col min="1008" max="1008" width="12" style="115" customWidth="1"/>
    <col min="1009" max="1009" width="30.140625" style="115" customWidth="1"/>
    <col min="1010" max="1010" width="12" style="115" customWidth="1"/>
    <col min="1011" max="1011" width="12.140625" style="115" customWidth="1"/>
    <col min="1012" max="1259" width="9.140625" style="115"/>
    <col min="1260" max="1260" width="27.7109375" style="115" customWidth="1"/>
    <col min="1261" max="1261" width="32.85546875" style="115" bestFit="1" customWidth="1"/>
    <col min="1262" max="1262" width="11.5703125" style="115" bestFit="1" customWidth="1"/>
    <col min="1263" max="1263" width="9.7109375" style="115" customWidth="1"/>
    <col min="1264" max="1264" width="12" style="115" customWidth="1"/>
    <col min="1265" max="1265" width="30.140625" style="115" customWidth="1"/>
    <col min="1266" max="1266" width="12" style="115" customWidth="1"/>
    <col min="1267" max="1267" width="12.140625" style="115" customWidth="1"/>
    <col min="1268" max="1515" width="9.140625" style="115"/>
    <col min="1516" max="1516" width="27.7109375" style="115" customWidth="1"/>
    <col min="1517" max="1517" width="32.85546875" style="115" bestFit="1" customWidth="1"/>
    <col min="1518" max="1518" width="11.5703125" style="115" bestFit="1" customWidth="1"/>
    <col min="1519" max="1519" width="9.7109375" style="115" customWidth="1"/>
    <col min="1520" max="1520" width="12" style="115" customWidth="1"/>
    <col min="1521" max="1521" width="30.140625" style="115" customWidth="1"/>
    <col min="1522" max="1522" width="12" style="115" customWidth="1"/>
    <col min="1523" max="1523" width="12.140625" style="115" customWidth="1"/>
    <col min="1524" max="1771" width="9.140625" style="115"/>
    <col min="1772" max="1772" width="27.7109375" style="115" customWidth="1"/>
    <col min="1773" max="1773" width="32.85546875" style="115" bestFit="1" customWidth="1"/>
    <col min="1774" max="1774" width="11.5703125" style="115" bestFit="1" customWidth="1"/>
    <col min="1775" max="1775" width="9.7109375" style="115" customWidth="1"/>
    <col min="1776" max="1776" width="12" style="115" customWidth="1"/>
    <col min="1777" max="1777" width="30.140625" style="115" customWidth="1"/>
    <col min="1778" max="1778" width="12" style="115" customWidth="1"/>
    <col min="1779" max="1779" width="12.140625" style="115" customWidth="1"/>
    <col min="1780" max="2027" width="9.140625" style="115"/>
    <col min="2028" max="2028" width="27.7109375" style="115" customWidth="1"/>
    <col min="2029" max="2029" width="32.85546875" style="115" bestFit="1" customWidth="1"/>
    <col min="2030" max="2030" width="11.5703125" style="115" bestFit="1" customWidth="1"/>
    <col min="2031" max="2031" width="9.7109375" style="115" customWidth="1"/>
    <col min="2032" max="2032" width="12" style="115" customWidth="1"/>
    <col min="2033" max="2033" width="30.140625" style="115" customWidth="1"/>
    <col min="2034" max="2034" width="12" style="115" customWidth="1"/>
    <col min="2035" max="2035" width="12.140625" style="115" customWidth="1"/>
    <col min="2036" max="2283" width="9.140625" style="115"/>
    <col min="2284" max="2284" width="27.7109375" style="115" customWidth="1"/>
    <col min="2285" max="2285" width="32.85546875" style="115" bestFit="1" customWidth="1"/>
    <col min="2286" max="2286" width="11.5703125" style="115" bestFit="1" customWidth="1"/>
    <col min="2287" max="2287" width="9.7109375" style="115" customWidth="1"/>
    <col min="2288" max="2288" width="12" style="115" customWidth="1"/>
    <col min="2289" max="2289" width="30.140625" style="115" customWidth="1"/>
    <col min="2290" max="2290" width="12" style="115" customWidth="1"/>
    <col min="2291" max="2291" width="12.140625" style="115" customWidth="1"/>
    <col min="2292" max="2539" width="9.140625" style="115"/>
    <col min="2540" max="2540" width="27.7109375" style="115" customWidth="1"/>
    <col min="2541" max="2541" width="32.85546875" style="115" bestFit="1" customWidth="1"/>
    <col min="2542" max="2542" width="11.5703125" style="115" bestFit="1" customWidth="1"/>
    <col min="2543" max="2543" width="9.7109375" style="115" customWidth="1"/>
    <col min="2544" max="2544" width="12" style="115" customWidth="1"/>
    <col min="2545" max="2545" width="30.140625" style="115" customWidth="1"/>
    <col min="2546" max="2546" width="12" style="115" customWidth="1"/>
    <col min="2547" max="2547" width="12.140625" style="115" customWidth="1"/>
    <col min="2548" max="2795" width="9.140625" style="115"/>
    <col min="2796" max="2796" width="27.7109375" style="115" customWidth="1"/>
    <col min="2797" max="2797" width="32.85546875" style="115" bestFit="1" customWidth="1"/>
    <col min="2798" max="2798" width="11.5703125" style="115" bestFit="1" customWidth="1"/>
    <col min="2799" max="2799" width="9.7109375" style="115" customWidth="1"/>
    <col min="2800" max="2800" width="12" style="115" customWidth="1"/>
    <col min="2801" max="2801" width="30.140625" style="115" customWidth="1"/>
    <col min="2802" max="2802" width="12" style="115" customWidth="1"/>
    <col min="2803" max="2803" width="12.140625" style="115" customWidth="1"/>
    <col min="2804" max="3051" width="9.140625" style="115"/>
    <col min="3052" max="3052" width="27.7109375" style="115" customWidth="1"/>
    <col min="3053" max="3053" width="32.85546875" style="115" bestFit="1" customWidth="1"/>
    <col min="3054" max="3054" width="11.5703125" style="115" bestFit="1" customWidth="1"/>
    <col min="3055" max="3055" width="9.7109375" style="115" customWidth="1"/>
    <col min="3056" max="3056" width="12" style="115" customWidth="1"/>
    <col min="3057" max="3057" width="30.140625" style="115" customWidth="1"/>
    <col min="3058" max="3058" width="12" style="115" customWidth="1"/>
    <col min="3059" max="3059" width="12.140625" style="115" customWidth="1"/>
    <col min="3060" max="3307" width="9.140625" style="115"/>
    <col min="3308" max="3308" width="27.7109375" style="115" customWidth="1"/>
    <col min="3309" max="3309" width="32.85546875" style="115" bestFit="1" customWidth="1"/>
    <col min="3310" max="3310" width="11.5703125" style="115" bestFit="1" customWidth="1"/>
    <col min="3311" max="3311" width="9.7109375" style="115" customWidth="1"/>
    <col min="3312" max="3312" width="12" style="115" customWidth="1"/>
    <col min="3313" max="3313" width="30.140625" style="115" customWidth="1"/>
    <col min="3314" max="3314" width="12" style="115" customWidth="1"/>
    <col min="3315" max="3315" width="12.140625" style="115" customWidth="1"/>
    <col min="3316" max="3563" width="9.140625" style="115"/>
    <col min="3564" max="3564" width="27.7109375" style="115" customWidth="1"/>
    <col min="3565" max="3565" width="32.85546875" style="115" bestFit="1" customWidth="1"/>
    <col min="3566" max="3566" width="11.5703125" style="115" bestFit="1" customWidth="1"/>
    <col min="3567" max="3567" width="9.7109375" style="115" customWidth="1"/>
    <col min="3568" max="3568" width="12" style="115" customWidth="1"/>
    <col min="3569" max="3569" width="30.140625" style="115" customWidth="1"/>
    <col min="3570" max="3570" width="12" style="115" customWidth="1"/>
    <col min="3571" max="3571" width="12.140625" style="115" customWidth="1"/>
    <col min="3572" max="3819" width="9.140625" style="115"/>
    <col min="3820" max="3820" width="27.7109375" style="115" customWidth="1"/>
    <col min="3821" max="3821" width="32.85546875" style="115" bestFit="1" customWidth="1"/>
    <col min="3822" max="3822" width="11.5703125" style="115" bestFit="1" customWidth="1"/>
    <col min="3823" max="3823" width="9.7109375" style="115" customWidth="1"/>
    <col min="3824" max="3824" width="12" style="115" customWidth="1"/>
    <col min="3825" max="3825" width="30.140625" style="115" customWidth="1"/>
    <col min="3826" max="3826" width="12" style="115" customWidth="1"/>
    <col min="3827" max="3827" width="12.140625" style="115" customWidth="1"/>
    <col min="3828" max="4075" width="9.140625" style="115"/>
    <col min="4076" max="4076" width="27.7109375" style="115" customWidth="1"/>
    <col min="4077" max="4077" width="32.85546875" style="115" bestFit="1" customWidth="1"/>
    <col min="4078" max="4078" width="11.5703125" style="115" bestFit="1" customWidth="1"/>
    <col min="4079" max="4079" width="9.7109375" style="115" customWidth="1"/>
    <col min="4080" max="4080" width="12" style="115" customWidth="1"/>
    <col min="4081" max="4081" width="30.140625" style="115" customWidth="1"/>
    <col min="4082" max="4082" width="12" style="115" customWidth="1"/>
    <col min="4083" max="4083" width="12.140625" style="115" customWidth="1"/>
    <col min="4084" max="4331" width="9.140625" style="115"/>
    <col min="4332" max="4332" width="27.7109375" style="115" customWidth="1"/>
    <col min="4333" max="4333" width="32.85546875" style="115" bestFit="1" customWidth="1"/>
    <col min="4334" max="4334" width="11.5703125" style="115" bestFit="1" customWidth="1"/>
    <col min="4335" max="4335" width="9.7109375" style="115" customWidth="1"/>
    <col min="4336" max="4336" width="12" style="115" customWidth="1"/>
    <col min="4337" max="4337" width="30.140625" style="115" customWidth="1"/>
    <col min="4338" max="4338" width="12" style="115" customWidth="1"/>
    <col min="4339" max="4339" width="12.140625" style="115" customWidth="1"/>
    <col min="4340" max="4587" width="9.140625" style="115"/>
    <col min="4588" max="4588" width="27.7109375" style="115" customWidth="1"/>
    <col min="4589" max="4589" width="32.85546875" style="115" bestFit="1" customWidth="1"/>
    <col min="4590" max="4590" width="11.5703125" style="115" bestFit="1" customWidth="1"/>
    <col min="4591" max="4591" width="9.7109375" style="115" customWidth="1"/>
    <col min="4592" max="4592" width="12" style="115" customWidth="1"/>
    <col min="4593" max="4593" width="30.140625" style="115" customWidth="1"/>
    <col min="4594" max="4594" width="12" style="115" customWidth="1"/>
    <col min="4595" max="4595" width="12.140625" style="115" customWidth="1"/>
    <col min="4596" max="4843" width="9.140625" style="115"/>
    <col min="4844" max="4844" width="27.7109375" style="115" customWidth="1"/>
    <col min="4845" max="4845" width="32.85546875" style="115" bestFit="1" customWidth="1"/>
    <col min="4846" max="4846" width="11.5703125" style="115" bestFit="1" customWidth="1"/>
    <col min="4847" max="4847" width="9.7109375" style="115" customWidth="1"/>
    <col min="4848" max="4848" width="12" style="115" customWidth="1"/>
    <col min="4849" max="4849" width="30.140625" style="115" customWidth="1"/>
    <col min="4850" max="4850" width="12" style="115" customWidth="1"/>
    <col min="4851" max="4851" width="12.140625" style="115" customWidth="1"/>
    <col min="4852" max="5099" width="9.140625" style="115"/>
    <col min="5100" max="5100" width="27.7109375" style="115" customWidth="1"/>
    <col min="5101" max="5101" width="32.85546875" style="115" bestFit="1" customWidth="1"/>
    <col min="5102" max="5102" width="11.5703125" style="115" bestFit="1" customWidth="1"/>
    <col min="5103" max="5103" width="9.7109375" style="115" customWidth="1"/>
    <col min="5104" max="5104" width="12" style="115" customWidth="1"/>
    <col min="5105" max="5105" width="30.140625" style="115" customWidth="1"/>
    <col min="5106" max="5106" width="12" style="115" customWidth="1"/>
    <col min="5107" max="5107" width="12.140625" style="115" customWidth="1"/>
    <col min="5108" max="5355" width="9.140625" style="115"/>
    <col min="5356" max="5356" width="27.7109375" style="115" customWidth="1"/>
    <col min="5357" max="5357" width="32.85546875" style="115" bestFit="1" customWidth="1"/>
    <col min="5358" max="5358" width="11.5703125" style="115" bestFit="1" customWidth="1"/>
    <col min="5359" max="5359" width="9.7109375" style="115" customWidth="1"/>
    <col min="5360" max="5360" width="12" style="115" customWidth="1"/>
    <col min="5361" max="5361" width="30.140625" style="115" customWidth="1"/>
    <col min="5362" max="5362" width="12" style="115" customWidth="1"/>
    <col min="5363" max="5363" width="12.140625" style="115" customWidth="1"/>
    <col min="5364" max="5611" width="9.140625" style="115"/>
    <col min="5612" max="5612" width="27.7109375" style="115" customWidth="1"/>
    <col min="5613" max="5613" width="32.85546875" style="115" bestFit="1" customWidth="1"/>
    <col min="5614" max="5614" width="11.5703125" style="115" bestFit="1" customWidth="1"/>
    <col min="5615" max="5615" width="9.7109375" style="115" customWidth="1"/>
    <col min="5616" max="5616" width="12" style="115" customWidth="1"/>
    <col min="5617" max="5617" width="30.140625" style="115" customWidth="1"/>
    <col min="5618" max="5618" width="12" style="115" customWidth="1"/>
    <col min="5619" max="5619" width="12.140625" style="115" customWidth="1"/>
    <col min="5620" max="5867" width="9.140625" style="115"/>
    <col min="5868" max="5868" width="27.7109375" style="115" customWidth="1"/>
    <col min="5869" max="5869" width="32.85546875" style="115" bestFit="1" customWidth="1"/>
    <col min="5870" max="5870" width="11.5703125" style="115" bestFit="1" customWidth="1"/>
    <col min="5871" max="5871" width="9.7109375" style="115" customWidth="1"/>
    <col min="5872" max="5872" width="12" style="115" customWidth="1"/>
    <col min="5873" max="5873" width="30.140625" style="115" customWidth="1"/>
    <col min="5874" max="5874" width="12" style="115" customWidth="1"/>
    <col min="5875" max="5875" width="12.140625" style="115" customWidth="1"/>
    <col min="5876" max="6123" width="9.140625" style="115"/>
    <col min="6124" max="6124" width="27.7109375" style="115" customWidth="1"/>
    <col min="6125" max="6125" width="32.85546875" style="115" bestFit="1" customWidth="1"/>
    <col min="6126" max="6126" width="11.5703125" style="115" bestFit="1" customWidth="1"/>
    <col min="6127" max="6127" width="9.7109375" style="115" customWidth="1"/>
    <col min="6128" max="6128" width="12" style="115" customWidth="1"/>
    <col min="6129" max="6129" width="30.140625" style="115" customWidth="1"/>
    <col min="6130" max="6130" width="12" style="115" customWidth="1"/>
    <col min="6131" max="6131" width="12.140625" style="115" customWidth="1"/>
    <col min="6132" max="6379" width="9.140625" style="115"/>
    <col min="6380" max="6380" width="27.7109375" style="115" customWidth="1"/>
    <col min="6381" max="6381" width="32.85546875" style="115" bestFit="1" customWidth="1"/>
    <col min="6382" max="6382" width="11.5703125" style="115" bestFit="1" customWidth="1"/>
    <col min="6383" max="6383" width="9.7109375" style="115" customWidth="1"/>
    <col min="6384" max="6384" width="12" style="115" customWidth="1"/>
    <col min="6385" max="6385" width="30.140625" style="115" customWidth="1"/>
    <col min="6386" max="6386" width="12" style="115" customWidth="1"/>
    <col min="6387" max="6387" width="12.140625" style="115" customWidth="1"/>
    <col min="6388" max="6635" width="9.140625" style="115"/>
    <col min="6636" max="6636" width="27.7109375" style="115" customWidth="1"/>
    <col min="6637" max="6637" width="32.85546875" style="115" bestFit="1" customWidth="1"/>
    <col min="6638" max="6638" width="11.5703125" style="115" bestFit="1" customWidth="1"/>
    <col min="6639" max="6639" width="9.7109375" style="115" customWidth="1"/>
    <col min="6640" max="6640" width="12" style="115" customWidth="1"/>
    <col min="6641" max="6641" width="30.140625" style="115" customWidth="1"/>
    <col min="6642" max="6642" width="12" style="115" customWidth="1"/>
    <col min="6643" max="6643" width="12.140625" style="115" customWidth="1"/>
    <col min="6644" max="6891" width="9.140625" style="115"/>
    <col min="6892" max="6892" width="27.7109375" style="115" customWidth="1"/>
    <col min="6893" max="6893" width="32.85546875" style="115" bestFit="1" customWidth="1"/>
    <col min="6894" max="6894" width="11.5703125" style="115" bestFit="1" customWidth="1"/>
    <col min="6895" max="6895" width="9.7109375" style="115" customWidth="1"/>
    <col min="6896" max="6896" width="12" style="115" customWidth="1"/>
    <col min="6897" max="6897" width="30.140625" style="115" customWidth="1"/>
    <col min="6898" max="6898" width="12" style="115" customWidth="1"/>
    <col min="6899" max="6899" width="12.140625" style="115" customWidth="1"/>
    <col min="6900" max="7147" width="9.140625" style="115"/>
    <col min="7148" max="7148" width="27.7109375" style="115" customWidth="1"/>
    <col min="7149" max="7149" width="32.85546875" style="115" bestFit="1" customWidth="1"/>
    <col min="7150" max="7150" width="11.5703125" style="115" bestFit="1" customWidth="1"/>
    <col min="7151" max="7151" width="9.7109375" style="115" customWidth="1"/>
    <col min="7152" max="7152" width="12" style="115" customWidth="1"/>
    <col min="7153" max="7153" width="30.140625" style="115" customWidth="1"/>
    <col min="7154" max="7154" width="12" style="115" customWidth="1"/>
    <col min="7155" max="7155" width="12.140625" style="115" customWidth="1"/>
    <col min="7156" max="7403" width="9.140625" style="115"/>
    <col min="7404" max="7404" width="27.7109375" style="115" customWidth="1"/>
    <col min="7405" max="7405" width="32.85546875" style="115" bestFit="1" customWidth="1"/>
    <col min="7406" max="7406" width="11.5703125" style="115" bestFit="1" customWidth="1"/>
    <col min="7407" max="7407" width="9.7109375" style="115" customWidth="1"/>
    <col min="7408" max="7408" width="12" style="115" customWidth="1"/>
    <col min="7409" max="7409" width="30.140625" style="115" customWidth="1"/>
    <col min="7410" max="7410" width="12" style="115" customWidth="1"/>
    <col min="7411" max="7411" width="12.140625" style="115" customWidth="1"/>
    <col min="7412" max="7659" width="9.140625" style="115"/>
    <col min="7660" max="7660" width="27.7109375" style="115" customWidth="1"/>
    <col min="7661" max="7661" width="32.85546875" style="115" bestFit="1" customWidth="1"/>
    <col min="7662" max="7662" width="11.5703125" style="115" bestFit="1" customWidth="1"/>
    <col min="7663" max="7663" width="9.7109375" style="115" customWidth="1"/>
    <col min="7664" max="7664" width="12" style="115" customWidth="1"/>
    <col min="7665" max="7665" width="30.140625" style="115" customWidth="1"/>
    <col min="7666" max="7666" width="12" style="115" customWidth="1"/>
    <col min="7667" max="7667" width="12.140625" style="115" customWidth="1"/>
    <col min="7668" max="7915" width="9.140625" style="115"/>
    <col min="7916" max="7916" width="27.7109375" style="115" customWidth="1"/>
    <col min="7917" max="7917" width="32.85546875" style="115" bestFit="1" customWidth="1"/>
    <col min="7918" max="7918" width="11.5703125" style="115" bestFit="1" customWidth="1"/>
    <col min="7919" max="7919" width="9.7109375" style="115" customWidth="1"/>
    <col min="7920" max="7920" width="12" style="115" customWidth="1"/>
    <col min="7921" max="7921" width="30.140625" style="115" customWidth="1"/>
    <col min="7922" max="7922" width="12" style="115" customWidth="1"/>
    <col min="7923" max="7923" width="12.140625" style="115" customWidth="1"/>
    <col min="7924" max="8171" width="9.140625" style="115"/>
    <col min="8172" max="8172" width="27.7109375" style="115" customWidth="1"/>
    <col min="8173" max="8173" width="32.85546875" style="115" bestFit="1" customWidth="1"/>
    <col min="8174" max="8174" width="11.5703125" style="115" bestFit="1" customWidth="1"/>
    <col min="8175" max="8175" width="9.7109375" style="115" customWidth="1"/>
    <col min="8176" max="8176" width="12" style="115" customWidth="1"/>
    <col min="8177" max="8177" width="30.140625" style="115" customWidth="1"/>
    <col min="8178" max="8178" width="12" style="115" customWidth="1"/>
    <col min="8179" max="8179" width="12.140625" style="115" customWidth="1"/>
    <col min="8180" max="8427" width="9.140625" style="115"/>
    <col min="8428" max="8428" width="27.7109375" style="115" customWidth="1"/>
    <col min="8429" max="8429" width="32.85546875" style="115" bestFit="1" customWidth="1"/>
    <col min="8430" max="8430" width="11.5703125" style="115" bestFit="1" customWidth="1"/>
    <col min="8431" max="8431" width="9.7109375" style="115" customWidth="1"/>
    <col min="8432" max="8432" width="12" style="115" customWidth="1"/>
    <col min="8433" max="8433" width="30.140625" style="115" customWidth="1"/>
    <col min="8434" max="8434" width="12" style="115" customWidth="1"/>
    <col min="8435" max="8435" width="12.140625" style="115" customWidth="1"/>
    <col min="8436" max="8683" width="9.140625" style="115"/>
    <col min="8684" max="8684" width="27.7109375" style="115" customWidth="1"/>
    <col min="8685" max="8685" width="32.85546875" style="115" bestFit="1" customWidth="1"/>
    <col min="8686" max="8686" width="11.5703125" style="115" bestFit="1" customWidth="1"/>
    <col min="8687" max="8687" width="9.7109375" style="115" customWidth="1"/>
    <col min="8688" max="8688" width="12" style="115" customWidth="1"/>
    <col min="8689" max="8689" width="30.140625" style="115" customWidth="1"/>
    <col min="8690" max="8690" width="12" style="115" customWidth="1"/>
    <col min="8691" max="8691" width="12.140625" style="115" customWidth="1"/>
    <col min="8692" max="8939" width="9.140625" style="115"/>
    <col min="8940" max="8940" width="27.7109375" style="115" customWidth="1"/>
    <col min="8941" max="8941" width="32.85546875" style="115" bestFit="1" customWidth="1"/>
    <col min="8942" max="8942" width="11.5703125" style="115" bestFit="1" customWidth="1"/>
    <col min="8943" max="8943" width="9.7109375" style="115" customWidth="1"/>
    <col min="8944" max="8944" width="12" style="115" customWidth="1"/>
    <col min="8945" max="8945" width="30.140625" style="115" customWidth="1"/>
    <col min="8946" max="8946" width="12" style="115" customWidth="1"/>
    <col min="8947" max="8947" width="12.140625" style="115" customWidth="1"/>
    <col min="8948" max="9195" width="9.140625" style="115"/>
    <col min="9196" max="9196" width="27.7109375" style="115" customWidth="1"/>
    <col min="9197" max="9197" width="32.85546875" style="115" bestFit="1" customWidth="1"/>
    <col min="9198" max="9198" width="11.5703125" style="115" bestFit="1" customWidth="1"/>
    <col min="9199" max="9199" width="9.7109375" style="115" customWidth="1"/>
    <col min="9200" max="9200" width="12" style="115" customWidth="1"/>
    <col min="9201" max="9201" width="30.140625" style="115" customWidth="1"/>
    <col min="9202" max="9202" width="12" style="115" customWidth="1"/>
    <col min="9203" max="9203" width="12.140625" style="115" customWidth="1"/>
    <col min="9204" max="9451" width="9.140625" style="115"/>
    <col min="9452" max="9452" width="27.7109375" style="115" customWidth="1"/>
    <col min="9453" max="9453" width="32.85546875" style="115" bestFit="1" customWidth="1"/>
    <col min="9454" max="9454" width="11.5703125" style="115" bestFit="1" customWidth="1"/>
    <col min="9455" max="9455" width="9.7109375" style="115" customWidth="1"/>
    <col min="9456" max="9456" width="12" style="115" customWidth="1"/>
    <col min="9457" max="9457" width="30.140625" style="115" customWidth="1"/>
    <col min="9458" max="9458" width="12" style="115" customWidth="1"/>
    <col min="9459" max="9459" width="12.140625" style="115" customWidth="1"/>
    <col min="9460" max="9707" width="9.140625" style="115"/>
    <col min="9708" max="9708" width="27.7109375" style="115" customWidth="1"/>
    <col min="9709" max="9709" width="32.85546875" style="115" bestFit="1" customWidth="1"/>
    <col min="9710" max="9710" width="11.5703125" style="115" bestFit="1" customWidth="1"/>
    <col min="9711" max="9711" width="9.7109375" style="115" customWidth="1"/>
    <col min="9712" max="9712" width="12" style="115" customWidth="1"/>
    <col min="9713" max="9713" width="30.140625" style="115" customWidth="1"/>
    <col min="9714" max="9714" width="12" style="115" customWidth="1"/>
    <col min="9715" max="9715" width="12.140625" style="115" customWidth="1"/>
    <col min="9716" max="9963" width="9.140625" style="115"/>
    <col min="9964" max="9964" width="27.7109375" style="115" customWidth="1"/>
    <col min="9965" max="9965" width="32.85546875" style="115" bestFit="1" customWidth="1"/>
    <col min="9966" max="9966" width="11.5703125" style="115" bestFit="1" customWidth="1"/>
    <col min="9967" max="9967" width="9.7109375" style="115" customWidth="1"/>
    <col min="9968" max="9968" width="12" style="115" customWidth="1"/>
    <col min="9969" max="9969" width="30.140625" style="115" customWidth="1"/>
    <col min="9970" max="9970" width="12" style="115" customWidth="1"/>
    <col min="9971" max="9971" width="12.140625" style="115" customWidth="1"/>
    <col min="9972" max="10219" width="9.140625" style="115"/>
    <col min="10220" max="10220" width="27.7109375" style="115" customWidth="1"/>
    <col min="10221" max="10221" width="32.85546875" style="115" bestFit="1" customWidth="1"/>
    <col min="10222" max="10222" width="11.5703125" style="115" bestFit="1" customWidth="1"/>
    <col min="10223" max="10223" width="9.7109375" style="115" customWidth="1"/>
    <col min="10224" max="10224" width="12" style="115" customWidth="1"/>
    <col min="10225" max="10225" width="30.140625" style="115" customWidth="1"/>
    <col min="10226" max="10226" width="12" style="115" customWidth="1"/>
    <col min="10227" max="10227" width="12.140625" style="115" customWidth="1"/>
    <col min="10228" max="10475" width="9.140625" style="115"/>
    <col min="10476" max="10476" width="27.7109375" style="115" customWidth="1"/>
    <col min="10477" max="10477" width="32.85546875" style="115" bestFit="1" customWidth="1"/>
    <col min="10478" max="10478" width="11.5703125" style="115" bestFit="1" customWidth="1"/>
    <col min="10479" max="10479" width="9.7109375" style="115" customWidth="1"/>
    <col min="10480" max="10480" width="12" style="115" customWidth="1"/>
    <col min="10481" max="10481" width="30.140625" style="115" customWidth="1"/>
    <col min="10482" max="10482" width="12" style="115" customWidth="1"/>
    <col min="10483" max="10483" width="12.140625" style="115" customWidth="1"/>
    <col min="10484" max="10731" width="9.140625" style="115"/>
    <col min="10732" max="10732" width="27.7109375" style="115" customWidth="1"/>
    <col min="10733" max="10733" width="32.85546875" style="115" bestFit="1" customWidth="1"/>
    <col min="10734" max="10734" width="11.5703125" style="115" bestFit="1" customWidth="1"/>
    <col min="10735" max="10735" width="9.7109375" style="115" customWidth="1"/>
    <col min="10736" max="10736" width="12" style="115" customWidth="1"/>
    <col min="10737" max="10737" width="30.140625" style="115" customWidth="1"/>
    <col min="10738" max="10738" width="12" style="115" customWidth="1"/>
    <col min="10739" max="10739" width="12.140625" style="115" customWidth="1"/>
    <col min="10740" max="10987" width="9.140625" style="115"/>
    <col min="10988" max="10988" width="27.7109375" style="115" customWidth="1"/>
    <col min="10989" max="10989" width="32.85546875" style="115" bestFit="1" customWidth="1"/>
    <col min="10990" max="10990" width="11.5703125" style="115" bestFit="1" customWidth="1"/>
    <col min="10991" max="10991" width="9.7109375" style="115" customWidth="1"/>
    <col min="10992" max="10992" width="12" style="115" customWidth="1"/>
    <col min="10993" max="10993" width="30.140625" style="115" customWidth="1"/>
    <col min="10994" max="10994" width="12" style="115" customWidth="1"/>
    <col min="10995" max="10995" width="12.140625" style="115" customWidth="1"/>
    <col min="10996" max="11243" width="9.140625" style="115"/>
    <col min="11244" max="11244" width="27.7109375" style="115" customWidth="1"/>
    <col min="11245" max="11245" width="32.85546875" style="115" bestFit="1" customWidth="1"/>
    <col min="11246" max="11246" width="11.5703125" style="115" bestFit="1" customWidth="1"/>
    <col min="11247" max="11247" width="9.7109375" style="115" customWidth="1"/>
    <col min="11248" max="11248" width="12" style="115" customWidth="1"/>
    <col min="11249" max="11249" width="30.140625" style="115" customWidth="1"/>
    <col min="11250" max="11250" width="12" style="115" customWidth="1"/>
    <col min="11251" max="11251" width="12.140625" style="115" customWidth="1"/>
    <col min="11252" max="11499" width="9.140625" style="115"/>
    <col min="11500" max="11500" width="27.7109375" style="115" customWidth="1"/>
    <col min="11501" max="11501" width="32.85546875" style="115" bestFit="1" customWidth="1"/>
    <col min="11502" max="11502" width="11.5703125" style="115" bestFit="1" customWidth="1"/>
    <col min="11503" max="11503" width="9.7109375" style="115" customWidth="1"/>
    <col min="11504" max="11504" width="12" style="115" customWidth="1"/>
    <col min="11505" max="11505" width="30.140625" style="115" customWidth="1"/>
    <col min="11506" max="11506" width="12" style="115" customWidth="1"/>
    <col min="11507" max="11507" width="12.140625" style="115" customWidth="1"/>
    <col min="11508" max="11755" width="9.140625" style="115"/>
    <col min="11756" max="11756" width="27.7109375" style="115" customWidth="1"/>
    <col min="11757" max="11757" width="32.85546875" style="115" bestFit="1" customWidth="1"/>
    <col min="11758" max="11758" width="11.5703125" style="115" bestFit="1" customWidth="1"/>
    <col min="11759" max="11759" width="9.7109375" style="115" customWidth="1"/>
    <col min="11760" max="11760" width="12" style="115" customWidth="1"/>
    <col min="11761" max="11761" width="30.140625" style="115" customWidth="1"/>
    <col min="11762" max="11762" width="12" style="115" customWidth="1"/>
    <col min="11763" max="11763" width="12.140625" style="115" customWidth="1"/>
    <col min="11764" max="12011" width="9.140625" style="115"/>
    <col min="12012" max="12012" width="27.7109375" style="115" customWidth="1"/>
    <col min="12013" max="12013" width="32.85546875" style="115" bestFit="1" customWidth="1"/>
    <col min="12014" max="12014" width="11.5703125" style="115" bestFit="1" customWidth="1"/>
    <col min="12015" max="12015" width="9.7109375" style="115" customWidth="1"/>
    <col min="12016" max="12016" width="12" style="115" customWidth="1"/>
    <col min="12017" max="12017" width="30.140625" style="115" customWidth="1"/>
    <col min="12018" max="12018" width="12" style="115" customWidth="1"/>
    <col min="12019" max="12019" width="12.140625" style="115" customWidth="1"/>
    <col min="12020" max="12267" width="9.140625" style="115"/>
    <col min="12268" max="12268" width="27.7109375" style="115" customWidth="1"/>
    <col min="12269" max="12269" width="32.85546875" style="115" bestFit="1" customWidth="1"/>
    <col min="12270" max="12270" width="11.5703125" style="115" bestFit="1" customWidth="1"/>
    <col min="12271" max="12271" width="9.7109375" style="115" customWidth="1"/>
    <col min="12272" max="12272" width="12" style="115" customWidth="1"/>
    <col min="12273" max="12273" width="30.140625" style="115" customWidth="1"/>
    <col min="12274" max="12274" width="12" style="115" customWidth="1"/>
    <col min="12275" max="12275" width="12.140625" style="115" customWidth="1"/>
    <col min="12276" max="12523" width="9.140625" style="115"/>
    <col min="12524" max="12524" width="27.7109375" style="115" customWidth="1"/>
    <col min="12525" max="12525" width="32.85546875" style="115" bestFit="1" customWidth="1"/>
    <col min="12526" max="12526" width="11.5703125" style="115" bestFit="1" customWidth="1"/>
    <col min="12527" max="12527" width="9.7109375" style="115" customWidth="1"/>
    <col min="12528" max="12528" width="12" style="115" customWidth="1"/>
    <col min="12529" max="12529" width="30.140625" style="115" customWidth="1"/>
    <col min="12530" max="12530" width="12" style="115" customWidth="1"/>
    <col min="12531" max="12531" width="12.140625" style="115" customWidth="1"/>
    <col min="12532" max="12779" width="9.140625" style="115"/>
    <col min="12780" max="12780" width="27.7109375" style="115" customWidth="1"/>
    <col min="12781" max="12781" width="32.85546875" style="115" bestFit="1" customWidth="1"/>
    <col min="12782" max="12782" width="11.5703125" style="115" bestFit="1" customWidth="1"/>
    <col min="12783" max="12783" width="9.7109375" style="115" customWidth="1"/>
    <col min="12784" max="12784" width="12" style="115" customWidth="1"/>
    <col min="12785" max="12785" width="30.140625" style="115" customWidth="1"/>
    <col min="12786" max="12786" width="12" style="115" customWidth="1"/>
    <col min="12787" max="12787" width="12.140625" style="115" customWidth="1"/>
    <col min="12788" max="13035" width="9.140625" style="115"/>
    <col min="13036" max="13036" width="27.7109375" style="115" customWidth="1"/>
    <col min="13037" max="13037" width="32.85546875" style="115" bestFit="1" customWidth="1"/>
    <col min="13038" max="13038" width="11.5703125" style="115" bestFit="1" customWidth="1"/>
    <col min="13039" max="13039" width="9.7109375" style="115" customWidth="1"/>
    <col min="13040" max="13040" width="12" style="115" customWidth="1"/>
    <col min="13041" max="13041" width="30.140625" style="115" customWidth="1"/>
    <col min="13042" max="13042" width="12" style="115" customWidth="1"/>
    <col min="13043" max="13043" width="12.140625" style="115" customWidth="1"/>
    <col min="13044" max="13291" width="9.140625" style="115"/>
    <col min="13292" max="13292" width="27.7109375" style="115" customWidth="1"/>
    <col min="13293" max="13293" width="32.85546875" style="115" bestFit="1" customWidth="1"/>
    <col min="13294" max="13294" width="11.5703125" style="115" bestFit="1" customWidth="1"/>
    <col min="13295" max="13295" width="9.7109375" style="115" customWidth="1"/>
    <col min="13296" max="13296" width="12" style="115" customWidth="1"/>
    <col min="13297" max="13297" width="30.140625" style="115" customWidth="1"/>
    <col min="13298" max="13298" width="12" style="115" customWidth="1"/>
    <col min="13299" max="13299" width="12.140625" style="115" customWidth="1"/>
    <col min="13300" max="13547" width="9.140625" style="115"/>
    <col min="13548" max="13548" width="27.7109375" style="115" customWidth="1"/>
    <col min="13549" max="13549" width="32.85546875" style="115" bestFit="1" customWidth="1"/>
    <col min="13550" max="13550" width="11.5703125" style="115" bestFit="1" customWidth="1"/>
    <col min="13551" max="13551" width="9.7109375" style="115" customWidth="1"/>
    <col min="13552" max="13552" width="12" style="115" customWidth="1"/>
    <col min="13553" max="13553" width="30.140625" style="115" customWidth="1"/>
    <col min="13554" max="13554" width="12" style="115" customWidth="1"/>
    <col min="13555" max="13555" width="12.140625" style="115" customWidth="1"/>
    <col min="13556" max="13803" width="9.140625" style="115"/>
    <col min="13804" max="13804" width="27.7109375" style="115" customWidth="1"/>
    <col min="13805" max="13805" width="32.85546875" style="115" bestFit="1" customWidth="1"/>
    <col min="13806" max="13806" width="11.5703125" style="115" bestFit="1" customWidth="1"/>
    <col min="13807" max="13807" width="9.7109375" style="115" customWidth="1"/>
    <col min="13808" max="13808" width="12" style="115" customWidth="1"/>
    <col min="13809" max="13809" width="30.140625" style="115" customWidth="1"/>
    <col min="13810" max="13810" width="12" style="115" customWidth="1"/>
    <col min="13811" max="13811" width="12.140625" style="115" customWidth="1"/>
    <col min="13812" max="14059" width="9.140625" style="115"/>
    <col min="14060" max="14060" width="27.7109375" style="115" customWidth="1"/>
    <col min="14061" max="14061" width="32.85546875" style="115" bestFit="1" customWidth="1"/>
    <col min="14062" max="14062" width="11.5703125" style="115" bestFit="1" customWidth="1"/>
    <col min="14063" max="14063" width="9.7109375" style="115" customWidth="1"/>
    <col min="14064" max="14064" width="12" style="115" customWidth="1"/>
    <col min="14065" max="14065" width="30.140625" style="115" customWidth="1"/>
    <col min="14066" max="14066" width="12" style="115" customWidth="1"/>
    <col min="14067" max="14067" width="12.140625" style="115" customWidth="1"/>
    <col min="14068" max="14315" width="9.140625" style="115"/>
    <col min="14316" max="14316" width="27.7109375" style="115" customWidth="1"/>
    <col min="14317" max="14317" width="32.85546875" style="115" bestFit="1" customWidth="1"/>
    <col min="14318" max="14318" width="11.5703125" style="115" bestFit="1" customWidth="1"/>
    <col min="14319" max="14319" width="9.7109375" style="115" customWidth="1"/>
    <col min="14320" max="14320" width="12" style="115" customWidth="1"/>
    <col min="14321" max="14321" width="30.140625" style="115" customWidth="1"/>
    <col min="14322" max="14322" width="12" style="115" customWidth="1"/>
    <col min="14323" max="14323" width="12.140625" style="115" customWidth="1"/>
    <col min="14324" max="14571" width="9.140625" style="115"/>
    <col min="14572" max="14572" width="27.7109375" style="115" customWidth="1"/>
    <col min="14573" max="14573" width="32.85546875" style="115" bestFit="1" customWidth="1"/>
    <col min="14574" max="14574" width="11.5703125" style="115" bestFit="1" customWidth="1"/>
    <col min="14575" max="14575" width="9.7109375" style="115" customWidth="1"/>
    <col min="14576" max="14576" width="12" style="115" customWidth="1"/>
    <col min="14577" max="14577" width="30.140625" style="115" customWidth="1"/>
    <col min="14578" max="14578" width="12" style="115" customWidth="1"/>
    <col min="14579" max="14579" width="12.140625" style="115" customWidth="1"/>
    <col min="14580" max="14827" width="9.140625" style="115"/>
    <col min="14828" max="14828" width="27.7109375" style="115" customWidth="1"/>
    <col min="14829" max="14829" width="32.85546875" style="115" bestFit="1" customWidth="1"/>
    <col min="14830" max="14830" width="11.5703125" style="115" bestFit="1" customWidth="1"/>
    <col min="14831" max="14831" width="9.7109375" style="115" customWidth="1"/>
    <col min="14832" max="14832" width="12" style="115" customWidth="1"/>
    <col min="14833" max="14833" width="30.140625" style="115" customWidth="1"/>
    <col min="14834" max="14834" width="12" style="115" customWidth="1"/>
    <col min="14835" max="14835" width="12.140625" style="115" customWidth="1"/>
    <col min="14836" max="15083" width="9.140625" style="115"/>
    <col min="15084" max="15084" width="27.7109375" style="115" customWidth="1"/>
    <col min="15085" max="15085" width="32.85546875" style="115" bestFit="1" customWidth="1"/>
    <col min="15086" max="15086" width="11.5703125" style="115" bestFit="1" customWidth="1"/>
    <col min="15087" max="15087" width="9.7109375" style="115" customWidth="1"/>
    <col min="15088" max="15088" width="12" style="115" customWidth="1"/>
    <col min="15089" max="15089" width="30.140625" style="115" customWidth="1"/>
    <col min="15090" max="15090" width="12" style="115" customWidth="1"/>
    <col min="15091" max="15091" width="12.140625" style="115" customWidth="1"/>
    <col min="15092" max="15339" width="9.140625" style="115"/>
    <col min="15340" max="15340" width="27.7109375" style="115" customWidth="1"/>
    <col min="15341" max="15341" width="32.85546875" style="115" bestFit="1" customWidth="1"/>
    <col min="15342" max="15342" width="11.5703125" style="115" bestFit="1" customWidth="1"/>
    <col min="15343" max="15343" width="9.7109375" style="115" customWidth="1"/>
    <col min="15344" max="15344" width="12" style="115" customWidth="1"/>
    <col min="15345" max="15345" width="30.140625" style="115" customWidth="1"/>
    <col min="15346" max="15346" width="12" style="115" customWidth="1"/>
    <col min="15347" max="15347" width="12.140625" style="115" customWidth="1"/>
    <col min="15348" max="15595" width="9.140625" style="115"/>
    <col min="15596" max="15596" width="27.7109375" style="115" customWidth="1"/>
    <col min="15597" max="15597" width="32.85546875" style="115" bestFit="1" customWidth="1"/>
    <col min="15598" max="15598" width="11.5703125" style="115" bestFit="1" customWidth="1"/>
    <col min="15599" max="15599" width="9.7109375" style="115" customWidth="1"/>
    <col min="15600" max="15600" width="12" style="115" customWidth="1"/>
    <col min="15601" max="15601" width="30.140625" style="115" customWidth="1"/>
    <col min="15602" max="15602" width="12" style="115" customWidth="1"/>
    <col min="15603" max="15603" width="12.140625" style="115" customWidth="1"/>
    <col min="15604" max="15851" width="9.140625" style="115"/>
    <col min="15852" max="15852" width="27.7109375" style="115" customWidth="1"/>
    <col min="15853" max="15853" width="32.85546875" style="115" bestFit="1" customWidth="1"/>
    <col min="15854" max="15854" width="11.5703125" style="115" bestFit="1" customWidth="1"/>
    <col min="15855" max="15855" width="9.7109375" style="115" customWidth="1"/>
    <col min="15856" max="15856" width="12" style="115" customWidth="1"/>
    <col min="15857" max="15857" width="30.140625" style="115" customWidth="1"/>
    <col min="15858" max="15858" width="12" style="115" customWidth="1"/>
    <col min="15859" max="15859" width="12.140625" style="115" customWidth="1"/>
    <col min="15860" max="16107" width="9.140625" style="115"/>
    <col min="16108" max="16108" width="27.7109375" style="115" customWidth="1"/>
    <col min="16109" max="16109" width="32.85546875" style="115" bestFit="1" customWidth="1"/>
    <col min="16110" max="16110" width="11.5703125" style="115" bestFit="1" customWidth="1"/>
    <col min="16111" max="16111" width="9.7109375" style="115" customWidth="1"/>
    <col min="16112" max="16112" width="12" style="115" customWidth="1"/>
    <col min="16113" max="16113" width="30.140625" style="115" customWidth="1"/>
    <col min="16114" max="16114" width="12" style="115" customWidth="1"/>
    <col min="16115" max="16115" width="12.140625" style="115" customWidth="1"/>
    <col min="16116" max="16367" width="9.140625" style="115"/>
    <col min="16368" max="16383" width="9.140625" style="115" customWidth="1"/>
    <col min="16384" max="16384" width="9.140625" style="115"/>
  </cols>
  <sheetData>
    <row r="1" spans="1:8" s="777" customFormat="1" ht="13.5" thickBot="1" x14ac:dyDescent="0.25">
      <c r="C1" s="115"/>
      <c r="D1" s="115"/>
      <c r="E1" s="115"/>
      <c r="F1" s="115"/>
      <c r="G1" s="115"/>
    </row>
    <row r="2" spans="1:8" ht="13.5" hidden="1" thickBot="1" x14ac:dyDescent="0.25">
      <c r="A2" s="777"/>
      <c r="B2" s="777"/>
    </row>
    <row r="3" spans="1:8" ht="13.5" hidden="1" thickBot="1" x14ac:dyDescent="0.25"/>
    <row r="4" spans="1:8" ht="13.5" hidden="1" thickBot="1" x14ac:dyDescent="0.25"/>
    <row r="5" spans="1:8" ht="13.5" hidden="1" thickBot="1" x14ac:dyDescent="0.25"/>
    <row r="6" spans="1:8" ht="13.5" hidden="1" thickBot="1" x14ac:dyDescent="0.25"/>
    <row r="7" spans="1:8" ht="15" hidden="1" customHeight="1" x14ac:dyDescent="0.2">
      <c r="A7" s="464"/>
      <c r="B7" s="331">
        <v>1</v>
      </c>
      <c r="C7" s="777"/>
      <c r="D7" s="777"/>
      <c r="E7" s="777"/>
      <c r="F7" s="777"/>
      <c r="G7" s="777"/>
    </row>
    <row r="8" spans="1:8" ht="17.25" hidden="1" customHeight="1" x14ac:dyDescent="0.2">
      <c r="A8" s="469"/>
      <c r="B8" s="331">
        <v>2</v>
      </c>
      <c r="C8" s="777"/>
      <c r="D8" s="777"/>
      <c r="E8" s="777"/>
      <c r="F8" s="777"/>
      <c r="G8" s="777"/>
    </row>
    <row r="9" spans="1:8" ht="13.5" hidden="1" thickBot="1" x14ac:dyDescent="0.25">
      <c r="A9" s="464"/>
      <c r="B9" s="331">
        <v>3</v>
      </c>
    </row>
    <row r="10" spans="1:8" ht="13.5" thickBot="1" x14ac:dyDescent="0.25">
      <c r="A10" s="464"/>
      <c r="B10" s="331">
        <v>4</v>
      </c>
      <c r="C10" s="1724" t="s">
        <v>657</v>
      </c>
      <c r="D10" s="1725"/>
      <c r="E10" s="1725"/>
      <c r="F10" s="1726"/>
    </row>
    <row r="11" spans="1:8" x14ac:dyDescent="0.2">
      <c r="A11" s="464"/>
      <c r="B11" s="331">
        <v>5</v>
      </c>
      <c r="C11" s="776"/>
      <c r="D11" s="775"/>
      <c r="E11" s="774" t="s">
        <v>43</v>
      </c>
      <c r="F11" s="773">
        <f>I25</f>
        <v>1775</v>
      </c>
    </row>
    <row r="12" spans="1:8" ht="16.5" customHeight="1" x14ac:dyDescent="0.2">
      <c r="A12" s="464"/>
      <c r="B12" s="331">
        <v>6</v>
      </c>
      <c r="C12" s="772"/>
      <c r="D12" s="771" t="s">
        <v>331</v>
      </c>
      <c r="E12" s="770" t="s">
        <v>334</v>
      </c>
      <c r="F12" s="769" t="s">
        <v>458</v>
      </c>
    </row>
    <row r="13" spans="1:8" ht="18" customHeight="1" x14ac:dyDescent="0.2">
      <c r="A13" s="672"/>
      <c r="C13" s="377" t="str">
        <f>IF(INDEX('Master Lookup'!$B$169:$B$175,B7)=0,"",INDEX('Master Lookup'!$B$169:$B$175,B7))</f>
        <v>Management</v>
      </c>
      <c r="D13" s="379">
        <f>IFERROR(INDEX('Master Lookup FY26'!D169:D170,MATCH(C13,'Master Lookup FY26'!B169:B170,0)),"")</f>
        <v>81486.911999999997</v>
      </c>
      <c r="E13" s="430">
        <f>IFERROR(INDEX('Master Lookup'!$E$169:$E$175,MATCH(C13,'Master Lookup'!$B$169:$B$175,0)),"")</f>
        <v>0.06</v>
      </c>
      <c r="F13" s="650">
        <f t="shared" ref="F13:F18" si="0">IFERROR(D13*E13,0)</f>
        <v>4889.2147199999999</v>
      </c>
    </row>
    <row r="14" spans="1:8" ht="13.5" thickBot="1" x14ac:dyDescent="0.25">
      <c r="A14" s="753"/>
      <c r="C14" s="377" t="str">
        <f>IF(INDEX('Master Lookup'!$B$169:$B$175,B8)=0,"",INDEX('Master Lookup'!$B$169:$B$175,B8))</f>
        <v>Direct Care Staff</v>
      </c>
      <c r="D14" s="379">
        <f>IFERROR(INDEX('Master Lookup FY26'!D170:D171,MATCH(C14,'Master Lookup FY26'!B170:B171,0)),"")</f>
        <v>46842.432000000008</v>
      </c>
      <c r="E14" s="430">
        <f>IFERROR(INDEX('Master Lookup'!$E$169:$E$175,MATCH(C14,'Master Lookup'!$B$169:$B$175,0)),"")</f>
        <v>1</v>
      </c>
      <c r="F14" s="650">
        <f t="shared" si="0"/>
        <v>46842.432000000008</v>
      </c>
    </row>
    <row r="15" spans="1:8" ht="13.5" hidden="1" thickBot="1" x14ac:dyDescent="0.25">
      <c r="C15" s="387" t="str">
        <f>IF(INDEX('Master Lookup'!$B$169:$B$175,B9)=0,"",INDEX('Master Lookup'!$B$169:$B$175,B9))</f>
        <v/>
      </c>
      <c r="D15" s="386" t="str">
        <f>IFERROR(INDEX('Master Lookup'!$D$169:$D$175,MATCH(C15,'Master Lookup'!$B$169:$B$175,0)),"")</f>
        <v/>
      </c>
      <c r="E15" s="678" t="str">
        <f>IFERROR(INDEX('Master Lookup'!$E$169:$E$175,MATCH(C15,'Master Lookup'!$B$169:$B$175,0)),"")</f>
        <v/>
      </c>
      <c r="F15" s="677">
        <f t="shared" si="0"/>
        <v>0</v>
      </c>
    </row>
    <row r="16" spans="1:8" ht="13.5" hidden="1" thickBot="1" x14ac:dyDescent="0.25">
      <c r="A16" s="679"/>
      <c r="C16" s="387" t="str">
        <f>IF(INDEX('Master Lookup'!$B$169:$B$175,B10)=0,"",INDEX('Master Lookup'!$B$169:$B$175,B10))</f>
        <v/>
      </c>
      <c r="D16" s="386" t="str">
        <f>IFERROR(INDEX('Master Lookup'!$D$169:$D$175,MATCH(C16,'Master Lookup'!$B$169:$B$175,0)),"")</f>
        <v/>
      </c>
      <c r="E16" s="678" t="str">
        <f>IFERROR(INDEX('Master Lookup'!$E$169:$E$175,MATCH(C16,'Master Lookup'!$B$169:$B$175,0)),"")</f>
        <v/>
      </c>
      <c r="F16" s="677">
        <f t="shared" si="0"/>
        <v>0</v>
      </c>
      <c r="H16" s="1182"/>
    </row>
    <row r="17" spans="1:9" ht="13.5" hidden="1" thickBot="1" x14ac:dyDescent="0.25">
      <c r="A17" s="1180"/>
      <c r="C17" s="387" t="str">
        <f>IF(INDEX('Master Lookup'!$B$169:$B$175,B11)=0,"",INDEX('Master Lookup'!$B$169:$B$175,B11))</f>
        <v/>
      </c>
      <c r="D17" s="386" t="str">
        <f>IFERROR(INDEX('Master Lookup'!$D$169:$D$175,MATCH(C17,'Master Lookup'!$B$169:$B$175,0)),"")</f>
        <v/>
      </c>
      <c r="E17" s="678" t="str">
        <f>IFERROR(INDEX('Master Lookup'!$E$169:$E$175,MATCH(C17,'Master Lookup'!$B$169:$B$175,0)),"")</f>
        <v/>
      </c>
      <c r="F17" s="677">
        <f t="shared" si="0"/>
        <v>0</v>
      </c>
    </row>
    <row r="18" spans="1:9" ht="13.5" hidden="1" thickBot="1" x14ac:dyDescent="0.25">
      <c r="A18" s="1181"/>
      <c r="B18" s="331">
        <v>1</v>
      </c>
      <c r="C18" s="752" t="str">
        <f>IF(INDEX('Master Lookup'!$B$169:$B$175,B12)=0,"",INDEX('Master Lookup'!$B$169:$B$175,B12))</f>
        <v/>
      </c>
      <c r="D18" s="768" t="str">
        <f>IFERROR(INDEX('Master Lookup'!$D$169:$D$175,MATCH(C18,'Master Lookup'!$B$169:$B$175,0)),"")</f>
        <v/>
      </c>
      <c r="E18" s="767" t="str">
        <f>IFERROR(INDEX('Master Lookup'!$E$169:$E$175,MATCH(C18,'Master Lookup'!$B$169:$B$175,0)),"")</f>
        <v/>
      </c>
      <c r="F18" s="766">
        <f t="shared" si="0"/>
        <v>0</v>
      </c>
    </row>
    <row r="19" spans="1:9" ht="13.5" thickBot="1" x14ac:dyDescent="0.25">
      <c r="B19" s="331">
        <v>2</v>
      </c>
      <c r="C19" s="765" t="s">
        <v>457</v>
      </c>
      <c r="D19" s="749"/>
      <c r="E19" s="1183">
        <f>SUM(E13:E18)</f>
        <v>1.06</v>
      </c>
      <c r="F19" s="1184">
        <f>SUM(F13:F18)</f>
        <v>51731.646720000004</v>
      </c>
      <c r="H19" s="764" t="s">
        <v>531</v>
      </c>
      <c r="I19" s="763" t="s">
        <v>538</v>
      </c>
    </row>
    <row r="20" spans="1:9" ht="13.5" thickBot="1" x14ac:dyDescent="0.25">
      <c r="B20" s="331">
        <v>3</v>
      </c>
      <c r="C20" s="1185" t="s">
        <v>322</v>
      </c>
      <c r="D20" s="530">
        <f>INDEX('Master Lookup FY26'!C160:C162,MATCH(C20,'Master Lookup FY26'!B160:B162,0))</f>
        <v>0.24970000000000001</v>
      </c>
      <c r="E20" s="1186"/>
      <c r="F20" s="762">
        <f>F19*D20</f>
        <v>12917.392185984001</v>
      </c>
      <c r="H20" s="761" t="s">
        <v>527</v>
      </c>
      <c r="I20" s="506">
        <v>2080</v>
      </c>
    </row>
    <row r="21" spans="1:9" x14ac:dyDescent="0.2">
      <c r="B21" s="331">
        <v>4</v>
      </c>
      <c r="C21" s="1187" t="s">
        <v>550</v>
      </c>
      <c r="D21" s="1188"/>
      <c r="E21" s="1188"/>
      <c r="F21" s="1189">
        <f>SUM(F19:F20)</f>
        <v>64649.038905984009</v>
      </c>
      <c r="H21" s="760" t="s">
        <v>525</v>
      </c>
      <c r="I21" s="1190">
        <f>120*2</f>
        <v>240</v>
      </c>
    </row>
    <row r="22" spans="1:9" x14ac:dyDescent="0.2">
      <c r="B22" s="751"/>
      <c r="C22" s="720"/>
      <c r="D22" s="688"/>
      <c r="E22" s="688"/>
      <c r="F22" s="697"/>
      <c r="G22" s="759"/>
      <c r="H22" s="758" t="s">
        <v>522</v>
      </c>
      <c r="I22" s="1190">
        <f>10*2.5</f>
        <v>25</v>
      </c>
    </row>
    <row r="23" spans="1:9" ht="13.5" thickBot="1" x14ac:dyDescent="0.25">
      <c r="C23" s="1191" t="s">
        <v>326</v>
      </c>
      <c r="D23" s="686"/>
      <c r="E23" s="686"/>
      <c r="F23" s="695"/>
      <c r="G23" s="341"/>
      <c r="H23" s="757" t="s">
        <v>521</v>
      </c>
      <c r="I23" s="1190">
        <f>40*1</f>
        <v>40</v>
      </c>
    </row>
    <row r="24" spans="1:9" ht="13.5" thickBot="1" x14ac:dyDescent="0.25">
      <c r="C24" s="377" t="str">
        <f>IF(INDEX('Master Lookup'!$B$178:$B$181,B18)=0,"",INDEX('Master Lookup'!$B$178:$B$181,B18))</f>
        <v>Staff Training 204</v>
      </c>
      <c r="D24" s="1192"/>
      <c r="E24" s="379">
        <f>IFERROR(INDEX('Master Lookup FY26'!C155:C156,MATCH(C24,'Master Lookup FY26'!B155:B156,0)),"")</f>
        <v>364.52871302241937</v>
      </c>
      <c r="F24" s="650">
        <f>E19*E24</f>
        <v>386.40043580376454</v>
      </c>
      <c r="G24" s="756"/>
      <c r="H24" s="755" t="s">
        <v>518</v>
      </c>
      <c r="I24" s="506">
        <f>SUM(I21:I23)</f>
        <v>305</v>
      </c>
    </row>
    <row r="25" spans="1:9" ht="13.5" thickBot="1" x14ac:dyDescent="0.25">
      <c r="C25" s="377" t="str">
        <f>IF(INDEX('Master Lookup'!$B$178:$B$181,B19)=0,"",INDEX('Master Lookup'!$B$178:$B$181,B19))</f>
        <v>Staff Mileage / Travel 205</v>
      </c>
      <c r="D25" s="1192"/>
      <c r="E25" s="379">
        <f>IFERROR(INDEX('Master Lookup FY26'!C156:C157,MATCH(C25,'Master Lookup FY26'!B156:B157,0)),"")</f>
        <v>1059.8793475070393</v>
      </c>
      <c r="F25" s="650">
        <f>E19*E25</f>
        <v>1123.4721083574616</v>
      </c>
      <c r="G25" s="753"/>
      <c r="H25" s="754" t="s">
        <v>517</v>
      </c>
      <c r="I25" s="526">
        <f>I20-I24</f>
        <v>1775</v>
      </c>
    </row>
    <row r="26" spans="1:9" hidden="1" x14ac:dyDescent="0.2">
      <c r="C26" s="387" t="str">
        <f>IF(INDEX('Master Lookup'!$B$178:$B$181,B20)=0,"",INDEX('Master Lookup'!$B$178:$B$181,B20))</f>
        <v/>
      </c>
      <c r="D26" s="692"/>
      <c r="E26" s="692"/>
      <c r="F26" s="691"/>
      <c r="G26" s="458"/>
    </row>
    <row r="27" spans="1:9" hidden="1" x14ac:dyDescent="0.2">
      <c r="C27" s="752" t="str">
        <f>IF(INDEX('Master Lookup'!$B$178:$B$181,B21)=0,"",INDEX('Master Lookup'!$B$178:$B$181,B21))</f>
        <v/>
      </c>
      <c r="D27" s="1193"/>
      <c r="E27" s="1193"/>
      <c r="F27" s="1194"/>
      <c r="G27" s="458"/>
    </row>
    <row r="28" spans="1:9" x14ac:dyDescent="0.2">
      <c r="C28" s="1187" t="s">
        <v>492</v>
      </c>
      <c r="D28" s="1188"/>
      <c r="E28" s="1188"/>
      <c r="F28" s="1189">
        <f>SUM(F24:F27)</f>
        <v>1509.8725441612262</v>
      </c>
      <c r="G28" s="458"/>
    </row>
    <row r="29" spans="1:9" x14ac:dyDescent="0.2">
      <c r="C29" s="720"/>
      <c r="D29" s="688"/>
      <c r="E29" s="688"/>
      <c r="F29" s="697"/>
      <c r="G29" s="458"/>
    </row>
    <row r="30" spans="1:9" x14ac:dyDescent="0.2">
      <c r="C30" s="1195" t="s">
        <v>491</v>
      </c>
      <c r="D30" s="789"/>
      <c r="E30" s="1196"/>
      <c r="F30" s="1197">
        <f>SUM(F21,F28)</f>
        <v>66158.911450145242</v>
      </c>
    </row>
    <row r="31" spans="1:9" x14ac:dyDescent="0.2">
      <c r="C31" s="1198" t="s">
        <v>320</v>
      </c>
      <c r="D31" s="495">
        <f>INDEX('Master Lookup FY26'!C160:C162,MATCH(C31,'Master Lookup FY26'!B160:B162,0))</f>
        <v>0.12</v>
      </c>
      <c r="E31" s="1199"/>
      <c r="F31" s="1200">
        <f>F30*D31</f>
        <v>7939.0693740174283</v>
      </c>
    </row>
    <row r="32" spans="1:9" x14ac:dyDescent="0.2">
      <c r="C32" s="427" t="s">
        <v>321</v>
      </c>
      <c r="D32" s="426">
        <f>INDEX('Master Lookup FY26'!C161:C163,MATCH(C32,'Master Lookup FY26'!B161:B163,0))</f>
        <v>2.5282070971092779E-2</v>
      </c>
      <c r="E32" s="499"/>
      <c r="F32" s="650">
        <f>(F30+F31)*D32</f>
        <v>1873.3504100111525</v>
      </c>
    </row>
    <row r="33" spans="3:7" x14ac:dyDescent="0.2">
      <c r="C33" s="525" t="s">
        <v>453</v>
      </c>
      <c r="D33" s="1039"/>
      <c r="E33" s="1201"/>
      <c r="F33" s="1197">
        <f>SUM(F30:F32)</f>
        <v>75971.33123417382</v>
      </c>
    </row>
    <row r="34" spans="3:7" x14ac:dyDescent="0.2">
      <c r="C34" s="750" t="s">
        <v>560</v>
      </c>
      <c r="D34" s="749"/>
      <c r="E34" s="749"/>
      <c r="F34" s="748">
        <f>ROUND((F33/F11)/4,2)</f>
        <v>10.7</v>
      </c>
    </row>
    <row r="35" spans="3:7" x14ac:dyDescent="0.2">
      <c r="C35" s="744" t="s">
        <v>559</v>
      </c>
      <c r="D35" s="628"/>
      <c r="E35" s="628"/>
      <c r="F35" s="747">
        <f>ROUND(F34/2,2)</f>
        <v>5.35</v>
      </c>
    </row>
    <row r="36" spans="3:7" x14ac:dyDescent="0.2">
      <c r="C36" s="744" t="s">
        <v>558</v>
      </c>
      <c r="D36" s="628"/>
      <c r="E36" s="628"/>
      <c r="F36" s="747">
        <f>ROUND(F34/3,2)</f>
        <v>3.57</v>
      </c>
    </row>
    <row r="37" spans="3:7" ht="13.5" thickBot="1" x14ac:dyDescent="0.25">
      <c r="C37" s="743" t="s">
        <v>557</v>
      </c>
      <c r="D37" s="746"/>
      <c r="E37" s="746"/>
      <c r="F37" s="745">
        <f>ROUND((F34*9)*4,2)</f>
        <v>385.2</v>
      </c>
    </row>
    <row r="38" spans="3:7" ht="26.25" thickBot="1" x14ac:dyDescent="0.25">
      <c r="C38" s="573"/>
      <c r="D38" s="572" t="s">
        <v>265</v>
      </c>
      <c r="E38" s="572" t="s">
        <v>537</v>
      </c>
      <c r="F38" s="571" t="s">
        <v>536</v>
      </c>
      <c r="G38" s="344"/>
    </row>
    <row r="39" spans="3:7" x14ac:dyDescent="0.2">
      <c r="C39" s="744" t="s">
        <v>560</v>
      </c>
      <c r="D39" s="567">
        <v>9.75</v>
      </c>
      <c r="E39" s="566">
        <f>F34</f>
        <v>10.7</v>
      </c>
      <c r="F39" s="565">
        <f>(E39-D39)/D39</f>
        <v>9.7435897435897367E-2</v>
      </c>
      <c r="G39" s="344"/>
    </row>
    <row r="40" spans="3:7" x14ac:dyDescent="0.2">
      <c r="C40" s="744" t="s">
        <v>559</v>
      </c>
      <c r="D40" s="567">
        <v>4.88</v>
      </c>
      <c r="E40" s="566">
        <f>F35</f>
        <v>5.35</v>
      </c>
      <c r="F40" s="565">
        <f>(E40-D40)/D40</f>
        <v>9.631147540983602E-2</v>
      </c>
      <c r="G40" s="344"/>
    </row>
    <row r="41" spans="3:7" x14ac:dyDescent="0.2">
      <c r="C41" s="744" t="s">
        <v>558</v>
      </c>
      <c r="D41" s="567">
        <v>3.25</v>
      </c>
      <c r="E41" s="566">
        <f>F36</f>
        <v>3.57</v>
      </c>
      <c r="F41" s="565">
        <f>(E41-D41)/D41</f>
        <v>9.8461538461538406E-2</v>
      </c>
      <c r="G41" s="344"/>
    </row>
    <row r="42" spans="3:7" ht="13.5" thickBot="1" x14ac:dyDescent="0.25">
      <c r="C42" s="743" t="s">
        <v>557</v>
      </c>
      <c r="D42" s="563">
        <v>351</v>
      </c>
      <c r="E42" s="562">
        <f>F37</f>
        <v>385.2</v>
      </c>
      <c r="F42" s="561">
        <f>(E42-D42)/D42</f>
        <v>9.7435897435897409E-2</v>
      </c>
      <c r="G42" s="344"/>
    </row>
    <row r="43" spans="3:7" x14ac:dyDescent="0.2">
      <c r="G43" s="344"/>
    </row>
    <row r="44" spans="3:7" x14ac:dyDescent="0.2">
      <c r="G44" s="344"/>
    </row>
    <row r="45" spans="3:7" x14ac:dyDescent="0.2">
      <c r="G45" s="344"/>
    </row>
    <row r="46" spans="3:7" x14ac:dyDescent="0.2">
      <c r="G46" s="344"/>
    </row>
  </sheetData>
  <mergeCells count="1">
    <mergeCell ref="C10:F10"/>
  </mergeCells>
  <pageMargins left="0.75" right="0.75" top="1" bottom="1" header="0.5" footer="0.5"/>
  <pageSetup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9FBD6-91FA-4F31-8189-3E84788A7E4B}">
  <dimension ref="B1:AL63"/>
  <sheetViews>
    <sheetView topLeftCell="A11" zoomScale="90" zoomScaleNormal="90" workbookViewId="0">
      <selection activeCell="I50" sqref="I50"/>
    </sheetView>
  </sheetViews>
  <sheetFormatPr defaultColWidth="8.85546875" defaultRowHeight="12.75" x14ac:dyDescent="0.2"/>
  <cols>
    <col min="1" max="1" width="8.85546875" style="340"/>
    <col min="2" max="2" width="36.140625" style="340" customWidth="1"/>
    <col min="3" max="3" width="8.85546875" style="340"/>
    <col min="4" max="4" width="36.140625" style="340" bestFit="1" customWidth="1"/>
    <col min="5" max="5" width="8.85546875" style="340"/>
    <col min="6" max="6" width="30.5703125" style="340" customWidth="1"/>
    <col min="7" max="7" width="7.42578125" style="340" customWidth="1"/>
    <col min="8" max="8" width="7.42578125" style="340" bestFit="1" customWidth="1"/>
    <col min="9" max="9" width="9.5703125" style="340" customWidth="1"/>
    <col min="10" max="10" width="9.42578125" style="340" bestFit="1" customWidth="1"/>
    <col min="11" max="11" width="2.85546875" style="340" customWidth="1"/>
    <col min="12" max="12" width="29.7109375" style="340" customWidth="1"/>
    <col min="13" max="13" width="9.28515625" style="340" customWidth="1"/>
    <col min="14" max="14" width="7.42578125" style="340" bestFit="1" customWidth="1"/>
    <col min="15" max="15" width="9.85546875" style="340" customWidth="1"/>
    <col min="16" max="16" width="8.42578125" style="340" bestFit="1" customWidth="1"/>
    <col min="17" max="17" width="4.85546875" style="340" customWidth="1"/>
    <col min="18" max="18" width="3.85546875" style="340" customWidth="1"/>
    <col min="19" max="19" width="32.7109375" style="340" customWidth="1"/>
    <col min="20" max="20" width="10.7109375" style="340" bestFit="1" customWidth="1"/>
    <col min="21" max="21" width="7.5703125" style="340" bestFit="1" customWidth="1"/>
    <col min="22" max="22" width="11.5703125" style="340" bestFit="1" customWidth="1"/>
    <col min="23" max="23" width="7.42578125" style="340" customWidth="1"/>
    <col min="24" max="24" width="34.85546875" style="340" customWidth="1"/>
    <col min="25" max="25" width="11" style="340" customWidth="1"/>
    <col min="26" max="26" width="8.85546875" style="340" customWidth="1"/>
    <col min="27" max="27" width="9.5703125" style="340" bestFit="1" customWidth="1"/>
    <col min="28" max="28" width="8.85546875" style="340" customWidth="1"/>
    <col min="29" max="29" width="41.5703125" style="340" hidden="1" customWidth="1"/>
    <col min="30" max="30" width="13.140625" style="340" hidden="1" customWidth="1"/>
    <col min="31" max="31" width="13.85546875" style="340" hidden="1" customWidth="1"/>
    <col min="32" max="32" width="13.42578125" style="340" hidden="1" customWidth="1"/>
    <col min="33" max="33" width="12.42578125" style="340" hidden="1" customWidth="1"/>
    <col min="34" max="34" width="13.7109375" style="340" hidden="1" customWidth="1"/>
    <col min="35" max="35" width="11.5703125" style="340" hidden="1" customWidth="1"/>
    <col min="36" max="36" width="12.42578125" style="340" hidden="1" customWidth="1"/>
    <col min="37" max="44" width="8.85546875" style="340" customWidth="1"/>
    <col min="45" max="16384" width="8.85546875" style="340"/>
  </cols>
  <sheetData>
    <row r="1" spans="2:36" x14ac:dyDescent="0.2">
      <c r="F1" s="477"/>
      <c r="S1" s="477"/>
    </row>
    <row r="2" spans="2:36" x14ac:dyDescent="0.2">
      <c r="F2" s="1734" t="s">
        <v>656</v>
      </c>
      <c r="G2" s="1735"/>
      <c r="H2" s="1735"/>
      <c r="I2" s="1735"/>
      <c r="J2" s="1735"/>
      <c r="K2" s="1735"/>
      <c r="L2" s="1735"/>
      <c r="M2" s="1735"/>
      <c r="N2" s="1735"/>
      <c r="O2" s="1735"/>
      <c r="P2" s="1735"/>
      <c r="S2" s="477"/>
      <c r="AC2" s="477" t="s">
        <v>655</v>
      </c>
    </row>
    <row r="3" spans="2:36" ht="13.5" thickBot="1" x14ac:dyDescent="0.25">
      <c r="F3" s="1735"/>
      <c r="G3" s="1735"/>
      <c r="H3" s="1735"/>
      <c r="I3" s="1735"/>
      <c r="J3" s="1735"/>
      <c r="K3" s="1735"/>
      <c r="L3" s="1735"/>
      <c r="M3" s="1735"/>
      <c r="N3" s="1735"/>
      <c r="O3" s="1735"/>
      <c r="P3" s="1735"/>
    </row>
    <row r="4" spans="2:36" ht="15.75" thickBot="1" x14ac:dyDescent="0.3">
      <c r="B4" s="1736" t="s">
        <v>654</v>
      </c>
      <c r="C4" s="1730"/>
      <c r="D4" s="1731"/>
      <c r="F4" s="1737" t="s">
        <v>653</v>
      </c>
      <c r="G4" s="1738"/>
      <c r="H4" s="1738"/>
      <c r="I4" s="1738"/>
      <c r="J4" s="1739"/>
      <c r="L4" s="1737" t="s">
        <v>652</v>
      </c>
      <c r="M4" s="1738"/>
      <c r="N4" s="1738"/>
      <c r="O4" s="1738"/>
      <c r="P4" s="1739"/>
      <c r="R4" s="1024"/>
    </row>
    <row r="5" spans="2:36" ht="15.75" thickBot="1" x14ac:dyDescent="0.3">
      <c r="B5" s="1740" t="s">
        <v>651</v>
      </c>
      <c r="C5" s="1730"/>
      <c r="D5" s="1731"/>
      <c r="F5" s="1098" t="s">
        <v>650</v>
      </c>
      <c r="G5" s="1097">
        <v>13</v>
      </c>
      <c r="H5" s="1096" t="s">
        <v>649</v>
      </c>
      <c r="I5" s="1095">
        <f>AVERAGE('[15]After School_Dy Respt'!F4:F8)</f>
        <v>270.8</v>
      </c>
      <c r="J5" s="1094">
        <f>I5*G5</f>
        <v>3520.4</v>
      </c>
      <c r="K5" s="1055"/>
      <c r="L5" s="1098" t="s">
        <v>650</v>
      </c>
      <c r="M5" s="1097">
        <v>13</v>
      </c>
      <c r="N5" s="1096" t="s">
        <v>649</v>
      </c>
      <c r="O5" s="1095">
        <f>AVERAGE('[15]After School_Dy Respt'!F4:F8)</f>
        <v>270.8</v>
      </c>
      <c r="P5" s="1094">
        <f>O5*M5</f>
        <v>3520.4</v>
      </c>
      <c r="Q5" s="1020"/>
      <c r="R5" s="1019"/>
      <c r="AB5" s="336"/>
      <c r="AC5" s="1727" t="s">
        <v>648</v>
      </c>
      <c r="AD5" s="1728"/>
      <c r="AE5" s="1728"/>
      <c r="AF5" s="1728"/>
      <c r="AG5" s="1728"/>
      <c r="AH5" s="1728"/>
      <c r="AI5" s="1728"/>
      <c r="AJ5" s="1728"/>
    </row>
    <row r="6" spans="2:36" ht="25.5" x14ac:dyDescent="0.2">
      <c r="B6" s="365" t="s">
        <v>329</v>
      </c>
      <c r="C6" s="1083">
        <f>'[16]M2024 BLS SALARY CHART (53_PCT)'!C22</f>
        <v>81486.911999999997</v>
      </c>
      <c r="D6" s="1072" t="s">
        <v>780</v>
      </c>
      <c r="F6" s="1092" t="s">
        <v>647</v>
      </c>
      <c r="G6" s="1091"/>
      <c r="H6" s="1090" t="s">
        <v>645</v>
      </c>
      <c r="I6" s="1089" t="s">
        <v>334</v>
      </c>
      <c r="J6" s="1093" t="s">
        <v>459</v>
      </c>
      <c r="K6" s="1055"/>
      <c r="L6" s="1092" t="s">
        <v>646</v>
      </c>
      <c r="M6" s="1091"/>
      <c r="N6" s="1090" t="s">
        <v>645</v>
      </c>
      <c r="O6" s="1089" t="s">
        <v>334</v>
      </c>
      <c r="P6" s="1088" t="s">
        <v>459</v>
      </c>
      <c r="Q6" s="848"/>
      <c r="R6" s="848"/>
      <c r="AB6" s="1087"/>
      <c r="AC6" s="470" t="s">
        <v>644</v>
      </c>
      <c r="AD6" s="470" t="s">
        <v>353</v>
      </c>
      <c r="AE6" s="470" t="s">
        <v>643</v>
      </c>
      <c r="AF6" s="1086" t="s">
        <v>642</v>
      </c>
      <c r="AG6" s="1086" t="s">
        <v>641</v>
      </c>
      <c r="AH6" s="470" t="s">
        <v>640</v>
      </c>
      <c r="AI6" s="470" t="s">
        <v>639</v>
      </c>
      <c r="AJ6" s="1085" t="s">
        <v>638</v>
      </c>
    </row>
    <row r="7" spans="2:36" x14ac:dyDescent="0.2">
      <c r="B7" s="365" t="s">
        <v>357</v>
      </c>
      <c r="C7" s="1083">
        <f>'[16]M2024 BLS SALARY CHART (53_PCT)'!C18</f>
        <v>84174.063999999998</v>
      </c>
      <c r="D7" s="1072" t="s">
        <v>780</v>
      </c>
      <c r="F7" s="1028" t="s">
        <v>637</v>
      </c>
      <c r="G7" s="1082"/>
      <c r="H7" s="830">
        <f>C6</f>
        <v>81486.911999999997</v>
      </c>
      <c r="I7" s="457">
        <v>0.6</v>
      </c>
      <c r="J7" s="650">
        <f>H7*I7</f>
        <v>48892.147199999999</v>
      </c>
      <c r="K7" s="1055"/>
      <c r="L7" s="1028" t="s">
        <v>637</v>
      </c>
      <c r="M7" s="1082"/>
      <c r="N7" s="830">
        <f>C6</f>
        <v>81486.911999999997</v>
      </c>
      <c r="O7" s="457">
        <v>0.7</v>
      </c>
      <c r="P7" s="650">
        <f>N7*O7</f>
        <v>57040.838399999993</v>
      </c>
      <c r="Q7" s="830"/>
      <c r="R7" s="1084"/>
      <c r="AB7" s="1077"/>
      <c r="AC7" s="477" t="s">
        <v>636</v>
      </c>
      <c r="AD7" s="340">
        <v>8</v>
      </c>
      <c r="AF7" s="1004">
        <v>35000</v>
      </c>
      <c r="AG7" s="1004">
        <f>+AF7/AD7</f>
        <v>4375</v>
      </c>
      <c r="AH7" s="1071">
        <f>+AG7/52</f>
        <v>84.134615384615387</v>
      </c>
      <c r="AI7" s="1042">
        <f>+AH7/7</f>
        <v>12.01923076923077</v>
      </c>
      <c r="AJ7" s="1042"/>
    </row>
    <row r="8" spans="2:36" ht="13.5" thickBot="1" x14ac:dyDescent="0.25">
      <c r="B8" s="365" t="s">
        <v>327</v>
      </c>
      <c r="C8" s="1083">
        <f>'[16]M2024 BLS SALARY CHART (53_PCT)'!C6</f>
        <v>46842.432000000008</v>
      </c>
      <c r="D8" s="1072" t="s">
        <v>780</v>
      </c>
      <c r="F8" s="1027" t="s">
        <v>327</v>
      </c>
      <c r="G8" s="1082"/>
      <c r="H8" s="830">
        <f>C8</f>
        <v>46842.432000000008</v>
      </c>
      <c r="I8" s="457">
        <v>2.1</v>
      </c>
      <c r="J8" s="650">
        <f>H8*I8</f>
        <v>98369.107200000028</v>
      </c>
      <c r="K8" s="1055"/>
      <c r="L8" s="1027" t="s">
        <v>327</v>
      </c>
      <c r="M8" s="1082"/>
      <c r="N8" s="830">
        <f>C8</f>
        <v>46842.432000000008</v>
      </c>
      <c r="O8" s="457">
        <v>4.2</v>
      </c>
      <c r="P8" s="650">
        <f>N8*O8</f>
        <v>196738.21440000006</v>
      </c>
      <c r="Q8" s="830"/>
      <c r="R8" s="1003"/>
      <c r="AB8" s="1077"/>
      <c r="AC8" s="477" t="s">
        <v>634</v>
      </c>
      <c r="AD8" s="340">
        <v>30</v>
      </c>
      <c r="AF8" s="1004"/>
      <c r="AG8" s="1004"/>
      <c r="AH8" s="1071"/>
      <c r="AI8" s="1042"/>
      <c r="AJ8" s="1042"/>
    </row>
    <row r="9" spans="2:36" ht="15.75" thickBot="1" x14ac:dyDescent="0.3">
      <c r="B9" s="1729" t="s">
        <v>633</v>
      </c>
      <c r="C9" s="1730"/>
      <c r="D9" s="1731"/>
      <c r="F9" s="365"/>
      <c r="J9" s="794"/>
      <c r="L9" s="365"/>
      <c r="P9" s="794"/>
      <c r="Q9" s="830"/>
      <c r="R9" s="455"/>
      <c r="AB9" s="1076"/>
      <c r="AC9" s="477" t="s">
        <v>632</v>
      </c>
      <c r="AD9" s="340">
        <v>6</v>
      </c>
      <c r="AE9" s="340">
        <v>8</v>
      </c>
      <c r="AF9" s="1004">
        <v>42189</v>
      </c>
      <c r="AG9" s="1004">
        <f>(+AF9/AD9)/AE9</f>
        <v>878.9375</v>
      </c>
      <c r="AH9" s="1071">
        <f>+AG9/52</f>
        <v>16.90264423076923</v>
      </c>
      <c r="AI9" s="1042">
        <f>+AH9/7</f>
        <v>2.4146634615384612</v>
      </c>
      <c r="AJ9" s="1042"/>
    </row>
    <row r="10" spans="2:36" x14ac:dyDescent="0.2">
      <c r="B10" s="365" t="s">
        <v>607</v>
      </c>
      <c r="C10" s="1065">
        <f>'[16]Non-Salary Expense FY26'!E4</f>
        <v>6392.9174203826224</v>
      </c>
      <c r="D10" s="660" t="s">
        <v>628</v>
      </c>
      <c r="F10" s="730" t="s">
        <v>322</v>
      </c>
      <c r="G10" s="1082"/>
      <c r="H10" s="466">
        <f>'[16]M2024 BLS SALARY CHART (53_PCT)'!C40</f>
        <v>0.24970000000000001</v>
      </c>
      <c r="I10" s="457"/>
      <c r="J10" s="650">
        <f>SUM(J7:J8)*H10</f>
        <v>36771.135223680008</v>
      </c>
      <c r="K10" s="1055"/>
      <c r="L10" s="730" t="s">
        <v>322</v>
      </c>
      <c r="M10" s="1082"/>
      <c r="N10" s="466">
        <f>H10</f>
        <v>0.24970000000000001</v>
      </c>
      <c r="O10" s="457"/>
      <c r="P10" s="650">
        <f>SUM(P7:P8)*N10</f>
        <v>63368.629484160017</v>
      </c>
      <c r="Q10" s="830"/>
      <c r="R10" s="477"/>
      <c r="AB10" s="1081"/>
      <c r="AC10" s="1044" t="s">
        <v>631</v>
      </c>
      <c r="AF10" s="1004"/>
      <c r="AG10" s="1004">
        <f>SUM(AG7:AG9)</f>
        <v>5253.9375</v>
      </c>
      <c r="AH10" s="1071">
        <f>SUM(AH7:AH9)</f>
        <v>101.03725961538461</v>
      </c>
      <c r="AI10" s="1042">
        <f>SUM(AI7:AI9)</f>
        <v>14.433894230769232</v>
      </c>
      <c r="AJ10" s="1041" t="e">
        <f>AI10/AI$21</f>
        <v>#DIV/0!</v>
      </c>
    </row>
    <row r="11" spans="2:36" ht="13.5" thickBot="1" x14ac:dyDescent="0.25">
      <c r="B11" s="365" t="s">
        <v>630</v>
      </c>
      <c r="C11" s="1065">
        <f>'[16]Non-Salary Expense FY26'!E14</f>
        <v>1766.2389753369646</v>
      </c>
      <c r="D11" s="660" t="s">
        <v>628</v>
      </c>
      <c r="F11" s="1014" t="s">
        <v>609</v>
      </c>
      <c r="G11" s="1080"/>
      <c r="H11" s="1079"/>
      <c r="I11" s="1078">
        <f>SUM(I7:I8)</f>
        <v>2.7</v>
      </c>
      <c r="J11" s="1063">
        <f>SUM(J7:J10)</f>
        <v>184032.38962368004</v>
      </c>
      <c r="K11" s="1055"/>
      <c r="L11" s="1014" t="s">
        <v>609</v>
      </c>
      <c r="M11" s="1080"/>
      <c r="N11" s="1079"/>
      <c r="O11" s="1078">
        <f>SUM(O7:O8)</f>
        <v>4.9000000000000004</v>
      </c>
      <c r="P11" s="1063">
        <f>SUM(P7:P10)</f>
        <v>317147.68228416005</v>
      </c>
      <c r="Q11" s="831"/>
      <c r="R11" s="477"/>
      <c r="AB11" s="1077"/>
      <c r="AC11" s="477" t="s">
        <v>629</v>
      </c>
      <c r="AF11" s="1004">
        <v>35000</v>
      </c>
      <c r="AG11" s="1004">
        <f>+AF11/8</f>
        <v>4375</v>
      </c>
      <c r="AH11" s="1071">
        <f>+AG11/52</f>
        <v>84.134615384615387</v>
      </c>
      <c r="AI11" s="1042">
        <f>+AH11/7</f>
        <v>12.01923076923077</v>
      </c>
      <c r="AJ11" s="1041" t="e">
        <f>AI11/AI$21</f>
        <v>#DIV/0!</v>
      </c>
    </row>
    <row r="12" spans="2:36" ht="13.5" thickTop="1" x14ac:dyDescent="0.2">
      <c r="B12" s="365" t="s">
        <v>605</v>
      </c>
      <c r="C12" s="1065">
        <f>'[16]DCFFamily Skills Dev Group FY26'!K18</f>
        <v>1533.4603</v>
      </c>
      <c r="D12" s="660" t="s">
        <v>628</v>
      </c>
      <c r="F12" s="709" t="s">
        <v>579</v>
      </c>
      <c r="G12" s="477"/>
      <c r="H12" s="831"/>
      <c r="I12" s="1075" t="s">
        <v>627</v>
      </c>
      <c r="J12" s="1074"/>
      <c r="K12" s="1055"/>
      <c r="L12" s="709" t="s">
        <v>579</v>
      </c>
      <c r="M12" s="477"/>
      <c r="N12" s="831"/>
      <c r="O12" s="1075" t="s">
        <v>627</v>
      </c>
      <c r="P12" s="1074"/>
      <c r="Q12" s="831"/>
      <c r="R12" s="477"/>
      <c r="AB12" s="1076"/>
      <c r="AC12" s="477" t="s">
        <v>626</v>
      </c>
      <c r="AF12" s="1004">
        <f>SUM(AF7:AF11)*0.1</f>
        <v>11218.900000000001</v>
      </c>
      <c r="AG12" s="1004">
        <f>+AF12/8</f>
        <v>1402.3625000000002</v>
      </c>
      <c r="AH12" s="1071">
        <f>+AG12/52</f>
        <v>26.968509615384619</v>
      </c>
      <c r="AI12" s="1042">
        <f>+AH12/7</f>
        <v>3.8526442307692315</v>
      </c>
      <c r="AJ12" s="1041" t="e">
        <f>AI12/AI$21</f>
        <v>#DIV/0!</v>
      </c>
    </row>
    <row r="13" spans="2:36" x14ac:dyDescent="0.2">
      <c r="B13" s="365" t="s">
        <v>625</v>
      </c>
      <c r="C13" s="466">
        <f>'M2024 BLS SALARY CHART (53_PCT)'!C40</f>
        <v>0.24970000000000001</v>
      </c>
      <c r="D13" s="1072" t="s">
        <v>270</v>
      </c>
      <c r="F13" s="709"/>
      <c r="G13" s="477"/>
      <c r="H13" s="831"/>
      <c r="I13" s="1075"/>
      <c r="J13" s="1074"/>
      <c r="K13" s="1055"/>
      <c r="L13" s="709"/>
      <c r="M13" s="477"/>
      <c r="N13" s="831"/>
      <c r="O13" s="457">
        <f>P11/P5</f>
        <v>90.088536042540639</v>
      </c>
      <c r="P13" s="1074"/>
      <c r="Q13" s="831"/>
      <c r="AC13" s="1019" t="s">
        <v>624</v>
      </c>
      <c r="AD13" s="1003"/>
      <c r="AE13" s="1003"/>
      <c r="AF13" s="1067"/>
      <c r="AG13" s="1067"/>
      <c r="AH13" s="1066"/>
      <c r="AI13" s="1042">
        <f>SUM(AI10:AI12)</f>
        <v>30.305769230769233</v>
      </c>
      <c r="AJ13" s="1073"/>
    </row>
    <row r="14" spans="2:36" ht="13.5" thickBot="1" x14ac:dyDescent="0.25">
      <c r="B14" s="365" t="s">
        <v>28</v>
      </c>
      <c r="C14" s="466">
        <f>'[17]Master Look Up FY24'!D30</f>
        <v>0.12</v>
      </c>
      <c r="D14" s="1072" t="s">
        <v>270</v>
      </c>
      <c r="F14" s="365" t="s">
        <v>607</v>
      </c>
      <c r="I14" s="1065">
        <f>C10</f>
        <v>6392.9174203826224</v>
      </c>
      <c r="J14" s="650">
        <f>I14*I11</f>
        <v>17260.877035033081</v>
      </c>
      <c r="K14" s="1055"/>
      <c r="L14" s="365" t="s">
        <v>607</v>
      </c>
      <c r="N14" s="835"/>
      <c r="O14" s="1065">
        <f>C10</f>
        <v>6392.9174203826224</v>
      </c>
      <c r="P14" s="650">
        <f>O14*O11</f>
        <v>31325.295359874854</v>
      </c>
      <c r="Q14" s="835"/>
      <c r="AB14" s="997"/>
      <c r="AC14" s="1044" t="s">
        <v>623</v>
      </c>
      <c r="AF14" s="1004">
        <f>SUM(AF10:AF12)*0.25</f>
        <v>11554.725</v>
      </c>
      <c r="AG14" s="1004">
        <f>SUM(AG10:AG12)*0.25</f>
        <v>2757.8249999999998</v>
      </c>
      <c r="AH14" s="1071">
        <f>SUM(AH10:AH12)*0.25</f>
        <v>53.035096153846155</v>
      </c>
      <c r="AI14" s="1042">
        <f>SUM(AI10:AI12)*0.25</f>
        <v>7.5764423076923082</v>
      </c>
      <c r="AJ14" s="1041" t="e">
        <f>AI14/AI$21</f>
        <v>#DIV/0!</v>
      </c>
    </row>
    <row r="15" spans="2:36" ht="13.5" thickBot="1" x14ac:dyDescent="0.25">
      <c r="B15" s="1070" t="s">
        <v>622</v>
      </c>
      <c r="C15" s="1069">
        <f>'CAF Spring 2025'!CT26</f>
        <v>2.5282070971092779E-2</v>
      </c>
      <c r="D15" s="1068" t="s">
        <v>716</v>
      </c>
      <c r="F15" s="365" t="str">
        <f>B11</f>
        <v>Other Exp (Program Supplies &amp; Materials)</v>
      </c>
      <c r="H15" s="835"/>
      <c r="I15" s="1065">
        <f>C11</f>
        <v>1766.2389753369646</v>
      </c>
      <c r="J15" s="650">
        <f>I15*I11</f>
        <v>4768.8452334098047</v>
      </c>
      <c r="K15" s="1055"/>
      <c r="L15" s="365" t="str">
        <f>F15</f>
        <v>Other Exp (Program Supplies &amp; Materials)</v>
      </c>
      <c r="N15" s="835"/>
      <c r="O15" s="1065">
        <f>C11</f>
        <v>1766.2389753369646</v>
      </c>
      <c r="P15" s="650">
        <f>O15*O11</f>
        <v>8654.5709791511272</v>
      </c>
      <c r="Q15" s="835"/>
      <c r="AB15" s="997"/>
      <c r="AC15" s="1019" t="s">
        <v>621</v>
      </c>
      <c r="AD15" s="1003"/>
      <c r="AE15" s="1003"/>
      <c r="AF15" s="1067"/>
      <c r="AG15" s="1067"/>
      <c r="AH15" s="1066"/>
      <c r="AI15" s="1042">
        <f>SUM(AI13:AI14)</f>
        <v>37.88221153846154</v>
      </c>
      <c r="AJ15" s="1041">
        <f>AI15/AI26</f>
        <v>0.74420735234740054</v>
      </c>
    </row>
    <row r="16" spans="2:36" x14ac:dyDescent="0.2">
      <c r="C16" s="344">
        <v>2.7099999999999999E-2</v>
      </c>
      <c r="F16" s="365" t="s">
        <v>605</v>
      </c>
      <c r="H16" s="835"/>
      <c r="I16" s="1065">
        <f>C12</f>
        <v>1533.4603</v>
      </c>
      <c r="J16" s="650">
        <f>I16*I11</f>
        <v>4140.3428100000001</v>
      </c>
      <c r="K16" s="1055"/>
      <c r="L16" s="365" t="s">
        <v>605</v>
      </c>
      <c r="N16" s="835"/>
      <c r="O16" s="1065">
        <f>C12</f>
        <v>1533.4603</v>
      </c>
      <c r="P16" s="650">
        <f>O16*O11</f>
        <v>7513.9554700000008</v>
      </c>
      <c r="Q16" s="835"/>
      <c r="AB16" s="997"/>
      <c r="AF16" s="1004"/>
      <c r="AG16" s="1004"/>
    </row>
    <row r="17" spans="6:38" ht="26.25" thickBot="1" x14ac:dyDescent="0.25">
      <c r="F17" s="995" t="s">
        <v>491</v>
      </c>
      <c r="G17" s="994"/>
      <c r="H17" s="1064"/>
      <c r="I17" s="994"/>
      <c r="J17" s="1063">
        <f>SUM(J11:J16)</f>
        <v>210202.45470212292</v>
      </c>
      <c r="K17" s="1055"/>
      <c r="L17" s="995" t="s">
        <v>491</v>
      </c>
      <c r="M17" s="994"/>
      <c r="N17" s="1064"/>
      <c r="O17" s="994"/>
      <c r="P17" s="1063">
        <f>SUM(P11:P16)</f>
        <v>364641.504093186</v>
      </c>
      <c r="Q17" s="835"/>
      <c r="AB17" s="997"/>
      <c r="AC17" s="1060"/>
      <c r="AD17" s="1060"/>
      <c r="AE17" s="1060"/>
      <c r="AF17" s="1061"/>
      <c r="AG17" s="1061"/>
      <c r="AH17" s="1060"/>
      <c r="AI17" s="1046"/>
    </row>
    <row r="18" spans="6:38" ht="13.5" thickTop="1" x14ac:dyDescent="0.2">
      <c r="F18" s="365" t="s">
        <v>570</v>
      </c>
      <c r="H18" s="836">
        <f>C14</f>
        <v>0.12</v>
      </c>
      <c r="I18" s="457"/>
      <c r="J18" s="650">
        <f>H18*J17</f>
        <v>25224.294564254749</v>
      </c>
      <c r="K18" s="1055"/>
      <c r="L18" s="365" t="s">
        <v>570</v>
      </c>
      <c r="N18" s="836">
        <f>C14</f>
        <v>0.12</v>
      </c>
      <c r="O18" s="457"/>
      <c r="P18" s="650">
        <f>N18*P17</f>
        <v>43756.980491182316</v>
      </c>
      <c r="Q18" s="835"/>
      <c r="AB18" s="997"/>
      <c r="AC18" s="1060"/>
      <c r="AD18" s="1060"/>
      <c r="AE18" s="1060"/>
      <c r="AF18" s="1061"/>
      <c r="AG18" s="1061"/>
      <c r="AH18" s="1060"/>
      <c r="AI18" s="1046"/>
    </row>
    <row r="19" spans="6:38" x14ac:dyDescent="0.2">
      <c r="F19" s="990" t="s">
        <v>569</v>
      </c>
      <c r="H19" s="836">
        <f>'CAF Spring 2025'!CT26</f>
        <v>2.5282070971092779E-2</v>
      </c>
      <c r="I19" s="1062"/>
      <c r="J19" s="650">
        <f>(J18+J17)*H19</f>
        <v>5952.0757834462256</v>
      </c>
      <c r="K19" s="1055"/>
      <c r="L19" s="990" t="s">
        <v>569</v>
      </c>
      <c r="N19" s="836">
        <f>C15</f>
        <v>2.5282070971092779E-2</v>
      </c>
      <c r="O19" s="1062"/>
      <c r="P19" s="650">
        <f>N19*(P18+P17)</f>
        <v>10325.159471748741</v>
      </c>
      <c r="Q19" s="835"/>
      <c r="AB19" s="997"/>
      <c r="AC19" s="1060"/>
      <c r="AD19" s="1060"/>
      <c r="AE19" s="1060"/>
      <c r="AF19" s="1061"/>
      <c r="AG19" s="1061"/>
      <c r="AH19" s="1060"/>
      <c r="AI19" s="1046"/>
    </row>
    <row r="20" spans="6:38" ht="13.5" thickBot="1" x14ac:dyDescent="0.25">
      <c r="F20" s="482" t="s">
        <v>620</v>
      </c>
      <c r="G20" s="1059"/>
      <c r="H20" s="1058"/>
      <c r="I20" s="1057"/>
      <c r="J20" s="1056">
        <f>SUM(J17:J19)</f>
        <v>241378.82504982391</v>
      </c>
      <c r="K20" s="1055"/>
      <c r="L20" s="482" t="s">
        <v>620</v>
      </c>
      <c r="M20" s="1059"/>
      <c r="N20" s="1058"/>
      <c r="O20" s="1057"/>
      <c r="P20" s="1056">
        <f>SUM(P17:P19)</f>
        <v>418723.64405611705</v>
      </c>
      <c r="Q20" s="835"/>
      <c r="AB20" s="1049"/>
      <c r="AC20" s="230" t="s">
        <v>619</v>
      </c>
      <c r="AD20" s="230"/>
      <c r="AE20" s="230"/>
      <c r="AF20" s="1004"/>
      <c r="AG20" s="1047"/>
      <c r="AH20" s="230"/>
      <c r="AI20" s="1046">
        <f>0.2*AL26</f>
        <v>10.180552884615384</v>
      </c>
      <c r="AJ20" s="1041">
        <f>AI20/AI26</f>
        <v>0.19999999999999996</v>
      </c>
    </row>
    <row r="21" spans="6:38" ht="14.25" thickTop="1" thickBot="1" x14ac:dyDescent="0.25">
      <c r="F21" s="1054" t="s">
        <v>618</v>
      </c>
      <c r="G21" s="1053"/>
      <c r="H21" s="1053"/>
      <c r="I21" s="1053"/>
      <c r="J21" s="1052">
        <f>J20/J5</f>
        <v>68.565738282531498</v>
      </c>
      <c r="K21" s="1055"/>
      <c r="L21" s="1054" t="s">
        <v>618</v>
      </c>
      <c r="M21" s="1053"/>
      <c r="N21" s="1053"/>
      <c r="O21" s="1053"/>
      <c r="P21" s="1052">
        <f>P20/P5</f>
        <v>118.94206455406119</v>
      </c>
      <c r="Q21" s="835"/>
      <c r="V21" s="1004"/>
      <c r="AA21" s="1004"/>
      <c r="AB21" s="997"/>
      <c r="AD21" s="230"/>
      <c r="AE21" s="230"/>
      <c r="AF21" s="1004"/>
      <c r="AG21" s="1047"/>
      <c r="AH21" s="230"/>
      <c r="AI21" s="1046"/>
      <c r="AJ21" s="1041"/>
    </row>
    <row r="22" spans="6:38" x14ac:dyDescent="0.2">
      <c r="F22" s="1019"/>
      <c r="G22" s="1051"/>
      <c r="H22" s="1020"/>
      <c r="I22" s="1050" t="s">
        <v>617</v>
      </c>
      <c r="J22" s="346">
        <v>64.3</v>
      </c>
      <c r="O22" s="340" t="s">
        <v>617</v>
      </c>
      <c r="P22" s="651">
        <v>110.58</v>
      </c>
      <c r="Q22" s="835"/>
      <c r="R22" s="477"/>
      <c r="S22" s="477"/>
      <c r="T22" s="978"/>
      <c r="AB22" s="997"/>
      <c r="AD22" s="230"/>
      <c r="AE22" s="230"/>
      <c r="AF22" s="1004"/>
      <c r="AG22" s="1047"/>
      <c r="AH22" s="230"/>
      <c r="AI22" s="1046"/>
      <c r="AJ22" s="1041"/>
    </row>
    <row r="23" spans="6:38" x14ac:dyDescent="0.2">
      <c r="I23" s="340" t="s">
        <v>602</v>
      </c>
      <c r="J23" s="336">
        <f>(J21-J22)/J22</f>
        <v>6.6341186353522569E-2</v>
      </c>
      <c r="O23" s="340" t="s">
        <v>602</v>
      </c>
      <c r="P23" s="458">
        <f>(P21-P22)/P22</f>
        <v>7.5620044800698061E-2</v>
      </c>
      <c r="Q23" s="977"/>
      <c r="S23" s="477"/>
      <c r="T23" s="978"/>
      <c r="AB23" s="1049"/>
      <c r="AC23" s="1048" t="s">
        <v>616</v>
      </c>
      <c r="AD23" s="230"/>
      <c r="AE23" s="230"/>
      <c r="AF23" s="1022"/>
      <c r="AG23" s="1047"/>
      <c r="AH23" s="230"/>
      <c r="AI23" s="1046">
        <f>AI15+AI20</f>
        <v>48.062764423076928</v>
      </c>
      <c r="AJ23" s="1041"/>
    </row>
    <row r="24" spans="6:38" hidden="1" x14ac:dyDescent="0.2">
      <c r="Q24" s="977"/>
      <c r="S24" s="477"/>
      <c r="T24" s="978"/>
      <c r="AB24" s="997"/>
      <c r="AC24" s="1048"/>
      <c r="AD24" s="230"/>
      <c r="AE24" s="230"/>
      <c r="AF24" s="1022"/>
      <c r="AG24" s="1047"/>
      <c r="AH24" s="230"/>
      <c r="AI24" s="1046"/>
      <c r="AJ24" s="1041"/>
    </row>
    <row r="25" spans="6:38" hidden="1" x14ac:dyDescent="0.2">
      <c r="F25" s="1732" t="s">
        <v>615</v>
      </c>
      <c r="G25" s="1733"/>
      <c r="H25" s="1733"/>
      <c r="I25" s="1733"/>
      <c r="J25" s="1733"/>
      <c r="K25" s="1733"/>
      <c r="L25" s="1733"/>
      <c r="M25" s="1733"/>
      <c r="N25" s="1733"/>
      <c r="O25" s="1733"/>
      <c r="Q25" s="835"/>
      <c r="R25" s="477"/>
      <c r="S25" s="477"/>
      <c r="T25" s="978"/>
      <c r="AB25" s="997"/>
      <c r="AC25" s="1044" t="s">
        <v>614</v>
      </c>
      <c r="AD25" s="1019"/>
      <c r="AE25" s="1019"/>
      <c r="AF25" s="1022"/>
      <c r="AG25" s="1043"/>
      <c r="AH25" s="477"/>
      <c r="AI25" s="1042">
        <f>'[15]Unbundled background file'!$G$53</f>
        <v>2.84</v>
      </c>
      <c r="AJ25" s="832">
        <f>AI25/AI26</f>
        <v>5.579264765259933E-2</v>
      </c>
    </row>
    <row r="26" spans="6:38" hidden="1" x14ac:dyDescent="0.2">
      <c r="F26" s="1733"/>
      <c r="G26" s="1733"/>
      <c r="H26" s="1733"/>
      <c r="I26" s="1733"/>
      <c r="J26" s="1733"/>
      <c r="K26" s="1733"/>
      <c r="L26" s="1733"/>
      <c r="M26" s="1733"/>
      <c r="N26" s="1733"/>
      <c r="O26" s="1733"/>
      <c r="Q26" s="831"/>
      <c r="R26" s="477"/>
      <c r="AB26" s="1045"/>
      <c r="AC26" s="1044" t="s">
        <v>613</v>
      </c>
      <c r="AD26" s="1019"/>
      <c r="AE26" s="1019"/>
      <c r="AF26" s="1043"/>
      <c r="AG26" s="1043"/>
      <c r="AI26" s="1042">
        <f>SUM(AI23:AI25)</f>
        <v>50.902764423076931</v>
      </c>
      <c r="AJ26" s="1041">
        <f>SUM(AJ15:AJ25)</f>
        <v>0.99999999999999978</v>
      </c>
      <c r="AL26" s="457">
        <f>(AI15+AI25)/0.8</f>
        <v>50.902764423076917</v>
      </c>
    </row>
    <row r="27" spans="6:38" ht="13.5" hidden="1" thickBot="1" x14ac:dyDescent="0.25">
      <c r="I27" s="1032">
        <v>1364</v>
      </c>
      <c r="O27" s="1032">
        <v>1364</v>
      </c>
      <c r="Q27" s="477"/>
      <c r="S27" s="848"/>
      <c r="T27" s="848"/>
      <c r="AC27" s="1040" t="s">
        <v>537</v>
      </c>
      <c r="AD27" s="1037"/>
      <c r="AE27" s="1037"/>
      <c r="AF27" s="1039"/>
      <c r="AG27" s="1038"/>
      <c r="AH27" s="1037"/>
      <c r="AI27" s="1036" t="e">
        <f>SUM(#REF!)</f>
        <v>#REF!</v>
      </c>
      <c r="AJ27" s="1035"/>
    </row>
    <row r="28" spans="6:38" ht="26.25" hidden="1" thickBot="1" x14ac:dyDescent="0.25">
      <c r="F28" s="1031" t="s">
        <v>612</v>
      </c>
      <c r="G28" s="1030" t="s">
        <v>600</v>
      </c>
      <c r="H28" s="1034" t="s">
        <v>599</v>
      </c>
      <c r="I28" s="1033" t="s">
        <v>579</v>
      </c>
      <c r="J28" s="1032"/>
      <c r="L28" s="1031" t="s">
        <v>357</v>
      </c>
      <c r="M28" s="1030" t="s">
        <v>600</v>
      </c>
      <c r="N28" s="1030" t="s">
        <v>599</v>
      </c>
      <c r="O28" s="1029" t="s">
        <v>579</v>
      </c>
      <c r="R28" s="1024"/>
      <c r="S28" s="830"/>
      <c r="T28" s="830"/>
      <c r="AC28" s="832"/>
      <c r="AE28" s="1004"/>
      <c r="AF28" s="1004"/>
      <c r="AG28" s="1022"/>
    </row>
    <row r="29" spans="6:38" ht="12.75" hidden="1" customHeight="1" x14ac:dyDescent="0.2">
      <c r="F29" s="1028" t="str">
        <f>F7</f>
        <v xml:space="preserve">Management </v>
      </c>
      <c r="G29" s="845">
        <f>C6</f>
        <v>81486.911999999997</v>
      </c>
      <c r="H29" s="1026">
        <v>0.1</v>
      </c>
      <c r="I29" s="1025">
        <f>G29*H29</f>
        <v>8148.6912000000002</v>
      </c>
      <c r="L29" s="1028" t="str">
        <f>L7</f>
        <v xml:space="preserve">Management </v>
      </c>
      <c r="M29" s="845">
        <f>C6</f>
        <v>81486.911999999997</v>
      </c>
      <c r="N29" s="1026">
        <v>0.1</v>
      </c>
      <c r="O29" s="1025">
        <f>M29*N29</f>
        <v>8148.6912000000002</v>
      </c>
      <c r="R29" s="1024"/>
      <c r="S29" s="830"/>
      <c r="T29" s="830"/>
      <c r="AC29" s="832"/>
      <c r="AE29" s="1004"/>
      <c r="AF29" s="1004"/>
      <c r="AG29" s="1022"/>
    </row>
    <row r="30" spans="6:38" ht="13.5" hidden="1" customHeight="1" x14ac:dyDescent="0.2">
      <c r="F30" s="1027" t="s">
        <v>327</v>
      </c>
      <c r="G30" s="845">
        <f>C8</f>
        <v>46842.432000000008</v>
      </c>
      <c r="H30" s="1026">
        <v>1.1499999999999999</v>
      </c>
      <c r="I30" s="1025">
        <f>G30*H30</f>
        <v>53868.796800000004</v>
      </c>
      <c r="L30" s="1027" t="s">
        <v>357</v>
      </c>
      <c r="M30" s="845">
        <f>C7</f>
        <v>84174.063999999998</v>
      </c>
      <c r="N30" s="1026">
        <v>1</v>
      </c>
      <c r="O30" s="1025">
        <f>M30*N30</f>
        <v>84174.063999999998</v>
      </c>
      <c r="R30" s="1024"/>
      <c r="S30" s="831"/>
      <c r="T30" s="831"/>
      <c r="AC30" s="832"/>
      <c r="AE30" s="1004"/>
      <c r="AF30" s="1004"/>
      <c r="AG30" s="1022"/>
    </row>
    <row r="31" spans="6:38" ht="13.5" hidden="1" thickBot="1" x14ac:dyDescent="0.25">
      <c r="F31" s="730" t="s">
        <v>322</v>
      </c>
      <c r="G31" s="1023">
        <f>C13</f>
        <v>0.24970000000000001</v>
      </c>
      <c r="H31" s="847"/>
      <c r="I31" s="1007">
        <f>SUM(I29:I30)*G31</f>
        <v>15485.766753600001</v>
      </c>
      <c r="L31" s="730" t="s">
        <v>322</v>
      </c>
      <c r="M31" s="1023">
        <f>C13</f>
        <v>0.24970000000000001</v>
      </c>
      <c r="N31" s="847"/>
      <c r="O31" s="1007">
        <f>SUM(O29:O30)*M31</f>
        <v>23052.991973439999</v>
      </c>
      <c r="Q31" s="1020"/>
      <c r="R31" s="1019"/>
      <c r="S31" s="831"/>
      <c r="T31" s="831"/>
      <c r="AC31" s="832"/>
      <c r="AE31" s="1004"/>
      <c r="AF31" s="1004"/>
      <c r="AG31" s="1022"/>
    </row>
    <row r="32" spans="6:38" hidden="1" x14ac:dyDescent="0.2">
      <c r="F32" s="990" t="s">
        <v>611</v>
      </c>
      <c r="G32" s="1021">
        <f>C15</f>
        <v>2.5282070971092779E-2</v>
      </c>
      <c r="H32" s="917"/>
      <c r="I32" s="1007">
        <f>SUM(I29:I31)*G32</f>
        <v>1959.4427871711991</v>
      </c>
      <c r="L32" s="990" t="s">
        <v>611</v>
      </c>
      <c r="M32" s="1021">
        <f>C15</f>
        <v>2.5282070971092779E-2</v>
      </c>
      <c r="N32" s="917"/>
      <c r="O32" s="1007">
        <f>SUM(O29:O31)*M32</f>
        <v>2916.9378283817673</v>
      </c>
      <c r="Q32" s="1020"/>
      <c r="R32" s="1019"/>
      <c r="S32" s="831"/>
      <c r="T32" s="831"/>
      <c r="AC32" s="832"/>
      <c r="AE32" s="1018" t="s">
        <v>610</v>
      </c>
      <c r="AF32" s="1017"/>
      <c r="AG32" s="1016"/>
      <c r="AH32" s="549"/>
      <c r="AI32" s="1015"/>
    </row>
    <row r="33" spans="6:35" ht="13.5" hidden="1" thickBot="1" x14ac:dyDescent="0.25">
      <c r="F33" s="1014" t="s">
        <v>609</v>
      </c>
      <c r="G33" s="1013"/>
      <c r="H33" s="1012">
        <f>SUM(H28:H30)</f>
        <v>1.25</v>
      </c>
      <c r="I33" s="992">
        <f>SUM(I29:I32)</f>
        <v>79462.697540771202</v>
      </c>
      <c r="L33" s="1014" t="s">
        <v>609</v>
      </c>
      <c r="M33" s="1013"/>
      <c r="N33" s="1012">
        <f>SUM(N28:N30)</f>
        <v>1.1000000000000001</v>
      </c>
      <c r="O33" s="992">
        <f>SUM(O29:O32)</f>
        <v>118292.68500182177</v>
      </c>
      <c r="Q33" s="848"/>
      <c r="R33" s="848"/>
      <c r="S33" s="831"/>
      <c r="T33" s="831"/>
      <c r="AC33" s="836"/>
      <c r="AE33" s="1011" t="s">
        <v>121</v>
      </c>
      <c r="AF33" s="1010">
        <f>'[15]Unbundled background file'!$K$72</f>
        <v>1.0391381345926798</v>
      </c>
      <c r="AG33" s="1004"/>
      <c r="AI33" s="1009" t="e">
        <f>#REF!*AF33</f>
        <v>#REF!</v>
      </c>
    </row>
    <row r="34" spans="6:35" ht="13.5" hidden="1" thickTop="1" x14ac:dyDescent="0.2">
      <c r="F34" s="709" t="s">
        <v>579</v>
      </c>
      <c r="G34" s="1008"/>
      <c r="H34" s="847"/>
      <c r="I34" s="1007"/>
      <c r="L34" s="709" t="s">
        <v>579</v>
      </c>
      <c r="M34" s="1008"/>
      <c r="N34" s="847"/>
      <c r="O34" s="1007"/>
      <c r="Q34" s="830"/>
      <c r="R34" s="1006"/>
      <c r="S34" s="831"/>
      <c r="T34" s="831"/>
      <c r="AC34" s="836"/>
      <c r="AE34" s="1005" t="s">
        <v>608</v>
      </c>
      <c r="AF34" s="1004"/>
      <c r="AG34" s="1004"/>
      <c r="AI34" s="794">
        <v>2.84</v>
      </c>
    </row>
    <row r="35" spans="6:35" ht="13.5" hidden="1" thickBot="1" x14ac:dyDescent="0.25">
      <c r="F35" s="365" t="s">
        <v>607</v>
      </c>
      <c r="G35" s="998"/>
      <c r="H35" s="997">
        <f>C10</f>
        <v>6392.9174203826224</v>
      </c>
      <c r="I35" s="996">
        <f>H35*$H$30</f>
        <v>7351.8550334400152</v>
      </c>
      <c r="L35" s="365" t="s">
        <v>607</v>
      </c>
      <c r="M35" s="998"/>
      <c r="N35" s="997">
        <f>C10</f>
        <v>6392.9174203826224</v>
      </c>
      <c r="O35" s="996">
        <f>N35*N33</f>
        <v>7032.2091624208851</v>
      </c>
      <c r="Q35" s="830"/>
      <c r="R35" s="1003"/>
      <c r="S35" s="831"/>
      <c r="T35" s="831"/>
      <c r="AC35" s="836"/>
      <c r="AE35" s="1002" t="s">
        <v>606</v>
      </c>
      <c r="AF35" s="1001"/>
      <c r="AG35" s="1000"/>
      <c r="AH35" s="786"/>
      <c r="AI35" s="999" t="e">
        <f>AI33+AI34</f>
        <v>#REF!</v>
      </c>
    </row>
    <row r="36" spans="6:35" hidden="1" x14ac:dyDescent="0.2">
      <c r="F36" s="365" t="str">
        <f>B11</f>
        <v>Other Exp (Program Supplies &amp; Materials)</v>
      </c>
      <c r="G36" s="998"/>
      <c r="H36" s="997">
        <f>C11</f>
        <v>1766.2389753369646</v>
      </c>
      <c r="I36" s="996">
        <f>H36*$H$30</f>
        <v>2031.174821637509</v>
      </c>
      <c r="L36" s="365" t="str">
        <f>B11</f>
        <v>Other Exp (Program Supplies &amp; Materials)</v>
      </c>
      <c r="M36" s="998"/>
      <c r="N36" s="997">
        <f>C11</f>
        <v>1766.2389753369646</v>
      </c>
      <c r="O36" s="996">
        <f>N36*N33</f>
        <v>1942.8628728706612</v>
      </c>
      <c r="Q36" s="830"/>
      <c r="R36" s="477"/>
      <c r="S36" s="831"/>
      <c r="T36" s="831"/>
    </row>
    <row r="37" spans="6:35" hidden="1" x14ac:dyDescent="0.2">
      <c r="F37" s="365" t="s">
        <v>605</v>
      </c>
      <c r="G37" s="998"/>
      <c r="H37" s="997">
        <f>C12</f>
        <v>1533.4603</v>
      </c>
      <c r="I37" s="996">
        <f>H37*$H$30</f>
        <v>1763.4793449999997</v>
      </c>
      <c r="L37" s="365" t="s">
        <v>605</v>
      </c>
      <c r="M37" s="998"/>
      <c r="N37" s="997">
        <f>C12</f>
        <v>1533.4603</v>
      </c>
      <c r="O37" s="996">
        <f>N37*N33</f>
        <v>1686.8063300000001</v>
      </c>
      <c r="Q37" s="831"/>
      <c r="R37" s="477"/>
      <c r="S37" s="979"/>
      <c r="T37" s="830"/>
    </row>
    <row r="38" spans="6:35" ht="26.25" hidden="1" thickBot="1" x14ac:dyDescent="0.25">
      <c r="F38" s="995" t="s">
        <v>491</v>
      </c>
      <c r="G38" s="994"/>
      <c r="H38" s="993"/>
      <c r="I38" s="992">
        <f>SUM(I33:I37)</f>
        <v>90609.206740848735</v>
      </c>
      <c r="L38" s="995" t="s">
        <v>491</v>
      </c>
      <c r="M38" s="994"/>
      <c r="N38" s="993"/>
      <c r="O38" s="992">
        <f>SUM(O33:O37)</f>
        <v>128954.56336711333</v>
      </c>
      <c r="Q38" s="831"/>
      <c r="R38" s="477"/>
      <c r="S38" s="835"/>
      <c r="T38" s="830"/>
    </row>
    <row r="39" spans="6:35" ht="13.5" hidden="1" thickTop="1" x14ac:dyDescent="0.2">
      <c r="F39" s="365" t="s">
        <v>570</v>
      </c>
      <c r="G39" s="836">
        <f>C14</f>
        <v>0.12</v>
      </c>
      <c r="H39" s="836"/>
      <c r="I39" s="991">
        <f>(I38-I32)*G39</f>
        <v>10637.971674441304</v>
      </c>
      <c r="L39" s="365" t="s">
        <v>570</v>
      </c>
      <c r="M39" s="836">
        <f>C14</f>
        <v>0.12</v>
      </c>
      <c r="N39" s="836"/>
      <c r="O39" s="991">
        <f>(O38-O32)*M39</f>
        <v>15124.515064647787</v>
      </c>
      <c r="Q39" s="831"/>
      <c r="S39" s="835"/>
      <c r="T39" s="830"/>
    </row>
    <row r="40" spans="6:35" hidden="1" x14ac:dyDescent="0.2">
      <c r="F40" s="990" t="s">
        <v>569</v>
      </c>
      <c r="G40" s="836">
        <f>C15</f>
        <v>2.5282070971092779E-2</v>
      </c>
      <c r="H40" s="836"/>
      <c r="I40" s="989">
        <f>SUM(I35:I37)*G40</f>
        <v>281.80683667629859</v>
      </c>
      <c r="L40" s="990" t="s">
        <v>569</v>
      </c>
      <c r="M40" s="836">
        <f>C15</f>
        <v>2.5282070971092779E-2</v>
      </c>
      <c r="N40" s="836"/>
      <c r="O40" s="989">
        <f>SUM(O35:O37)*M40</f>
        <v>269.55436551645954</v>
      </c>
      <c r="Q40" s="835"/>
      <c r="S40" s="835"/>
      <c r="T40" s="830"/>
    </row>
    <row r="41" spans="6:35" ht="13.5" hidden="1" thickBot="1" x14ac:dyDescent="0.25">
      <c r="F41" s="988" t="s">
        <v>490</v>
      </c>
      <c r="G41" s="987"/>
      <c r="H41" s="986"/>
      <c r="I41" s="985">
        <f>SUM(I38:I40)</f>
        <v>101528.98525196634</v>
      </c>
      <c r="L41" s="988" t="s">
        <v>490</v>
      </c>
      <c r="M41" s="987"/>
      <c r="N41" s="986"/>
      <c r="O41" s="985">
        <f>SUM(O38:O40)</f>
        <v>144348.63279727759</v>
      </c>
      <c r="Q41" s="835"/>
      <c r="S41" s="835"/>
      <c r="T41" s="830"/>
    </row>
    <row r="42" spans="6:35" ht="13.5" hidden="1" thickTop="1" x14ac:dyDescent="0.2">
      <c r="F42" s="484" t="s">
        <v>604</v>
      </c>
      <c r="H42" s="457"/>
      <c r="I42" s="984">
        <f>I41/I27</f>
        <v>74.434739920796432</v>
      </c>
      <c r="L42" s="484" t="s">
        <v>604</v>
      </c>
      <c r="N42" s="457"/>
      <c r="O42" s="984">
        <f>O41/O27</f>
        <v>105.82744339976362</v>
      </c>
      <c r="Q42" s="835"/>
      <c r="S42" s="835"/>
      <c r="T42" s="830"/>
    </row>
    <row r="43" spans="6:35" ht="13.5" hidden="1" thickBot="1" x14ac:dyDescent="0.25">
      <c r="F43" s="983" t="s">
        <v>603</v>
      </c>
      <c r="G43" s="982"/>
      <c r="H43" s="982"/>
      <c r="I43" s="981">
        <f>I42/4</f>
        <v>18.608684980199108</v>
      </c>
      <c r="L43" s="983" t="s">
        <v>603</v>
      </c>
      <c r="M43" s="982"/>
      <c r="N43" s="982"/>
      <c r="O43" s="981">
        <f>O42/4</f>
        <v>26.456860849940906</v>
      </c>
      <c r="Q43" s="835"/>
      <c r="S43" s="835"/>
      <c r="T43" s="830"/>
    </row>
    <row r="44" spans="6:35" hidden="1" x14ac:dyDescent="0.2">
      <c r="H44" s="340" t="s">
        <v>718</v>
      </c>
      <c r="I44" s="457">
        <v>56.9</v>
      </c>
      <c r="N44" s="340" t="s">
        <v>718</v>
      </c>
      <c r="O44" s="340">
        <v>80.42</v>
      </c>
      <c r="Q44" s="835"/>
      <c r="S44" s="835"/>
      <c r="T44" s="830"/>
    </row>
    <row r="45" spans="6:35" hidden="1" x14ac:dyDescent="0.2">
      <c r="H45" s="340" t="s">
        <v>602</v>
      </c>
      <c r="I45" s="344">
        <f>(I42-I44)/I44</f>
        <v>0.3081676611739268</v>
      </c>
      <c r="N45" s="340" t="s">
        <v>602</v>
      </c>
      <c r="O45" s="344">
        <f>(O42-O44)/O44</f>
        <v>0.31593438696547654</v>
      </c>
      <c r="P45" s="346"/>
      <c r="Q45" s="835"/>
      <c r="S45" s="835"/>
      <c r="T45" s="830"/>
    </row>
    <row r="46" spans="6:35" hidden="1" x14ac:dyDescent="0.2">
      <c r="P46" s="336"/>
      <c r="Q46" s="835"/>
      <c r="S46" s="835"/>
      <c r="T46" s="830"/>
    </row>
    <row r="47" spans="6:35" hidden="1" x14ac:dyDescent="0.2">
      <c r="J47" s="346"/>
      <c r="P47" s="456"/>
      <c r="Q47" s="835"/>
      <c r="S47" s="835"/>
      <c r="T47" s="830"/>
    </row>
    <row r="48" spans="6:35" hidden="1" x14ac:dyDescent="0.2">
      <c r="J48" s="336"/>
      <c r="P48" s="456"/>
      <c r="Q48" s="835"/>
      <c r="S48" s="835"/>
      <c r="T48" s="830"/>
    </row>
    <row r="49" spans="6:21" hidden="1" x14ac:dyDescent="0.2">
      <c r="J49" s="456"/>
      <c r="P49" s="537"/>
      <c r="Q49" s="835"/>
      <c r="S49" s="835"/>
      <c r="T49" s="830"/>
    </row>
    <row r="50" spans="6:21" hidden="1" x14ac:dyDescent="0.2">
      <c r="J50" s="456"/>
      <c r="Q50" s="835"/>
      <c r="S50" s="835"/>
      <c r="T50" s="830"/>
    </row>
    <row r="51" spans="6:21" hidden="1" x14ac:dyDescent="0.2">
      <c r="F51" s="477"/>
      <c r="J51" s="832"/>
      <c r="L51" s="477"/>
      <c r="Q51" s="835"/>
      <c r="S51" s="835"/>
      <c r="T51" s="830"/>
    </row>
    <row r="52" spans="6:21" hidden="1" x14ac:dyDescent="0.2">
      <c r="F52" s="477"/>
      <c r="G52" s="477"/>
      <c r="H52" s="537"/>
      <c r="I52" s="980"/>
      <c r="J52" s="831"/>
      <c r="Q52" s="835"/>
      <c r="S52" s="977"/>
      <c r="T52" s="831"/>
    </row>
    <row r="53" spans="6:21" x14ac:dyDescent="0.2">
      <c r="F53" s="844"/>
      <c r="G53" s="844"/>
      <c r="H53" s="844"/>
      <c r="I53" s="844"/>
      <c r="J53" s="844"/>
      <c r="Q53" s="835"/>
      <c r="S53" s="979"/>
      <c r="T53" s="830"/>
    </row>
    <row r="54" spans="6:21" x14ac:dyDescent="0.2">
      <c r="F54" s="477"/>
      <c r="G54" s="477"/>
      <c r="H54" s="477"/>
      <c r="I54" s="833"/>
      <c r="J54" s="978"/>
      <c r="Q54" s="835"/>
      <c r="S54" s="831"/>
      <c r="T54" s="831"/>
    </row>
    <row r="55" spans="6:21" x14ac:dyDescent="0.2">
      <c r="Q55" s="835"/>
      <c r="S55" s="537"/>
      <c r="T55" s="831"/>
    </row>
    <row r="56" spans="6:21" x14ac:dyDescent="0.2">
      <c r="Q56" s="835"/>
      <c r="S56" s="844"/>
      <c r="T56" s="844"/>
    </row>
    <row r="57" spans="6:21" x14ac:dyDescent="0.2">
      <c r="Q57" s="835"/>
      <c r="S57" s="477"/>
      <c r="T57" s="978"/>
      <c r="U57" s="477"/>
    </row>
    <row r="58" spans="6:21" x14ac:dyDescent="0.2">
      <c r="Q58" s="835"/>
      <c r="R58" s="477"/>
    </row>
    <row r="59" spans="6:21" x14ac:dyDescent="0.2">
      <c r="Q59" s="977"/>
    </row>
    <row r="60" spans="6:21" x14ac:dyDescent="0.2">
      <c r="Q60" s="835"/>
      <c r="R60" s="477"/>
    </row>
    <row r="61" spans="6:21" x14ac:dyDescent="0.2">
      <c r="F61" s="477"/>
      <c r="Q61" s="831"/>
      <c r="R61" s="477"/>
    </row>
    <row r="62" spans="6:21" x14ac:dyDescent="0.2">
      <c r="Q62" s="537"/>
      <c r="R62" s="844"/>
    </row>
    <row r="63" spans="6:21" x14ac:dyDescent="0.2">
      <c r="Q63" s="844"/>
      <c r="R63" s="477"/>
    </row>
  </sheetData>
  <mergeCells count="8">
    <mergeCell ref="AC5:AJ5"/>
    <mergeCell ref="B9:D9"/>
    <mergeCell ref="F25:O26"/>
    <mergeCell ref="F2:P3"/>
    <mergeCell ref="B4:D4"/>
    <mergeCell ref="F4:J4"/>
    <mergeCell ref="L4:P4"/>
    <mergeCell ref="B5:D5"/>
  </mergeCells>
  <pageMargins left="0.25" right="0.25" top="0.75" bottom="0.75" header="0.3" footer="0.3"/>
  <pageSetup scale="35" orientation="landscape" r:id="rId1"/>
  <colBreaks count="1" manualBreakCount="1">
    <brk id="3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99492-B874-46C5-A607-EE85ED709F71}">
  <sheetPr>
    <pageSetUpPr fitToPage="1"/>
  </sheetPr>
  <dimension ref="B1:DR222"/>
  <sheetViews>
    <sheetView topLeftCell="DA12" zoomScaleNormal="100" workbookViewId="0">
      <selection activeCell="I50" sqref="I50"/>
    </sheetView>
  </sheetViews>
  <sheetFormatPr defaultColWidth="9.140625" defaultRowHeight="15" x14ac:dyDescent="0.25"/>
  <cols>
    <col min="1" max="1" width="2.85546875" style="254" customWidth="1"/>
    <col min="2" max="2" width="3.28515625" style="254" hidden="1" customWidth="1"/>
    <col min="3" max="3" width="9.42578125" style="254" customWidth="1"/>
    <col min="4" max="4" width="31.140625" style="254" bestFit="1" customWidth="1"/>
    <col min="5" max="5" width="11.5703125" style="254" bestFit="1" customWidth="1"/>
    <col min="6" max="6" width="6" style="254" bestFit="1" customWidth="1"/>
    <col min="7" max="7" width="11.5703125" style="255" bestFit="1" customWidth="1"/>
    <col min="8" max="8" width="5.42578125" style="255" customWidth="1"/>
    <col min="9" max="9" width="31.140625" style="254" bestFit="1" customWidth="1"/>
    <col min="10" max="10" width="11.5703125" style="254" bestFit="1" customWidth="1"/>
    <col min="11" max="11" width="9" style="254" bestFit="1" customWidth="1"/>
    <col min="12" max="12" width="11.5703125" style="255" bestFit="1" customWidth="1"/>
    <col min="13" max="13" width="9.5703125" style="254" bestFit="1" customWidth="1"/>
    <col min="14" max="14" width="31.140625" style="254" bestFit="1" customWidth="1"/>
    <col min="15" max="15" width="11.5703125" style="254" bestFit="1" customWidth="1"/>
    <col min="16" max="16" width="6" style="254" bestFit="1" customWidth="1"/>
    <col min="17" max="17" width="11.5703125" style="255" bestFit="1" customWidth="1"/>
    <col min="18" max="18" width="5.7109375" style="255" customWidth="1"/>
    <col min="19" max="19" width="31.140625" style="255" bestFit="1" customWidth="1"/>
    <col min="20" max="20" width="11.5703125" style="255" bestFit="1" customWidth="1"/>
    <col min="21" max="21" width="6" style="255" bestFit="1" customWidth="1"/>
    <col min="22" max="22" width="11.7109375" style="255" customWidth="1"/>
    <col min="23" max="23" width="6.85546875" style="255" customWidth="1"/>
    <col min="24" max="24" width="31.140625" style="255" bestFit="1" customWidth="1"/>
    <col min="25" max="25" width="11.5703125" style="255" bestFit="1" customWidth="1"/>
    <col min="26" max="26" width="7" style="255" bestFit="1" customWidth="1"/>
    <col min="27" max="27" width="11.7109375" style="255" customWidth="1"/>
    <col min="28" max="28" width="6.140625" style="255" customWidth="1"/>
    <col min="29" max="29" width="31.140625" style="255" bestFit="1" customWidth="1"/>
    <col min="30" max="30" width="11.5703125" style="255" bestFit="1" customWidth="1"/>
    <col min="31" max="31" width="6" style="255" bestFit="1" customWidth="1"/>
    <col min="32" max="32" width="12.28515625" style="255" customWidth="1"/>
    <col min="33" max="33" width="6.7109375" style="255" customWidth="1"/>
    <col min="34" max="34" width="31.140625" style="255" bestFit="1" customWidth="1"/>
    <col min="35" max="35" width="11.5703125" style="255" bestFit="1" customWidth="1"/>
    <col min="36" max="36" width="6" style="255" bestFit="1" customWidth="1"/>
    <col min="37" max="37" width="11.5703125" style="255" bestFit="1" customWidth="1"/>
    <col min="38" max="38" width="5.140625" style="255" customWidth="1"/>
    <col min="39" max="39" width="33.28515625" style="255" bestFit="1" customWidth="1"/>
    <col min="40" max="40" width="11.5703125" style="255" bestFit="1" customWidth="1"/>
    <col min="41" max="41" width="6" style="255" bestFit="1" customWidth="1"/>
    <col min="42" max="42" width="11.5703125" style="255" bestFit="1" customWidth="1"/>
    <col min="43" max="43" width="4.85546875" style="255" customWidth="1"/>
    <col min="44" max="44" width="31.140625" style="255" bestFit="1" customWidth="1"/>
    <col min="45" max="45" width="11.5703125" style="255" bestFit="1" customWidth="1"/>
    <col min="46" max="46" width="7" style="255" bestFit="1" customWidth="1"/>
    <col min="47" max="47" width="11.5703125" style="255" bestFit="1" customWidth="1"/>
    <col min="48" max="48" width="6" style="255" customWidth="1"/>
    <col min="49" max="49" width="31.140625" style="255" bestFit="1" customWidth="1"/>
    <col min="50" max="50" width="11.5703125" style="255" bestFit="1" customWidth="1"/>
    <col min="51" max="51" width="6" style="255" bestFit="1" customWidth="1"/>
    <col min="52" max="52" width="11.5703125" style="255" bestFit="1" customWidth="1"/>
    <col min="53" max="53" width="5.7109375" style="255" customWidth="1"/>
    <col min="54" max="54" width="31.140625" style="255" bestFit="1" customWidth="1"/>
    <col min="55" max="55" width="11.5703125" style="255" bestFit="1" customWidth="1"/>
    <col min="56" max="56" width="6" style="255" bestFit="1" customWidth="1"/>
    <col min="57" max="57" width="11.5703125" style="255" bestFit="1" customWidth="1"/>
    <col min="58" max="58" width="4.5703125" style="255" customWidth="1"/>
    <col min="59" max="59" width="31.140625" style="255" bestFit="1" customWidth="1"/>
    <col min="60" max="60" width="11.5703125" style="255" bestFit="1" customWidth="1"/>
    <col min="61" max="61" width="6" style="255" bestFit="1" customWidth="1"/>
    <col min="62" max="62" width="11.5703125" style="255" bestFit="1" customWidth="1"/>
    <col min="63" max="63" width="5.5703125" style="255" customWidth="1"/>
    <col min="64" max="64" width="31.140625" style="255" bestFit="1" customWidth="1"/>
    <col min="65" max="65" width="11.5703125" style="254" bestFit="1" customWidth="1"/>
    <col min="66" max="66" width="7" style="254" bestFit="1" customWidth="1"/>
    <col min="67" max="67" width="11.5703125" style="254" bestFit="1" customWidth="1"/>
    <col min="68" max="68" width="4.7109375" style="254" customWidth="1"/>
    <col min="69" max="69" width="33.28515625" style="254" bestFit="1" customWidth="1"/>
    <col min="70" max="70" width="11.5703125" style="254" bestFit="1" customWidth="1"/>
    <col min="71" max="71" width="6.5703125" style="254" customWidth="1"/>
    <col min="72" max="72" width="11.5703125" style="254" bestFit="1" customWidth="1"/>
    <col min="73" max="73" width="6.140625" style="254" customWidth="1"/>
    <col min="74" max="74" width="31.140625" style="254" bestFit="1" customWidth="1"/>
    <col min="75" max="75" width="11.5703125" style="254" bestFit="1" customWidth="1"/>
    <col min="76" max="76" width="6" style="254" bestFit="1" customWidth="1"/>
    <col min="77" max="77" width="11.5703125" style="254" bestFit="1" customWidth="1"/>
    <col min="78" max="78" width="4.85546875" style="254" customWidth="1"/>
    <col min="79" max="79" width="31.140625" style="254" bestFit="1" customWidth="1"/>
    <col min="80" max="80" width="11.5703125" style="254" bestFit="1" customWidth="1"/>
    <col min="81" max="81" width="6" style="254" bestFit="1" customWidth="1"/>
    <col min="82" max="82" width="11.5703125" style="254" bestFit="1" customWidth="1"/>
    <col min="83" max="83" width="4.85546875" style="254" customWidth="1"/>
    <col min="84" max="84" width="31.140625" style="254" bestFit="1" customWidth="1"/>
    <col min="85" max="85" width="11.5703125" style="254" bestFit="1" customWidth="1"/>
    <col min="86" max="86" width="6" style="254" bestFit="1" customWidth="1"/>
    <col min="87" max="87" width="11.5703125" style="254" bestFit="1" customWidth="1"/>
    <col min="88" max="88" width="5.28515625" style="254" customWidth="1"/>
    <col min="89" max="89" width="33.28515625" style="254" bestFit="1" customWidth="1"/>
    <col min="90" max="90" width="11.5703125" style="254" bestFit="1" customWidth="1"/>
    <col min="91" max="91" width="6" style="254" bestFit="1" customWidth="1"/>
    <col min="92" max="92" width="11.5703125" style="254" bestFit="1" customWidth="1"/>
    <col min="93" max="93" width="4.85546875" style="254" customWidth="1"/>
    <col min="94" max="94" width="33.28515625" style="254" customWidth="1"/>
    <col min="95" max="95" width="11.5703125" style="254" bestFit="1" customWidth="1"/>
    <col min="96" max="96" width="6" style="254" bestFit="1" customWidth="1"/>
    <col min="97" max="97" width="11.5703125" style="254" bestFit="1" customWidth="1"/>
    <col min="98" max="98" width="4.5703125" style="254" customWidth="1"/>
    <col min="99" max="99" width="33.28515625" style="254" customWidth="1"/>
    <col min="100" max="100" width="11.7109375" style="254" customWidth="1"/>
    <col min="101" max="101" width="6" style="254" bestFit="1" customWidth="1"/>
    <col min="102" max="102" width="11.5703125" style="254" bestFit="1" customWidth="1"/>
    <col min="103" max="103" width="5.140625" style="254" customWidth="1"/>
    <col min="104" max="104" width="33.28515625" style="254" customWidth="1"/>
    <col min="105" max="105" width="11.5703125" style="254" bestFit="1" customWidth="1"/>
    <col min="106" max="106" width="6" style="254" bestFit="1" customWidth="1"/>
    <col min="107" max="107" width="12.5703125" style="254" bestFit="1" customWidth="1"/>
    <col min="108" max="108" width="4" style="254" customWidth="1"/>
    <col min="109" max="109" width="31.140625" style="254" bestFit="1" customWidth="1"/>
    <col min="110" max="110" width="11.5703125" style="254" bestFit="1" customWidth="1"/>
    <col min="111" max="111" width="6" style="254" bestFit="1" customWidth="1"/>
    <col min="112" max="112" width="12.5703125" style="254" bestFit="1" customWidth="1"/>
    <col min="113" max="113" width="4.5703125" style="254" customWidth="1"/>
    <col min="114" max="114" width="31.140625" style="254" bestFit="1" customWidth="1"/>
    <col min="115" max="115" width="11.5703125" style="254" bestFit="1" customWidth="1"/>
    <col min="116" max="116" width="6" style="254" bestFit="1" customWidth="1"/>
    <col min="117" max="117" width="12.5703125" style="254" bestFit="1" customWidth="1"/>
    <col min="118" max="118" width="5.28515625" style="254" customWidth="1"/>
    <col min="119" max="119" width="31.140625" style="254" bestFit="1" customWidth="1"/>
    <col min="120" max="120" width="11.5703125" style="254" bestFit="1" customWidth="1"/>
    <col min="121" max="121" width="6.140625" style="254" customWidth="1"/>
    <col min="122" max="122" width="12.5703125" style="254" bestFit="1" customWidth="1"/>
    <col min="123" max="16384" width="9.140625" style="254"/>
  </cols>
  <sheetData>
    <row r="1" spans="2:122" ht="27" customHeight="1" thickBot="1" x14ac:dyDescent="0.3">
      <c r="I1" s="1746" t="s">
        <v>658</v>
      </c>
      <c r="J1" s="1747"/>
      <c r="K1" s="1747"/>
      <c r="L1" s="1747"/>
      <c r="M1" s="1748"/>
    </row>
    <row r="2" spans="2:122" ht="15.75" thickBot="1" x14ac:dyDescent="0.3">
      <c r="G2" s="254"/>
      <c r="H2" s="254"/>
      <c r="I2" s="1749" t="s">
        <v>486</v>
      </c>
      <c r="J2" s="1750"/>
      <c r="K2" s="329" t="s">
        <v>331</v>
      </c>
      <c r="L2" s="329" t="s">
        <v>334</v>
      </c>
      <c r="M2" s="328" t="s">
        <v>458</v>
      </c>
    </row>
    <row r="3" spans="2:122" x14ac:dyDescent="0.25">
      <c r="G3" s="254"/>
      <c r="H3" s="254"/>
      <c r="I3" s="327" t="s">
        <v>342</v>
      </c>
      <c r="J3" s="326"/>
      <c r="K3" s="325">
        <f>INDEX('Master Lookup FY26'!D27:D28,MATCH(I3,'Master Lookup FY26'!C27:C34,0))</f>
        <v>66537.12000000001</v>
      </c>
      <c r="L3" s="324">
        <v>0.25</v>
      </c>
      <c r="M3" s="314">
        <f>L3*K3</f>
        <v>16634.280000000002</v>
      </c>
    </row>
    <row r="4" spans="2:122" x14ac:dyDescent="0.25">
      <c r="G4" s="254"/>
      <c r="H4" s="254"/>
      <c r="I4" s="292" t="s">
        <v>322</v>
      </c>
      <c r="J4" s="323"/>
      <c r="K4" s="316">
        <f>INDEX('Master Lookup FY26'!C49:C51,MATCH(I4,'Master Lookup FY26'!B49:B51,0))</f>
        <v>0.24970000000000001</v>
      </c>
      <c r="L4" s="322"/>
      <c r="M4" s="321">
        <f>K4*M3</f>
        <v>4153.5797160000011</v>
      </c>
    </row>
    <row r="5" spans="2:122" x14ac:dyDescent="0.25">
      <c r="G5" s="254"/>
      <c r="H5" s="254"/>
      <c r="I5" s="298" t="s">
        <v>456</v>
      </c>
      <c r="J5" s="301"/>
      <c r="K5" s="320"/>
      <c r="L5" s="319"/>
      <c r="M5" s="318">
        <f>M3+M4</f>
        <v>20787.859716000003</v>
      </c>
    </row>
    <row r="6" spans="2:122" x14ac:dyDescent="0.25">
      <c r="G6" s="254"/>
      <c r="H6" s="254"/>
      <c r="I6" s="127" t="s">
        <v>321</v>
      </c>
      <c r="J6" s="317"/>
      <c r="K6" s="316">
        <f>INDEX('Master Lookup FY26'!C49:C51,MATCH(I6,'Master Lookup FY26'!B49:B51,0))</f>
        <v>2.5282070971092779E-2</v>
      </c>
      <c r="L6" s="315"/>
      <c r="M6" s="314">
        <f>M5*(K6)</f>
        <v>525.56014467703267</v>
      </c>
    </row>
    <row r="7" spans="2:122" x14ac:dyDescent="0.25">
      <c r="G7" s="254"/>
      <c r="H7" s="254"/>
      <c r="I7" s="276" t="s">
        <v>485</v>
      </c>
      <c r="J7" s="275"/>
      <c r="K7" s="275"/>
      <c r="L7" s="275"/>
      <c r="M7" s="313">
        <f>SUM(M5:M6)</f>
        <v>21313.419860677037</v>
      </c>
    </row>
    <row r="8" spans="2:122" ht="15.75" thickBot="1" x14ac:dyDescent="0.3">
      <c r="G8" s="254"/>
      <c r="H8" s="254"/>
      <c r="I8" s="312" t="s">
        <v>484</v>
      </c>
      <c r="J8" s="272"/>
      <c r="K8" s="311"/>
      <c r="L8" s="272"/>
      <c r="M8" s="310">
        <f>M7/12</f>
        <v>1776.1183217230864</v>
      </c>
    </row>
    <row r="9" spans="2:122" x14ac:dyDescent="0.25">
      <c r="L9" s="255" t="s">
        <v>718</v>
      </c>
      <c r="M9" s="254">
        <v>1598</v>
      </c>
    </row>
    <row r="10" spans="2:122" x14ac:dyDescent="0.25">
      <c r="L10" s="255" t="s">
        <v>602</v>
      </c>
      <c r="M10" s="855">
        <f>(M8-M9)/M9</f>
        <v>0.11146328017715045</v>
      </c>
    </row>
    <row r="12" spans="2:122" ht="15.75" thickBot="1" x14ac:dyDescent="0.3"/>
    <row r="13" spans="2:122" x14ac:dyDescent="0.25">
      <c r="D13" s="1741" t="s">
        <v>483</v>
      </c>
      <c r="E13" s="1742"/>
      <c r="F13" s="1742"/>
      <c r="G13" s="1743"/>
      <c r="H13" s="254"/>
      <c r="I13" s="1741" t="s">
        <v>482</v>
      </c>
      <c r="J13" s="1742"/>
      <c r="K13" s="1742"/>
      <c r="L13" s="1743"/>
      <c r="N13" s="1741" t="s">
        <v>481</v>
      </c>
      <c r="O13" s="1742"/>
      <c r="P13" s="1742"/>
      <c r="Q13" s="1743"/>
      <c r="R13" s="259"/>
      <c r="S13" s="1741" t="s">
        <v>480</v>
      </c>
      <c r="T13" s="1742"/>
      <c r="U13" s="1742"/>
      <c r="V13" s="1743"/>
      <c r="W13" s="254"/>
      <c r="X13" s="1741" t="s">
        <v>479</v>
      </c>
      <c r="Y13" s="1742"/>
      <c r="Z13" s="1742"/>
      <c r="AA13" s="1743"/>
      <c r="AB13" s="254"/>
      <c r="AC13" s="1741" t="s">
        <v>478</v>
      </c>
      <c r="AD13" s="1742"/>
      <c r="AE13" s="1742"/>
      <c r="AF13" s="1743"/>
      <c r="AG13" s="259"/>
      <c r="AH13" s="1741" t="s">
        <v>477</v>
      </c>
      <c r="AI13" s="1742"/>
      <c r="AJ13" s="1742"/>
      <c r="AK13" s="1743"/>
      <c r="AL13" s="254"/>
      <c r="AM13" s="1741" t="s">
        <v>476</v>
      </c>
      <c r="AN13" s="1742"/>
      <c r="AO13" s="1742"/>
      <c r="AP13" s="1743"/>
      <c r="AQ13" s="254"/>
      <c r="AR13" s="1741" t="s">
        <v>475</v>
      </c>
      <c r="AS13" s="1742"/>
      <c r="AT13" s="1742"/>
      <c r="AU13" s="1743"/>
      <c r="AV13" s="259"/>
      <c r="AW13" s="1741" t="s">
        <v>474</v>
      </c>
      <c r="AX13" s="1742"/>
      <c r="AY13" s="1742"/>
      <c r="AZ13" s="1743"/>
      <c r="BA13" s="254"/>
      <c r="BB13" s="1741" t="s">
        <v>473</v>
      </c>
      <c r="BC13" s="1742"/>
      <c r="BD13" s="1742"/>
      <c r="BE13" s="1743"/>
      <c r="BF13" s="254"/>
      <c r="BG13" s="1741" t="s">
        <v>472</v>
      </c>
      <c r="BH13" s="1742"/>
      <c r="BI13" s="1742"/>
      <c r="BJ13" s="1743"/>
      <c r="BK13" s="259"/>
      <c r="BL13" s="1741" t="s">
        <v>471</v>
      </c>
      <c r="BM13" s="1742"/>
      <c r="BN13" s="1742"/>
      <c r="BO13" s="1743"/>
      <c r="BQ13" s="1741" t="s">
        <v>470</v>
      </c>
      <c r="BR13" s="1742"/>
      <c r="BS13" s="1742"/>
      <c r="BT13" s="1743"/>
      <c r="BV13" s="1741" t="s">
        <v>469</v>
      </c>
      <c r="BW13" s="1742"/>
      <c r="BX13" s="1742"/>
      <c r="BY13" s="1743"/>
      <c r="CA13" s="1741" t="s">
        <v>468</v>
      </c>
      <c r="CB13" s="1742"/>
      <c r="CC13" s="1742"/>
      <c r="CD13" s="1743"/>
      <c r="CF13" s="1741" t="s">
        <v>467</v>
      </c>
      <c r="CG13" s="1742"/>
      <c r="CH13" s="1742"/>
      <c r="CI13" s="1743"/>
      <c r="CK13" s="1741" t="s">
        <v>466</v>
      </c>
      <c r="CL13" s="1742"/>
      <c r="CM13" s="1742"/>
      <c r="CN13" s="1743"/>
      <c r="CP13" s="1741" t="s">
        <v>465</v>
      </c>
      <c r="CQ13" s="1742"/>
      <c r="CR13" s="1742"/>
      <c r="CS13" s="1743"/>
      <c r="CU13" s="1741" t="s">
        <v>464</v>
      </c>
      <c r="CV13" s="1742"/>
      <c r="CW13" s="1742"/>
      <c r="CX13" s="1743"/>
      <c r="CZ13" s="1741" t="s">
        <v>463</v>
      </c>
      <c r="DA13" s="1742"/>
      <c r="DB13" s="1742"/>
      <c r="DC13" s="1743"/>
      <c r="DE13" s="1741" t="s">
        <v>462</v>
      </c>
      <c r="DF13" s="1742"/>
      <c r="DG13" s="1742"/>
      <c r="DH13" s="1743"/>
      <c r="DJ13" s="1741" t="s">
        <v>461</v>
      </c>
      <c r="DK13" s="1742"/>
      <c r="DL13" s="1742"/>
      <c r="DM13" s="1743"/>
      <c r="DO13" s="1741" t="s">
        <v>460</v>
      </c>
      <c r="DP13" s="1742"/>
      <c r="DQ13" s="1742"/>
      <c r="DR13" s="1743"/>
    </row>
    <row r="14" spans="2:122" x14ac:dyDescent="0.25">
      <c r="D14" s="298"/>
      <c r="E14" s="309" t="s">
        <v>331</v>
      </c>
      <c r="F14" s="308" t="s">
        <v>334</v>
      </c>
      <c r="G14" s="307" t="s">
        <v>459</v>
      </c>
      <c r="H14" s="254"/>
      <c r="I14" s="298"/>
      <c r="J14" s="309" t="s">
        <v>331</v>
      </c>
      <c r="K14" s="308" t="s">
        <v>334</v>
      </c>
      <c r="L14" s="307" t="s">
        <v>459</v>
      </c>
      <c r="N14" s="298"/>
      <c r="O14" s="309" t="s">
        <v>331</v>
      </c>
      <c r="P14" s="308" t="s">
        <v>334</v>
      </c>
      <c r="Q14" s="307" t="s">
        <v>459</v>
      </c>
      <c r="R14" s="257"/>
      <c r="S14" s="298"/>
      <c r="T14" s="309" t="s">
        <v>331</v>
      </c>
      <c r="U14" s="308" t="s">
        <v>334</v>
      </c>
      <c r="V14" s="307" t="s">
        <v>459</v>
      </c>
      <c r="W14" s="254"/>
      <c r="X14" s="298"/>
      <c r="Y14" s="309" t="s">
        <v>331</v>
      </c>
      <c r="Z14" s="308" t="s">
        <v>334</v>
      </c>
      <c r="AA14" s="307" t="s">
        <v>459</v>
      </c>
      <c r="AB14" s="254"/>
      <c r="AC14" s="298"/>
      <c r="AD14" s="309" t="s">
        <v>331</v>
      </c>
      <c r="AE14" s="308" t="s">
        <v>334</v>
      </c>
      <c r="AF14" s="307" t="s">
        <v>459</v>
      </c>
      <c r="AG14" s="257"/>
      <c r="AH14" s="298"/>
      <c r="AI14" s="309" t="s">
        <v>331</v>
      </c>
      <c r="AJ14" s="308" t="s">
        <v>334</v>
      </c>
      <c r="AK14" s="307" t="s">
        <v>459</v>
      </c>
      <c r="AL14" s="254"/>
      <c r="AM14" s="298"/>
      <c r="AN14" s="309" t="s">
        <v>331</v>
      </c>
      <c r="AO14" s="308" t="s">
        <v>334</v>
      </c>
      <c r="AP14" s="307" t="s">
        <v>459</v>
      </c>
      <c r="AQ14" s="254"/>
      <c r="AR14" s="298"/>
      <c r="AS14" s="309" t="s">
        <v>331</v>
      </c>
      <c r="AT14" s="308" t="s">
        <v>334</v>
      </c>
      <c r="AU14" s="307" t="s">
        <v>459</v>
      </c>
      <c r="AV14" s="257"/>
      <c r="AW14" s="298"/>
      <c r="AX14" s="309" t="s">
        <v>331</v>
      </c>
      <c r="AY14" s="308" t="s">
        <v>334</v>
      </c>
      <c r="AZ14" s="307" t="s">
        <v>459</v>
      </c>
      <c r="BA14" s="254"/>
      <c r="BB14" s="298"/>
      <c r="BC14" s="309" t="s">
        <v>331</v>
      </c>
      <c r="BD14" s="308" t="s">
        <v>334</v>
      </c>
      <c r="BE14" s="307" t="s">
        <v>459</v>
      </c>
      <c r="BF14" s="254"/>
      <c r="BG14" s="298"/>
      <c r="BH14" s="309" t="s">
        <v>331</v>
      </c>
      <c r="BI14" s="308" t="s">
        <v>334</v>
      </c>
      <c r="BJ14" s="307" t="s">
        <v>459</v>
      </c>
      <c r="BK14" s="257"/>
      <c r="BL14" s="298"/>
      <c r="BM14" s="309" t="s">
        <v>331</v>
      </c>
      <c r="BN14" s="308" t="s">
        <v>334</v>
      </c>
      <c r="BO14" s="307" t="s">
        <v>459</v>
      </c>
      <c r="BQ14" s="298"/>
      <c r="BR14" s="309" t="s">
        <v>331</v>
      </c>
      <c r="BS14" s="308" t="s">
        <v>334</v>
      </c>
      <c r="BT14" s="307" t="s">
        <v>459</v>
      </c>
      <c r="BV14" s="298"/>
      <c r="BW14" s="309" t="s">
        <v>331</v>
      </c>
      <c r="BX14" s="308" t="s">
        <v>334</v>
      </c>
      <c r="BY14" s="307" t="s">
        <v>459</v>
      </c>
      <c r="CA14" s="298"/>
      <c r="CB14" s="309" t="s">
        <v>331</v>
      </c>
      <c r="CC14" s="308" t="s">
        <v>334</v>
      </c>
      <c r="CD14" s="307" t="s">
        <v>459</v>
      </c>
      <c r="CF14" s="298"/>
      <c r="CG14" s="309" t="s">
        <v>331</v>
      </c>
      <c r="CH14" s="308" t="s">
        <v>334</v>
      </c>
      <c r="CI14" s="307" t="s">
        <v>458</v>
      </c>
      <c r="CK14" s="298"/>
      <c r="CL14" s="309" t="s">
        <v>331</v>
      </c>
      <c r="CM14" s="308" t="s">
        <v>334</v>
      </c>
      <c r="CN14" s="307" t="s">
        <v>458</v>
      </c>
      <c r="CP14" s="298"/>
      <c r="CQ14" s="309" t="s">
        <v>331</v>
      </c>
      <c r="CR14" s="308" t="s">
        <v>334</v>
      </c>
      <c r="CS14" s="307" t="s">
        <v>458</v>
      </c>
      <c r="CU14" s="298"/>
      <c r="CV14" s="309" t="s">
        <v>331</v>
      </c>
      <c r="CW14" s="308" t="s">
        <v>334</v>
      </c>
      <c r="CX14" s="307" t="s">
        <v>458</v>
      </c>
      <c r="CZ14" s="298"/>
      <c r="DA14" s="309" t="s">
        <v>331</v>
      </c>
      <c r="DB14" s="308" t="s">
        <v>334</v>
      </c>
      <c r="DC14" s="307" t="s">
        <v>458</v>
      </c>
      <c r="DE14" s="298"/>
      <c r="DF14" s="309" t="s">
        <v>331</v>
      </c>
      <c r="DG14" s="308" t="s">
        <v>334</v>
      </c>
      <c r="DH14" s="307" t="s">
        <v>458</v>
      </c>
      <c r="DJ14" s="298"/>
      <c r="DK14" s="309" t="s">
        <v>331</v>
      </c>
      <c r="DL14" s="308" t="s">
        <v>334</v>
      </c>
      <c r="DM14" s="307" t="s">
        <v>458</v>
      </c>
      <c r="DO14" s="298"/>
      <c r="DP14" s="309" t="s">
        <v>331</v>
      </c>
      <c r="DQ14" s="308" t="s">
        <v>334</v>
      </c>
      <c r="DR14" s="307" t="s">
        <v>458</v>
      </c>
    </row>
    <row r="15" spans="2:122" x14ac:dyDescent="0.25">
      <c r="B15" s="254">
        <v>1</v>
      </c>
      <c r="D15" s="127" t="str">
        <f>IF(INDEX('Master Lookup FY26'!C27:C28,$B15)=0,"",INDEX('Master Lookup FY26'!C27:C28,$B15))</f>
        <v>Program Management</v>
      </c>
      <c r="E15" s="293">
        <f>IFERROR(INDEX('Master Lookup FY26'!D27:D34,MATCH(D15,'Master Lookup FY26'!C27:C34,0)),"")</f>
        <v>81486.911999999997</v>
      </c>
      <c r="F15" s="254">
        <f>IFERROR(INDEX('Master Lookup'!$E$27:$E$34,MATCH(D15,'Master Lookup'!$C$27:$C$34,0)),"")</f>
        <v>0.08</v>
      </c>
      <c r="G15" s="287">
        <f t="shared" ref="G15:G21" si="0">IFERROR(E15*F15,0)</f>
        <v>6518.9529599999996</v>
      </c>
      <c r="I15" s="127" t="str">
        <f>IF(INDEX('Master Lookup'!$C$27:$C$34,$B15)=0,"",INDEX('Master Lookup'!$C$27:$C$34,$B15))</f>
        <v>Program Management</v>
      </c>
      <c r="J15" s="293">
        <f>IFERROR(INDEX('Master Lookup FY26'!D27:D28,MATCH(I15,'Master Lookup FY26'!C27:C34,0)),"")</f>
        <v>81486.911999999997</v>
      </c>
      <c r="K15" s="254">
        <f>IFERROR(INDEX('Master Lookup'!$F$27:$F$34,MATCH(I15,'Master Lookup'!$C$27:$C$34,0)),"")</f>
        <v>0.16</v>
      </c>
      <c r="L15" s="287">
        <f t="shared" ref="L15:L21" si="1">IFERROR(J15*K15,0)</f>
        <v>13037.905919999999</v>
      </c>
      <c r="N15" s="127" t="str">
        <f>IF(INDEX('Master Lookup'!$C$27:$C$34,$B15)=0,"",INDEX('Master Lookup'!$C$27:$C$34,$B15))</f>
        <v>Program Management</v>
      </c>
      <c r="O15" s="293">
        <f>IFERROR(INDEX('Master Lookup FY26'!D27:D34,MATCH(N15,'Master Lookup FY26'!C27:C34,0)),"")</f>
        <v>81486.911999999997</v>
      </c>
      <c r="P15" s="254">
        <f>IFERROR(INDEX('Master Lookup'!$G$27:$G$34,MATCH(N15,'Master Lookup'!$C$27:$C$34,0)),"")</f>
        <v>0.24</v>
      </c>
      <c r="Q15" s="287">
        <f t="shared" ref="Q15:Q21" si="2">IFERROR(O15*P15,0)</f>
        <v>19556.85888</v>
      </c>
      <c r="S15" s="127" t="str">
        <f>IF(INDEX('Master Lookup'!$C$27:$C$34,$B15)=0,"",INDEX('Master Lookup'!$C$27:$C$34,$B15))</f>
        <v>Program Management</v>
      </c>
      <c r="T15" s="293">
        <f>IFERROR(INDEX('Master Lookup FY26'!D27:D34,MATCH(S15,'Master Lookup FY26'!C27:C34,0)),"")</f>
        <v>81486.911999999997</v>
      </c>
      <c r="U15" s="254">
        <f>IFERROR(INDEX('Master Lookup'!$H$27:$H$34,MATCH(S15,'Master Lookup'!$C$27:$C$34,0)),"")</f>
        <v>0.32</v>
      </c>
      <c r="V15" s="287">
        <f t="shared" ref="V15:V21" si="3">IFERROR(T15*U15,0)</f>
        <v>26075.811839999998</v>
      </c>
      <c r="X15" s="127" t="str">
        <f>IF(INDEX('Master Lookup'!$C$27:$C$34,$B15)=0,"",INDEX('Master Lookup'!$C$27:$C$34,$B15))</f>
        <v>Program Management</v>
      </c>
      <c r="Y15" s="293">
        <f>IFERROR(INDEX('Master Lookup FY26'!D27:D34,MATCH(X15,'Master Lookup FY26'!C27:C34,0)),"")</f>
        <v>81486.911999999997</v>
      </c>
      <c r="Z15" s="254">
        <f>IFERROR(INDEX('Master Lookup'!$I$27:$I$34,MATCH(X15,'Master Lookup'!$C$27:$C$34,0)),"")</f>
        <v>0.33750000000000002</v>
      </c>
      <c r="AA15" s="287">
        <f t="shared" ref="AA15:AA21" si="4">IFERROR(Y15*Z15,0)</f>
        <v>27501.8328</v>
      </c>
      <c r="AC15" s="127" t="str">
        <f>IF(INDEX('Master Lookup'!$C$27:$C$34,$B15)=0,"",INDEX('Master Lookup'!$C$27:$C$34,$B15))</f>
        <v>Program Management</v>
      </c>
      <c r="AD15" s="293">
        <f>IFERROR(INDEX('Master Lookup FY26'!D27:D34,MATCH(AC15,'Master Lookup FY26'!C27:C34,0)),"")</f>
        <v>81486.911999999997</v>
      </c>
      <c r="AE15" s="254">
        <f>IFERROR(INDEX('Master Lookup'!$J$27:$J$34,MATCH(AC15,'Master Lookup'!$C$27:$C$34,0)),"")</f>
        <v>0.36</v>
      </c>
      <c r="AF15" s="287">
        <f t="shared" ref="AF15:AF21" si="5">IFERROR(AD15*AE15,0)</f>
        <v>29335.288319999996</v>
      </c>
      <c r="AH15" s="127" t="str">
        <f>IF(INDEX('Master Lookup'!$C$27:$C$34,$B15)=0,"",INDEX('Master Lookup'!$C$27:$C$34,$B15))</f>
        <v>Program Management</v>
      </c>
      <c r="AI15" s="293">
        <f>IFERROR(INDEX('Master Lookup FY26'!D27:D34,MATCH(AH15,'Master Lookup FY26'!C27:C34,0)),"")</f>
        <v>81486.911999999997</v>
      </c>
      <c r="AJ15" s="254">
        <f>IFERROR(INDEX('Master Lookup'!$K$27:$K$34,MATCH(AH15,'Master Lookup'!$C$27:$C$34,0)),"")</f>
        <v>0.38500000000000001</v>
      </c>
      <c r="AK15" s="287">
        <f t="shared" ref="AK15:AK21" si="6">IFERROR(AI15*AJ15,0)</f>
        <v>31372.46112</v>
      </c>
      <c r="AM15" s="127" t="str">
        <f>IF(INDEX('Master Lookup'!$C$27:$C$34,$B15)=0,"",INDEX('Master Lookup'!$C$27:$C$34,$B15))</f>
        <v>Program Management</v>
      </c>
      <c r="AN15" s="293">
        <f>IFERROR(INDEX('Master Lookup FY26'!D27:D34,MATCH(AM15,'Master Lookup FY26'!C27:C34,0)),"")</f>
        <v>81486.911999999997</v>
      </c>
      <c r="AO15" s="254">
        <f>IFERROR(INDEX('Master Lookup'!$L$27:$L$34,MATCH(AM15,'Master Lookup'!$C$27:$C$34,0)),"")</f>
        <v>0.42</v>
      </c>
      <c r="AP15" s="287">
        <f t="shared" ref="AP15:AP21" si="7">IFERROR(AN15*AO15,0)</f>
        <v>34224.503039999996</v>
      </c>
      <c r="AR15" s="127" t="str">
        <f>IF(INDEX('Master Lookup'!$C$27:$C$34,$B15)=0,"",INDEX('Master Lookup'!$C$27:$C$34,$B15))</f>
        <v>Program Management</v>
      </c>
      <c r="AS15" s="293">
        <f>IFERROR(INDEX('Master Lookup FY26'!D27:D34,MATCH(AR15,'Master Lookup FY26'!C27:C34,0)),"")</f>
        <v>81486.911999999997</v>
      </c>
      <c r="AT15" s="254">
        <f>IFERROR(INDEX('Master Lookup'!$M$27:$M$34,MATCH(AR15,'Master Lookup'!$C$27:$C$34,0)),"")</f>
        <v>0.47249999999999998</v>
      </c>
      <c r="AU15" s="287">
        <f t="shared" ref="AU15:AU21" si="8">IFERROR(AS15*AT15,0)</f>
        <v>38502.565919999994</v>
      </c>
      <c r="AW15" s="127" t="str">
        <f>IF(INDEX('Master Lookup'!$C$27:$C$34,$B15)=0,"",INDEX('Master Lookup'!$C$27:$C$34,$B15))</f>
        <v>Program Management</v>
      </c>
      <c r="AX15" s="293">
        <f>IFERROR(INDEX('Master Lookup FY26'!D27:D34,MATCH(AW15,'Master Lookup FY26'!C27:C34,0)),"")</f>
        <v>81486.911999999997</v>
      </c>
      <c r="AY15" s="254">
        <f>IFERROR(INDEX('Master Lookup'!$N$27:$N$34,MATCH(AW15,'Master Lookup'!$C$27:$C$34,0)),"")</f>
        <v>0.52</v>
      </c>
      <c r="AZ15" s="287">
        <f t="shared" ref="AZ15:AZ21" si="9">IFERROR(AX15*AY15,0)</f>
        <v>42373.194239999997</v>
      </c>
      <c r="BB15" s="127" t="str">
        <f>IF(INDEX('Master Lookup'!$C$27:$C$34,$B15)=0,"",INDEX('Master Lookup'!$C$27:$C$34,$B15))</f>
        <v>Program Management</v>
      </c>
      <c r="BC15" s="293">
        <f>IFERROR(INDEX('Master Lookup FY26'!D27:D34,MATCH(BB15,'Master Lookup FY26'!C27:C34,0)),"")</f>
        <v>81486.911999999997</v>
      </c>
      <c r="BD15" s="254">
        <f>IFERROR(INDEX('Master Lookup'!$O$27:$O$34,MATCH(BB15,'Master Lookup'!$C$27:$C$34,0)),"")</f>
        <v>0.57199999999999995</v>
      </c>
      <c r="BE15" s="287">
        <f t="shared" ref="BE15:BE21" si="10">IFERROR(BC15*BD15,0)</f>
        <v>46610.513663999991</v>
      </c>
      <c r="BG15" s="127" t="str">
        <f>IF(INDEX('Master Lookup'!$C$27:$C$34,$B15)=0,"",INDEX('Master Lookup'!$C$27:$C$34,$B15))</f>
        <v>Program Management</v>
      </c>
      <c r="BH15" s="293">
        <f>IFERROR(INDEX('Master Lookup FY26'!D27:D34,MATCH(BG15,'Master Lookup FY26'!C27:C34,0)),"")</f>
        <v>81486.911999999997</v>
      </c>
      <c r="BI15" s="254">
        <f>IFERROR(INDEX('Master Lookup'!$P$27:$P$34,MATCH(BG15,'Master Lookup'!$C$27:$C$34,0)),"")</f>
        <v>0.61799999999999999</v>
      </c>
      <c r="BJ15" s="287">
        <f t="shared" ref="BJ15:BJ21" si="11">IFERROR(BH15*BI15,0)</f>
        <v>50358.911615999998</v>
      </c>
      <c r="BL15" s="127" t="str">
        <f>IF(INDEX('Master Lookup'!$C$27:$C$34,$B15)=0,"",INDEX('Master Lookup'!$C$27:$C$34,$B15))</f>
        <v>Program Management</v>
      </c>
      <c r="BM15" s="293">
        <f>IFERROR(INDEX('Master Lookup FY26'!D27:D34,MATCH(BL15,'Master Lookup FY26'!C27:C34,0)),"")</f>
        <v>81486.911999999997</v>
      </c>
      <c r="BN15" s="254">
        <f>IFERROR(INDEX('Master Lookup'!$Q$27:$Q$34,MATCH(BL15,'Master Lookup'!$C$27:$C$34,0)),"")</f>
        <v>0.66949999999999998</v>
      </c>
      <c r="BO15" s="287">
        <f t="shared" ref="BO15:BO21" si="12">IFERROR(BM15*BN15,0)</f>
        <v>54555.487583999995</v>
      </c>
      <c r="BQ15" s="127" t="str">
        <f>IF(INDEX('Master Lookup'!$C$27:$C$34,$B15)=0,"",INDEX('Master Lookup'!$C$27:$C$34,$B15))</f>
        <v>Program Management</v>
      </c>
      <c r="BR15" s="293">
        <f>IFERROR(INDEX('Master Lookup FY26'!D27:D34,MATCH(BQ15,'Master Lookup FY26'!C27:C34,0)),"")</f>
        <v>81486.911999999997</v>
      </c>
      <c r="BS15" s="254">
        <f>IFERROR(INDEX('Master Lookup'!$R$27:$R$34,MATCH(BQ15,'Master Lookup'!$C$27:$C$34,0)),"")</f>
        <v>0.71399999999999997</v>
      </c>
      <c r="BT15" s="287">
        <f t="shared" ref="BT15:BT21" si="13">IFERROR(BR15*BS15,0)</f>
        <v>58181.655167999998</v>
      </c>
      <c r="BV15" s="127" t="str">
        <f>IF(INDEX('Master Lookup'!$C$27:$C$34,$B15)=0,"",INDEX('Master Lookup'!$C$27:$C$34,$B15))</f>
        <v>Program Management</v>
      </c>
      <c r="BW15" s="293">
        <f>IFERROR(INDEX('Master Lookup FY26'!D27:D34,MATCH(BV15,'Master Lookup FY26'!C27:C34,0)),"")</f>
        <v>81486.911999999997</v>
      </c>
      <c r="BX15" s="254">
        <f>IFERROR(INDEX('Master Lookup'!$S$27:$S$34,MATCH(BV15,'Master Lookup'!$C$27:$C$34,0)),"")</f>
        <v>0.76500000000000001</v>
      </c>
      <c r="BY15" s="287">
        <f t="shared" ref="BY15:BY21" si="14">IFERROR(BW15*BX15,0)</f>
        <v>62337.487679999998</v>
      </c>
      <c r="CA15" s="127" t="str">
        <f>IF(INDEX('Master Lookup'!$C$27:$C$34,$B15)=0,"",INDEX('Master Lookup'!$C$27:$C$34,$B15))</f>
        <v>Program Management</v>
      </c>
      <c r="CB15" s="293">
        <f>IFERROR(INDEX('Master Lookup FY26'!D27:D34,MATCH(CA15,'Master Lookup FY26'!C27:C34,0)),"")</f>
        <v>81486.911999999997</v>
      </c>
      <c r="CC15" s="254">
        <f>IFERROR(INDEX('Master Lookup'!$T$27:$T$34,MATCH(CA15,'Master Lookup'!$C$27:$C$34,0)),"")</f>
        <v>0.8</v>
      </c>
      <c r="CD15" s="287">
        <f t="shared" ref="CD15:CD21" si="15">IFERROR(CB15*CC15,0)</f>
        <v>65189.529600000002</v>
      </c>
      <c r="CF15" s="127" t="str">
        <f>IF(INDEX('Master Lookup'!$C$27:$C$34,$B15)=0,"",INDEX('Master Lookup'!$C$27:$C$34,$B15))</f>
        <v>Program Management</v>
      </c>
      <c r="CG15" s="293">
        <f>IFERROR(INDEX('Master Lookup FY26'!D27:D34,MATCH(CF15,'Master Lookup FY26'!C27:C34,0)),"")</f>
        <v>81486.911999999997</v>
      </c>
      <c r="CH15" s="254">
        <f>IFERROR(INDEX('Master Lookup'!$U$27:$U$34,MATCH(CF15,'Master Lookup'!$C$27:$C$34,0)),"")</f>
        <v>0.81</v>
      </c>
      <c r="CI15" s="287">
        <f t="shared" ref="CI15:CI21" si="16">IFERROR(CG15*CH15,0)</f>
        <v>66004.398719999997</v>
      </c>
      <c r="CK15" s="127" t="str">
        <f>IF(INDEX('Master Lookup'!$C$27:$C$34,$B15)=0,"",INDEX('Master Lookup'!$C$27:$C$34,$B15))</f>
        <v>Program Management</v>
      </c>
      <c r="CL15" s="293">
        <f>IFERROR(INDEX('Master Lookup FY26'!D27:D34,MATCH(CK15,'Master Lookup FY26'!C27:C34,0)),"")</f>
        <v>81486.911999999997</v>
      </c>
      <c r="CM15" s="254">
        <f>IFERROR(INDEX('Master Lookup'!$V$27:$V$34,MATCH(CK15,'Master Lookup'!$C$27:$C$34,0)),"")</f>
        <v>0.81</v>
      </c>
      <c r="CN15" s="287">
        <f t="shared" ref="CN15:CN21" si="17">IFERROR(CL15*CM15,0)</f>
        <v>66004.398719999997</v>
      </c>
      <c r="CP15" s="127" t="str">
        <f>IF(INDEX('Master Lookup'!$C$27:$C$34,$B15)=0,"",INDEX('Master Lookup'!$C$27:$C$34,$B15))</f>
        <v>Program Management</v>
      </c>
      <c r="CQ15" s="293">
        <f>IFERROR(INDEX('Master Lookup FY26'!D27:D34,MATCH(CP15,'Master Lookup FY26'!C27:C34,0)),"")</f>
        <v>81486.911999999997</v>
      </c>
      <c r="CR15" s="254">
        <f>IFERROR(INDEX('Master Lookup'!$W$27:$W$34,MATCH(CP15,'Master Lookup'!$C$27:$C$34,0)),"")</f>
        <v>0.81</v>
      </c>
      <c r="CS15" s="287">
        <f t="shared" ref="CS15:CS21" si="18">IFERROR(CQ15*CR15,0)</f>
        <v>66004.398719999997</v>
      </c>
      <c r="CU15" s="127" t="str">
        <f>IF(INDEX('Master Lookup'!$C$27:$C$34,$B15)=0,"",INDEX('Master Lookup'!$C$27:$C$34,$B15))</f>
        <v>Program Management</v>
      </c>
      <c r="CV15" s="293">
        <f>IFERROR(INDEX('Master Lookup FY26'!D27:D34,MATCH(CU15,'Master Lookup FY26'!C27:C34,0)),"")</f>
        <v>81486.911999999997</v>
      </c>
      <c r="CW15" s="254">
        <f>IFERROR(INDEX('Master Lookup'!$X$27:$X$34,MATCH(CU15,'Master Lookup'!$C$27:$C$34,0)),"")</f>
        <v>0.8</v>
      </c>
      <c r="CX15" s="287">
        <f t="shared" ref="CX15:CX21" si="19">IFERROR(CV15*CW15,0)</f>
        <v>65189.529600000002</v>
      </c>
      <c r="CZ15" s="127" t="str">
        <f>IF(INDEX('Master Lookup'!$C$27:$C$34,$B15)=0,"",INDEX('Master Lookup'!$C$27:$C$34,$B15))</f>
        <v>Program Management</v>
      </c>
      <c r="DA15" s="293">
        <f>IFERROR(INDEX('Master Lookup FY26'!D27:D34,MATCH(CZ15,'Master Lookup FY26'!C27:C34,0)),"")</f>
        <v>81486.911999999997</v>
      </c>
      <c r="DB15" s="254">
        <f>IFERROR(INDEX('Master Lookup'!$Y$27:$Y$34,MATCH(CZ15,'Master Lookup'!$C$27:$C$34,0)),"")</f>
        <v>0.79</v>
      </c>
      <c r="DC15" s="287">
        <f t="shared" ref="DC15:DC21" si="20">IFERROR(DA15*DB15,0)</f>
        <v>64374.660479999999</v>
      </c>
      <c r="DE15" s="127" t="str">
        <f>IF(INDEX('Master Lookup'!$C$27:$C$34,$B15)=0,"",INDEX('Master Lookup'!$C$27:$C$34,$B15))</f>
        <v>Program Management</v>
      </c>
      <c r="DF15" s="293">
        <f>IFERROR(INDEX('Master Lookup FY26'!D27:D34,MATCH(DE15,'Master Lookup FY26'!C27:C34,0)),"")</f>
        <v>81486.911999999997</v>
      </c>
      <c r="DG15" s="254">
        <f>IFERROR(INDEX('Master Lookup'!$Z$27:$Z$34,MATCH(DE15,'Master Lookup'!$C$27:$C$34,0)),"")</f>
        <v>0.77</v>
      </c>
      <c r="DH15" s="287">
        <f t="shared" ref="DH15:DH21" si="21">IFERROR(DF15*DG15,0)</f>
        <v>62744.92224</v>
      </c>
      <c r="DJ15" s="127" t="str">
        <f>IF(INDEX('Master Lookup'!$C$27:$C$34,$B15)=0,"",INDEX('Master Lookup'!$C$27:$C$34,$B15))</f>
        <v>Program Management</v>
      </c>
      <c r="DK15" s="293">
        <f>IFERROR(INDEX('Master Lookup FY26'!D27:D34,MATCH(DJ15,'Master Lookup FY26'!C27:C34,0)),"")</f>
        <v>81486.911999999997</v>
      </c>
      <c r="DL15" s="254">
        <f>IFERROR(INDEX('Master Lookup'!$AA$27:$AA$34,MATCH(DJ15,'Master Lookup'!$C$27:$C$34,0)),"")</f>
        <v>0.75</v>
      </c>
      <c r="DM15" s="287">
        <f t="shared" ref="DM15:DM21" si="22">IFERROR(DK15*DL15,0)</f>
        <v>61115.183999999994</v>
      </c>
      <c r="DO15" s="127" t="str">
        <f>IF(INDEX('Master Lookup'!$C$27:$C$34,$B15)=0,"",INDEX('Master Lookup'!$C$27:$C$34,$B15))</f>
        <v>Program Management</v>
      </c>
      <c r="DP15" s="293">
        <f>IFERROR(INDEX('Master Lookup FY26'!D27:D34,MATCH(DO15,'Master Lookup FY26'!C27:C34,0)),"")</f>
        <v>81486.911999999997</v>
      </c>
      <c r="DQ15" s="254">
        <f>IFERROR(INDEX('Master Lookup'!$AB$27:$AB$34,MATCH(DO15,'Master Lookup'!$C$27:$C$34,0)),"")</f>
        <v>0.72</v>
      </c>
      <c r="DR15" s="287">
        <f t="shared" ref="DR15:DR21" si="23">IFERROR(DP15*DQ15,0)</f>
        <v>58670.576639999992</v>
      </c>
    </row>
    <row r="16" spans="2:122" x14ac:dyDescent="0.25">
      <c r="B16" s="254">
        <v>2</v>
      </c>
      <c r="D16" s="127" t="str">
        <f>IF(INDEX('Master Lookup'!$C$27:$C$34,$B16)=0,"",INDEX('Master Lookup'!$C$27:$C$34,$B16))</f>
        <v>Case Worker</v>
      </c>
      <c r="E16" s="293">
        <f>IFERROR(INDEX('Master Lookup FY26'!D27:D34,MATCH(D16,'Master Lookup FY26'!C27:C28,0)),"")</f>
        <v>66537.12000000001</v>
      </c>
      <c r="F16" s="254">
        <f>IFERROR(INDEX('Master Lookup'!$E$27:$E$34,MATCH(D16,'Master Lookup'!$C$27:$C$34,0)),"")</f>
        <v>0.5</v>
      </c>
      <c r="G16" s="287">
        <f t="shared" si="0"/>
        <v>33268.560000000005</v>
      </c>
      <c r="I16" s="127" t="str">
        <f>IF(INDEX('Master Lookup'!$C$27:$C$34,$B16)=0,"",INDEX('Master Lookup'!$C$27:$C$34,$B16))</f>
        <v>Case Worker</v>
      </c>
      <c r="J16" s="293">
        <f>IFERROR(INDEX('Master Lookup FY26'!D28:D29,MATCH(I16,'Master Lookup FY26'!C28:C35,0)),"")</f>
        <v>66537.12000000001</v>
      </c>
      <c r="K16" s="254">
        <f>IFERROR(INDEX('Master Lookup'!$F$27:$F$34,MATCH(I16,'Master Lookup'!$C$27:$C$34,0)),"")</f>
        <v>1</v>
      </c>
      <c r="L16" s="287">
        <f t="shared" si="1"/>
        <v>66537.12000000001</v>
      </c>
      <c r="N16" s="127" t="str">
        <f>IF(INDEX('Master Lookup'!$C$27:$C$34,$B16)=0,"",INDEX('Master Lookup'!$C$27:$C$34,$B16))</f>
        <v>Case Worker</v>
      </c>
      <c r="O16" s="293">
        <f>IFERROR(INDEX('Master Lookup FY26'!D28:D35,MATCH(N16,'Master Lookup FY26'!C28:C35,0)),"")</f>
        <v>66537.12000000001</v>
      </c>
      <c r="P16" s="254">
        <f>IFERROR(INDEX('Master Lookup'!$G$27:$G$34,MATCH(N16,'Master Lookup'!$C$27:$C$34,0)),"")</f>
        <v>1.5</v>
      </c>
      <c r="Q16" s="287">
        <f t="shared" si="2"/>
        <v>99805.680000000022</v>
      </c>
      <c r="S16" s="127" t="str">
        <f>IF(INDEX('Master Lookup'!$C$27:$C$34,$B16)=0,"",INDEX('Master Lookup'!$C$27:$C$34,$B16))</f>
        <v>Case Worker</v>
      </c>
      <c r="T16" s="293">
        <f>IFERROR(INDEX('Master Lookup FY26'!D28:D35,MATCH(S16,'Master Lookup FY26'!C28:C35,0)),"")</f>
        <v>66537.12000000001</v>
      </c>
      <c r="U16" s="254">
        <f>IFERROR(INDEX('Master Lookup'!$H$27:$H$34,MATCH(S16,'Master Lookup'!$C$27:$C$34,0)),"")</f>
        <v>2</v>
      </c>
      <c r="V16" s="287">
        <f t="shared" si="3"/>
        <v>133074.24000000002</v>
      </c>
      <c r="X16" s="127" t="str">
        <f>IF(INDEX('Master Lookup'!$C$27:$C$34,$B16)=0,"",INDEX('Master Lookup'!$C$27:$C$34,$B16))</f>
        <v>Case Worker</v>
      </c>
      <c r="Y16" s="293">
        <f>IFERROR(INDEX('Master Lookup FY26'!D28:D35,MATCH(X16,'Master Lookup FY26'!C28:C35,0)),"")</f>
        <v>66537.12000000001</v>
      </c>
      <c r="Z16" s="254">
        <f>IFERROR(INDEX('Master Lookup'!$I$27:$I$34,MATCH(X16,'Master Lookup'!$C$27:$C$34,0)),"")</f>
        <v>2.5</v>
      </c>
      <c r="AA16" s="287">
        <f t="shared" si="4"/>
        <v>166342.80000000002</v>
      </c>
      <c r="AC16" s="127" t="str">
        <f>IF(INDEX('Master Lookup'!$C$27:$C$34,$B16)=0,"",INDEX('Master Lookup'!$C$27:$C$34,$B16))</f>
        <v>Case Worker</v>
      </c>
      <c r="AD16" s="293">
        <f>IFERROR(INDEX('Master Lookup FY26'!D28:D35,MATCH(AC16,'Master Lookup FY26'!C28:C35,0)),"")</f>
        <v>66537.12000000001</v>
      </c>
      <c r="AE16" s="254">
        <f>IFERROR(INDEX('Master Lookup'!$J$27:$J$34,MATCH(AC16,'Master Lookup'!$C$27:$C$34,0)),"")</f>
        <v>3</v>
      </c>
      <c r="AF16" s="287">
        <f t="shared" si="5"/>
        <v>199611.36000000004</v>
      </c>
      <c r="AH16" s="127" t="str">
        <f>IF(INDEX('Master Lookup'!$C$27:$C$34,$B16)=0,"",INDEX('Master Lookup'!$C$27:$C$34,$B16))</f>
        <v>Case Worker</v>
      </c>
      <c r="AI16" s="293">
        <f>IFERROR(INDEX('Master Lookup FY26'!D28:D35,MATCH(AH16,'Master Lookup FY26'!C28:C35,0)),"")</f>
        <v>66537.12000000001</v>
      </c>
      <c r="AJ16" s="254">
        <f>IFERROR(INDEX('Master Lookup'!$K$27:$K$34,MATCH(AH16,'Master Lookup'!$C$27:$C$34,0)),"")</f>
        <v>3.5</v>
      </c>
      <c r="AK16" s="287">
        <f t="shared" si="6"/>
        <v>232879.92000000004</v>
      </c>
      <c r="AM16" s="127" t="str">
        <f>IF(INDEX('Master Lookup'!$C$27:$C$34,$B16)=0,"",INDEX('Master Lookup'!$C$27:$C$34,$B16))</f>
        <v>Case Worker</v>
      </c>
      <c r="AN16" s="293">
        <f>IFERROR(INDEX('Master Lookup FY26'!D28:D35,MATCH(AM16,'Master Lookup FY26'!C28:C35,0)),"")</f>
        <v>66537.12000000001</v>
      </c>
      <c r="AO16" s="254">
        <f>IFERROR(INDEX('Master Lookup'!$L$27:$L$34,MATCH(AM16,'Master Lookup'!$C$27:$C$34,0)),"")</f>
        <v>4</v>
      </c>
      <c r="AP16" s="287">
        <f t="shared" si="7"/>
        <v>266148.48000000004</v>
      </c>
      <c r="AR16" s="127" t="str">
        <f>IF(INDEX('Master Lookup'!$C$27:$C$34,$B16)=0,"",INDEX('Master Lookup'!$C$27:$C$34,$B16))</f>
        <v>Case Worker</v>
      </c>
      <c r="AS16" s="293">
        <f>IFERROR(INDEX('Master Lookup FY26'!D28:D35,MATCH(AR16,'Master Lookup FY26'!C28:C35,0)),"")</f>
        <v>66537.12000000001</v>
      </c>
      <c r="AT16" s="254">
        <f>IFERROR(INDEX('Master Lookup'!$M$27:$M$34,MATCH(AR16,'Master Lookup'!$C$27:$C$34,0)),"")</f>
        <v>4.5</v>
      </c>
      <c r="AU16" s="287">
        <f t="shared" si="8"/>
        <v>299417.04000000004</v>
      </c>
      <c r="AW16" s="127" t="str">
        <f>IF(INDEX('Master Lookup'!$C$27:$C$34,$B16)=0,"",INDEX('Master Lookup'!$C$27:$C$34,$B16))</f>
        <v>Case Worker</v>
      </c>
      <c r="AX16" s="293">
        <f>IFERROR(INDEX('Master Lookup FY26'!D28:D35,MATCH(AW16,'Master Lookup FY26'!C28:C35,0)),"")</f>
        <v>66537.12000000001</v>
      </c>
      <c r="AY16" s="254">
        <f>IFERROR(INDEX('Master Lookup'!$N$27:$N$34,MATCH(AW16,'Master Lookup'!$C$27:$C$34,0)),"")</f>
        <v>5</v>
      </c>
      <c r="AZ16" s="287">
        <f t="shared" si="9"/>
        <v>332685.60000000003</v>
      </c>
      <c r="BB16" s="127" t="str">
        <f>IF(INDEX('Master Lookup'!$C$27:$C$34,$B16)=0,"",INDEX('Master Lookup'!$C$27:$C$34,$B16))</f>
        <v>Case Worker</v>
      </c>
      <c r="BC16" s="293">
        <f>IFERROR(INDEX('Master Lookup FY26'!D28:D35,MATCH(BB16,'Master Lookup FY26'!C28:C35,0)),"")</f>
        <v>66537.12000000001</v>
      </c>
      <c r="BD16" s="254">
        <f>IFERROR(INDEX('Master Lookup'!$O$27:$O$34,MATCH(BB16,'Master Lookup'!$C$27:$C$34,0)),"")</f>
        <v>5.5</v>
      </c>
      <c r="BE16" s="287">
        <f t="shared" si="10"/>
        <v>365954.16000000003</v>
      </c>
      <c r="BG16" s="127" t="str">
        <f>IF(INDEX('Master Lookup'!$C$27:$C$34,$B16)=0,"",INDEX('Master Lookup'!$C$27:$C$34,$B16))</f>
        <v>Case Worker</v>
      </c>
      <c r="BH16" s="293">
        <f>IFERROR(INDEX('Master Lookup FY26'!D28:D35,MATCH(BG16,'Master Lookup FY26'!C28:C35,0)),"")</f>
        <v>66537.12000000001</v>
      </c>
      <c r="BI16" s="254">
        <f>IFERROR(INDEX('Master Lookup'!$P$27:$P$34,MATCH(BG16,'Master Lookup'!$C$27:$C$34,0)),"")</f>
        <v>6</v>
      </c>
      <c r="BJ16" s="287">
        <f t="shared" si="11"/>
        <v>399222.72000000009</v>
      </c>
      <c r="BL16" s="127" t="str">
        <f>IF(INDEX('Master Lookup'!$C$27:$C$34,$B16)=0,"",INDEX('Master Lookup'!$C$27:$C$34,$B16))</f>
        <v>Case Worker</v>
      </c>
      <c r="BM16" s="293">
        <f>IFERROR(INDEX('Master Lookup FY26'!D28:D35,MATCH(BL16,'Master Lookup FY26'!C28:C35,0)),"")</f>
        <v>66537.12000000001</v>
      </c>
      <c r="BN16" s="254">
        <f>IFERROR(INDEX('Master Lookup'!$Q$27:$Q$34,MATCH(BL16,'Master Lookup'!$C$27:$C$34,0)),"")</f>
        <v>6.5</v>
      </c>
      <c r="BO16" s="287">
        <f t="shared" si="12"/>
        <v>432491.28000000009</v>
      </c>
      <c r="BQ16" s="127" t="str">
        <f>IF(INDEX('Master Lookup'!$C$27:$C$34,$B16)=0,"",INDEX('Master Lookup'!$C$27:$C$34,$B16))</f>
        <v>Case Worker</v>
      </c>
      <c r="BR16" s="293">
        <f>IFERROR(INDEX('Master Lookup FY26'!D28:D35,MATCH(BQ16,'Master Lookup FY26'!C28:C35,0)),"")</f>
        <v>66537.12000000001</v>
      </c>
      <c r="BS16" s="254">
        <f>IFERROR(INDEX('Master Lookup'!$R$27:$R$34,MATCH(BQ16,'Master Lookup'!$C$27:$C$34,0)),"")</f>
        <v>7</v>
      </c>
      <c r="BT16" s="287">
        <f t="shared" si="13"/>
        <v>465759.84000000008</v>
      </c>
      <c r="BV16" s="127" t="str">
        <f>IF(INDEX('Master Lookup'!$C$27:$C$34,$B16)=0,"",INDEX('Master Lookup'!$C$27:$C$34,$B16))</f>
        <v>Case Worker</v>
      </c>
      <c r="BW16" s="293">
        <f>IFERROR(INDEX('Master Lookup FY26'!D28:D35,MATCH(BV16,'Master Lookup FY26'!C28:C35,0)),"")</f>
        <v>66537.12000000001</v>
      </c>
      <c r="BX16" s="254">
        <f>IFERROR(INDEX('Master Lookup'!$S$27:$S$34,MATCH(BV16,'Master Lookup'!$C$27:$C$34,0)),"")</f>
        <v>7.5</v>
      </c>
      <c r="BY16" s="287">
        <f t="shared" si="14"/>
        <v>499028.40000000008</v>
      </c>
      <c r="CA16" s="127" t="str">
        <f>IF(INDEX('Master Lookup'!$C$27:$C$34,$B16)=0,"",INDEX('Master Lookup'!$C$27:$C$34,$B16))</f>
        <v>Case Worker</v>
      </c>
      <c r="CB16" s="293">
        <f>IFERROR(INDEX('Master Lookup FY26'!D28:D35,MATCH(CA16,'Master Lookup FY26'!C28:C35,0)),"")</f>
        <v>66537.12000000001</v>
      </c>
      <c r="CC16" s="254">
        <f>IFERROR(INDEX('Master Lookup'!$T$27:$T$34,MATCH(CA16,'Master Lookup'!$C$27:$C$34,0)),"")</f>
        <v>8</v>
      </c>
      <c r="CD16" s="287">
        <f t="shared" si="15"/>
        <v>532296.96000000008</v>
      </c>
      <c r="CF16" s="127" t="str">
        <f>IF(INDEX('Master Lookup'!$C$27:$C$34,$B16)=0,"",INDEX('Master Lookup'!$C$27:$C$34,$B16))</f>
        <v>Case Worker</v>
      </c>
      <c r="CG16" s="293">
        <f>IFERROR(INDEX('Master Lookup FY26'!D28:D35,MATCH(CF16,'Master Lookup FY26'!C28:C35,0)),"")</f>
        <v>66537.12000000001</v>
      </c>
      <c r="CH16" s="254">
        <f>IFERROR(INDEX('Master Lookup'!$U$27:$U$34,MATCH(CF16,'Master Lookup'!$C$27:$C$34,0)),"")</f>
        <v>8.5</v>
      </c>
      <c r="CI16" s="287">
        <f t="shared" si="16"/>
        <v>565565.52000000014</v>
      </c>
      <c r="CK16" s="127" t="str">
        <f>IF(INDEX('Master Lookup'!$C$27:$C$34,$B16)=0,"",INDEX('Master Lookup'!$C$27:$C$34,$B16))</f>
        <v>Case Worker</v>
      </c>
      <c r="CL16" s="293">
        <f>IFERROR(INDEX('Master Lookup FY26'!D28:D35,MATCH(CK16,'Master Lookup FY26'!C28:C35,0)),"")</f>
        <v>66537.12000000001</v>
      </c>
      <c r="CM16" s="254">
        <f>IFERROR(INDEX('Master Lookup'!$V$27:$V$34,MATCH(CK16,'Master Lookup'!$C$27:$C$34,0)),"")</f>
        <v>9</v>
      </c>
      <c r="CN16" s="287">
        <f t="shared" si="17"/>
        <v>598834.08000000007</v>
      </c>
      <c r="CP16" s="127" t="str">
        <f>IF(INDEX('Master Lookup'!$C$27:$C$34,$B16)=0,"",INDEX('Master Lookup'!$C$27:$C$34,$B16))</f>
        <v>Case Worker</v>
      </c>
      <c r="CQ16" s="293">
        <f>IFERROR(INDEX('Master Lookup FY26'!D28:D35,MATCH(CP16,'Master Lookup FY26'!C28:C35,0)),"")</f>
        <v>66537.12000000001</v>
      </c>
      <c r="CR16" s="254">
        <f>IFERROR(INDEX('Master Lookup'!$W$27:$W$34,MATCH(CP16,'Master Lookup'!$C$27:$C$34,0)),"")</f>
        <v>9.5</v>
      </c>
      <c r="CS16" s="287">
        <f t="shared" si="18"/>
        <v>632102.64000000013</v>
      </c>
      <c r="CU16" s="127" t="str">
        <f>IF(INDEX('Master Lookup'!$C$27:$C$34,$B16)=0,"",INDEX('Master Lookup'!$C$27:$C$34,$B16))</f>
        <v>Case Worker</v>
      </c>
      <c r="CV16" s="293">
        <f>IFERROR(INDEX('Master Lookup FY26'!D28:D35,MATCH(CU16,'Master Lookup FY26'!C28:C35,0)),"")</f>
        <v>66537.12000000001</v>
      </c>
      <c r="CW16" s="254">
        <f>IFERROR(INDEX('Master Lookup'!$X$27:$X$34,MATCH(CU16,'Master Lookup'!$C$27:$C$34,0)),"")</f>
        <v>10</v>
      </c>
      <c r="CX16" s="287">
        <f t="shared" si="19"/>
        <v>665371.20000000007</v>
      </c>
      <c r="CZ16" s="127" t="str">
        <f>IF(INDEX('Master Lookup'!$C$27:$C$34,$B16)=0,"",INDEX('Master Lookup'!$C$27:$C$34,$B16))</f>
        <v>Case Worker</v>
      </c>
      <c r="DA16" s="293">
        <f>IFERROR(INDEX('Master Lookup FY26'!D28:D35,MATCH(CZ16,'Master Lookup FY26'!C28:C35,0)),"")</f>
        <v>66537.12000000001</v>
      </c>
      <c r="DB16" s="254">
        <f>IFERROR(INDEX('Master Lookup'!$Y$27:$Y$34,MATCH(CZ16,'Master Lookup'!$C$27:$C$34,0)),"")</f>
        <v>10.5</v>
      </c>
      <c r="DC16" s="287">
        <f t="shared" si="20"/>
        <v>698639.76000000013</v>
      </c>
      <c r="DE16" s="127" t="str">
        <f>IF(INDEX('Master Lookup'!$C$27:$C$34,$B16)=0,"",INDEX('Master Lookup'!$C$27:$C$34,$B16))</f>
        <v>Case Worker</v>
      </c>
      <c r="DF16" s="293">
        <f>IFERROR(INDEX('Master Lookup FY26'!D28:D35,MATCH(DE16,'Master Lookup FY26'!C28:C35,0)),"")</f>
        <v>66537.12000000001</v>
      </c>
      <c r="DG16" s="254">
        <f>IFERROR(INDEX('Master Lookup'!$Z$27:$Z$34,MATCH(DE16,'Master Lookup'!$C$27:$C$34,0)),"")</f>
        <v>11</v>
      </c>
      <c r="DH16" s="287">
        <f t="shared" si="21"/>
        <v>731908.32000000007</v>
      </c>
      <c r="DJ16" s="127" t="str">
        <f>IF(INDEX('Master Lookup'!$C$27:$C$34,$B16)=0,"",INDEX('Master Lookup'!$C$27:$C$34,$B16))</f>
        <v>Case Worker</v>
      </c>
      <c r="DK16" s="293">
        <f>IFERROR(INDEX('Master Lookup FY26'!D28:D35,MATCH(DJ16,'Master Lookup FY26'!C28:C35,0)),"")</f>
        <v>66537.12000000001</v>
      </c>
      <c r="DL16" s="254">
        <f>IFERROR(INDEX('Master Lookup'!$AA$27:$AA$34,MATCH(DJ16,'Master Lookup'!$C$27:$C$34,0)),"")</f>
        <v>11.5</v>
      </c>
      <c r="DM16" s="287">
        <f t="shared" si="22"/>
        <v>765176.88000000012</v>
      </c>
      <c r="DO16" s="127" t="str">
        <f>IF(INDEX('Master Lookup'!$C$27:$C$34,$B16)=0,"",INDEX('Master Lookup'!$C$27:$C$34,$B16))</f>
        <v>Case Worker</v>
      </c>
      <c r="DP16" s="293">
        <f>IFERROR(INDEX('Master Lookup FY26'!D28:D35,MATCH(DO16,'Master Lookup FY26'!C28:C35,0)),"")</f>
        <v>66537.12000000001</v>
      </c>
      <c r="DQ16" s="254">
        <f>IFERROR(INDEX('Master Lookup'!$AB$27:$AB$34,MATCH(DO16,'Master Lookup'!$C$27:$C$34,0)),"")</f>
        <v>12</v>
      </c>
      <c r="DR16" s="287">
        <f t="shared" si="23"/>
        <v>798445.44000000018</v>
      </c>
    </row>
    <row r="17" spans="2:122" hidden="1" x14ac:dyDescent="0.25">
      <c r="B17" s="254">
        <v>3</v>
      </c>
      <c r="D17" s="297" t="str">
        <f>IF(INDEX('Master Lookup'!$C$27:$C$34,$B17)=0,"",INDEX('Master Lookup'!$C$27:$C$34,$B17))</f>
        <v/>
      </c>
      <c r="E17" s="296" t="str">
        <f>IFERROR(INDEX('Master Lookup'!$D$27:$D$34,MATCH(D17,'Master Lookup'!$C$27:$C$34,0)),"")</f>
        <v/>
      </c>
      <c r="F17" s="295" t="str">
        <f>IFERROR(INDEX('Master Lookup'!$E$27:$E$34,MATCH(D17,'Master Lookup'!$C$27:$C$34,0)),"")</f>
        <v/>
      </c>
      <c r="G17" s="294">
        <f t="shared" si="0"/>
        <v>0</v>
      </c>
      <c r="I17" s="297" t="str">
        <f>IF(INDEX('Master Lookup'!$C$27:$C$34,$B17)=0,"",INDEX('Master Lookup'!$C$27:$C$34,$B17))</f>
        <v/>
      </c>
      <c r="J17" s="293" t="str">
        <f>IFERROR(INDEX('Master Lookup FY26'!D29:D30,MATCH(I17,'Master Lookup FY26'!C29:C36,0)),"")</f>
        <v/>
      </c>
      <c r="K17" s="295" t="str">
        <f>IFERROR(INDEX('Master Lookup'!$F$27:$F$34,MATCH(I17,'Master Lookup'!$C$27:$C$34,0)),"")</f>
        <v/>
      </c>
      <c r="L17" s="294">
        <f t="shared" si="1"/>
        <v>0</v>
      </c>
      <c r="N17" s="297" t="str">
        <f>IF(INDEX('Master Lookup'!$C$27:$C$34,$B17)=0,"",INDEX('Master Lookup'!$C$27:$C$34,$B17))</f>
        <v/>
      </c>
      <c r="O17" s="296" t="str">
        <f>IFERROR(INDEX('Master Lookup'!$D$27:$D$34,MATCH(N17,'Master Lookup'!$C$27:$C$34,0)),"")</f>
        <v/>
      </c>
      <c r="P17" s="295" t="str">
        <f>IFERROR(INDEX('Master Lookup'!$G$27:$G$34,MATCH(N17,'Master Lookup'!$C$27:$C$34,0)),"")</f>
        <v/>
      </c>
      <c r="Q17" s="294">
        <f t="shared" si="2"/>
        <v>0</v>
      </c>
      <c r="S17" s="297" t="str">
        <f>IF(INDEX('Master Lookup'!$C$27:$C$34,$B17)=0,"",INDEX('Master Lookup'!$C$27:$C$34,$B17))</f>
        <v/>
      </c>
      <c r="T17" s="296" t="str">
        <f>IFERROR(INDEX('Master Lookup'!$D$27:$D$34,MATCH(S17,'Master Lookup'!$C$27:$C$34,0)),"")</f>
        <v/>
      </c>
      <c r="U17" s="295" t="str">
        <f>IFERROR(INDEX('Master Lookup'!$H$27:$H$34,MATCH(S17,'Master Lookup'!$C$27:$C$34,0)),"")</f>
        <v/>
      </c>
      <c r="V17" s="294">
        <f t="shared" si="3"/>
        <v>0</v>
      </c>
      <c r="X17" s="297" t="str">
        <f>IF(INDEX('Master Lookup'!$C$27:$C$34,$B17)=0,"",INDEX('Master Lookup'!$C$27:$C$34,$B17))</f>
        <v/>
      </c>
      <c r="Y17" s="296" t="str">
        <f>IFERROR(INDEX('Master Lookup'!$D$27:$D$34,MATCH(X17,'Master Lookup'!$C$27:$C$34,0)),"")</f>
        <v/>
      </c>
      <c r="Z17" s="295" t="str">
        <f>IFERROR(INDEX('Master Lookup'!$I$27:$I$34,MATCH(X17,'Master Lookup'!$C$27:$C$34,0)),"")</f>
        <v/>
      </c>
      <c r="AA17" s="294">
        <f t="shared" si="4"/>
        <v>0</v>
      </c>
      <c r="AC17" s="297" t="str">
        <f>IF(INDEX('Master Lookup'!$C$27:$C$34,$B17)=0,"",INDEX('Master Lookup'!$C$27:$C$34,$B17))</f>
        <v/>
      </c>
      <c r="AD17" s="296" t="str">
        <f>IFERROR(INDEX('Master Lookup'!$D$27:$D$34,MATCH(AC17,'Master Lookup'!$C$27:$C$34,0)),"")</f>
        <v/>
      </c>
      <c r="AE17" s="295" t="str">
        <f>IFERROR(INDEX('Master Lookup'!$J$27:$J$34,MATCH(AC17,'Master Lookup'!$C$27:$C$34,0)),"")</f>
        <v/>
      </c>
      <c r="AF17" s="294">
        <f t="shared" si="5"/>
        <v>0</v>
      </c>
      <c r="AH17" s="297" t="str">
        <f>IF(INDEX('Master Lookup'!$C$27:$C$34,$B17)=0,"",INDEX('Master Lookup'!$C$27:$C$34,$B17))</f>
        <v/>
      </c>
      <c r="AI17" s="293" t="str">
        <f>IFERROR(INDEX('Master Lookup FY26'!D29:D36,MATCH(AH17,'Master Lookup FY26'!C29:C36,0)),"")</f>
        <v/>
      </c>
      <c r="AJ17" s="295" t="str">
        <f>IFERROR(INDEX('Master Lookup'!$K$27:$K$34,MATCH(AH17,'Master Lookup'!$C$27:$C$34,0)),"")</f>
        <v/>
      </c>
      <c r="AK17" s="294">
        <f t="shared" si="6"/>
        <v>0</v>
      </c>
      <c r="AM17" s="297" t="str">
        <f>IF(INDEX('Master Lookup'!$C$27:$C$34,$B17)=0,"",INDEX('Master Lookup'!$C$27:$C$34,$B17))</f>
        <v/>
      </c>
      <c r="AN17" s="293" t="str">
        <f>IFERROR(INDEX('Master Lookup FY26'!D29:D36,MATCH(AM17,'Master Lookup FY26'!C29:C36,0)),"")</f>
        <v/>
      </c>
      <c r="AO17" s="295" t="str">
        <f>IFERROR(INDEX('Master Lookup'!$L$27:$L$34,MATCH(AM17,'Master Lookup'!$C$27:$C$34,0)),"")</f>
        <v/>
      </c>
      <c r="AP17" s="294">
        <f t="shared" si="7"/>
        <v>0</v>
      </c>
      <c r="AR17" s="297" t="str">
        <f>IF(INDEX('Master Lookup'!$C$27:$C$34,$B17)=0,"",INDEX('Master Lookup'!$C$27:$C$34,$B17))</f>
        <v/>
      </c>
      <c r="AS17" s="293" t="str">
        <f>IFERROR(INDEX('Master Lookup FY26'!D29:D36,MATCH(AR17,'Master Lookup FY26'!C29:C36,0)),"")</f>
        <v/>
      </c>
      <c r="AT17" s="295" t="str">
        <f>IFERROR(INDEX('Master Lookup'!$M$27:$M$34,MATCH(AR17,'Master Lookup'!$C$27:$C$34,0)),"")</f>
        <v/>
      </c>
      <c r="AU17" s="294">
        <f t="shared" si="8"/>
        <v>0</v>
      </c>
      <c r="AW17" s="297" t="str">
        <f>IF(INDEX('Master Lookup'!$C$27:$C$34,$B17)=0,"",INDEX('Master Lookup'!$C$27:$C$34,$B17))</f>
        <v/>
      </c>
      <c r="AX17" s="293" t="str">
        <f>IFERROR(INDEX('Master Lookup FY26'!D29:D36,MATCH(AW17,'Master Lookup FY26'!C29:C36,0)),"")</f>
        <v/>
      </c>
      <c r="AY17" s="295" t="str">
        <f>IFERROR(INDEX('Master Lookup'!$N$27:$N$34,MATCH(AW17,'Master Lookup'!$C$27:$C$34,0)),"")</f>
        <v/>
      </c>
      <c r="AZ17" s="294">
        <f t="shared" si="9"/>
        <v>0</v>
      </c>
      <c r="BB17" s="297" t="str">
        <f>IF(INDEX('Master Lookup'!$C$27:$C$34,$B17)=0,"",INDEX('Master Lookup'!$C$27:$C$34,$B17))</f>
        <v/>
      </c>
      <c r="BC17" s="296" t="str">
        <f>IFERROR(INDEX('Master Lookup'!$D$27:$D$34,MATCH(BB17,'Master Lookup'!$C$27:$C$34,0)),"")</f>
        <v/>
      </c>
      <c r="BD17" s="295" t="str">
        <f>IFERROR(INDEX('Master Lookup'!$O$27:$O$34,MATCH(BB17,'Master Lookup'!$C$27:$C$34,0)),"")</f>
        <v/>
      </c>
      <c r="BE17" s="294">
        <f t="shared" si="10"/>
        <v>0</v>
      </c>
      <c r="BG17" s="297" t="str">
        <f>IF(INDEX('Master Lookup'!$C$27:$C$34,$B17)=0,"",INDEX('Master Lookup'!$C$27:$C$34,$B17))</f>
        <v/>
      </c>
      <c r="BH17" s="296" t="str">
        <f>IFERROR(INDEX('Master Lookup'!$D$27:$D$34,MATCH(BG17,'Master Lookup'!$C$27:$C$34,0)),"")</f>
        <v/>
      </c>
      <c r="BI17" s="295" t="str">
        <f>IFERROR(INDEX('Master Lookup'!$P$27:$P$34,MATCH(BG17,'Master Lookup'!$C$27:$C$34,0)),"")</f>
        <v/>
      </c>
      <c r="BJ17" s="294">
        <f t="shared" si="11"/>
        <v>0</v>
      </c>
      <c r="BL17" s="297" t="str">
        <f>IF(INDEX('Master Lookup'!$C$27:$C$34,$B17)=0,"",INDEX('Master Lookup'!$C$27:$C$34,$B17))</f>
        <v/>
      </c>
      <c r="BM17" s="296" t="str">
        <f>IFERROR(INDEX('Master Lookup'!$D$27:$D$34,MATCH(BL17,'Master Lookup'!$C$27:$C$34,0)),"")</f>
        <v/>
      </c>
      <c r="BN17" s="295" t="str">
        <f>IFERROR(INDEX('Master Lookup'!$Q$27:$Q$34,MATCH(BL17,'Master Lookup'!$C$27:$C$34,0)),"")</f>
        <v/>
      </c>
      <c r="BO17" s="294">
        <f t="shared" si="12"/>
        <v>0</v>
      </c>
      <c r="BQ17" s="297" t="str">
        <f>IF(INDEX('Master Lookup'!$C$27:$C$34,$B17)=0,"",INDEX('Master Lookup'!$C$27:$C$34,$B17))</f>
        <v/>
      </c>
      <c r="BR17" s="296" t="str">
        <f>IFERROR(INDEX('Master Lookup'!$D$27:$D$34,MATCH(BQ17,'Master Lookup'!$C$27:$C$34,0)),"")</f>
        <v/>
      </c>
      <c r="BS17" s="295" t="str">
        <f>IFERROR(INDEX('Master Lookup'!$R$27:$R$34,MATCH(BQ17,'Master Lookup'!$C$27:$C$34,0)),"")</f>
        <v/>
      </c>
      <c r="BT17" s="294">
        <f t="shared" si="13"/>
        <v>0</v>
      </c>
      <c r="BV17" s="297" t="str">
        <f>IF(INDEX('Master Lookup'!$C$27:$C$34,$B17)=0,"",INDEX('Master Lookup'!$C$27:$C$34,$B17))</f>
        <v/>
      </c>
      <c r="BW17" s="296" t="str">
        <f>IFERROR(INDEX('Master Lookup'!$D$27:$D$34,MATCH(BV17,'Master Lookup'!$C$27:$C$34,0)),"")</f>
        <v/>
      </c>
      <c r="BX17" s="295" t="str">
        <f>IFERROR(INDEX('Master Lookup'!$S$27:$S$34,MATCH(BV17,'Master Lookup'!$C$27:$C$34,0)),"")</f>
        <v/>
      </c>
      <c r="BY17" s="294">
        <f t="shared" si="14"/>
        <v>0</v>
      </c>
      <c r="CA17" s="297" t="str">
        <f>IF(INDEX('Master Lookup'!$C$27:$C$34,$B17)=0,"",INDEX('Master Lookup'!$C$27:$C$34,$B17))</f>
        <v/>
      </c>
      <c r="CB17" s="296" t="str">
        <f>IFERROR(INDEX('Master Lookup'!$D$27:$D$34,MATCH(CA17,'Master Lookup'!$C$27:$C$34,0)),"")</f>
        <v/>
      </c>
      <c r="CC17" s="295" t="str">
        <f>IFERROR(INDEX('Master Lookup'!$T$27:$T$34,MATCH(CA17,'Master Lookup'!$C$27:$C$34,0)),"")</f>
        <v/>
      </c>
      <c r="CD17" s="294">
        <f t="shared" si="15"/>
        <v>0</v>
      </c>
      <c r="CF17" s="297" t="str">
        <f>IF(INDEX('Master Lookup'!$C$27:$C$34,$B17)=0,"",INDEX('Master Lookup'!$C$27:$C$34,$B17))</f>
        <v/>
      </c>
      <c r="CG17" s="293" t="str">
        <f>IFERROR(INDEX('Master Lookup FY26'!D29:D36,MATCH(CF17,'Master Lookup FY26'!C29:C36,0)),"")</f>
        <v/>
      </c>
      <c r="CH17" s="295" t="str">
        <f>IFERROR(INDEX('Master Lookup'!$U$27:$U$34,MATCH(CF17,'Master Lookup'!$C$27:$C$34,0)),"")</f>
        <v/>
      </c>
      <c r="CI17" s="294">
        <f t="shared" si="16"/>
        <v>0</v>
      </c>
      <c r="CK17" s="297" t="str">
        <f>IF(INDEX('Master Lookup'!$C$27:$C$34,$B17)=0,"",INDEX('Master Lookup'!$C$27:$C$34,$B17))</f>
        <v/>
      </c>
      <c r="CL17" s="296" t="str">
        <f>IFERROR(INDEX('Master Lookup'!$D$27:$D$34,MATCH(CK17,'Master Lookup'!$C$27:$C$34,0)),"")</f>
        <v/>
      </c>
      <c r="CM17" s="295" t="str">
        <f>IFERROR(INDEX('Master Lookup'!$V$27:$V$34,MATCH(CK17,'Master Lookup'!$C$27:$C$34,0)),"")</f>
        <v/>
      </c>
      <c r="CN17" s="294">
        <f t="shared" si="17"/>
        <v>0</v>
      </c>
      <c r="CP17" s="297" t="str">
        <f>IF(INDEX('Master Lookup'!$C$27:$C$34,$B17)=0,"",INDEX('Master Lookup'!$C$27:$C$34,$B17))</f>
        <v/>
      </c>
      <c r="CQ17" s="293" t="str">
        <f>IFERROR(INDEX('Master Lookup FY26'!D29:D36,MATCH(CP17,'Master Lookup FY26'!C29:C36,0)),"")</f>
        <v/>
      </c>
      <c r="CR17" s="295" t="str">
        <f>IFERROR(INDEX('Master Lookup'!$W$27:$W$34,MATCH(CP17,'Master Lookup'!$C$27:$C$34,0)),"")</f>
        <v/>
      </c>
      <c r="CS17" s="294">
        <f t="shared" si="18"/>
        <v>0</v>
      </c>
      <c r="CU17" s="297" t="str">
        <f>IF(INDEX('Master Lookup'!$C$27:$C$34,$B17)=0,"",INDEX('Master Lookup'!$C$27:$C$34,$B17))</f>
        <v/>
      </c>
      <c r="CV17" s="296" t="str">
        <f>IFERROR(INDEX('Master Lookup'!$D$27:$D$34,MATCH(CU17,'Master Lookup'!$C$27:$C$34,0)),"")</f>
        <v/>
      </c>
      <c r="CW17" s="295" t="str">
        <f>IFERROR(INDEX('Master Lookup'!$X$27:$X$34,MATCH(CU17,'Master Lookup'!$C$27:$C$34,0)),"")</f>
        <v/>
      </c>
      <c r="CX17" s="294">
        <f t="shared" si="19"/>
        <v>0</v>
      </c>
      <c r="CZ17" s="297" t="str">
        <f>IF(INDEX('Master Lookup'!$C$27:$C$34,$B17)=0,"",INDEX('Master Lookup'!$C$27:$C$34,$B17))</f>
        <v/>
      </c>
      <c r="DA17" s="296" t="str">
        <f>IFERROR(INDEX('Master Lookup'!$D$27:$D$34,MATCH(CZ17,'Master Lookup'!$C$27:$C$34,0)),"")</f>
        <v/>
      </c>
      <c r="DB17" s="295" t="str">
        <f>IFERROR(INDEX('Master Lookup'!$Y$27:$Y$34,MATCH(CZ17,'Master Lookup'!$C$27:$C$34,0)),"")</f>
        <v/>
      </c>
      <c r="DC17" s="294">
        <f t="shared" si="20"/>
        <v>0</v>
      </c>
      <c r="DE17" s="297" t="str">
        <f>IF(INDEX('Master Lookup'!$C$27:$C$34,$B17)=0,"",INDEX('Master Lookup'!$C$27:$C$34,$B17))</f>
        <v/>
      </c>
      <c r="DF17" s="296" t="str">
        <f>IFERROR(INDEX('Master Lookup'!$D$27:$D$34,MATCH(DE17,'Master Lookup'!$C$27:$C$34,0)),"")</f>
        <v/>
      </c>
      <c r="DG17" s="295" t="str">
        <f>IFERROR(INDEX('Master Lookup'!$Z$27:$Z$34,MATCH(DE17,'Master Lookup'!$C$27:$C$34,0)),"")</f>
        <v/>
      </c>
      <c r="DH17" s="294">
        <f t="shared" si="21"/>
        <v>0</v>
      </c>
      <c r="DJ17" s="297" t="str">
        <f>IF(INDEX('Master Lookup'!$C$27:$C$34,$B17)=0,"",INDEX('Master Lookup'!$C$27:$C$34,$B17))</f>
        <v/>
      </c>
      <c r="DK17" s="296" t="str">
        <f>IFERROR(INDEX('Master Lookup'!$D$27:$D$34,MATCH(DJ17,'Master Lookup'!$C$27:$C$34,0)),"")</f>
        <v/>
      </c>
      <c r="DL17" s="295" t="str">
        <f>IFERROR(INDEX('Master Lookup'!$AA$27:$AA$34,MATCH(DJ17,'Master Lookup'!$C$27:$C$34,0)),"")</f>
        <v/>
      </c>
      <c r="DM17" s="294">
        <f t="shared" si="22"/>
        <v>0</v>
      </c>
      <c r="DO17" s="297" t="str">
        <f>IF(INDEX('Master Lookup'!$C$27:$C$34,$B17)=0,"",INDEX('Master Lookup'!$C$27:$C$34,$B17))</f>
        <v/>
      </c>
      <c r="DP17" s="296" t="str">
        <f>IFERROR(INDEX('Master Lookup'!$D$27:$D$34,MATCH(DO17,'Master Lookup'!$C$27:$C$34,0)),"")</f>
        <v/>
      </c>
      <c r="DQ17" s="295" t="str">
        <f>IFERROR(INDEX('Master Lookup'!$AB$27:$AB$34,MATCH(DO17,'Master Lookup'!$C$27:$C$34,0)),"")</f>
        <v/>
      </c>
      <c r="DR17" s="294">
        <f t="shared" si="23"/>
        <v>0</v>
      </c>
    </row>
    <row r="18" spans="2:122" hidden="1" x14ac:dyDescent="0.25">
      <c r="B18" s="254">
        <v>4</v>
      </c>
      <c r="D18" s="297" t="str">
        <f>IF(INDEX('Master Lookup'!$C$27:$C$34,$B18)=0,"",INDEX('Master Lookup'!$C$27:$C$34,$B18))</f>
        <v/>
      </c>
      <c r="E18" s="296" t="str">
        <f>IFERROR(INDEX('Master Lookup'!$D$27:$D$34,MATCH(D18,'Master Lookup'!$C$27:$C$34,0)),"")</f>
        <v/>
      </c>
      <c r="F18" s="295" t="str">
        <f>IFERROR(INDEX('Master Lookup'!$E$27:$E$34,MATCH(D18,'Master Lookup'!$C$27:$C$34,0)),"")</f>
        <v/>
      </c>
      <c r="G18" s="294">
        <f t="shared" si="0"/>
        <v>0</v>
      </c>
      <c r="I18" s="297" t="str">
        <f>IF(INDEX('Master Lookup'!$C$27:$C$34,$B18)=0,"",INDEX('Master Lookup'!$C$27:$C$34,$B18))</f>
        <v/>
      </c>
      <c r="J18" s="293" t="str">
        <f>IFERROR(INDEX('Master Lookup FY26'!D30:D31,MATCH(I18,'Master Lookup FY26'!C30:C37,0)),"")</f>
        <v/>
      </c>
      <c r="K18" s="295" t="str">
        <f>IFERROR(INDEX('Master Lookup'!$F$27:$F$34,MATCH(I18,'Master Lookup'!$C$27:$C$34,0)),"")</f>
        <v/>
      </c>
      <c r="L18" s="294">
        <f t="shared" si="1"/>
        <v>0</v>
      </c>
      <c r="N18" s="297" t="str">
        <f>IF(INDEX('Master Lookup'!$C$27:$C$34,$B18)=0,"",INDEX('Master Lookup'!$C$27:$C$34,$B18))</f>
        <v/>
      </c>
      <c r="O18" s="296" t="str">
        <f>IFERROR(INDEX('Master Lookup'!$D$27:$D$34,MATCH(N18,'Master Lookup'!$C$27:$C$34,0)),"")</f>
        <v/>
      </c>
      <c r="P18" s="295" t="str">
        <f>IFERROR(INDEX('Master Lookup'!$G$27:$G$34,MATCH(N18,'Master Lookup'!$C$27:$C$34,0)),"")</f>
        <v/>
      </c>
      <c r="Q18" s="294">
        <f t="shared" si="2"/>
        <v>0</v>
      </c>
      <c r="S18" s="297" t="str">
        <f>IF(INDEX('Master Lookup'!$C$27:$C$34,$B18)=0,"",INDEX('Master Lookup'!$C$27:$C$34,$B18))</f>
        <v/>
      </c>
      <c r="T18" s="296" t="str">
        <f>IFERROR(INDEX('Master Lookup'!$D$27:$D$34,MATCH(S18,'Master Lookup'!$C$27:$C$34,0)),"")</f>
        <v/>
      </c>
      <c r="U18" s="295" t="str">
        <f>IFERROR(INDEX('Master Lookup'!$H$27:$H$34,MATCH(S18,'Master Lookup'!$C$27:$C$34,0)),"")</f>
        <v/>
      </c>
      <c r="V18" s="294">
        <f t="shared" si="3"/>
        <v>0</v>
      </c>
      <c r="X18" s="297" t="str">
        <f>IF(INDEX('Master Lookup'!$C$27:$C$34,$B18)=0,"",INDEX('Master Lookup'!$C$27:$C$34,$B18))</f>
        <v/>
      </c>
      <c r="Y18" s="296" t="str">
        <f>IFERROR(INDEX('Master Lookup'!$D$27:$D$34,MATCH(X18,'Master Lookup'!$C$27:$C$34,0)),"")</f>
        <v/>
      </c>
      <c r="Z18" s="295" t="str">
        <f>IFERROR(INDEX('Master Lookup'!$I$27:$I$34,MATCH(X18,'Master Lookup'!$C$27:$C$34,0)),"")</f>
        <v/>
      </c>
      <c r="AA18" s="294">
        <f t="shared" si="4"/>
        <v>0</v>
      </c>
      <c r="AC18" s="297" t="str">
        <f>IF(INDEX('Master Lookup'!$C$27:$C$34,$B18)=0,"",INDEX('Master Lookup'!$C$27:$C$34,$B18))</f>
        <v/>
      </c>
      <c r="AD18" s="296" t="str">
        <f>IFERROR(INDEX('Master Lookup'!$D$27:$D$34,MATCH(AC18,'Master Lookup'!$C$27:$C$34,0)),"")</f>
        <v/>
      </c>
      <c r="AE18" s="295" t="str">
        <f>IFERROR(INDEX('Master Lookup'!$J$27:$J$34,MATCH(AC18,'Master Lookup'!$C$27:$C$34,0)),"")</f>
        <v/>
      </c>
      <c r="AF18" s="294">
        <f t="shared" si="5"/>
        <v>0</v>
      </c>
      <c r="AH18" s="297" t="str">
        <f>IF(INDEX('Master Lookup'!$C$27:$C$34,$B18)=0,"",INDEX('Master Lookup'!$C$27:$C$34,$B18))</f>
        <v/>
      </c>
      <c r="AI18" s="293" t="str">
        <f>IFERROR(INDEX('Master Lookup FY26'!D30:D37,MATCH(AH18,'Master Lookup FY26'!C30:C37,0)),"")</f>
        <v/>
      </c>
      <c r="AJ18" s="295" t="str">
        <f>IFERROR(INDEX('Master Lookup'!$K$27:$K$34,MATCH(AH18,'Master Lookup'!$C$27:$C$34,0)),"")</f>
        <v/>
      </c>
      <c r="AK18" s="294">
        <f t="shared" si="6"/>
        <v>0</v>
      </c>
      <c r="AM18" s="297" t="str">
        <f>IF(INDEX('Master Lookup'!$C$27:$C$34,$B18)=0,"",INDEX('Master Lookup'!$C$27:$C$34,$B18))</f>
        <v/>
      </c>
      <c r="AN18" s="293" t="str">
        <f>IFERROR(INDEX('Master Lookup FY26'!D30:D37,MATCH(AM18,'Master Lookup FY26'!C30:C37,0)),"")</f>
        <v/>
      </c>
      <c r="AO18" s="295" t="str">
        <f>IFERROR(INDEX('Master Lookup'!$L$27:$L$34,MATCH(AM18,'Master Lookup'!$C$27:$C$34,0)),"")</f>
        <v/>
      </c>
      <c r="AP18" s="294">
        <f t="shared" si="7"/>
        <v>0</v>
      </c>
      <c r="AR18" s="297" t="str">
        <f>IF(INDEX('Master Lookup'!$C$27:$C$34,$B18)=0,"",INDEX('Master Lookup'!$C$27:$C$34,$B18))</f>
        <v/>
      </c>
      <c r="AS18" s="293" t="str">
        <f>IFERROR(INDEX('Master Lookup FY26'!D30:D37,MATCH(AR18,'Master Lookup FY26'!C30:C37,0)),"")</f>
        <v/>
      </c>
      <c r="AT18" s="295" t="str">
        <f>IFERROR(INDEX('Master Lookup'!$M$27:$M$34,MATCH(AR18,'Master Lookup'!$C$27:$C$34,0)),"")</f>
        <v/>
      </c>
      <c r="AU18" s="294">
        <f t="shared" si="8"/>
        <v>0</v>
      </c>
      <c r="AW18" s="297" t="str">
        <f>IF(INDEX('Master Lookup'!$C$27:$C$34,$B18)=0,"",INDEX('Master Lookup'!$C$27:$C$34,$B18))</f>
        <v/>
      </c>
      <c r="AX18" s="293" t="str">
        <f>IFERROR(INDEX('Master Lookup FY26'!D30:D37,MATCH(AW18,'Master Lookup FY26'!C30:C37,0)),"")</f>
        <v/>
      </c>
      <c r="AY18" s="295" t="str">
        <f>IFERROR(INDEX('Master Lookup'!$N$27:$N$34,MATCH(AW18,'Master Lookup'!$C$27:$C$34,0)),"")</f>
        <v/>
      </c>
      <c r="AZ18" s="294">
        <f t="shared" si="9"/>
        <v>0</v>
      </c>
      <c r="BB18" s="297" t="str">
        <f>IF(INDEX('Master Lookup'!$C$27:$C$34,$B18)=0,"",INDEX('Master Lookup'!$C$27:$C$34,$B18))</f>
        <v/>
      </c>
      <c r="BC18" s="296" t="str">
        <f>IFERROR(INDEX('Master Lookup'!$D$27:$D$34,MATCH(BB18,'Master Lookup'!$C$27:$C$34,0)),"")</f>
        <v/>
      </c>
      <c r="BD18" s="295" t="str">
        <f>IFERROR(INDEX('Master Lookup'!$O$27:$O$34,MATCH(BB18,'Master Lookup'!$C$27:$C$34,0)),"")</f>
        <v/>
      </c>
      <c r="BE18" s="294">
        <f t="shared" si="10"/>
        <v>0</v>
      </c>
      <c r="BG18" s="297" t="str">
        <f>IF(INDEX('Master Lookup'!$C$27:$C$34,$B18)=0,"",INDEX('Master Lookup'!$C$27:$C$34,$B18))</f>
        <v/>
      </c>
      <c r="BH18" s="296" t="str">
        <f>IFERROR(INDEX('Master Lookup'!$D$27:$D$34,MATCH(BG18,'Master Lookup'!$C$27:$C$34,0)),"")</f>
        <v/>
      </c>
      <c r="BI18" s="295" t="str">
        <f>IFERROR(INDEX('Master Lookup'!$P$27:$P$34,MATCH(BG18,'Master Lookup'!$C$27:$C$34,0)),"")</f>
        <v/>
      </c>
      <c r="BJ18" s="294">
        <f t="shared" si="11"/>
        <v>0</v>
      </c>
      <c r="BL18" s="297" t="str">
        <f>IF(INDEX('Master Lookup'!$C$27:$C$34,$B18)=0,"",INDEX('Master Lookup'!$C$27:$C$34,$B18))</f>
        <v/>
      </c>
      <c r="BM18" s="296" t="str">
        <f>IFERROR(INDEX('Master Lookup'!$D$27:$D$34,MATCH(BL18,'Master Lookup'!$C$27:$C$34,0)),"")</f>
        <v/>
      </c>
      <c r="BN18" s="295" t="str">
        <f>IFERROR(INDEX('Master Lookup'!$Q$27:$Q$34,MATCH(BL18,'Master Lookup'!$C$27:$C$34,0)),"")</f>
        <v/>
      </c>
      <c r="BO18" s="294">
        <f t="shared" si="12"/>
        <v>0</v>
      </c>
      <c r="BQ18" s="297" t="str">
        <f>IF(INDEX('Master Lookup'!$C$27:$C$34,$B18)=0,"",INDEX('Master Lookup'!$C$27:$C$34,$B18))</f>
        <v/>
      </c>
      <c r="BR18" s="296" t="str">
        <f>IFERROR(INDEX('Master Lookup'!$D$27:$D$34,MATCH(BQ18,'Master Lookup'!$C$27:$C$34,0)),"")</f>
        <v/>
      </c>
      <c r="BS18" s="295" t="str">
        <f>IFERROR(INDEX('Master Lookup'!$R$27:$R$34,MATCH(BQ18,'Master Lookup'!$C$27:$C$34,0)),"")</f>
        <v/>
      </c>
      <c r="BT18" s="294">
        <f t="shared" si="13"/>
        <v>0</v>
      </c>
      <c r="BV18" s="297" t="str">
        <f>IF(INDEX('Master Lookup'!$C$27:$C$34,$B18)=0,"",INDEX('Master Lookup'!$C$27:$C$34,$B18))</f>
        <v/>
      </c>
      <c r="BW18" s="296" t="str">
        <f>IFERROR(INDEX('Master Lookup'!$D$27:$D$34,MATCH(BV18,'Master Lookup'!$C$27:$C$34,0)),"")</f>
        <v/>
      </c>
      <c r="BX18" s="295" t="str">
        <f>IFERROR(INDEX('Master Lookup'!$S$27:$S$34,MATCH(BV18,'Master Lookup'!$C$27:$C$34,0)),"")</f>
        <v/>
      </c>
      <c r="BY18" s="294">
        <f t="shared" si="14"/>
        <v>0</v>
      </c>
      <c r="CA18" s="297" t="str">
        <f>IF(INDEX('Master Lookup'!$C$27:$C$34,$B18)=0,"",INDEX('Master Lookup'!$C$27:$C$34,$B18))</f>
        <v/>
      </c>
      <c r="CB18" s="296" t="str">
        <f>IFERROR(INDEX('Master Lookup'!$D$27:$D$34,MATCH(CA18,'Master Lookup'!$C$27:$C$34,0)),"")</f>
        <v/>
      </c>
      <c r="CC18" s="295" t="str">
        <f>IFERROR(INDEX('Master Lookup'!$T$27:$T$34,MATCH(CA18,'Master Lookup'!$C$27:$C$34,0)),"")</f>
        <v/>
      </c>
      <c r="CD18" s="294">
        <f t="shared" si="15"/>
        <v>0</v>
      </c>
      <c r="CF18" s="297" t="str">
        <f>IF(INDEX('Master Lookup'!$C$27:$C$34,$B18)=0,"",INDEX('Master Lookup'!$C$27:$C$34,$B18))</f>
        <v/>
      </c>
      <c r="CG18" s="293" t="str">
        <f>IFERROR(INDEX('Master Lookup FY26'!D30:D37,MATCH(CF18,'Master Lookup FY26'!C30:C37,0)),"")</f>
        <v/>
      </c>
      <c r="CH18" s="295" t="str">
        <f>IFERROR(INDEX('Master Lookup'!$U$27:$U$34,MATCH(CF18,'Master Lookup'!$C$27:$C$34,0)),"")</f>
        <v/>
      </c>
      <c r="CI18" s="294">
        <f t="shared" si="16"/>
        <v>0</v>
      </c>
      <c r="CK18" s="297" t="str">
        <f>IF(INDEX('Master Lookup'!$C$27:$C$34,$B18)=0,"",INDEX('Master Lookup'!$C$27:$C$34,$B18))</f>
        <v/>
      </c>
      <c r="CL18" s="296" t="str">
        <f>IFERROR(INDEX('Master Lookup'!$D$27:$D$34,MATCH(CK18,'Master Lookup'!$C$27:$C$34,0)),"")</f>
        <v/>
      </c>
      <c r="CM18" s="295" t="str">
        <f>IFERROR(INDEX('Master Lookup'!$V$27:$V$34,MATCH(CK18,'Master Lookup'!$C$27:$C$34,0)),"")</f>
        <v/>
      </c>
      <c r="CN18" s="294">
        <f t="shared" si="17"/>
        <v>0</v>
      </c>
      <c r="CP18" s="297" t="str">
        <f>IF(INDEX('Master Lookup'!$C$27:$C$34,$B18)=0,"",INDEX('Master Lookup'!$C$27:$C$34,$B18))</f>
        <v/>
      </c>
      <c r="CQ18" s="293" t="str">
        <f>IFERROR(INDEX('Master Lookup FY26'!D30:D37,MATCH(CP18,'Master Lookup FY26'!C30:C37,0)),"")</f>
        <v/>
      </c>
      <c r="CR18" s="295" t="str">
        <f>IFERROR(INDEX('Master Lookup'!$W$27:$W$34,MATCH(CP18,'Master Lookup'!$C$27:$C$34,0)),"")</f>
        <v/>
      </c>
      <c r="CS18" s="294">
        <f t="shared" si="18"/>
        <v>0</v>
      </c>
      <c r="CU18" s="297" t="str">
        <f>IF(INDEX('Master Lookup'!$C$27:$C$34,$B18)=0,"",INDEX('Master Lookup'!$C$27:$C$34,$B18))</f>
        <v/>
      </c>
      <c r="CV18" s="296" t="str">
        <f>IFERROR(INDEX('Master Lookup'!$D$27:$D$34,MATCH(CU18,'Master Lookup'!$C$27:$C$34,0)),"")</f>
        <v/>
      </c>
      <c r="CW18" s="295" t="str">
        <f>IFERROR(INDEX('Master Lookup'!$X$27:$X$34,MATCH(CU18,'Master Lookup'!$C$27:$C$34,0)),"")</f>
        <v/>
      </c>
      <c r="CX18" s="294">
        <f t="shared" si="19"/>
        <v>0</v>
      </c>
      <c r="CZ18" s="297" t="str">
        <f>IF(INDEX('Master Lookup'!$C$27:$C$34,$B18)=0,"",INDEX('Master Lookup'!$C$27:$C$34,$B18))</f>
        <v/>
      </c>
      <c r="DA18" s="296" t="str">
        <f>IFERROR(INDEX('Master Lookup'!$D$27:$D$34,MATCH(CZ18,'Master Lookup'!$C$27:$C$34,0)),"")</f>
        <v/>
      </c>
      <c r="DB18" s="295" t="str">
        <f>IFERROR(INDEX('Master Lookup'!$Y$27:$Y$34,MATCH(CZ18,'Master Lookup'!$C$27:$C$34,0)),"")</f>
        <v/>
      </c>
      <c r="DC18" s="294">
        <f t="shared" si="20"/>
        <v>0</v>
      </c>
      <c r="DE18" s="297" t="str">
        <f>IF(INDEX('Master Lookup'!$C$27:$C$34,$B18)=0,"",INDEX('Master Lookup'!$C$27:$C$34,$B18))</f>
        <v/>
      </c>
      <c r="DF18" s="296" t="str">
        <f>IFERROR(INDEX('Master Lookup'!$D$27:$D$34,MATCH(DE18,'Master Lookup'!$C$27:$C$34,0)),"")</f>
        <v/>
      </c>
      <c r="DG18" s="295" t="str">
        <f>IFERROR(INDEX('Master Lookup'!$Z$27:$Z$34,MATCH(DE18,'Master Lookup'!$C$27:$C$34,0)),"")</f>
        <v/>
      </c>
      <c r="DH18" s="294">
        <f t="shared" si="21"/>
        <v>0</v>
      </c>
      <c r="DJ18" s="297" t="str">
        <f>IF(INDEX('Master Lookup'!$C$27:$C$34,$B18)=0,"",INDEX('Master Lookup'!$C$27:$C$34,$B18))</f>
        <v/>
      </c>
      <c r="DK18" s="296" t="str">
        <f>IFERROR(INDEX('Master Lookup'!$D$27:$D$34,MATCH(DJ18,'Master Lookup'!$C$27:$C$34,0)),"")</f>
        <v/>
      </c>
      <c r="DL18" s="295" t="str">
        <f>IFERROR(INDEX('Master Lookup'!$AA$27:$AA$34,MATCH(DJ18,'Master Lookup'!$C$27:$C$34,0)),"")</f>
        <v/>
      </c>
      <c r="DM18" s="294">
        <f t="shared" si="22"/>
        <v>0</v>
      </c>
      <c r="DO18" s="297" t="str">
        <f>IF(INDEX('Master Lookup'!$C$27:$C$34,$B18)=0,"",INDEX('Master Lookup'!$C$27:$C$34,$B18))</f>
        <v/>
      </c>
      <c r="DP18" s="296" t="str">
        <f>IFERROR(INDEX('Master Lookup'!$D$27:$D$34,MATCH(DO18,'Master Lookup'!$C$27:$C$34,0)),"")</f>
        <v/>
      </c>
      <c r="DQ18" s="295" t="str">
        <f>IFERROR(INDEX('Master Lookup'!$AB$27:$AB$34,MATCH(DO18,'Master Lookup'!$C$27:$C$34,0)),"")</f>
        <v/>
      </c>
      <c r="DR18" s="294">
        <f t="shared" si="23"/>
        <v>0</v>
      </c>
    </row>
    <row r="19" spans="2:122" hidden="1" x14ac:dyDescent="0.25">
      <c r="B19" s="254">
        <v>5</v>
      </c>
      <c r="D19" s="297" t="str">
        <f>IF(INDEX('Master Lookup'!$C$27:$C$34,$B19)=0,"",INDEX('Master Lookup'!$C$27:$C$34,$B19))</f>
        <v/>
      </c>
      <c r="E19" s="296" t="str">
        <f>IFERROR(INDEX('Master Lookup'!$D$27:$D$34,MATCH(D19,'Master Lookup'!$C$27:$C$34,0)),"")</f>
        <v/>
      </c>
      <c r="F19" s="295" t="str">
        <f>IFERROR(INDEX('Master Lookup'!$E$27:$E$34,MATCH(D19,'Master Lookup'!$C$27:$C$34,0)),"")</f>
        <v/>
      </c>
      <c r="G19" s="294">
        <f t="shared" si="0"/>
        <v>0</v>
      </c>
      <c r="I19" s="297" t="str">
        <f>IF(INDEX('Master Lookup'!$C$27:$C$34,$B19)=0,"",INDEX('Master Lookup'!$C$27:$C$34,$B19))</f>
        <v/>
      </c>
      <c r="J19" s="293" t="str">
        <f>IFERROR(INDEX('Master Lookup FY26'!D31:D32,MATCH(I19,'Master Lookup FY26'!C31:C38,0)),"")</f>
        <v/>
      </c>
      <c r="K19" s="295" t="str">
        <f>IFERROR(INDEX('Master Lookup'!$F$27:$F$34,MATCH(I19,'Master Lookup'!$C$27:$C$34,0)),"")</f>
        <v/>
      </c>
      <c r="L19" s="294">
        <f t="shared" si="1"/>
        <v>0</v>
      </c>
      <c r="N19" s="297" t="str">
        <f>IF(INDEX('Master Lookup'!$C$27:$C$34,$B19)=0,"",INDEX('Master Lookup'!$C$27:$C$34,$B19))</f>
        <v/>
      </c>
      <c r="O19" s="296" t="str">
        <f>IFERROR(INDEX('Master Lookup'!$D$27:$D$34,MATCH(N19,'Master Lookup'!$C$27:$C$34,0)),"")</f>
        <v/>
      </c>
      <c r="P19" s="295" t="str">
        <f>IFERROR(INDEX('Master Lookup'!$G$27:$G$34,MATCH(N19,'Master Lookup'!$C$27:$C$34,0)),"")</f>
        <v/>
      </c>
      <c r="Q19" s="294">
        <f t="shared" si="2"/>
        <v>0</v>
      </c>
      <c r="S19" s="297" t="str">
        <f>IF(INDEX('Master Lookup'!$C$27:$C$34,$B19)=0,"",INDEX('Master Lookup'!$C$27:$C$34,$B19))</f>
        <v/>
      </c>
      <c r="T19" s="296" t="str">
        <f>IFERROR(INDEX('Master Lookup'!$D$27:$D$34,MATCH(S19,'Master Lookup'!$C$27:$C$34,0)),"")</f>
        <v/>
      </c>
      <c r="U19" s="295" t="str">
        <f>IFERROR(INDEX('Master Lookup'!$H$27:$H$34,MATCH(S19,'Master Lookup'!$C$27:$C$34,0)),"")</f>
        <v/>
      </c>
      <c r="V19" s="294">
        <f t="shared" si="3"/>
        <v>0</v>
      </c>
      <c r="X19" s="297" t="str">
        <f>IF(INDEX('Master Lookup'!$C$27:$C$34,$B19)=0,"",INDEX('Master Lookup'!$C$27:$C$34,$B19))</f>
        <v/>
      </c>
      <c r="Y19" s="296" t="str">
        <f>IFERROR(INDEX('Master Lookup'!$D$27:$D$34,MATCH(X19,'Master Lookup'!$C$27:$C$34,0)),"")</f>
        <v/>
      </c>
      <c r="Z19" s="295" t="str">
        <f>IFERROR(INDEX('Master Lookup'!$I$27:$I$34,MATCH(X19,'Master Lookup'!$C$27:$C$34,0)),"")</f>
        <v/>
      </c>
      <c r="AA19" s="294">
        <f t="shared" si="4"/>
        <v>0</v>
      </c>
      <c r="AC19" s="297" t="str">
        <f>IF(INDEX('Master Lookup'!$C$27:$C$34,$B19)=0,"",INDEX('Master Lookup'!$C$27:$C$34,$B19))</f>
        <v/>
      </c>
      <c r="AD19" s="296" t="str">
        <f>IFERROR(INDEX('Master Lookup'!$D$27:$D$34,MATCH(AC19,'Master Lookup'!$C$27:$C$34,0)),"")</f>
        <v/>
      </c>
      <c r="AE19" s="295" t="str">
        <f>IFERROR(INDEX('Master Lookup'!$J$27:$J$34,MATCH(AC19,'Master Lookup'!$C$27:$C$34,0)),"")</f>
        <v/>
      </c>
      <c r="AF19" s="294">
        <f t="shared" si="5"/>
        <v>0</v>
      </c>
      <c r="AH19" s="297" t="str">
        <f>IF(INDEX('Master Lookup'!$C$27:$C$34,$B19)=0,"",INDEX('Master Lookup'!$C$27:$C$34,$B19))</f>
        <v/>
      </c>
      <c r="AI19" s="293" t="str">
        <f>IFERROR(INDEX('Master Lookup FY26'!D31:D38,MATCH(AH19,'Master Lookup FY26'!C31:C38,0)),"")</f>
        <v/>
      </c>
      <c r="AJ19" s="295" t="str">
        <f>IFERROR(INDEX('Master Lookup'!$K$27:$K$34,MATCH(AH19,'Master Lookup'!$C$27:$C$34,0)),"")</f>
        <v/>
      </c>
      <c r="AK19" s="294">
        <f t="shared" si="6"/>
        <v>0</v>
      </c>
      <c r="AM19" s="297" t="str">
        <f>IF(INDEX('Master Lookup'!$C$27:$C$34,$B19)=0,"",INDEX('Master Lookup'!$C$27:$C$34,$B19))</f>
        <v/>
      </c>
      <c r="AN19" s="293" t="str">
        <f>IFERROR(INDEX('Master Lookup FY26'!D31:D38,MATCH(AM19,'Master Lookup FY26'!C31:C38,0)),"")</f>
        <v/>
      </c>
      <c r="AO19" s="295" t="str">
        <f>IFERROR(INDEX('Master Lookup'!$L$27:$L$34,MATCH(AM19,'Master Lookup'!$C$27:$C$34,0)),"")</f>
        <v/>
      </c>
      <c r="AP19" s="294">
        <f t="shared" si="7"/>
        <v>0</v>
      </c>
      <c r="AR19" s="297" t="str">
        <f>IF(INDEX('Master Lookup'!$C$27:$C$34,$B19)=0,"",INDEX('Master Lookup'!$C$27:$C$34,$B19))</f>
        <v/>
      </c>
      <c r="AS19" s="293" t="str">
        <f>IFERROR(INDEX('Master Lookup FY26'!D31:D38,MATCH(AR19,'Master Lookup FY26'!C31:C38,0)),"")</f>
        <v/>
      </c>
      <c r="AT19" s="295" t="str">
        <f>IFERROR(INDEX('Master Lookup'!$M$27:$M$34,MATCH(AR19,'Master Lookup'!$C$27:$C$34,0)),"")</f>
        <v/>
      </c>
      <c r="AU19" s="294">
        <f t="shared" si="8"/>
        <v>0</v>
      </c>
      <c r="AW19" s="297" t="str">
        <f>IF(INDEX('Master Lookup'!$C$27:$C$34,$B19)=0,"",INDEX('Master Lookup'!$C$27:$C$34,$B19))</f>
        <v/>
      </c>
      <c r="AX19" s="293" t="str">
        <f>IFERROR(INDEX('Master Lookup FY26'!D31:D38,MATCH(AW19,'Master Lookup FY26'!C31:C38,0)),"")</f>
        <v/>
      </c>
      <c r="AY19" s="295" t="str">
        <f>IFERROR(INDEX('Master Lookup'!$N$27:$N$34,MATCH(AW19,'Master Lookup'!$C$27:$C$34,0)),"")</f>
        <v/>
      </c>
      <c r="AZ19" s="294">
        <f t="shared" si="9"/>
        <v>0</v>
      </c>
      <c r="BB19" s="297" t="str">
        <f>IF(INDEX('Master Lookup'!$C$27:$C$34,$B19)=0,"",INDEX('Master Lookup'!$C$27:$C$34,$B19))</f>
        <v/>
      </c>
      <c r="BC19" s="296" t="str">
        <f>IFERROR(INDEX('Master Lookup'!$D$27:$D$34,MATCH(BB19,'Master Lookup'!$C$27:$C$34,0)),"")</f>
        <v/>
      </c>
      <c r="BD19" s="295" t="str">
        <f>IFERROR(INDEX('Master Lookup'!$O$27:$O$34,MATCH(BB19,'Master Lookup'!$C$27:$C$34,0)),"")</f>
        <v/>
      </c>
      <c r="BE19" s="294">
        <f t="shared" si="10"/>
        <v>0</v>
      </c>
      <c r="BG19" s="297" t="str">
        <f>IF(INDEX('Master Lookup'!$C$27:$C$34,$B19)=0,"",INDEX('Master Lookup'!$C$27:$C$34,$B19))</f>
        <v/>
      </c>
      <c r="BH19" s="296" t="str">
        <f>IFERROR(INDEX('Master Lookup'!$D$27:$D$34,MATCH(BG19,'Master Lookup'!$C$27:$C$34,0)),"")</f>
        <v/>
      </c>
      <c r="BI19" s="295" t="str">
        <f>IFERROR(INDEX('Master Lookup'!$P$27:$P$34,MATCH(BG19,'Master Lookup'!$C$27:$C$34,0)),"")</f>
        <v/>
      </c>
      <c r="BJ19" s="294">
        <f t="shared" si="11"/>
        <v>0</v>
      </c>
      <c r="BL19" s="297" t="str">
        <f>IF(INDEX('Master Lookup'!$C$27:$C$34,$B19)=0,"",INDEX('Master Lookup'!$C$27:$C$34,$B19))</f>
        <v/>
      </c>
      <c r="BM19" s="296" t="str">
        <f>IFERROR(INDEX('Master Lookup'!$D$27:$D$34,MATCH(BL19,'Master Lookup'!$C$27:$C$34,0)),"")</f>
        <v/>
      </c>
      <c r="BN19" s="295" t="str">
        <f>IFERROR(INDEX('Master Lookup'!$Q$27:$Q$34,MATCH(BL19,'Master Lookup'!$C$27:$C$34,0)),"")</f>
        <v/>
      </c>
      <c r="BO19" s="294">
        <f t="shared" si="12"/>
        <v>0</v>
      </c>
      <c r="BQ19" s="297" t="str">
        <f>IF(INDEX('Master Lookup'!$C$27:$C$34,$B19)=0,"",INDEX('Master Lookup'!$C$27:$C$34,$B19))</f>
        <v/>
      </c>
      <c r="BR19" s="296" t="str">
        <f>IFERROR(INDEX('Master Lookup'!$D$27:$D$34,MATCH(BQ19,'Master Lookup'!$C$27:$C$34,0)),"")</f>
        <v/>
      </c>
      <c r="BS19" s="295" t="str">
        <f>IFERROR(INDEX('Master Lookup'!$R$27:$R$34,MATCH(BQ19,'Master Lookup'!$C$27:$C$34,0)),"")</f>
        <v/>
      </c>
      <c r="BT19" s="294">
        <f t="shared" si="13"/>
        <v>0</v>
      </c>
      <c r="BV19" s="297" t="str">
        <f>IF(INDEX('Master Lookup'!$C$27:$C$34,$B19)=0,"",INDEX('Master Lookup'!$C$27:$C$34,$B19))</f>
        <v/>
      </c>
      <c r="BW19" s="296" t="str">
        <f>IFERROR(INDEX('Master Lookup'!$D$27:$D$34,MATCH(BV19,'Master Lookup'!$C$27:$C$34,0)),"")</f>
        <v/>
      </c>
      <c r="BX19" s="295" t="str">
        <f>IFERROR(INDEX('Master Lookup'!$S$27:$S$34,MATCH(BV19,'Master Lookup'!$C$27:$C$34,0)),"")</f>
        <v/>
      </c>
      <c r="BY19" s="294">
        <f t="shared" si="14"/>
        <v>0</v>
      </c>
      <c r="CA19" s="297" t="str">
        <f>IF(INDEX('Master Lookup'!$C$27:$C$34,$B19)=0,"",INDEX('Master Lookup'!$C$27:$C$34,$B19))</f>
        <v/>
      </c>
      <c r="CB19" s="296" t="str">
        <f>IFERROR(INDEX('Master Lookup'!$D$27:$D$34,MATCH(CA19,'Master Lookup'!$C$27:$C$34,0)),"")</f>
        <v/>
      </c>
      <c r="CC19" s="295" t="str">
        <f>IFERROR(INDEX('Master Lookup'!$T$27:$T$34,MATCH(CA19,'Master Lookup'!$C$27:$C$34,0)),"")</f>
        <v/>
      </c>
      <c r="CD19" s="294">
        <f t="shared" si="15"/>
        <v>0</v>
      </c>
      <c r="CF19" s="297" t="str">
        <f>IF(INDEX('Master Lookup'!$C$27:$C$34,$B19)=0,"",INDEX('Master Lookup'!$C$27:$C$34,$B19))</f>
        <v/>
      </c>
      <c r="CG19" s="293" t="str">
        <f>IFERROR(INDEX('Master Lookup FY26'!D31:D38,MATCH(CF19,'Master Lookup FY26'!C31:C38,0)),"")</f>
        <v/>
      </c>
      <c r="CH19" s="295" t="str">
        <f>IFERROR(INDEX('Master Lookup'!$U$27:$U$34,MATCH(CF19,'Master Lookup'!$C$27:$C$34,0)),"")</f>
        <v/>
      </c>
      <c r="CI19" s="294">
        <f t="shared" si="16"/>
        <v>0</v>
      </c>
      <c r="CK19" s="297" t="str">
        <f>IF(INDEX('Master Lookup'!$C$27:$C$34,$B19)=0,"",INDEX('Master Lookup'!$C$27:$C$34,$B19))</f>
        <v/>
      </c>
      <c r="CL19" s="296" t="str">
        <f>IFERROR(INDEX('Master Lookup'!$D$27:$D$34,MATCH(CK19,'Master Lookup'!$C$27:$C$34,0)),"")</f>
        <v/>
      </c>
      <c r="CM19" s="295" t="str">
        <f>IFERROR(INDEX('Master Lookup'!$V$27:$V$34,MATCH(CK19,'Master Lookup'!$C$27:$C$34,0)),"")</f>
        <v/>
      </c>
      <c r="CN19" s="294">
        <f t="shared" si="17"/>
        <v>0</v>
      </c>
      <c r="CP19" s="297" t="str">
        <f>IF(INDEX('Master Lookup'!$C$27:$C$34,$B19)=0,"",INDEX('Master Lookup'!$C$27:$C$34,$B19))</f>
        <v/>
      </c>
      <c r="CQ19" s="293" t="str">
        <f>IFERROR(INDEX('Master Lookup FY26'!D31:D38,MATCH(CP19,'Master Lookup FY26'!C31:C38,0)),"")</f>
        <v/>
      </c>
      <c r="CR19" s="295" t="str">
        <f>IFERROR(INDEX('Master Lookup'!$W$27:$W$34,MATCH(CP19,'Master Lookup'!$C$27:$C$34,0)),"")</f>
        <v/>
      </c>
      <c r="CS19" s="294">
        <f t="shared" si="18"/>
        <v>0</v>
      </c>
      <c r="CU19" s="297" t="str">
        <f>IF(INDEX('Master Lookup'!$C$27:$C$34,$B19)=0,"",INDEX('Master Lookup'!$C$27:$C$34,$B19))</f>
        <v/>
      </c>
      <c r="CV19" s="296" t="str">
        <f>IFERROR(INDEX('Master Lookup'!$D$27:$D$34,MATCH(CU19,'Master Lookup'!$C$27:$C$34,0)),"")</f>
        <v/>
      </c>
      <c r="CW19" s="295" t="str">
        <f>IFERROR(INDEX('Master Lookup'!$X$27:$X$34,MATCH(CU19,'Master Lookup'!$C$27:$C$34,0)),"")</f>
        <v/>
      </c>
      <c r="CX19" s="294">
        <f t="shared" si="19"/>
        <v>0</v>
      </c>
      <c r="CZ19" s="297" t="str">
        <f>IF(INDEX('Master Lookup'!$C$27:$C$34,$B19)=0,"",INDEX('Master Lookup'!$C$27:$C$34,$B19))</f>
        <v/>
      </c>
      <c r="DA19" s="296" t="str">
        <f>IFERROR(INDEX('Master Lookup'!$D$27:$D$34,MATCH(CZ19,'Master Lookup'!$C$27:$C$34,0)),"")</f>
        <v/>
      </c>
      <c r="DB19" s="295" t="str">
        <f>IFERROR(INDEX('Master Lookup'!$Y$27:$Y$34,MATCH(CZ19,'Master Lookup'!$C$27:$C$34,0)),"")</f>
        <v/>
      </c>
      <c r="DC19" s="294">
        <f t="shared" si="20"/>
        <v>0</v>
      </c>
      <c r="DE19" s="297" t="str">
        <f>IF(INDEX('Master Lookup'!$C$27:$C$34,$B19)=0,"",INDEX('Master Lookup'!$C$27:$C$34,$B19))</f>
        <v/>
      </c>
      <c r="DF19" s="296" t="str">
        <f>IFERROR(INDEX('Master Lookup'!$D$27:$D$34,MATCH(DE19,'Master Lookup'!$C$27:$C$34,0)),"")</f>
        <v/>
      </c>
      <c r="DG19" s="295" t="str">
        <f>IFERROR(INDEX('Master Lookup'!$Z$27:$Z$34,MATCH(DE19,'Master Lookup'!$C$27:$C$34,0)),"")</f>
        <v/>
      </c>
      <c r="DH19" s="294">
        <f t="shared" si="21"/>
        <v>0</v>
      </c>
      <c r="DJ19" s="297" t="str">
        <f>IF(INDEX('Master Lookup'!$C$27:$C$34,$B19)=0,"",INDEX('Master Lookup'!$C$27:$C$34,$B19))</f>
        <v/>
      </c>
      <c r="DK19" s="296" t="str">
        <f>IFERROR(INDEX('Master Lookup'!$D$27:$D$34,MATCH(DJ19,'Master Lookup'!$C$27:$C$34,0)),"")</f>
        <v/>
      </c>
      <c r="DL19" s="295" t="str">
        <f>IFERROR(INDEX('Master Lookup'!$AA$27:$AA$34,MATCH(DJ19,'Master Lookup'!$C$27:$C$34,0)),"")</f>
        <v/>
      </c>
      <c r="DM19" s="294">
        <f t="shared" si="22"/>
        <v>0</v>
      </c>
      <c r="DO19" s="297" t="str">
        <f>IF(INDEX('Master Lookup'!$C$27:$C$34,$B19)=0,"",INDEX('Master Lookup'!$C$27:$C$34,$B19))</f>
        <v/>
      </c>
      <c r="DP19" s="296" t="str">
        <f>IFERROR(INDEX('Master Lookup'!$D$27:$D$34,MATCH(DO19,'Master Lookup'!$C$27:$C$34,0)),"")</f>
        <v/>
      </c>
      <c r="DQ19" s="295" t="str">
        <f>IFERROR(INDEX('Master Lookup'!$AB$27:$AB$34,MATCH(DO19,'Master Lookup'!$C$27:$C$34,0)),"")</f>
        <v/>
      </c>
      <c r="DR19" s="294">
        <f t="shared" si="23"/>
        <v>0</v>
      </c>
    </row>
    <row r="20" spans="2:122" hidden="1" x14ac:dyDescent="0.25">
      <c r="B20" s="254">
        <v>6</v>
      </c>
      <c r="D20" s="297" t="str">
        <f>IF(INDEX('Master Lookup'!$C$27:$C$34,$B20)=0,"",INDEX('Master Lookup'!$C$27:$C$34,$B20))</f>
        <v/>
      </c>
      <c r="E20" s="296" t="str">
        <f>IFERROR(INDEX('Master Lookup'!$D$27:$D$34,MATCH(D20,'Master Lookup'!$C$27:$C$34,0)),"")</f>
        <v/>
      </c>
      <c r="F20" s="295" t="str">
        <f>IFERROR(INDEX('Master Lookup'!$E$27:$E$34,MATCH(D20,'Master Lookup'!$C$27:$C$34,0)),"")</f>
        <v/>
      </c>
      <c r="G20" s="294">
        <f t="shared" si="0"/>
        <v>0</v>
      </c>
      <c r="I20" s="297" t="str">
        <f>IF(INDEX('Master Lookup'!$C$27:$C$34,$B20)=0,"",INDEX('Master Lookup'!$C$27:$C$34,$B20))</f>
        <v/>
      </c>
      <c r="J20" s="293" t="str">
        <f>IFERROR(INDEX('Master Lookup FY26'!D32:D33,MATCH(I20,'Master Lookup FY26'!C32:C39,0)),"")</f>
        <v/>
      </c>
      <c r="K20" s="295" t="str">
        <f>IFERROR(INDEX('Master Lookup'!$F$27:$F$34,MATCH(I20,'Master Lookup'!$C$27:$C$34,0)),"")</f>
        <v/>
      </c>
      <c r="L20" s="294">
        <f t="shared" si="1"/>
        <v>0</v>
      </c>
      <c r="N20" s="297" t="str">
        <f>IF(INDEX('Master Lookup'!$C$27:$C$34,$B20)=0,"",INDEX('Master Lookup'!$C$27:$C$34,$B20))</f>
        <v/>
      </c>
      <c r="O20" s="296" t="str">
        <f>IFERROR(INDEX('Master Lookup'!$D$27:$D$34,MATCH(N20,'Master Lookup'!$C$27:$C$34,0)),"")</f>
        <v/>
      </c>
      <c r="P20" s="295" t="str">
        <f>IFERROR(INDEX('Master Lookup'!$G$27:$G$34,MATCH(N20,'Master Lookup'!$C$27:$C$34,0)),"")</f>
        <v/>
      </c>
      <c r="Q20" s="294">
        <f t="shared" si="2"/>
        <v>0</v>
      </c>
      <c r="S20" s="297" t="str">
        <f>IF(INDEX('Master Lookup'!$C$27:$C$34,$B20)=0,"",INDEX('Master Lookup'!$C$27:$C$34,$B20))</f>
        <v/>
      </c>
      <c r="T20" s="296" t="str">
        <f>IFERROR(INDEX('Master Lookup'!$D$27:$D$34,MATCH(S20,'Master Lookup'!$C$27:$C$34,0)),"")</f>
        <v/>
      </c>
      <c r="U20" s="295" t="str">
        <f>IFERROR(INDEX('Master Lookup'!$H$27:$H$34,MATCH(S20,'Master Lookup'!$C$27:$C$34,0)),"")</f>
        <v/>
      </c>
      <c r="V20" s="294">
        <f t="shared" si="3"/>
        <v>0</v>
      </c>
      <c r="X20" s="297" t="str">
        <f>IF(INDEX('Master Lookup'!$C$27:$C$34,$B20)=0,"",INDEX('Master Lookup'!$C$27:$C$34,$B20))</f>
        <v/>
      </c>
      <c r="Y20" s="296" t="str">
        <f>IFERROR(INDEX('Master Lookup'!$D$27:$D$34,MATCH(X20,'Master Lookup'!$C$27:$C$34,0)),"")</f>
        <v/>
      </c>
      <c r="Z20" s="295" t="str">
        <f>IFERROR(INDEX('Master Lookup'!$I$27:$I$34,MATCH(X20,'Master Lookup'!$C$27:$C$34,0)),"")</f>
        <v/>
      </c>
      <c r="AA20" s="294">
        <f t="shared" si="4"/>
        <v>0</v>
      </c>
      <c r="AC20" s="297" t="str">
        <f>IF(INDEX('Master Lookup'!$C$27:$C$34,$B20)=0,"",INDEX('Master Lookup'!$C$27:$C$34,$B20))</f>
        <v/>
      </c>
      <c r="AD20" s="296" t="str">
        <f>IFERROR(INDEX('Master Lookup'!$D$27:$D$34,MATCH(AC20,'Master Lookup'!$C$27:$C$34,0)),"")</f>
        <v/>
      </c>
      <c r="AE20" s="295" t="str">
        <f>IFERROR(INDEX('Master Lookup'!$J$27:$J$34,MATCH(AC20,'Master Lookup'!$C$27:$C$34,0)),"")</f>
        <v/>
      </c>
      <c r="AF20" s="294">
        <f t="shared" si="5"/>
        <v>0</v>
      </c>
      <c r="AH20" s="297" t="str">
        <f>IF(INDEX('Master Lookup'!$C$27:$C$34,$B20)=0,"",INDEX('Master Lookup'!$C$27:$C$34,$B20))</f>
        <v/>
      </c>
      <c r="AI20" s="293" t="str">
        <f>IFERROR(INDEX('Master Lookup FY26'!D32:D39,MATCH(AH20,'Master Lookup FY26'!C32:C39,0)),"")</f>
        <v/>
      </c>
      <c r="AJ20" s="295" t="str">
        <f>IFERROR(INDEX('Master Lookup'!$K$27:$K$34,MATCH(AH20,'Master Lookup'!$C$27:$C$34,0)),"")</f>
        <v/>
      </c>
      <c r="AK20" s="294">
        <f t="shared" si="6"/>
        <v>0</v>
      </c>
      <c r="AM20" s="297" t="str">
        <f>IF(INDEX('Master Lookup'!$C$27:$C$34,$B20)=0,"",INDEX('Master Lookup'!$C$27:$C$34,$B20))</f>
        <v/>
      </c>
      <c r="AN20" s="293" t="str">
        <f>IFERROR(INDEX('Master Lookup FY26'!D32:D39,MATCH(AM20,'Master Lookup FY26'!C32:C39,0)),"")</f>
        <v/>
      </c>
      <c r="AO20" s="295" t="str">
        <f>IFERROR(INDEX('Master Lookup'!$L$27:$L$34,MATCH(AM20,'Master Lookup'!$C$27:$C$34,0)),"")</f>
        <v/>
      </c>
      <c r="AP20" s="294">
        <f t="shared" si="7"/>
        <v>0</v>
      </c>
      <c r="AR20" s="297" t="str">
        <f>IF(INDEX('Master Lookup'!$C$27:$C$34,$B20)=0,"",INDEX('Master Lookup'!$C$27:$C$34,$B20))</f>
        <v/>
      </c>
      <c r="AS20" s="293" t="str">
        <f>IFERROR(INDEX('Master Lookup FY26'!D32:D39,MATCH(AR20,'Master Lookup FY26'!C32:C39,0)),"")</f>
        <v/>
      </c>
      <c r="AT20" s="295" t="str">
        <f>IFERROR(INDEX('Master Lookup'!$M$27:$M$34,MATCH(AR20,'Master Lookup'!$C$27:$C$34,0)),"")</f>
        <v/>
      </c>
      <c r="AU20" s="294">
        <f t="shared" si="8"/>
        <v>0</v>
      </c>
      <c r="AW20" s="297" t="str">
        <f>IF(INDEX('Master Lookup'!$C$27:$C$34,$B20)=0,"",INDEX('Master Lookup'!$C$27:$C$34,$B20))</f>
        <v/>
      </c>
      <c r="AX20" s="293" t="str">
        <f>IFERROR(INDEX('Master Lookup FY26'!D32:D39,MATCH(AW20,'Master Lookup FY26'!C32:C39,0)),"")</f>
        <v/>
      </c>
      <c r="AY20" s="295" t="str">
        <f>IFERROR(INDEX('Master Lookup'!$N$27:$N$34,MATCH(AW20,'Master Lookup'!$C$27:$C$34,0)),"")</f>
        <v/>
      </c>
      <c r="AZ20" s="294">
        <f t="shared" si="9"/>
        <v>0</v>
      </c>
      <c r="BB20" s="297" t="str">
        <f>IF(INDEX('Master Lookup'!$C$27:$C$34,$B20)=0,"",INDEX('Master Lookup'!$C$27:$C$34,$B20))</f>
        <v/>
      </c>
      <c r="BC20" s="296" t="str">
        <f>IFERROR(INDEX('Master Lookup'!$D$27:$D$34,MATCH(BB20,'Master Lookup'!$C$27:$C$34,0)),"")</f>
        <v/>
      </c>
      <c r="BD20" s="295" t="str">
        <f>IFERROR(INDEX('Master Lookup'!$O$27:$O$34,MATCH(BB20,'Master Lookup'!$C$27:$C$34,0)),"")</f>
        <v/>
      </c>
      <c r="BE20" s="294">
        <f t="shared" si="10"/>
        <v>0</v>
      </c>
      <c r="BG20" s="297" t="str">
        <f>IF(INDEX('Master Lookup'!$C$27:$C$34,$B20)=0,"",INDEX('Master Lookup'!$C$27:$C$34,$B20))</f>
        <v/>
      </c>
      <c r="BH20" s="296" t="str">
        <f>IFERROR(INDEX('Master Lookup'!$D$27:$D$34,MATCH(BG20,'Master Lookup'!$C$27:$C$34,0)),"")</f>
        <v/>
      </c>
      <c r="BI20" s="295" t="str">
        <f>IFERROR(INDEX('Master Lookup'!$P$27:$P$34,MATCH(BG20,'Master Lookup'!$C$27:$C$34,0)),"")</f>
        <v/>
      </c>
      <c r="BJ20" s="294">
        <f t="shared" si="11"/>
        <v>0</v>
      </c>
      <c r="BL20" s="297" t="str">
        <f>IF(INDEX('Master Lookup'!$C$27:$C$34,$B20)=0,"",INDEX('Master Lookup'!$C$27:$C$34,$B20))</f>
        <v/>
      </c>
      <c r="BM20" s="296" t="str">
        <f>IFERROR(INDEX('Master Lookup'!$D$27:$D$34,MATCH(BL20,'Master Lookup'!$C$27:$C$34,0)),"")</f>
        <v/>
      </c>
      <c r="BN20" s="295" t="str">
        <f>IFERROR(INDEX('Master Lookup'!$Q$27:$Q$34,MATCH(BL20,'Master Lookup'!$C$27:$C$34,0)),"")</f>
        <v/>
      </c>
      <c r="BO20" s="294">
        <f t="shared" si="12"/>
        <v>0</v>
      </c>
      <c r="BQ20" s="297" t="str">
        <f>IF(INDEX('Master Lookup'!$C$27:$C$34,$B20)=0,"",INDEX('Master Lookup'!$C$27:$C$34,$B20))</f>
        <v/>
      </c>
      <c r="BR20" s="296" t="str">
        <f>IFERROR(INDEX('Master Lookup'!$D$27:$D$34,MATCH(BQ20,'Master Lookup'!$C$27:$C$34,0)),"")</f>
        <v/>
      </c>
      <c r="BS20" s="295" t="str">
        <f>IFERROR(INDEX('Master Lookup'!$R$27:$R$34,MATCH(BQ20,'Master Lookup'!$C$27:$C$34,0)),"")</f>
        <v/>
      </c>
      <c r="BT20" s="294">
        <f t="shared" si="13"/>
        <v>0</v>
      </c>
      <c r="BV20" s="297" t="str">
        <f>IF(INDEX('Master Lookup'!$C$27:$C$34,$B20)=0,"",INDEX('Master Lookup'!$C$27:$C$34,$B20))</f>
        <v/>
      </c>
      <c r="BW20" s="296" t="str">
        <f>IFERROR(INDEX('Master Lookup'!$D$27:$D$34,MATCH(BV20,'Master Lookup'!$C$27:$C$34,0)),"")</f>
        <v/>
      </c>
      <c r="BX20" s="295" t="str">
        <f>IFERROR(INDEX('Master Lookup'!$S$27:$S$34,MATCH(BV20,'Master Lookup'!$C$27:$C$34,0)),"")</f>
        <v/>
      </c>
      <c r="BY20" s="294">
        <f t="shared" si="14"/>
        <v>0</v>
      </c>
      <c r="CA20" s="297" t="str">
        <f>IF(INDEX('Master Lookup'!$C$27:$C$34,$B20)=0,"",INDEX('Master Lookup'!$C$27:$C$34,$B20))</f>
        <v/>
      </c>
      <c r="CB20" s="296" t="str">
        <f>IFERROR(INDEX('Master Lookup'!$D$27:$D$34,MATCH(CA20,'Master Lookup'!$C$27:$C$34,0)),"")</f>
        <v/>
      </c>
      <c r="CC20" s="295" t="str">
        <f>IFERROR(INDEX('Master Lookup'!$T$27:$T$34,MATCH(CA20,'Master Lookup'!$C$27:$C$34,0)),"")</f>
        <v/>
      </c>
      <c r="CD20" s="294">
        <f t="shared" si="15"/>
        <v>0</v>
      </c>
      <c r="CF20" s="297" t="str">
        <f>IF(INDEX('Master Lookup'!$C$27:$C$34,$B20)=0,"",INDEX('Master Lookup'!$C$27:$C$34,$B20))</f>
        <v/>
      </c>
      <c r="CG20" s="293" t="str">
        <f>IFERROR(INDEX('Master Lookup FY26'!D32:D39,MATCH(CF20,'Master Lookup FY26'!C32:C39,0)),"")</f>
        <v/>
      </c>
      <c r="CH20" s="295" t="str">
        <f>IFERROR(INDEX('Master Lookup'!$U$27:$U$34,MATCH(CF20,'Master Lookup'!$C$27:$C$34,0)),"")</f>
        <v/>
      </c>
      <c r="CI20" s="294">
        <f t="shared" si="16"/>
        <v>0</v>
      </c>
      <c r="CK20" s="297" t="str">
        <f>IF(INDEX('Master Lookup'!$C$27:$C$34,$B20)=0,"",INDEX('Master Lookup'!$C$27:$C$34,$B20))</f>
        <v/>
      </c>
      <c r="CL20" s="296" t="str">
        <f>IFERROR(INDEX('Master Lookup'!$D$27:$D$34,MATCH(CK20,'Master Lookup'!$C$27:$C$34,0)),"")</f>
        <v/>
      </c>
      <c r="CM20" s="295" t="str">
        <f>IFERROR(INDEX('Master Lookup'!$V$27:$V$34,MATCH(CK20,'Master Lookup'!$C$27:$C$34,0)),"")</f>
        <v/>
      </c>
      <c r="CN20" s="294">
        <f t="shared" si="17"/>
        <v>0</v>
      </c>
      <c r="CP20" s="297" t="str">
        <f>IF(INDEX('Master Lookup'!$C$27:$C$34,$B20)=0,"",INDEX('Master Lookup'!$C$27:$C$34,$B20))</f>
        <v/>
      </c>
      <c r="CQ20" s="293" t="str">
        <f>IFERROR(INDEX('Master Lookup FY26'!D32:D39,MATCH(CP20,'Master Lookup FY26'!C32:C39,0)),"")</f>
        <v/>
      </c>
      <c r="CR20" s="295" t="str">
        <f>IFERROR(INDEX('Master Lookup'!$W$27:$W$34,MATCH(CP20,'Master Lookup'!$C$27:$C$34,0)),"")</f>
        <v/>
      </c>
      <c r="CS20" s="294">
        <f t="shared" si="18"/>
        <v>0</v>
      </c>
      <c r="CU20" s="297" t="str">
        <f>IF(INDEX('Master Lookup'!$C$27:$C$34,$B20)=0,"",INDEX('Master Lookup'!$C$27:$C$34,$B20))</f>
        <v/>
      </c>
      <c r="CV20" s="296" t="str">
        <f>IFERROR(INDEX('Master Lookup'!$D$27:$D$34,MATCH(CU20,'Master Lookup'!$C$27:$C$34,0)),"")</f>
        <v/>
      </c>
      <c r="CW20" s="295" t="str">
        <f>IFERROR(INDEX('Master Lookup'!$X$27:$X$34,MATCH(CU20,'Master Lookup'!$C$27:$C$34,0)),"")</f>
        <v/>
      </c>
      <c r="CX20" s="294">
        <f t="shared" si="19"/>
        <v>0</v>
      </c>
      <c r="CZ20" s="297" t="str">
        <f>IF(INDEX('Master Lookup'!$C$27:$C$34,$B20)=0,"",INDEX('Master Lookup'!$C$27:$C$34,$B20))</f>
        <v/>
      </c>
      <c r="DA20" s="296" t="str">
        <f>IFERROR(INDEX('Master Lookup'!$D$27:$D$34,MATCH(CZ20,'Master Lookup'!$C$27:$C$34,0)),"")</f>
        <v/>
      </c>
      <c r="DB20" s="295" t="str">
        <f>IFERROR(INDEX('Master Lookup'!$Y$27:$Y$34,MATCH(CZ20,'Master Lookup'!$C$27:$C$34,0)),"")</f>
        <v/>
      </c>
      <c r="DC20" s="294">
        <f t="shared" si="20"/>
        <v>0</v>
      </c>
      <c r="DE20" s="297" t="str">
        <f>IF(INDEX('Master Lookup'!$C$27:$C$34,$B20)=0,"",INDEX('Master Lookup'!$C$27:$C$34,$B20))</f>
        <v/>
      </c>
      <c r="DF20" s="296" t="str">
        <f>IFERROR(INDEX('Master Lookup'!$D$27:$D$34,MATCH(DE20,'Master Lookup'!$C$27:$C$34,0)),"")</f>
        <v/>
      </c>
      <c r="DG20" s="295" t="str">
        <f>IFERROR(INDEX('Master Lookup'!$Z$27:$Z$34,MATCH(DE20,'Master Lookup'!$C$27:$C$34,0)),"")</f>
        <v/>
      </c>
      <c r="DH20" s="294">
        <f t="shared" si="21"/>
        <v>0</v>
      </c>
      <c r="DJ20" s="297" t="str">
        <f>IF(INDEX('Master Lookup'!$C$27:$C$34,$B20)=0,"",INDEX('Master Lookup'!$C$27:$C$34,$B20))</f>
        <v/>
      </c>
      <c r="DK20" s="296" t="str">
        <f>IFERROR(INDEX('Master Lookup'!$D$27:$D$34,MATCH(DJ20,'Master Lookup'!$C$27:$C$34,0)),"")</f>
        <v/>
      </c>
      <c r="DL20" s="295" t="str">
        <f>IFERROR(INDEX('Master Lookup'!$AA$27:$AA$34,MATCH(DJ20,'Master Lookup'!$C$27:$C$34,0)),"")</f>
        <v/>
      </c>
      <c r="DM20" s="294">
        <f t="shared" si="22"/>
        <v>0</v>
      </c>
      <c r="DO20" s="297" t="str">
        <f>IF(INDEX('Master Lookup'!$C$27:$C$34,$B20)=0,"",INDEX('Master Lookup'!$C$27:$C$34,$B20))</f>
        <v/>
      </c>
      <c r="DP20" s="296" t="str">
        <f>IFERROR(INDEX('Master Lookup'!$D$27:$D$34,MATCH(DO20,'Master Lookup'!$C$27:$C$34,0)),"")</f>
        <v/>
      </c>
      <c r="DQ20" s="295" t="str">
        <f>IFERROR(INDEX('Master Lookup'!$AB$27:$AB$34,MATCH(DO20,'Master Lookup'!$C$27:$C$34,0)),"")</f>
        <v/>
      </c>
      <c r="DR20" s="294">
        <f t="shared" si="23"/>
        <v>0</v>
      </c>
    </row>
    <row r="21" spans="2:122" hidden="1" x14ac:dyDescent="0.25">
      <c r="B21" s="254">
        <v>7</v>
      </c>
      <c r="D21" s="297" t="str">
        <f>IF(INDEX('Master Lookup'!$C$27:$C$34,$B21)=0,"",INDEX('Master Lookup'!$C$27:$C$34,$B21))</f>
        <v/>
      </c>
      <c r="E21" s="296" t="str">
        <f>IFERROR(INDEX('Master Lookup'!$D$27:$D$34,MATCH(D21,'Master Lookup'!$C$27:$C$34,0)),"")</f>
        <v/>
      </c>
      <c r="F21" s="295" t="str">
        <f>IFERROR(INDEX('Master Lookup'!$E$27:$E$34,MATCH(D21,'Master Lookup'!$C$27:$C$34,0)),"")</f>
        <v/>
      </c>
      <c r="G21" s="294">
        <f t="shared" si="0"/>
        <v>0</v>
      </c>
      <c r="I21" s="297" t="str">
        <f>IF(INDEX('Master Lookup'!$C$27:$C$34,$B21)=0,"",INDEX('Master Lookup'!$C$27:$C$34,$B21))</f>
        <v/>
      </c>
      <c r="J21" s="293" t="str">
        <f>IFERROR(INDEX('Master Lookup FY26'!D33:D34,MATCH(I21,'Master Lookup FY26'!C33:C40,0)),"")</f>
        <v/>
      </c>
      <c r="K21" s="295" t="str">
        <f>IFERROR(INDEX('Master Lookup'!$F$27:$F$34,MATCH(I21,'Master Lookup'!$C$27:$C$34,0)),"")</f>
        <v/>
      </c>
      <c r="L21" s="294">
        <f t="shared" si="1"/>
        <v>0</v>
      </c>
      <c r="N21" s="297" t="str">
        <f>IF(INDEX('Master Lookup'!$C$27:$C$34,$B21)=0,"",INDEX('Master Lookup'!$C$27:$C$34,$B21))</f>
        <v/>
      </c>
      <c r="O21" s="296" t="str">
        <f>IFERROR(INDEX('Master Lookup'!$D$27:$D$34,MATCH(N21,'Master Lookup'!$C$27:$C$34,0)),"")</f>
        <v/>
      </c>
      <c r="P21" s="295" t="str">
        <f>IFERROR(INDEX('Master Lookup'!$G$27:$G$34,MATCH(N21,'Master Lookup'!$C$27:$C$34,0)),"")</f>
        <v/>
      </c>
      <c r="Q21" s="294">
        <f t="shared" si="2"/>
        <v>0</v>
      </c>
      <c r="S21" s="297" t="str">
        <f>IF(INDEX('Master Lookup'!$C$27:$C$34,$B21)=0,"",INDEX('Master Lookup'!$C$27:$C$34,$B21))</f>
        <v/>
      </c>
      <c r="T21" s="296" t="str">
        <f>IFERROR(INDEX('Master Lookup'!$D$27:$D$34,MATCH(S21,'Master Lookup'!$C$27:$C$34,0)),"")</f>
        <v/>
      </c>
      <c r="U21" s="295" t="str">
        <f>IFERROR(INDEX('Master Lookup'!$H$27:$H$34,MATCH(S21,'Master Lookup'!$C$27:$C$34,0)),"")</f>
        <v/>
      </c>
      <c r="V21" s="294">
        <f t="shared" si="3"/>
        <v>0</v>
      </c>
      <c r="X21" s="297" t="str">
        <f>IF(INDEX('Master Lookup'!$C$27:$C$34,$B21)=0,"",INDEX('Master Lookup'!$C$27:$C$34,$B21))</f>
        <v/>
      </c>
      <c r="Y21" s="296" t="str">
        <f>IFERROR(INDEX('Master Lookup'!$D$27:$D$34,MATCH(X21,'Master Lookup'!$C$27:$C$34,0)),"")</f>
        <v/>
      </c>
      <c r="Z21" s="295" t="str">
        <f>IFERROR(INDEX('Master Lookup'!$I$27:$I$34,MATCH(X21,'Master Lookup'!$C$27:$C$34,0)),"")</f>
        <v/>
      </c>
      <c r="AA21" s="294">
        <f t="shared" si="4"/>
        <v>0</v>
      </c>
      <c r="AC21" s="297" t="str">
        <f>IF(INDEX('Master Lookup'!$C$27:$C$34,$B21)=0,"",INDEX('Master Lookup'!$C$27:$C$34,$B21))</f>
        <v/>
      </c>
      <c r="AD21" s="296" t="str">
        <f>IFERROR(INDEX('Master Lookup'!$D$27:$D$34,MATCH(AC21,'Master Lookup'!$C$27:$C$34,0)),"")</f>
        <v/>
      </c>
      <c r="AE21" s="295" t="str">
        <f>IFERROR(INDEX('Master Lookup'!$J$27:$J$34,MATCH(AC21,'Master Lookup'!$C$27:$C$34,0)),"")</f>
        <v/>
      </c>
      <c r="AF21" s="294">
        <f t="shared" si="5"/>
        <v>0</v>
      </c>
      <c r="AH21" s="297" t="str">
        <f>IF(INDEX('Master Lookup'!$C$27:$C$34,$B21)=0,"",INDEX('Master Lookup'!$C$27:$C$34,$B21))</f>
        <v/>
      </c>
      <c r="AI21" s="293" t="str">
        <f>IFERROR(INDEX('Master Lookup FY26'!D33:D40,MATCH(AH21,'Master Lookup FY26'!C33:C40,0)),"")</f>
        <v/>
      </c>
      <c r="AJ21" s="295" t="str">
        <f>IFERROR(INDEX('Master Lookup'!$K$27:$K$34,MATCH(AH21,'Master Lookup'!$C$27:$C$34,0)),"")</f>
        <v/>
      </c>
      <c r="AK21" s="294">
        <f t="shared" si="6"/>
        <v>0</v>
      </c>
      <c r="AM21" s="297" t="str">
        <f>IF(INDEX('Master Lookup'!$C$27:$C$34,$B21)=0,"",INDEX('Master Lookup'!$C$27:$C$34,$B21))</f>
        <v/>
      </c>
      <c r="AN21" s="293" t="str">
        <f>IFERROR(INDEX('Master Lookup FY26'!D33:D40,MATCH(AM21,'Master Lookup FY26'!C33:C40,0)),"")</f>
        <v/>
      </c>
      <c r="AO21" s="295" t="str">
        <f>IFERROR(INDEX('Master Lookup'!$L$27:$L$34,MATCH(AM21,'Master Lookup'!$C$27:$C$34,0)),"")</f>
        <v/>
      </c>
      <c r="AP21" s="294">
        <f t="shared" si="7"/>
        <v>0</v>
      </c>
      <c r="AR21" s="297" t="str">
        <f>IF(INDEX('Master Lookup'!$C$27:$C$34,$B21)=0,"",INDEX('Master Lookup'!$C$27:$C$34,$B21))</f>
        <v/>
      </c>
      <c r="AS21" s="293" t="str">
        <f>IFERROR(INDEX('Master Lookup FY26'!D33:D40,MATCH(AR21,'Master Lookup FY26'!C33:C40,0)),"")</f>
        <v/>
      </c>
      <c r="AT21" s="295" t="str">
        <f>IFERROR(INDEX('Master Lookup'!$M$27:$M$34,MATCH(AR21,'Master Lookup'!$C$27:$C$34,0)),"")</f>
        <v/>
      </c>
      <c r="AU21" s="294">
        <f t="shared" si="8"/>
        <v>0</v>
      </c>
      <c r="AW21" s="297" t="str">
        <f>IF(INDEX('Master Lookup'!$C$27:$C$34,$B21)=0,"",INDEX('Master Lookup'!$C$27:$C$34,$B21))</f>
        <v/>
      </c>
      <c r="AX21" s="293" t="str">
        <f>IFERROR(INDEX('Master Lookup FY26'!D33:D40,MATCH(AW21,'Master Lookup FY26'!C33:C40,0)),"")</f>
        <v/>
      </c>
      <c r="AY21" s="295" t="str">
        <f>IFERROR(INDEX('Master Lookup'!$N$27:$N$34,MATCH(AW21,'Master Lookup'!$C$27:$C$34,0)),"")</f>
        <v/>
      </c>
      <c r="AZ21" s="294">
        <f t="shared" si="9"/>
        <v>0</v>
      </c>
      <c r="BB21" s="297" t="str">
        <f>IF(INDEX('Master Lookup'!$C$27:$C$34,$B21)=0,"",INDEX('Master Lookup'!$C$27:$C$34,$B21))</f>
        <v/>
      </c>
      <c r="BC21" s="296" t="str">
        <f>IFERROR(INDEX('Master Lookup'!$D$27:$D$34,MATCH(BB21,'Master Lookup'!$C$27:$C$34,0)),"")</f>
        <v/>
      </c>
      <c r="BD21" s="295" t="str">
        <f>IFERROR(INDEX('Master Lookup'!$O$27:$O$34,MATCH(BB21,'Master Lookup'!$C$27:$C$34,0)),"")</f>
        <v/>
      </c>
      <c r="BE21" s="294">
        <f t="shared" si="10"/>
        <v>0</v>
      </c>
      <c r="BG21" s="297" t="str">
        <f>IF(INDEX('Master Lookup'!$C$27:$C$34,$B21)=0,"",INDEX('Master Lookup'!$C$27:$C$34,$B21))</f>
        <v/>
      </c>
      <c r="BH21" s="296" t="str">
        <f>IFERROR(INDEX('Master Lookup'!$D$27:$D$34,MATCH(BG21,'Master Lookup'!$C$27:$C$34,0)),"")</f>
        <v/>
      </c>
      <c r="BI21" s="295" t="str">
        <f>IFERROR(INDEX('Master Lookup'!$P$27:$P$34,MATCH(BG21,'Master Lookup'!$C$27:$C$34,0)),"")</f>
        <v/>
      </c>
      <c r="BJ21" s="294">
        <f t="shared" si="11"/>
        <v>0</v>
      </c>
      <c r="BL21" s="297" t="str">
        <f>IF(INDEX('Master Lookup'!$C$27:$C$34,$B21)=0,"",INDEX('Master Lookup'!$C$27:$C$34,$B21))</f>
        <v/>
      </c>
      <c r="BM21" s="296" t="str">
        <f>IFERROR(INDEX('Master Lookup'!$D$27:$D$34,MATCH(BL21,'Master Lookup'!$C$27:$C$34,0)),"")</f>
        <v/>
      </c>
      <c r="BN21" s="295" t="str">
        <f>IFERROR(INDEX('Master Lookup'!$Q$27:$Q$34,MATCH(BL21,'Master Lookup'!$C$27:$C$34,0)),"")</f>
        <v/>
      </c>
      <c r="BO21" s="294">
        <f t="shared" si="12"/>
        <v>0</v>
      </c>
      <c r="BQ21" s="297" t="str">
        <f>IF(INDEX('Master Lookup'!$C$27:$C$34,$B21)=0,"",INDEX('Master Lookup'!$C$27:$C$34,$B21))</f>
        <v/>
      </c>
      <c r="BR21" s="296" t="str">
        <f>IFERROR(INDEX('Master Lookup'!$D$27:$D$34,MATCH(BQ21,'Master Lookup'!$C$27:$C$34,0)),"")</f>
        <v/>
      </c>
      <c r="BS21" s="295" t="str">
        <f>IFERROR(INDEX('Master Lookup'!$R$27:$R$34,MATCH(BQ21,'Master Lookup'!$C$27:$C$34,0)),"")</f>
        <v/>
      </c>
      <c r="BT21" s="294">
        <f t="shared" si="13"/>
        <v>0</v>
      </c>
      <c r="BV21" s="297" t="str">
        <f>IF(INDEX('Master Lookup'!$C$27:$C$34,$B21)=0,"",INDEX('Master Lookup'!$C$27:$C$34,$B21))</f>
        <v/>
      </c>
      <c r="BW21" s="296" t="str">
        <f>IFERROR(INDEX('Master Lookup'!$D$27:$D$34,MATCH(BV21,'Master Lookup'!$C$27:$C$34,0)),"")</f>
        <v/>
      </c>
      <c r="BX21" s="295" t="str">
        <f>IFERROR(INDEX('Master Lookup'!$S$27:$S$34,MATCH(BV21,'Master Lookup'!$C$27:$C$34,0)),"")</f>
        <v/>
      </c>
      <c r="BY21" s="294">
        <f t="shared" si="14"/>
        <v>0</v>
      </c>
      <c r="CA21" s="297" t="str">
        <f>IF(INDEX('Master Lookup'!$C$27:$C$34,$B21)=0,"",INDEX('Master Lookup'!$C$27:$C$34,$B21))</f>
        <v/>
      </c>
      <c r="CB21" s="296" t="str">
        <f>IFERROR(INDEX('Master Lookup'!$D$27:$D$34,MATCH(CA21,'Master Lookup'!$C$27:$C$34,0)),"")</f>
        <v/>
      </c>
      <c r="CC21" s="295" t="str">
        <f>IFERROR(INDEX('Master Lookup'!$T$27:$T$34,MATCH(CA21,'Master Lookup'!$C$27:$C$34,0)),"")</f>
        <v/>
      </c>
      <c r="CD21" s="294">
        <f t="shared" si="15"/>
        <v>0</v>
      </c>
      <c r="CF21" s="297" t="str">
        <f>IF(INDEX('Master Lookup'!$C$27:$C$34,$B21)=0,"",INDEX('Master Lookup'!$C$27:$C$34,$B21))</f>
        <v/>
      </c>
      <c r="CG21" s="293" t="str">
        <f>IFERROR(INDEX('Master Lookup FY26'!D33:D40,MATCH(CF21,'Master Lookup FY26'!C33:C40,0)),"")</f>
        <v/>
      </c>
      <c r="CH21" s="295" t="str">
        <f>IFERROR(INDEX('Master Lookup'!$U$27:$U$34,MATCH(CF21,'Master Lookup'!$C$27:$C$34,0)),"")</f>
        <v/>
      </c>
      <c r="CI21" s="294">
        <f t="shared" si="16"/>
        <v>0</v>
      </c>
      <c r="CK21" s="297" t="str">
        <f>IF(INDEX('Master Lookup'!$C$27:$C$34,$B21)=0,"",INDEX('Master Lookup'!$C$27:$C$34,$B21))</f>
        <v/>
      </c>
      <c r="CL21" s="296" t="str">
        <f>IFERROR(INDEX('Master Lookup'!$D$27:$D$34,MATCH(CK21,'Master Lookup'!$C$27:$C$34,0)),"")</f>
        <v/>
      </c>
      <c r="CM21" s="295" t="str">
        <f>IFERROR(INDEX('Master Lookup'!$V$27:$V$34,MATCH(CK21,'Master Lookup'!$C$27:$C$34,0)),"")</f>
        <v/>
      </c>
      <c r="CN21" s="294">
        <f t="shared" si="17"/>
        <v>0</v>
      </c>
      <c r="CP21" s="297" t="str">
        <f>IF(INDEX('Master Lookup'!$C$27:$C$34,$B21)=0,"",INDEX('Master Lookup'!$C$27:$C$34,$B21))</f>
        <v/>
      </c>
      <c r="CQ21" s="293" t="str">
        <f>IFERROR(INDEX('Master Lookup FY26'!D33:D40,MATCH(CP21,'Master Lookup FY26'!C33:C40,0)),"")</f>
        <v/>
      </c>
      <c r="CR21" s="295" t="str">
        <f>IFERROR(INDEX('Master Lookup'!$W$27:$W$34,MATCH(CP21,'Master Lookup'!$C$27:$C$34,0)),"")</f>
        <v/>
      </c>
      <c r="CS21" s="294">
        <f t="shared" si="18"/>
        <v>0</v>
      </c>
      <c r="CU21" s="297" t="str">
        <f>IF(INDEX('Master Lookup'!$C$27:$C$34,$B21)=0,"",INDEX('Master Lookup'!$C$27:$C$34,$B21))</f>
        <v/>
      </c>
      <c r="CV21" s="296" t="str">
        <f>IFERROR(INDEX('Master Lookup'!$D$27:$D$34,MATCH(CU21,'Master Lookup'!$C$27:$C$34,0)),"")</f>
        <v/>
      </c>
      <c r="CW21" s="295" t="str">
        <f>IFERROR(INDEX('Master Lookup'!$X$27:$X$34,MATCH(CU21,'Master Lookup'!$C$27:$C$34,0)),"")</f>
        <v/>
      </c>
      <c r="CX21" s="294">
        <f t="shared" si="19"/>
        <v>0</v>
      </c>
      <c r="CZ21" s="297" t="str">
        <f>IF(INDEX('Master Lookup'!$C$27:$C$34,$B21)=0,"",INDEX('Master Lookup'!$C$27:$C$34,$B21))</f>
        <v/>
      </c>
      <c r="DA21" s="296" t="str">
        <f>IFERROR(INDEX('Master Lookup'!$D$27:$D$34,MATCH(CZ21,'Master Lookup'!$C$27:$C$34,0)),"")</f>
        <v/>
      </c>
      <c r="DB21" s="295" t="str">
        <f>IFERROR(INDEX('Master Lookup'!$Y$27:$Y$34,MATCH(CZ21,'Master Lookup'!$C$27:$C$34,0)),"")</f>
        <v/>
      </c>
      <c r="DC21" s="294">
        <f t="shared" si="20"/>
        <v>0</v>
      </c>
      <c r="DE21" s="297" t="str">
        <f>IF(INDEX('Master Lookup'!$C$27:$C$34,$B21)=0,"",INDEX('Master Lookup'!$C$27:$C$34,$B21))</f>
        <v/>
      </c>
      <c r="DF21" s="296" t="str">
        <f>IFERROR(INDEX('Master Lookup'!$D$27:$D$34,MATCH(DE21,'Master Lookup'!$C$27:$C$34,0)),"")</f>
        <v/>
      </c>
      <c r="DG21" s="295" t="str">
        <f>IFERROR(INDEX('Master Lookup'!$Z$27:$Z$34,MATCH(DE21,'Master Lookup'!$C$27:$C$34,0)),"")</f>
        <v/>
      </c>
      <c r="DH21" s="294">
        <f t="shared" si="21"/>
        <v>0</v>
      </c>
      <c r="DJ21" s="297" t="str">
        <f>IF(INDEX('Master Lookup'!$C$27:$C$34,$B21)=0,"",INDEX('Master Lookup'!$C$27:$C$34,$B21))</f>
        <v/>
      </c>
      <c r="DK21" s="296" t="str">
        <f>IFERROR(INDEX('Master Lookup'!$D$27:$D$34,MATCH(DJ21,'Master Lookup'!$C$27:$C$34,0)),"")</f>
        <v/>
      </c>
      <c r="DL21" s="295" t="str">
        <f>IFERROR(INDEX('Master Lookup'!$AA$27:$AA$34,MATCH(DJ21,'Master Lookup'!$C$27:$C$34,0)),"")</f>
        <v/>
      </c>
      <c r="DM21" s="294">
        <f t="shared" si="22"/>
        <v>0</v>
      </c>
      <c r="DO21" s="297" t="str">
        <f>IF(INDEX('Master Lookup'!$C$27:$C$34,$B21)=0,"",INDEX('Master Lookup'!$C$27:$C$34,$B21))</f>
        <v/>
      </c>
      <c r="DP21" s="296" t="str">
        <f>IFERROR(INDEX('Master Lookup'!$D$27:$D$34,MATCH(DO21,'Master Lookup'!$C$27:$C$34,0)),"")</f>
        <v/>
      </c>
      <c r="DQ21" s="295" t="str">
        <f>IFERROR(INDEX('Master Lookup'!$AB$27:$AB$34,MATCH(DO21,'Master Lookup'!$C$27:$C$34,0)),"")</f>
        <v/>
      </c>
      <c r="DR21" s="294">
        <f t="shared" si="23"/>
        <v>0</v>
      </c>
    </row>
    <row r="22" spans="2:122" s="302" customFormat="1" x14ac:dyDescent="0.25">
      <c r="B22" s="254">
        <v>8</v>
      </c>
      <c r="D22" s="305" t="str">
        <f>IF(INDEX('Master Lookup'!$C$27:$C$34,$B22)=0,"",INDEX('Master Lookup'!$C$27:$C$34,$B22))</f>
        <v>BTL Scale</v>
      </c>
      <c r="E22" s="304"/>
      <c r="F22" s="302">
        <f>IFERROR(INDEX('Master Lookup'!$E$27:$E$34,MATCH(D22,'Master Lookup'!$C$27:$C$34,0)),"")</f>
        <v>2.5</v>
      </c>
      <c r="G22" s="303"/>
      <c r="I22" s="305" t="str">
        <f>IF(INDEX('Master Lookup'!$C$27:$C$34,$B22)=0,"",INDEX('Master Lookup'!$C$27:$C$34,$B22))</f>
        <v>BTL Scale</v>
      </c>
      <c r="J22" s="293"/>
      <c r="K22" s="302">
        <f>IFERROR(INDEX('Master Lookup'!$F$27:$F$34,MATCH(I22,'Master Lookup'!$C$27:$C$34,0)),"")</f>
        <v>2.5</v>
      </c>
      <c r="L22" s="303"/>
      <c r="N22" s="305" t="str">
        <f>IF(INDEX('Master Lookup'!$C$27:$C$34,$B22)=0,"",INDEX('Master Lookup'!$C$27:$C$34,$B22))</f>
        <v>BTL Scale</v>
      </c>
      <c r="O22" s="304"/>
      <c r="P22" s="302">
        <f>IFERROR(INDEX('Master Lookup'!$G$27:$G$34,MATCH(N22,'Master Lookup'!$C$27:$C$34,0)),"")</f>
        <v>2.5</v>
      </c>
      <c r="Q22" s="303"/>
      <c r="S22" s="305" t="str">
        <f>IF(INDEX('Master Lookup'!$C$27:$C$34,$B22)=0,"",INDEX('Master Lookup'!$C$27:$C$34,$B22))</f>
        <v>BTL Scale</v>
      </c>
      <c r="T22" s="304"/>
      <c r="U22" s="302">
        <f>IFERROR(INDEX('Master Lookup'!$H$27:$H$34,MATCH(S22,'Master Lookup'!$C$27:$C$34,0)),"")</f>
        <v>2.5</v>
      </c>
      <c r="V22" s="303"/>
      <c r="X22" s="305" t="str">
        <f>IF(INDEX('Master Lookup'!$C$27:$C$34,$B22)=0,"",INDEX('Master Lookup'!$C$27:$C$34,$B22))</f>
        <v>BTL Scale</v>
      </c>
      <c r="Y22" s="304"/>
      <c r="Z22" s="306">
        <f>IFERROR(INDEX('Master Lookup'!$I$27:$I$34,MATCH(X22,'Master Lookup'!$C$27:$C$34,0)),"")</f>
        <v>2.2000000000000002</v>
      </c>
      <c r="AA22" s="303"/>
      <c r="AC22" s="305" t="str">
        <f>IF(INDEX('Master Lookup'!$C$27:$C$34,$B22)=0,"",INDEX('Master Lookup'!$C$27:$C$34,$B22))</f>
        <v>BTL Scale</v>
      </c>
      <c r="AD22" s="304"/>
      <c r="AE22" s="302">
        <f>IFERROR(INDEX('Master Lookup'!$J$27:$J$34,MATCH(AC22,'Master Lookup'!$C$27:$C$34,0)),"")</f>
        <v>2.1312500000000001</v>
      </c>
      <c r="AF22" s="303"/>
      <c r="AH22" s="305" t="str">
        <f>IF(INDEX('Master Lookup'!$C$27:$C$34,$B22)=0,"",INDEX('Master Lookup'!$C$27:$C$34,$B22))</f>
        <v>BTL Scale</v>
      </c>
      <c r="AI22" s="304"/>
      <c r="AJ22" s="302">
        <f>IFERROR(INDEX('Master Lookup'!$K$27:$K$34,MATCH(AH22,'Master Lookup'!$C$27:$C$34,0)),"")</f>
        <v>2.0620535714285713</v>
      </c>
      <c r="AK22" s="303"/>
      <c r="AM22" s="305" t="str">
        <f>IF(INDEX('Master Lookup'!$C$27:$C$34,$B22)=0,"",INDEX('Master Lookup'!$C$27:$C$34,$B22))</f>
        <v>BTL Scale</v>
      </c>
      <c r="AN22" s="304"/>
      <c r="AO22" s="302">
        <f>IFERROR(INDEX('Master Lookup'!$L$27:$L$34,MATCH(AM22,'Master Lookup'!$C$27:$C$34,0)),"")</f>
        <v>1.9761346726190476</v>
      </c>
      <c r="AP22" s="303"/>
      <c r="AR22" s="305" t="str">
        <f>IF(INDEX('Master Lookup'!$C$27:$C$34,$B22)=0,"",INDEX('Master Lookup'!$C$27:$C$34,$B22))</f>
        <v>BTL Scale</v>
      </c>
      <c r="AS22" s="304"/>
      <c r="AT22" s="302">
        <f>IFERROR(INDEX('Master Lookup'!$M$27:$M$34,MATCH(AR22,'Master Lookup'!$C$27:$C$34,0)),"")</f>
        <v>1.8663494130291005</v>
      </c>
      <c r="AU22" s="303"/>
      <c r="AW22" s="305" t="str">
        <f>IF(INDEX('Master Lookup'!$C$27:$C$34,$B22)=0,"",INDEX('Master Lookup'!$C$27:$C$34,$B22))</f>
        <v>BTL Scale</v>
      </c>
      <c r="AX22" s="304"/>
      <c r="AY22" s="302">
        <f>IFERROR(INDEX('Master Lookup'!$N$27:$N$34,MATCH(AW22,'Master Lookup'!$C$27:$C$34,0)),"")</f>
        <v>1.7811074927224828</v>
      </c>
      <c r="AZ22" s="303"/>
      <c r="BB22" s="305" t="str">
        <f>IF(INDEX('Master Lookup'!$C$27:$C$34,$B22)=0,"",INDEX('Master Lookup'!$C$27:$C$34,$B22))</f>
        <v>BTL Scale</v>
      </c>
      <c r="BC22" s="304"/>
      <c r="BD22" s="302">
        <f>IFERROR(INDEX('Master Lookup'!$O$27:$O$34,MATCH(BB22,'Master Lookup'!$C$27:$C$34,0)),"")</f>
        <v>1.7001480612350972</v>
      </c>
      <c r="BE22" s="303"/>
      <c r="BG22" s="305" t="str">
        <f>IF(INDEX('Master Lookup'!$C$27:$C$34,$B22)=0,"",INDEX('Master Lookup'!$C$27:$C$34,$B22))</f>
        <v>BTL Scale</v>
      </c>
      <c r="BH22" s="304"/>
      <c r="BI22" s="302">
        <f>IFERROR(INDEX('Master Lookup'!$P$27:$P$34,MATCH(BG22,'Master Lookup'!$C$27:$C$34,0)),"")</f>
        <v>1.6579653153792102</v>
      </c>
      <c r="BJ22" s="303"/>
      <c r="BL22" s="305" t="str">
        <f>IF(INDEX('Master Lookup'!$C$27:$C$34,$B22)=0,"",INDEX('Master Lookup'!$C$27:$C$34,$B22))</f>
        <v>BTL Scale</v>
      </c>
      <c r="BM22" s="304"/>
      <c r="BN22" s="302">
        <f>IFERROR(INDEX('Master Lookup'!$Q$27:$Q$34,MATCH(BL22,'Master Lookup'!$C$27:$C$34,0)),"")</f>
        <v>1.6154533842156407</v>
      </c>
      <c r="BO22" s="303"/>
      <c r="BQ22" s="305" t="str">
        <f>IF(INDEX('Master Lookup'!$C$27:$C$34,$B22)=0,"",INDEX('Master Lookup'!$C$27:$C$34,$B22))</f>
        <v>BTL Scale</v>
      </c>
      <c r="BR22" s="304"/>
      <c r="BS22" s="302">
        <f>IFERROR(INDEX('Master Lookup'!$R$27:$R$34,MATCH(BQ22,'Master Lookup'!$C$27:$C$34,0)),"")</f>
        <v>1.5818923778675567</v>
      </c>
      <c r="BT22" s="303"/>
      <c r="BV22" s="305" t="str">
        <f>IF(INDEX('Master Lookup'!$C$27:$C$34,$B22)=0,"",INDEX('Master Lookup'!$C$27:$C$34,$B22))</f>
        <v>BTL Scale</v>
      </c>
      <c r="BW22" s="304"/>
      <c r="BX22" s="302">
        <f>IFERROR(INDEX('Master Lookup'!$S$27:$S$34,MATCH(BV22,'Master Lookup'!$C$27:$C$34,0)),"")</f>
        <v>1.5467392139149443</v>
      </c>
      <c r="BY22" s="303"/>
      <c r="CA22" s="305" t="str">
        <f>IF(INDEX('Master Lookup'!$C$27:$C$34,$B22)=0,"",INDEX('Master Lookup'!$C$27:$C$34,$B22))</f>
        <v>BTL Scale</v>
      </c>
      <c r="CB22" s="304"/>
      <c r="CC22" s="302">
        <f>IFERROR(INDEX('Master Lookup'!$T$27:$T$34,MATCH(CA22,'Master Lookup'!$C$27:$C$34,0)),"")</f>
        <v>1.5241826003786847</v>
      </c>
      <c r="CD22" s="303"/>
      <c r="CF22" s="305" t="str">
        <f>IF(INDEX('Master Lookup'!$C$27:$C$34,$B22)=0,"",INDEX('Master Lookup'!$C$27:$C$34,$B22))</f>
        <v>BTL Scale</v>
      </c>
      <c r="CG22" s="304"/>
      <c r="CH22" s="302">
        <f>IFERROR(INDEX('Master Lookup'!$U$27:$U$34,MATCH(CF22,'Master Lookup'!$C$27:$C$34,0)),"")</f>
        <v>1.5179102439985255</v>
      </c>
      <c r="CI22" s="303"/>
      <c r="CK22" s="305" t="str">
        <f>IF(INDEX('Master Lookup'!$C$27:$C$34,$B22)=0,"",INDEX('Master Lookup'!$C$27:$C$34,$B22))</f>
        <v>BTL Scale</v>
      </c>
      <c r="CL22" s="304"/>
      <c r="CM22" s="302">
        <f>IFERROR(INDEX('Master Lookup'!$V$27:$V$34,MATCH(CK22,'Master Lookup'!$C$27:$C$34,0)),"")</f>
        <v>1.5179102439985255</v>
      </c>
      <c r="CN22" s="303"/>
      <c r="CP22" s="305" t="str">
        <f>IF(INDEX('Master Lookup'!$C$27:$C$34,$B22)=0,"",INDEX('Master Lookup'!$C$27:$C$34,$B22))</f>
        <v>BTL Scale</v>
      </c>
      <c r="CQ22" s="304"/>
      <c r="CR22" s="302">
        <f>IFERROR(INDEX('Master Lookup'!$W$27:$W$34,MATCH(CP22,'Master Lookup'!$C$27:$C$34,0)),"")</f>
        <v>1.5179102439985255</v>
      </c>
      <c r="CS22" s="303"/>
      <c r="CU22" s="305" t="str">
        <f>IF(INDEX('Master Lookup'!$C$27:$C$34,$B22)=0,"",INDEX('Master Lookup'!$C$27:$C$34,$B22))</f>
        <v>BTL Scale</v>
      </c>
      <c r="CV22" s="304"/>
      <c r="CW22" s="302">
        <f>IFERROR(INDEX('Master Lookup'!$X$27:$X$34,MATCH(CU22,'Master Lookup'!$C$27:$C$34,0)),"")</f>
        <v>1.523331352012806</v>
      </c>
      <c r="CX22" s="303"/>
      <c r="CZ22" s="305" t="str">
        <f>IF(INDEX('Master Lookup'!$C$27:$C$34,$B22)=0,"",INDEX('Master Lookup'!$C$27:$C$34,$B22))</f>
        <v>BTL Scale</v>
      </c>
      <c r="DA22" s="304"/>
      <c r="DB22" s="302">
        <f>IFERROR(INDEX('Master Lookup'!$Y$27:$Y$34,MATCH(CZ22,'Master Lookup'!$C$27:$C$34,0)),"")</f>
        <v>1.5288406878247873</v>
      </c>
      <c r="DC22" s="303"/>
      <c r="DE22" s="305" t="str">
        <f>IF(INDEX('Master Lookup'!$C$27:$C$34,$B22)=0,"",INDEX('Master Lookup'!$C$27:$C$34,$B22))</f>
        <v>BTL Scale</v>
      </c>
      <c r="DF22" s="304"/>
      <c r="DG22" s="302">
        <f>IFERROR(INDEX('Master Lookup'!$Z$27:$Z$34,MATCH(DE22,'Master Lookup'!$C$27:$C$34,0)),"")</f>
        <v>1.5401864443207041</v>
      </c>
      <c r="DH22" s="303"/>
      <c r="DJ22" s="305" t="str">
        <f>IF(INDEX('Master Lookup'!$C$27:$C$34,$B22)=0,"",INDEX('Master Lookup'!$C$27:$C$34,$B22))</f>
        <v>BTL Scale</v>
      </c>
      <c r="DK22" s="304"/>
      <c r="DL22" s="302">
        <f>IFERROR(INDEX('Master Lookup'!$AA$27:$AA$34,MATCH(DJ22,'Master Lookup'!$C$27:$C$34,0)),"")</f>
        <v>1.5519211981821952</v>
      </c>
      <c r="DM22" s="303"/>
      <c r="DO22" s="305" t="str">
        <f>IF(INDEX('Master Lookup'!$C$27:$C$34,$B22)=0,"",INDEX('Master Lookup'!$C$27:$C$34,$B22))</f>
        <v>BTL Scale</v>
      </c>
      <c r="DP22" s="304"/>
      <c r="DQ22" s="302">
        <f>IFERROR(INDEX('Master Lookup'!$AB$27:$AB$34,MATCH(DO22,'Master Lookup'!$C$27:$C$34,0)),"")</f>
        <v>1.5703964505415069</v>
      </c>
      <c r="DR22" s="303"/>
    </row>
    <row r="23" spans="2:122" x14ac:dyDescent="0.25">
      <c r="D23" s="298" t="s">
        <v>457</v>
      </c>
      <c r="E23" s="301"/>
      <c r="F23" s="301">
        <f>SUM(F15:F21)</f>
        <v>0.57999999999999996</v>
      </c>
      <c r="G23" s="299">
        <f>SUM(G15:G21)</f>
        <v>39787.512960000007</v>
      </c>
      <c r="I23" s="298" t="s">
        <v>457</v>
      </c>
      <c r="J23" s="301"/>
      <c r="K23" s="301">
        <f>SUM(K15:K21)</f>
        <v>1.1599999999999999</v>
      </c>
      <c r="L23" s="299">
        <f>SUM(L15:L21)</f>
        <v>79575.025920000015</v>
      </c>
      <c r="N23" s="298" t="s">
        <v>457</v>
      </c>
      <c r="O23" s="301"/>
      <c r="P23" s="301">
        <f>SUM(P15:P21)</f>
        <v>1.74</v>
      </c>
      <c r="Q23" s="299">
        <f>SUM(Q15:Q21)</f>
        <v>119362.53888000002</v>
      </c>
      <c r="S23" s="298" t="s">
        <v>457</v>
      </c>
      <c r="T23" s="301"/>
      <c r="U23" s="301">
        <f>SUM(U15:U21)</f>
        <v>2.3199999999999998</v>
      </c>
      <c r="V23" s="299">
        <f>SUM(V15:V21)</f>
        <v>159150.05184000003</v>
      </c>
      <c r="X23" s="298" t="s">
        <v>457</v>
      </c>
      <c r="Y23" s="301"/>
      <c r="Z23" s="301">
        <f>SUM(Z15:Z21)</f>
        <v>2.8374999999999999</v>
      </c>
      <c r="AA23" s="299">
        <f>SUM(AA15:AA21)</f>
        <v>193844.63280000002</v>
      </c>
      <c r="AC23" s="298" t="s">
        <v>457</v>
      </c>
      <c r="AD23" s="301"/>
      <c r="AE23" s="301">
        <f>SUM(AE15:AE21)</f>
        <v>3.36</v>
      </c>
      <c r="AF23" s="299">
        <f>SUM(AF15:AF21)</f>
        <v>228946.64832000004</v>
      </c>
      <c r="AH23" s="298" t="s">
        <v>457</v>
      </c>
      <c r="AI23" s="301"/>
      <c r="AJ23" s="301">
        <f>SUM(AJ15:AJ21)</f>
        <v>3.8849999999999998</v>
      </c>
      <c r="AK23" s="299">
        <f>SUM(AK15:AK21)</f>
        <v>264252.38112000003</v>
      </c>
      <c r="AM23" s="298" t="s">
        <v>457</v>
      </c>
      <c r="AN23" s="301"/>
      <c r="AO23" s="301">
        <f>SUM(AO15:AO21)</f>
        <v>4.42</v>
      </c>
      <c r="AP23" s="299">
        <f>SUM(AP15:AP21)</f>
        <v>300372.98304000002</v>
      </c>
      <c r="AR23" s="298" t="s">
        <v>457</v>
      </c>
      <c r="AS23" s="301"/>
      <c r="AT23" s="301">
        <f>SUM(AT15:AT21)</f>
        <v>4.9725000000000001</v>
      </c>
      <c r="AU23" s="299">
        <f>SUM(AU15:AU21)</f>
        <v>337919.60592</v>
      </c>
      <c r="AW23" s="298" t="s">
        <v>457</v>
      </c>
      <c r="AX23" s="301"/>
      <c r="AY23" s="301">
        <f>SUM(AY15:AY21)</f>
        <v>5.52</v>
      </c>
      <c r="AZ23" s="299">
        <f>SUM(AZ15:AZ21)</f>
        <v>375058.79424000002</v>
      </c>
      <c r="BB23" s="298" t="s">
        <v>457</v>
      </c>
      <c r="BC23" s="301"/>
      <c r="BD23" s="301">
        <f>SUM(BD15:BD21)</f>
        <v>6.0720000000000001</v>
      </c>
      <c r="BE23" s="299">
        <f>SUM(BE15:BE21)</f>
        <v>412564.673664</v>
      </c>
      <c r="BG23" s="298" t="s">
        <v>457</v>
      </c>
      <c r="BH23" s="301"/>
      <c r="BI23" s="301">
        <f>SUM(BI15:BI21)</f>
        <v>6.6180000000000003</v>
      </c>
      <c r="BJ23" s="299">
        <f>SUM(BJ15:BJ21)</f>
        <v>449581.63161600009</v>
      </c>
      <c r="BL23" s="298" t="s">
        <v>457</v>
      </c>
      <c r="BM23" s="301"/>
      <c r="BN23" s="301">
        <f>SUM(BN15:BN21)</f>
        <v>7.1695000000000002</v>
      </c>
      <c r="BO23" s="299">
        <f>SUM(BO15:BO21)</f>
        <v>487046.76758400007</v>
      </c>
      <c r="BQ23" s="298" t="s">
        <v>457</v>
      </c>
      <c r="BR23" s="301"/>
      <c r="BS23" s="301">
        <f>SUM(BS15:BS21)</f>
        <v>7.7140000000000004</v>
      </c>
      <c r="BT23" s="299">
        <f>SUM(BT15:BT21)</f>
        <v>523941.49516800011</v>
      </c>
      <c r="BV23" s="298" t="s">
        <v>457</v>
      </c>
      <c r="BW23" s="301"/>
      <c r="BX23" s="301">
        <f>SUM(BX15:BX21)</f>
        <v>8.2650000000000006</v>
      </c>
      <c r="BY23" s="299">
        <f>SUM(BY15:BY21)</f>
        <v>561365.88768000004</v>
      </c>
      <c r="CA23" s="298" t="s">
        <v>457</v>
      </c>
      <c r="CB23" s="301"/>
      <c r="CC23" s="301">
        <f>SUM(CC15:CC21)</f>
        <v>8.8000000000000007</v>
      </c>
      <c r="CD23" s="299">
        <f>SUM(CD15:CD21)</f>
        <v>597486.48960000009</v>
      </c>
      <c r="CF23" s="298" t="s">
        <v>457</v>
      </c>
      <c r="CG23" s="301"/>
      <c r="CH23" s="301">
        <f>SUM(CH15:CH21)</f>
        <v>9.31</v>
      </c>
      <c r="CI23" s="299">
        <f>SUM(CI15:CI21)</f>
        <v>631569.91872000019</v>
      </c>
      <c r="CK23" s="298" t="s">
        <v>457</v>
      </c>
      <c r="CL23" s="301"/>
      <c r="CM23" s="301">
        <f>SUM(CM15:CM21)</f>
        <v>9.81</v>
      </c>
      <c r="CN23" s="299">
        <f>SUM(CN15:CN21)</f>
        <v>664838.47872000001</v>
      </c>
      <c r="CP23" s="298" t="s">
        <v>457</v>
      </c>
      <c r="CQ23" s="301"/>
      <c r="CR23" s="301">
        <f>SUM(CR15:CR21)</f>
        <v>10.31</v>
      </c>
      <c r="CS23" s="299">
        <f>SUM(CS15:CS21)</f>
        <v>698107.03872000007</v>
      </c>
      <c r="CU23" s="298" t="s">
        <v>457</v>
      </c>
      <c r="CV23" s="301"/>
      <c r="CW23" s="301">
        <f>SUM(CW15:CW16)</f>
        <v>10.8</v>
      </c>
      <c r="CX23" s="299">
        <f>SUM(CX15:CX16)</f>
        <v>730560.72960000008</v>
      </c>
      <c r="CZ23" s="298" t="s">
        <v>457</v>
      </c>
      <c r="DA23" s="301"/>
      <c r="DB23" s="301">
        <f>SUM(DB15:DB21)</f>
        <v>11.29</v>
      </c>
      <c r="DC23" s="299">
        <f>SUM(DC15:DC21)</f>
        <v>763014.42048000009</v>
      </c>
      <c r="DE23" s="298" t="s">
        <v>457</v>
      </c>
      <c r="DF23" s="301"/>
      <c r="DG23" s="301">
        <f>SUM(DG15:DG21)</f>
        <v>11.77</v>
      </c>
      <c r="DH23" s="299">
        <f>SUM(DH15:DH21)</f>
        <v>794653.24224000005</v>
      </c>
      <c r="DJ23" s="298" t="s">
        <v>457</v>
      </c>
      <c r="DK23" s="301"/>
      <c r="DL23" s="301">
        <f>SUM(DL15:DL21)</f>
        <v>12.25</v>
      </c>
      <c r="DM23" s="299">
        <f>SUM(DM15:DM21)</f>
        <v>826292.06400000013</v>
      </c>
      <c r="DO23" s="298" t="s">
        <v>457</v>
      </c>
      <c r="DP23" s="301"/>
      <c r="DQ23" s="301">
        <f>SUM(DQ15:DQ21)</f>
        <v>12.72</v>
      </c>
      <c r="DR23" s="299">
        <f>SUM(DR15:DR21)</f>
        <v>857116.01664000016</v>
      </c>
    </row>
    <row r="24" spans="2:122" x14ac:dyDescent="0.25">
      <c r="D24" s="127"/>
      <c r="G24" s="287"/>
      <c r="I24" s="127"/>
      <c r="L24" s="287"/>
      <c r="N24" s="127"/>
      <c r="Q24" s="287"/>
      <c r="S24" s="127"/>
      <c r="T24" s="254"/>
      <c r="U24" s="254"/>
      <c r="V24" s="287"/>
      <c r="X24" s="127"/>
      <c r="Y24" s="254"/>
      <c r="Z24" s="254"/>
      <c r="AA24" s="287"/>
      <c r="AC24" s="127"/>
      <c r="AD24" s="254"/>
      <c r="AE24" s="254"/>
      <c r="AF24" s="287"/>
      <c r="AH24" s="127"/>
      <c r="AI24" s="254"/>
      <c r="AJ24" s="254"/>
      <c r="AK24" s="287"/>
      <c r="AM24" s="127"/>
      <c r="AN24" s="254"/>
      <c r="AO24" s="254"/>
      <c r="AP24" s="287"/>
      <c r="AR24" s="127"/>
      <c r="AS24" s="254"/>
      <c r="AT24" s="254"/>
      <c r="AU24" s="287"/>
      <c r="AW24" s="127"/>
      <c r="AX24" s="254"/>
      <c r="AY24" s="254"/>
      <c r="AZ24" s="287"/>
      <c r="BB24" s="127"/>
      <c r="BC24" s="254"/>
      <c r="BD24" s="254"/>
      <c r="BE24" s="287"/>
      <c r="BG24" s="127"/>
      <c r="BH24" s="254"/>
      <c r="BI24" s="254"/>
      <c r="BJ24" s="287"/>
      <c r="BL24" s="127"/>
      <c r="BO24" s="287"/>
      <c r="BQ24" s="127"/>
      <c r="BT24" s="287"/>
      <c r="BV24" s="127"/>
      <c r="BY24" s="287"/>
      <c r="CA24" s="127"/>
      <c r="CD24" s="287"/>
      <c r="CF24" s="127"/>
      <c r="CI24" s="287"/>
      <c r="CK24" s="127"/>
      <c r="CN24" s="287"/>
      <c r="CP24" s="127"/>
      <c r="CS24" s="287"/>
      <c r="CU24" s="127"/>
      <c r="CX24" s="287"/>
      <c r="CZ24" s="127"/>
      <c r="DC24" s="287"/>
      <c r="DE24" s="127"/>
      <c r="DH24" s="287"/>
      <c r="DJ24" s="127"/>
      <c r="DM24" s="287"/>
      <c r="DO24" s="127"/>
      <c r="DR24" s="287"/>
    </row>
    <row r="25" spans="2:122" x14ac:dyDescent="0.25">
      <c r="D25" s="280" t="s">
        <v>322</v>
      </c>
      <c r="E25" s="279">
        <f>INDEX('Master Lookup FY26'!C49:C51,MATCH(D25,'Master Lookup FY26'!B49:B51,0))</f>
        <v>0.24970000000000001</v>
      </c>
      <c r="F25" s="278"/>
      <c r="G25" s="277">
        <f>E25*G23</f>
        <v>9934.9419861120023</v>
      </c>
      <c r="I25" s="280" t="s">
        <v>322</v>
      </c>
      <c r="J25" s="279">
        <f>INDEX('Master Lookup FY26'!C49:C51,MATCH(I25,'Master Lookup FY26'!B49:B51,0))</f>
        <v>0.24970000000000001</v>
      </c>
      <c r="K25" s="278"/>
      <c r="L25" s="277">
        <f>J25*L23</f>
        <v>19869.883972224005</v>
      </c>
      <c r="N25" s="280" t="s">
        <v>322</v>
      </c>
      <c r="O25" s="279">
        <f>INDEX('Master Lookup FY26'!C49:C51,MATCH(N25,'Master Lookup FY26'!B49:B51,0))</f>
        <v>0.24970000000000001</v>
      </c>
      <c r="P25" s="278"/>
      <c r="Q25" s="277">
        <f>O25*Q23</f>
        <v>29804.825958336005</v>
      </c>
      <c r="S25" s="280" t="s">
        <v>322</v>
      </c>
      <c r="T25" s="279">
        <f>INDEX('Master Lookup FY26'!C49:C51,MATCH(S25,'Master Lookup FY26'!B49:B51,0))</f>
        <v>0.24970000000000001</v>
      </c>
      <c r="U25" s="278"/>
      <c r="V25" s="277">
        <f>T25*V23</f>
        <v>39739.767944448009</v>
      </c>
      <c r="X25" s="280" t="s">
        <v>322</v>
      </c>
      <c r="Y25" s="279">
        <f>INDEX('Master Lookup FY26'!C49:C51,MATCH(X25,'Master Lookup FY26'!B49:B51,0))</f>
        <v>0.24970000000000001</v>
      </c>
      <c r="Z25" s="278"/>
      <c r="AA25" s="277">
        <f>Y25*AA23</f>
        <v>48403.004810160004</v>
      </c>
      <c r="AC25" s="280" t="s">
        <v>322</v>
      </c>
      <c r="AD25" s="279">
        <f>INDEX('Master Lookup FY26'!C49:C51,MATCH(AC25,'Master Lookup FY26'!B49:B51,0))</f>
        <v>0.24970000000000001</v>
      </c>
      <c r="AE25" s="278"/>
      <c r="AF25" s="277">
        <f>AD25*AF23</f>
        <v>57167.978085504008</v>
      </c>
      <c r="AH25" s="280" t="s">
        <v>322</v>
      </c>
      <c r="AI25" s="279">
        <f>INDEX('Master Lookup FY26'!C49:C51,MATCH(AH25,'Master Lookup FY26'!B49:B51,0))</f>
        <v>0.24970000000000001</v>
      </c>
      <c r="AJ25" s="278"/>
      <c r="AK25" s="277">
        <f>AI25*AK23</f>
        <v>65983.819565664016</v>
      </c>
      <c r="AM25" s="280" t="s">
        <v>322</v>
      </c>
      <c r="AN25" s="279">
        <f>INDEX('Master Lookup FY26'!C49:C51,MATCH(AM25,'Master Lookup FY26'!B49:B51,0))</f>
        <v>0.24970000000000001</v>
      </c>
      <c r="AO25" s="278"/>
      <c r="AP25" s="277">
        <f>AN25*AP23</f>
        <v>75003.133865088006</v>
      </c>
      <c r="AR25" s="280" t="s">
        <v>322</v>
      </c>
      <c r="AS25" s="279">
        <f>INDEX('Master Lookup FY26'!C49:C51,MATCH(AR25,'Master Lookup FY26'!B49:B51,0))</f>
        <v>0.24970000000000001</v>
      </c>
      <c r="AT25" s="278"/>
      <c r="AU25" s="277">
        <f>AS25*AU23</f>
        <v>84378.525598224005</v>
      </c>
      <c r="AW25" s="280" t="s">
        <v>322</v>
      </c>
      <c r="AX25" s="279">
        <f>INDEX('Master Lookup FY26'!C49:C51,MATCH(AW25,'Master Lookup FY26'!B49:B51,0))</f>
        <v>0.24970000000000001</v>
      </c>
      <c r="AY25" s="278"/>
      <c r="AZ25" s="277">
        <f>AX25*AZ23</f>
        <v>93652.18092172801</v>
      </c>
      <c r="BB25" s="280" t="s">
        <v>322</v>
      </c>
      <c r="BC25" s="279">
        <f>INDEX('Master Lookup FY26'!C49:C51,MATCH(BB25,'Master Lookup FY26'!B49:B51,0))</f>
        <v>0.24970000000000001</v>
      </c>
      <c r="BD25" s="278"/>
      <c r="BE25" s="277">
        <f>BC25*BE23</f>
        <v>103017.39901390081</v>
      </c>
      <c r="BG25" s="280" t="s">
        <v>322</v>
      </c>
      <c r="BH25" s="279">
        <f>INDEX('Master Lookup FY26'!C49:C51,MATCH(BG25,'Master Lookup FY26'!B49:B51,0))</f>
        <v>0.24970000000000001</v>
      </c>
      <c r="BI25" s="278"/>
      <c r="BJ25" s="277">
        <f>BH25*BJ23</f>
        <v>112260.53341451523</v>
      </c>
      <c r="BL25" s="280" t="s">
        <v>322</v>
      </c>
      <c r="BM25" s="279">
        <f>INDEX('Master Lookup FY26'!C49:C51,MATCH(BL25,'Master Lookup FY26'!B49:B51,0))</f>
        <v>0.24970000000000001</v>
      </c>
      <c r="BN25" s="278"/>
      <c r="BO25" s="277">
        <f>BM25*BO23</f>
        <v>121615.57786572482</v>
      </c>
      <c r="BQ25" s="280" t="s">
        <v>322</v>
      </c>
      <c r="BR25" s="279">
        <f>INDEX('Master Lookup FY26'!C49:C51,MATCH(BQ25,'Master Lookup FY26'!B49:B51,0))</f>
        <v>0.24970000000000001</v>
      </c>
      <c r="BS25" s="278"/>
      <c r="BT25" s="277">
        <f>BR25*BT23</f>
        <v>130828.19134344962</v>
      </c>
      <c r="BV25" s="280" t="s">
        <v>322</v>
      </c>
      <c r="BW25" s="279">
        <f>INDEX('Master Lookup FY26'!C49:C51,MATCH(BV25,'Master Lookup FY26'!B49:B51,0))</f>
        <v>0.24970000000000001</v>
      </c>
      <c r="BX25" s="278"/>
      <c r="BY25" s="277">
        <f>BW25*BY23</f>
        <v>140173.06215369602</v>
      </c>
      <c r="CA25" s="280" t="s">
        <v>322</v>
      </c>
      <c r="CB25" s="279">
        <f>INDEX('Master Lookup FY26'!C49:C51,MATCH(CA25,'Master Lookup FY26'!B49:B51,0))</f>
        <v>0.24970000000000001</v>
      </c>
      <c r="CC25" s="278"/>
      <c r="CD25" s="277">
        <f>CB25*CD23</f>
        <v>149192.37645312003</v>
      </c>
      <c r="CF25" s="280" t="s">
        <v>322</v>
      </c>
      <c r="CG25" s="279">
        <f>INDEX('Master Lookup FY26'!C49:C51,MATCH(CF25,'Master Lookup FY26'!B49:B51,0))</f>
        <v>0.24970000000000001</v>
      </c>
      <c r="CH25" s="278"/>
      <c r="CI25" s="277">
        <f>CG25*CI23</f>
        <v>157703.00870438406</v>
      </c>
      <c r="CK25" s="280" t="s">
        <v>322</v>
      </c>
      <c r="CL25" s="279">
        <f>INDEX('Master Lookup FY26'!C49:C51,MATCH(CK25,'Master Lookup FY26'!B49:B51,0))</f>
        <v>0.24970000000000001</v>
      </c>
      <c r="CM25" s="278"/>
      <c r="CN25" s="277">
        <f>CL25*CN23</f>
        <v>166010.16813638402</v>
      </c>
      <c r="CP25" s="280" t="s">
        <v>322</v>
      </c>
      <c r="CQ25" s="279">
        <f>INDEX('Master Lookup FY26'!C49:C51,MATCH(CP25,'Master Lookup FY26'!B49:B51,0))</f>
        <v>0.24970000000000001</v>
      </c>
      <c r="CR25" s="278"/>
      <c r="CS25" s="277">
        <f>CQ25*CS23</f>
        <v>174317.32756838403</v>
      </c>
      <c r="CU25" s="280" t="s">
        <v>322</v>
      </c>
      <c r="CV25" s="279">
        <f>INDEX('Master Lookup FY26'!C49:C51,MATCH(CU25,'Master Lookup FY26'!B49:B51,0))</f>
        <v>0.24970000000000001</v>
      </c>
      <c r="CW25" s="278"/>
      <c r="CX25" s="277">
        <f>CV25*CX23</f>
        <v>182421.01418112003</v>
      </c>
      <c r="CZ25" s="280" t="s">
        <v>322</v>
      </c>
      <c r="DA25" s="279">
        <f>INDEX('Master Lookup FY26'!C49:C51,MATCH(CZ25,'Master Lookup FY26'!B49:B51,0))</f>
        <v>0.24970000000000001</v>
      </c>
      <c r="DB25" s="278"/>
      <c r="DC25" s="277">
        <f>DA25*DC23</f>
        <v>190524.70079385603</v>
      </c>
      <c r="DE25" s="280" t="s">
        <v>322</v>
      </c>
      <c r="DF25" s="279">
        <f>INDEX('Master Lookup FY26'!C49:C51,MATCH(DE25,'Master Lookup FY26'!B49:B51,0))</f>
        <v>0.24970000000000001</v>
      </c>
      <c r="DG25" s="278"/>
      <c r="DH25" s="277">
        <f>DF25*DH23</f>
        <v>198424.91458732801</v>
      </c>
      <c r="DJ25" s="280" t="s">
        <v>322</v>
      </c>
      <c r="DK25" s="279">
        <f>INDEX('Master Lookup FY26'!C49:C51,MATCH(DJ25,'Master Lookup FY26'!B49:B51,0))</f>
        <v>0.24970000000000001</v>
      </c>
      <c r="DL25" s="278"/>
      <c r="DM25" s="277">
        <f>DK25*DM23</f>
        <v>206325.12838080004</v>
      </c>
      <c r="DO25" s="280" t="s">
        <v>322</v>
      </c>
      <c r="DP25" s="279">
        <f>INDEX('Master Lookup FY26'!C49:C51,MATCH(DO25,'Master Lookup FY26'!B49:B51,0))</f>
        <v>0.24970000000000001</v>
      </c>
      <c r="DQ25" s="278"/>
      <c r="DR25" s="277">
        <f>DP25*DR23</f>
        <v>214021.86935500804</v>
      </c>
    </row>
    <row r="26" spans="2:122" x14ac:dyDescent="0.25">
      <c r="D26" s="300" t="s">
        <v>456</v>
      </c>
      <c r="G26" s="299">
        <f>SUM(G23,G25)</f>
        <v>49722.454946112011</v>
      </c>
      <c r="I26" s="300" t="s">
        <v>456</v>
      </c>
      <c r="L26" s="299">
        <f>SUM(L23,L25)</f>
        <v>99444.909892224023</v>
      </c>
      <c r="N26" s="300" t="s">
        <v>456</v>
      </c>
      <c r="Q26" s="299">
        <f>SUM(Q23,Q25)</f>
        <v>149167.36483833601</v>
      </c>
      <c r="S26" s="300" t="s">
        <v>456</v>
      </c>
      <c r="T26" s="254"/>
      <c r="U26" s="254"/>
      <c r="V26" s="299">
        <f>SUM(V23,V25)</f>
        <v>198889.81978444805</v>
      </c>
      <c r="X26" s="300" t="s">
        <v>456</v>
      </c>
      <c r="Y26" s="254"/>
      <c r="Z26" s="254"/>
      <c r="AA26" s="299">
        <f>SUM(AA23,AA25)</f>
        <v>242247.63761016002</v>
      </c>
      <c r="AC26" s="300" t="s">
        <v>456</v>
      </c>
      <c r="AD26" s="254"/>
      <c r="AE26" s="254"/>
      <c r="AF26" s="299">
        <f>SUM(AF23,AF25)</f>
        <v>286114.62640550407</v>
      </c>
      <c r="AH26" s="300" t="s">
        <v>456</v>
      </c>
      <c r="AI26" s="254"/>
      <c r="AJ26" s="254"/>
      <c r="AK26" s="299">
        <f>SUM(AK23,AK25)</f>
        <v>330236.20068566408</v>
      </c>
      <c r="AM26" s="300" t="s">
        <v>456</v>
      </c>
      <c r="AN26" s="254"/>
      <c r="AO26" s="254"/>
      <c r="AP26" s="299">
        <f>SUM(AP23,AP25)</f>
        <v>375376.11690508801</v>
      </c>
      <c r="AR26" s="300" t="s">
        <v>456</v>
      </c>
      <c r="AS26" s="254"/>
      <c r="AT26" s="254"/>
      <c r="AU26" s="299">
        <f>SUM(AU23,AU25)</f>
        <v>422298.13151822402</v>
      </c>
      <c r="AW26" s="300" t="s">
        <v>456</v>
      </c>
      <c r="AX26" s="254"/>
      <c r="AY26" s="254"/>
      <c r="AZ26" s="299">
        <f>SUM(AZ23,AZ25)</f>
        <v>468710.97516172804</v>
      </c>
      <c r="BB26" s="300" t="s">
        <v>456</v>
      </c>
      <c r="BC26" s="254"/>
      <c r="BD26" s="254"/>
      <c r="BE26" s="299">
        <f>SUM(BE23,BE25)</f>
        <v>515582.07267790078</v>
      </c>
      <c r="BG26" s="300" t="s">
        <v>456</v>
      </c>
      <c r="BH26" s="254"/>
      <c r="BI26" s="254"/>
      <c r="BJ26" s="299">
        <f>SUM(BJ23,BJ25)</f>
        <v>561842.16503051529</v>
      </c>
      <c r="BL26" s="300" t="s">
        <v>456</v>
      </c>
      <c r="BO26" s="299">
        <f>SUM(BO23,BO25)</f>
        <v>608662.34544972493</v>
      </c>
      <c r="BQ26" s="300" t="s">
        <v>456</v>
      </c>
      <c r="BT26" s="299">
        <f>SUM(BT23,BT25)</f>
        <v>654769.68651144975</v>
      </c>
      <c r="BV26" s="300" t="s">
        <v>456</v>
      </c>
      <c r="BY26" s="299">
        <f>SUM(BY23,BY25)</f>
        <v>701538.94983369601</v>
      </c>
      <c r="CA26" s="300" t="s">
        <v>456</v>
      </c>
      <c r="CD26" s="299">
        <f>SUM(CD23,CD25)</f>
        <v>746678.86605312012</v>
      </c>
      <c r="CF26" s="300" t="s">
        <v>456</v>
      </c>
      <c r="CI26" s="299">
        <f>SUM(CI23,CI25)</f>
        <v>789272.92742438428</v>
      </c>
      <c r="CK26" s="300" t="s">
        <v>456</v>
      </c>
      <c r="CN26" s="299">
        <f>SUM(CN23,CN25)</f>
        <v>830848.646856384</v>
      </c>
      <c r="CP26" s="300" t="s">
        <v>456</v>
      </c>
      <c r="CS26" s="299">
        <f>SUM(CS23,CS25)</f>
        <v>872424.36628838407</v>
      </c>
      <c r="CU26" s="300" t="s">
        <v>456</v>
      </c>
      <c r="CX26" s="299">
        <f>SUM(CX23,CX25)</f>
        <v>912981.74378112005</v>
      </c>
      <c r="CZ26" s="300" t="s">
        <v>456</v>
      </c>
      <c r="DC26" s="299">
        <f>SUM(DC23,DC25)</f>
        <v>953539.12127385614</v>
      </c>
      <c r="DE26" s="300" t="s">
        <v>456</v>
      </c>
      <c r="DH26" s="299">
        <f>SUM(DH23,DH25)</f>
        <v>993078.15682732803</v>
      </c>
      <c r="DJ26" s="300" t="s">
        <v>456</v>
      </c>
      <c r="DM26" s="299">
        <f>SUM(DM23,DM25)</f>
        <v>1032617.1923808001</v>
      </c>
      <c r="DO26" s="300" t="s">
        <v>456</v>
      </c>
      <c r="DR26" s="299">
        <f>SUM(DR23,DR25)</f>
        <v>1071137.8859950083</v>
      </c>
    </row>
    <row r="27" spans="2:122" x14ac:dyDescent="0.25">
      <c r="D27" s="127"/>
      <c r="G27" s="287"/>
      <c r="I27" s="127"/>
      <c r="L27" s="287"/>
      <c r="N27" s="127"/>
      <c r="Q27" s="287"/>
      <c r="S27" s="127"/>
      <c r="T27" s="254"/>
      <c r="U27" s="254"/>
      <c r="V27" s="287"/>
      <c r="X27" s="127"/>
      <c r="Y27" s="254"/>
      <c r="Z27" s="254"/>
      <c r="AA27" s="287"/>
      <c r="AC27" s="127"/>
      <c r="AD27" s="254"/>
      <c r="AE27" s="254"/>
      <c r="AF27" s="287"/>
      <c r="AH27" s="127"/>
      <c r="AI27" s="254"/>
      <c r="AJ27" s="254"/>
      <c r="AK27" s="287"/>
      <c r="AM27" s="127"/>
      <c r="AN27" s="254"/>
      <c r="AO27" s="254"/>
      <c r="AP27" s="287"/>
      <c r="AR27" s="127"/>
      <c r="AS27" s="254"/>
      <c r="AT27" s="254"/>
      <c r="AU27" s="287"/>
      <c r="AW27" s="127"/>
      <c r="AX27" s="254"/>
      <c r="AY27" s="254"/>
      <c r="AZ27" s="287"/>
      <c r="BB27" s="127"/>
      <c r="BC27" s="254"/>
      <c r="BD27" s="254"/>
      <c r="BE27" s="287"/>
      <c r="BG27" s="127"/>
      <c r="BH27" s="254"/>
      <c r="BI27" s="254"/>
      <c r="BJ27" s="287"/>
      <c r="BL27" s="127"/>
      <c r="BO27" s="287"/>
      <c r="BQ27" s="127"/>
      <c r="BT27" s="287"/>
      <c r="BV27" s="127"/>
      <c r="BY27" s="287"/>
      <c r="CA27" s="127"/>
      <c r="CD27" s="287"/>
      <c r="CF27" s="127"/>
      <c r="CI27" s="287"/>
      <c r="CK27" s="127"/>
      <c r="CN27" s="287"/>
      <c r="CP27" s="127"/>
      <c r="CS27" s="287"/>
      <c r="CU27" s="127"/>
      <c r="CX27" s="287"/>
      <c r="CZ27" s="127"/>
      <c r="DC27" s="287"/>
      <c r="DE27" s="127"/>
      <c r="DH27" s="287"/>
      <c r="DJ27" s="127"/>
      <c r="DM27" s="287"/>
      <c r="DO27" s="127"/>
      <c r="DR27" s="287"/>
    </row>
    <row r="28" spans="2:122" x14ac:dyDescent="0.25">
      <c r="D28" s="298" t="s">
        <v>326</v>
      </c>
      <c r="G28" s="287"/>
      <c r="I28" s="298" t="s">
        <v>326</v>
      </c>
      <c r="L28" s="287"/>
      <c r="N28" s="298" t="s">
        <v>326</v>
      </c>
      <c r="Q28" s="287"/>
      <c r="S28" s="298" t="s">
        <v>326</v>
      </c>
      <c r="T28" s="254"/>
      <c r="U28" s="254"/>
      <c r="V28" s="287"/>
      <c r="X28" s="298" t="s">
        <v>326</v>
      </c>
      <c r="Y28" s="254"/>
      <c r="Z28" s="254"/>
      <c r="AA28" s="287"/>
      <c r="AC28" s="298" t="s">
        <v>326</v>
      </c>
      <c r="AD28" s="254"/>
      <c r="AE28" s="254"/>
      <c r="AF28" s="287"/>
      <c r="AH28" s="298" t="s">
        <v>326</v>
      </c>
      <c r="AI28" s="254"/>
      <c r="AJ28" s="254"/>
      <c r="AK28" s="287"/>
      <c r="AM28" s="298" t="s">
        <v>326</v>
      </c>
      <c r="AN28" s="254"/>
      <c r="AO28" s="254"/>
      <c r="AP28" s="287"/>
      <c r="AR28" s="298" t="s">
        <v>326</v>
      </c>
      <c r="AS28" s="254"/>
      <c r="AT28" s="254"/>
      <c r="AU28" s="287"/>
      <c r="AW28" s="298" t="s">
        <v>326</v>
      </c>
      <c r="AX28" s="254"/>
      <c r="AY28" s="254"/>
      <c r="AZ28" s="287"/>
      <c r="BB28" s="298" t="s">
        <v>326</v>
      </c>
      <c r="BC28" s="254"/>
      <c r="BD28" s="254"/>
      <c r="BE28" s="287"/>
      <c r="BG28" s="298" t="s">
        <v>326</v>
      </c>
      <c r="BH28" s="254"/>
      <c r="BI28" s="254"/>
      <c r="BJ28" s="287"/>
      <c r="BL28" s="298" t="s">
        <v>326</v>
      </c>
      <c r="BO28" s="287"/>
      <c r="BQ28" s="298" t="s">
        <v>326</v>
      </c>
      <c r="BT28" s="287"/>
      <c r="BV28" s="298" t="s">
        <v>326</v>
      </c>
      <c r="BY28" s="287"/>
      <c r="CA28" s="298" t="s">
        <v>326</v>
      </c>
      <c r="CD28" s="287"/>
      <c r="CF28" s="298" t="s">
        <v>326</v>
      </c>
      <c r="CI28" s="287"/>
      <c r="CK28" s="298" t="s">
        <v>326</v>
      </c>
      <c r="CN28" s="287"/>
      <c r="CP28" s="298" t="s">
        <v>326</v>
      </c>
      <c r="CS28" s="287"/>
      <c r="CU28" s="298" t="s">
        <v>326</v>
      </c>
      <c r="CX28" s="287"/>
      <c r="CZ28" s="298" t="s">
        <v>326</v>
      </c>
      <c r="DC28" s="287"/>
      <c r="DE28" s="298" t="s">
        <v>326</v>
      </c>
      <c r="DH28" s="287"/>
      <c r="DJ28" s="298" t="s">
        <v>326</v>
      </c>
      <c r="DM28" s="287"/>
      <c r="DO28" s="298" t="s">
        <v>326</v>
      </c>
      <c r="DR28" s="287"/>
    </row>
    <row r="29" spans="2:122" x14ac:dyDescent="0.25">
      <c r="B29" s="254">
        <v>1</v>
      </c>
      <c r="D29" s="127" t="str">
        <f>IF(INDEX('Master Lookup'!$B$37:$B$47,$B29)=0,"",INDEX('Master Lookup'!$B$37:$B$47,$B29))</f>
        <v>Total Occupancy</v>
      </c>
      <c r="E29" s="293">
        <f>IFERROR(INDEX('Master Lookup FY26'!C37:C47,MATCH(D29,'Master Lookup FY26'!B37:B47,0)),"")</f>
        <v>6392.9174203826224</v>
      </c>
      <c r="G29" s="287">
        <f>IFERROR(E29*F16*F22,0)</f>
        <v>7991.146775478278</v>
      </c>
      <c r="I29" s="127" t="str">
        <f>IF(INDEX('Master Lookup'!$B$37:$B$47,$B29)=0,"",INDEX('Master Lookup'!$B$37:$B$47,$B29))</f>
        <v>Total Occupancy</v>
      </c>
      <c r="J29" s="293">
        <f>IFERROR(INDEX('Master Lookup FY26'!C37:C47,MATCH(I29,'Master Lookup FY26'!B37:B47,0)),"")</f>
        <v>6392.9174203826224</v>
      </c>
      <c r="L29" s="287">
        <f>IFERROR(J29*K16*K22,0)</f>
        <v>15982.293550956556</v>
      </c>
      <c r="N29" s="127" t="str">
        <f>IF(INDEX('Master Lookup'!$B$37:$B$47,$B29)=0,"",INDEX('Master Lookup'!$B$37:$B$47,$B29))</f>
        <v>Total Occupancy</v>
      </c>
      <c r="O29" s="293">
        <f>IFERROR(INDEX('Master Lookup FY26'!C37:C47,MATCH(N29,'Master Lookup FY26'!B37:B47,0)),"")</f>
        <v>6392.9174203826224</v>
      </c>
      <c r="Q29" s="287">
        <f>IFERROR(O29*P16*P22,0)</f>
        <v>23973.440326434833</v>
      </c>
      <c r="S29" s="127" t="str">
        <f>IF(INDEX('Master Lookup'!$B$37:$B$47,$B29)=0,"",INDEX('Master Lookup'!$B$37:$B$47,$B29))</f>
        <v>Total Occupancy</v>
      </c>
      <c r="T29" s="1172">
        <f>IFERROR(INDEX('Master Lookup FY26'!C37:C47,MATCH(S29,'Master Lookup FY26'!B37:B47,0)),"")</f>
        <v>6392.9174203826224</v>
      </c>
      <c r="U29" s="254"/>
      <c r="V29" s="287">
        <f>IFERROR(T29*U16*U22,0)</f>
        <v>31964.587101913112</v>
      </c>
      <c r="X29" s="127" t="str">
        <f>IF(INDEX('Master Lookup'!$B$37:$B$47,$B29)=0,"",INDEX('Master Lookup'!$B$37:$B$47,$B29))</f>
        <v>Total Occupancy</v>
      </c>
      <c r="Y29" s="293">
        <f>IFERROR(INDEX('Master Lookup FY26'!C37:C47,MATCH(X29,'Master Lookup FY26'!B37:B47,0)),"")</f>
        <v>6392.9174203826224</v>
      </c>
      <c r="Z29" s="254"/>
      <c r="AA29" s="287">
        <f>IFERROR(Y29*Z16*Z22,0)</f>
        <v>35161.045812104428</v>
      </c>
      <c r="AC29" s="127" t="str">
        <f>IF(INDEX('Master Lookup'!$B$37:$B$47,$B29)=0,"",INDEX('Master Lookup'!$B$37:$B$47,$B29))</f>
        <v>Total Occupancy</v>
      </c>
      <c r="AD29" s="293">
        <f>IFERROR(INDEX('Master Lookup FY26'!C37:C47,MATCH(AC29,'Master Lookup FY26'!B37:B47,0)),"")</f>
        <v>6392.9174203826224</v>
      </c>
      <c r="AE29" s="254"/>
      <c r="AF29" s="287">
        <f>IFERROR(AD29*AE16*AE22,0)</f>
        <v>40874.715756571393</v>
      </c>
      <c r="AH29" s="127" t="str">
        <f>IF(INDEX('Master Lookup'!$B$37:$B$47,$B29)=0,"",INDEX('Master Lookup'!$B$37:$B$47,$B29))</f>
        <v>Total Occupancy</v>
      </c>
      <c r="AI29" s="293">
        <f>IFERROR(INDEX('Master Lookup FY26'!C37:C47,MATCH(AH29,'Master Lookup FY26'!B37:B48,0)),"")</f>
        <v>6392.9174203826224</v>
      </c>
      <c r="AJ29" s="254"/>
      <c r="AK29" s="287">
        <f>IFERROR(AI29*AJ16*AJ22,0)</f>
        <v>46138.883694917698</v>
      </c>
      <c r="AM29" s="127" t="str">
        <f>IF(INDEX('Master Lookup'!$B$37:$B$47,$B29)=0,"",INDEX('Master Lookup'!$B$37:$B$47,$B29))</f>
        <v>Total Occupancy</v>
      </c>
      <c r="AN29" s="293">
        <f>IFERROR(INDEX('Master Lookup FY26'!C37:C47,MATCH(AM29,'Master Lookup FY26'!B37:B47,0)),"")</f>
        <v>6392.9174203826224</v>
      </c>
      <c r="AO29" s="254"/>
      <c r="AP29" s="287">
        <f>IFERROR(AN29*AO16*AO22,0)</f>
        <v>50533.063094433681</v>
      </c>
      <c r="AR29" s="127" t="str">
        <f>IF(INDEX('Master Lookup'!$B$37:$B$47,$B29)=0,"",INDEX('Master Lookup'!$B$37:$B$47,$B29))</f>
        <v>Total Occupancy</v>
      </c>
      <c r="AS29" s="293">
        <f>IFERROR(INDEX('Master Lookup FY26'!C37:C47,MATCH(AR29,'Master Lookup FY26'!B37:B47,0)),"")</f>
        <v>6392.9174203826224</v>
      </c>
      <c r="AT29" s="254"/>
      <c r="AU29" s="287">
        <f>IFERROR(AS29*AT16*AT22,0)</f>
        <v>53691.37953783579</v>
      </c>
      <c r="AW29" s="127" t="str">
        <f>IF(INDEX('Master Lookup'!$B$37:$B$47,$B29)=0,"",INDEX('Master Lookup'!$B$37:$B$47,$B29))</f>
        <v>Total Occupancy</v>
      </c>
      <c r="AX29" s="293">
        <f>IFERROR(INDEX('Master Lookup FY26'!C37:C47,MATCH(AW29,'Master Lookup FY26'!B37:B47,0)),"")</f>
        <v>6392.9174203826224</v>
      </c>
      <c r="AY29" s="254"/>
      <c r="AZ29" s="287">
        <f>IFERROR(AX29*AY16*AY22,0)</f>
        <v>56932.365588997876</v>
      </c>
      <c r="BB29" s="127" t="str">
        <f>IF(INDEX('Master Lookup'!$B$37:$B$47,$B29)=0,"",INDEX('Master Lookup'!$B$37:$B$47,$B29))</f>
        <v>Total Occupancy</v>
      </c>
      <c r="BC29" s="293">
        <f>IFERROR(INDEX('Master Lookup FY26'!C37:C47,MATCH(BB29,'Master Lookup FY26'!B37:B47,0)),"")</f>
        <v>6392.9174203826224</v>
      </c>
      <c r="BD29" s="254"/>
      <c r="BE29" s="287">
        <f>IFERROR(BC29*BD16*BD22,0)</f>
        <v>59778.983868447765</v>
      </c>
      <c r="BG29" s="127" t="str">
        <f>IF(INDEX('Master Lookup'!$B$37:$B$47,$B29)=0,"",INDEX('Master Lookup'!$B$37:$B$47,$B29))</f>
        <v>Total Occupancy</v>
      </c>
      <c r="BH29" s="293">
        <f>IFERROR(INDEX('Master Lookup FY26'!C37:C47,MATCH(BG29,'Master Lookup FY26'!B37:B47,0)),"")</f>
        <v>6392.9174203826224</v>
      </c>
      <c r="BI29" s="254"/>
      <c r="BJ29" s="287">
        <f>IFERROR(BH29*BI16*BI22,0)</f>
        <v>63595.412082467526</v>
      </c>
      <c r="BL29" s="127" t="str">
        <f>IF(INDEX('Master Lookup'!$B$37:$B$47,$B29)=0,"",INDEX('Master Lookup'!$B$37:$B$47,$B29))</f>
        <v>Total Occupancy</v>
      </c>
      <c r="BM29" s="293">
        <f>IFERROR(INDEX('Master Lookup FY26'!C37:C47,MATCH(BL29,'Master Lookup FY26'!B37:B47,0)),"")</f>
        <v>6392.9174203826224</v>
      </c>
      <c r="BO29" s="287">
        <f>IFERROR(BM29*BN16*BN22,0)</f>
        <v>67128.490531493502</v>
      </c>
      <c r="BQ29" s="127" t="str">
        <f>IF(INDEX('Master Lookup'!$B$37:$B$47,$B29)=0,"",INDEX('Master Lookup'!$B$37:$B$47,$B29))</f>
        <v>Total Occupancy</v>
      </c>
      <c r="BR29" s="293">
        <f>IFERROR(INDEX('Master Lookup FY26'!C37:C47,MATCH(BQ29,'Master Lookup FY26'!B37:B47,0)),"")</f>
        <v>6392.9174203826224</v>
      </c>
      <c r="BT29" s="287">
        <f>IFERROR(BR29*BS16*BS22,0)</f>
        <v>70790.35137747995</v>
      </c>
      <c r="BV29" s="127" t="str">
        <f>IF(INDEX('Master Lookup'!$B$37:$B$47,$B29)=0,"",INDEX('Master Lookup'!$B$37:$B$47,$B29))</f>
        <v>Total Occupancy</v>
      </c>
      <c r="BW29" s="293">
        <f>IFERROR(INDEX('Master Lookup FY26'!C37:C47,MATCH(BV29,'Master Lookup FY26'!B37:B47,0)),"")</f>
        <v>6392.9174203826224</v>
      </c>
      <c r="BY29" s="287">
        <f>IFERROR(BW29*BX16*BX22,0)</f>
        <v>74161.320490693281</v>
      </c>
      <c r="CA29" s="127" t="str">
        <f>IF(INDEX('Master Lookup'!$B$37:$B$47,$B29)=0,"",INDEX('Master Lookup'!$B$37:$B$47,$B29))</f>
        <v>Total Occupancy</v>
      </c>
      <c r="CB29" s="293">
        <f>IFERROR(INDEX('Master Lookup FY26'!C37:C47,MATCH(CA29,'Master Lookup FY26'!B37:B47,0)),"")</f>
        <v>6392.9174203826224</v>
      </c>
      <c r="CD29" s="287">
        <f>IFERROR(CB29*CC16*CC22,0)</f>
        <v>77951.787982439826</v>
      </c>
      <c r="CF29" s="127" t="str">
        <f>IF(INDEX('Master Lookup'!$B$37:$B$47,$B29)=0,"",INDEX('Master Lookup'!$B$37:$B$47,$B29))</f>
        <v>Total Occupancy</v>
      </c>
      <c r="CG29" s="293">
        <f>IFERROR(INDEX('Master Lookup FY26'!C37:C47,MATCH(CF29,'Master Lookup FY26'!B37:B47,0)),"")</f>
        <v>6392.9174203826224</v>
      </c>
      <c r="CI29" s="287">
        <f>IFERROR(CG29*CH16*CH22,0)</f>
        <v>82482.936152200986</v>
      </c>
      <c r="CK29" s="127" t="str">
        <f>IF(INDEX('Master Lookup'!$B$37:$B$47,$B29)=0,"",INDEX('Master Lookup'!$B$37:$B$47,$B29))</f>
        <v>Total Occupancy</v>
      </c>
      <c r="CL29" s="293">
        <f>IFERROR(INDEX('Master Lookup FY26'!C37:C47,MATCH(CK29,'Master Lookup FY26'!B37:B47,0)),"")</f>
        <v>6392.9174203826224</v>
      </c>
      <c r="CN29" s="287">
        <f>IFERROR(CL29*CM16*CM22,0)</f>
        <v>87334.873572918703</v>
      </c>
      <c r="CP29" s="127" t="str">
        <f>IF(INDEX('Master Lookup'!$B$37:$B$47,$B29)=0,"",INDEX('Master Lookup'!$B$37:$B$47,$B29))</f>
        <v>Total Occupancy</v>
      </c>
      <c r="CQ29" s="293">
        <f>IFERROR(INDEX('Master Lookup FY26'!C37:C47,MATCH(CP29,'Master Lookup FY26'!B37:B47,0)),"")</f>
        <v>6392.9174203826224</v>
      </c>
      <c r="CS29" s="287">
        <f>IFERROR(CQ29*CR16*CR22,0)</f>
        <v>92186.810993636391</v>
      </c>
      <c r="CU29" s="127" t="str">
        <f>IF(INDEX('Master Lookup'!$B$37:$B$47,$B29)=0,"",INDEX('Master Lookup'!$B$37:$B$47,$B29))</f>
        <v>Total Occupancy</v>
      </c>
      <c r="CV29" s="293">
        <f>IFERROR(INDEX('Master Lookup FY26'!C37:C47,MATCH(CU29,'Master Lookup FY26'!B37:B47,0)),"")</f>
        <v>6392.9174203826224</v>
      </c>
      <c r="CX29" s="287">
        <f>IFERROR(CV29*CW16*CW22,0)</f>
        <v>97385.315372976809</v>
      </c>
      <c r="CZ29" s="127" t="str">
        <f>IF(INDEX('Master Lookup'!$B$37:$B$47,$B29)=0,"",INDEX('Master Lookup'!$B$37:$B$47,$B29))</f>
        <v>Total Occupancy</v>
      </c>
      <c r="DA29" s="293">
        <f>IFERROR(INDEX('Master Lookup FY26'!C37:C47,MATCH(CZ29,'Master Lookup FY26'!B37:B47,0)),"")</f>
        <v>6392.9174203826224</v>
      </c>
      <c r="DC29" s="287">
        <f>IFERROR(DA29*DB16*DB22,0)</f>
        <v>102624.39879494076</v>
      </c>
      <c r="DE29" s="127" t="str">
        <f>IF(INDEX('Master Lookup'!$B$37:$B$47,$B29)=0,"",INDEX('Master Lookup'!$B$37:$B$47,$B29))</f>
        <v>Total Occupancy</v>
      </c>
      <c r="DF29" s="293">
        <f>IFERROR(INDEX('Master Lookup FY26'!C37:C47,MATCH(DE29,'Master Lookup FY26'!B37:B47,0)),"")</f>
        <v>6392.9174203826224</v>
      </c>
      <c r="DH29" s="287">
        <f>IFERROR(DF29*DG16*DG22,0)</f>
        <v>108309.13225588498</v>
      </c>
      <c r="DJ29" s="127" t="str">
        <f>IF(INDEX('Master Lookup'!$B$37:$B$47,$B29)=0,"",INDEX('Master Lookup'!$B$37:$B$47,$B29))</f>
        <v>Total Occupancy</v>
      </c>
      <c r="DK29" s="293">
        <f>IFERROR(INDEX('Master Lookup FY26'!C37:C47,MATCH(DJ29,'Master Lookup FY26'!B37:B47,0)),"")</f>
        <v>6392.9174203826224</v>
      </c>
      <c r="DM29" s="287">
        <f>IFERROR(DK29*DL16*DL22,0)</f>
        <v>114094.99672358033</v>
      </c>
      <c r="DO29" s="127" t="str">
        <f>IF(INDEX('Master Lookup'!$B$37:$B$47,$B29)=0,"",INDEX('Master Lookup'!$B$37:$B$47,$B29))</f>
        <v>Total Occupancy</v>
      </c>
      <c r="DP29" s="293">
        <f>IFERROR(INDEX('Master Lookup FY26'!C37:C47,MATCH(DO29,'Master Lookup FY26'!B37:B47,0)),"")</f>
        <v>6392.9174203826224</v>
      </c>
      <c r="DR29" s="287">
        <f>IFERROR(DP29*DQ16*DQ22,0)</f>
        <v>120472.97790688604</v>
      </c>
    </row>
    <row r="30" spans="2:122" x14ac:dyDescent="0.25">
      <c r="B30" s="254">
        <v>2</v>
      </c>
      <c r="D30" s="127" t="str">
        <f>IF(INDEX('Master Lookup'!$B$37:$B$47,$B30)=0,"",INDEX('Master Lookup'!$B$37:$B$47,$B30))</f>
        <v>Staff Training 204</v>
      </c>
      <c r="E30" s="293">
        <f>IFERROR(INDEX('Master Lookup FY26'!C38:C48,MATCH(D30,'Master Lookup FY26'!B38:B48,0)),"")</f>
        <v>364.52871302241937</v>
      </c>
      <c r="G30" s="287">
        <f>IFERROR(E30*F16*F22,0)</f>
        <v>455.66089127802422</v>
      </c>
      <c r="I30" s="127" t="str">
        <f>IF(INDEX('Master Lookup'!$B$37:$B$47,$B30)=0,"",INDEX('Master Lookup'!$B$37:$B$47,$B30))</f>
        <v>Staff Training 204</v>
      </c>
      <c r="J30" s="293">
        <f>IFERROR(INDEX('Master Lookup FY26'!C38:C48,MATCH(I30,'Master Lookup FY26'!B38:B48,0)),"")</f>
        <v>364.52871302241937</v>
      </c>
      <c r="L30" s="287">
        <f>IFERROR(J30*K16*K22,0)</f>
        <v>911.32178255604845</v>
      </c>
      <c r="N30" s="127" t="str">
        <f>IF(INDEX('Master Lookup'!$B$37:$B$47,$B30)=0,"",INDEX('Master Lookup'!$B$37:$B$47,$B30))</f>
        <v>Staff Training 204</v>
      </c>
      <c r="O30" s="293">
        <f>IFERROR(INDEX('Master Lookup FY26'!C38:C48,MATCH(N30,'Master Lookup FY26'!B38:B48,0)),"")</f>
        <v>364.52871302241937</v>
      </c>
      <c r="Q30" s="287">
        <f>IFERROR(O30*P16*P22,0)</f>
        <v>1366.9826738340726</v>
      </c>
      <c r="S30" s="127" t="str">
        <f>IF(INDEX('Master Lookup'!$B$37:$B$47,$B30)=0,"",INDEX('Master Lookup'!$B$37:$B$47,$B30))</f>
        <v>Staff Training 204</v>
      </c>
      <c r="T30" s="1172">
        <f>IFERROR(INDEX('Master Lookup FY26'!C38:C48,MATCH(S30,'Master Lookup FY26'!B38:B48,0)),"")</f>
        <v>364.52871302241937</v>
      </c>
      <c r="U30" s="254"/>
      <c r="V30" s="287">
        <f>IFERROR(T30*U16*U22,0)</f>
        <v>1822.6435651120969</v>
      </c>
      <c r="X30" s="127" t="str">
        <f>IF(INDEX('Master Lookup'!$B$37:$B$47,$B30)=0,"",INDEX('Master Lookup'!$B$37:$B$47,$B30))</f>
        <v>Staff Training 204</v>
      </c>
      <c r="Y30" s="293">
        <f>IFERROR(INDEX('Master Lookup FY26'!C38:C48,MATCH(X30,'Master Lookup FY26'!B38:B48,0)),"")</f>
        <v>364.52871302241937</v>
      </c>
      <c r="Z30" s="254"/>
      <c r="AA30" s="287">
        <f>IFERROR(Y30*Z16*Z22,0)</f>
        <v>2004.9079216233067</v>
      </c>
      <c r="AC30" s="127" t="str">
        <f>IF(INDEX('Master Lookup'!$B$37:$B$47,$B30)=0,"",INDEX('Master Lookup'!$B$37:$B$47,$B30))</f>
        <v>Staff Training 204</v>
      </c>
      <c r="AD30" s="293">
        <f>IFERROR(INDEX('Master Lookup FY26'!C38:C48,MATCH(AC30,'Master Lookup FY26'!B38:B48,0)),"")</f>
        <v>364.52871302241937</v>
      </c>
      <c r="AE30" s="254"/>
      <c r="AF30" s="287">
        <f>IFERROR(AD30*AE16*AE22,0)</f>
        <v>2330.7054588870938</v>
      </c>
      <c r="AH30" s="127" t="str">
        <f>IF(INDEX('Master Lookup'!$B$37:$B$47,$B30)=0,"",INDEX('Master Lookup'!$B$37:$B$47,$B30))</f>
        <v>Staff Training 204</v>
      </c>
      <c r="AI30" s="293">
        <f>IFERROR(INDEX('Master Lookup FY26'!C38:C48,MATCH(AH30,'Master Lookup FY26'!B38:B49,0)),"")</f>
        <v>364.52871302241937</v>
      </c>
      <c r="AJ30" s="254"/>
      <c r="AK30" s="287">
        <f>IFERROR(AI30*AJ16*AJ22,0)</f>
        <v>2630.8720710164921</v>
      </c>
      <c r="AM30" s="127" t="str">
        <f>IF(INDEX('Master Lookup'!$B$37:$B$47,$B30)=0,"",INDEX('Master Lookup'!$B$37:$B$47,$B30))</f>
        <v>Staff Training 204</v>
      </c>
      <c r="AN30" s="293">
        <f>IFERROR(INDEX('Master Lookup FY26'!C38:C48,MATCH(AM30,'Master Lookup FY26'!B38:B48,0)),"")</f>
        <v>364.52871302241937</v>
      </c>
      <c r="AO30" s="254"/>
      <c r="AP30" s="287">
        <f>IFERROR(AN30*AO16*AO22,0)</f>
        <v>2881.4313158752057</v>
      </c>
      <c r="AR30" s="127" t="str">
        <f>IF(INDEX('Master Lookup'!$B$37:$B$47,$B30)=0,"",INDEX('Master Lookup'!$B$37:$B$47,$B30))</f>
        <v>Staff Training 204</v>
      </c>
      <c r="AS30" s="293">
        <f>IFERROR(INDEX('Master Lookup FY26'!C38:C48,MATCH(AR30,'Master Lookup FY26'!B38:B48,0)),"")</f>
        <v>364.52871302241937</v>
      </c>
      <c r="AT30" s="254"/>
      <c r="AU30" s="287">
        <f>IFERROR(AS30*AT16*AT22,0)</f>
        <v>3061.520773117406</v>
      </c>
      <c r="AW30" s="127" t="str">
        <f>IF(INDEX('Master Lookup'!$B$37:$B$47,$B30)=0,"",INDEX('Master Lookup'!$B$37:$B$47,$B30))</f>
        <v>Staff Training 204</v>
      </c>
      <c r="AX30" s="293">
        <f>IFERROR(INDEX('Master Lookup FY26'!C38:C48,MATCH(AW30,'Master Lookup FY26'!B38:B48,0)),"")</f>
        <v>364.52871302241937</v>
      </c>
      <c r="AY30" s="254"/>
      <c r="AZ30" s="287">
        <f>IFERROR(AX30*AY16*AY22,0)</f>
        <v>3246.3241103835744</v>
      </c>
      <c r="BB30" s="127" t="str">
        <f>IF(INDEX('Master Lookup'!$B$37:$B$47,$B30)=0,"",INDEX('Master Lookup'!$B$37:$B$47,$B30))</f>
        <v>Staff Training 204</v>
      </c>
      <c r="BC30" s="293">
        <f>IFERROR(INDEX('Master Lookup FY26'!C38:C48,MATCH(BB30,'Master Lookup FY26'!B38:B48,0)),"")</f>
        <v>364.52871302241937</v>
      </c>
      <c r="BD30" s="254"/>
      <c r="BE30" s="287">
        <f>IFERROR(BC30*BD16*BD22,0)</f>
        <v>3408.6403159027527</v>
      </c>
      <c r="BG30" s="127" t="str">
        <f>IF(INDEX('Master Lookup'!$B$37:$B$47,$B30)=0,"",INDEX('Master Lookup'!$B$37:$B$47,$B30))</f>
        <v>Staff Training 204</v>
      </c>
      <c r="BH30" s="293">
        <f>IFERROR(INDEX('Master Lookup FY26'!C38:C48,MATCH(BG30,'Master Lookup FY26'!B38:B48,0)),"")</f>
        <v>364.52871302241937</v>
      </c>
      <c r="BI30" s="254"/>
      <c r="BJ30" s="287">
        <f>IFERROR(BH30*BI16*BI22,0)</f>
        <v>3626.2557759059587</v>
      </c>
      <c r="BL30" s="127" t="str">
        <f>IF(INDEX('Master Lookup'!$B$37:$B$47,$B30)=0,"",INDEX('Master Lookup'!$B$37:$B$47,$B30))</f>
        <v>Staff Training 204</v>
      </c>
      <c r="BM30" s="293">
        <f>IFERROR(INDEX('Master Lookup FY26'!C38:C48,MATCH(BL30,'Master Lookup FY26'!B38:B48,0)),"")</f>
        <v>364.52871302241937</v>
      </c>
      <c r="BO30" s="287">
        <f>IFERROR(BM30*BN16*BN22,0)</f>
        <v>3827.7144301229564</v>
      </c>
      <c r="BQ30" s="127" t="str">
        <f>IF(INDEX('Master Lookup'!$B$37:$B$47,$B30)=0,"",INDEX('Master Lookup'!$B$37:$B$47,$B30))</f>
        <v>Staff Training 204</v>
      </c>
      <c r="BR30" s="293">
        <f>IFERROR(INDEX('Master Lookup FY26'!C38:C48,MATCH(BQ30,'Master Lookup FY26'!B38:B48,0)),"")</f>
        <v>364.52871302241937</v>
      </c>
      <c r="BT30" s="287">
        <f>IFERROR(BR30*BS16*BS22,0)</f>
        <v>4036.5163485082462</v>
      </c>
      <c r="BV30" s="127" t="str">
        <f>IF(INDEX('Master Lookup'!$B$37:$B$47,$B30)=0,"",INDEX('Master Lookup'!$B$37:$B$47,$B30))</f>
        <v>Staff Training 204</v>
      </c>
      <c r="BW30" s="293">
        <f>IFERROR(INDEX('Master Lookup FY26'!C38:C48,MATCH(BV30,'Master Lookup FY26'!B38:B48,0)),"")</f>
        <v>364.52871302241937</v>
      </c>
      <c r="BY30" s="287">
        <f>IFERROR(BW30*BX16*BX22,0)</f>
        <v>4228.7314127229238</v>
      </c>
      <c r="CA30" s="127" t="str">
        <f>IF(INDEX('Master Lookup'!$B$37:$B$47,$B30)=0,"",INDEX('Master Lookup'!$B$37:$B$47,$B30))</f>
        <v>Staff Training 204</v>
      </c>
      <c r="CB30" s="293">
        <f>IFERROR(INDEX('Master Lookup FY26'!C38:C48,MATCH(CA30,'Master Lookup FY26'!B38:B48,0)),"")</f>
        <v>364.52871302241937</v>
      </c>
      <c r="CD30" s="287">
        <f>IFERROR(CB30*CC16*CC22,0)</f>
        <v>4444.8665738176514</v>
      </c>
      <c r="CF30" s="127" t="str">
        <f>IF(INDEX('Master Lookup'!$B$37:$B$47,$B30)=0,"",INDEX('Master Lookup'!$B$37:$B$47,$B30))</f>
        <v>Staff Training 204</v>
      </c>
      <c r="CG30" s="293">
        <f>IFERROR(INDEX('Master Lookup FY26'!C38:C48,MATCH(CF30,'Master Lookup FY26'!B38:B48,0)),"")</f>
        <v>364.52871302241937</v>
      </c>
      <c r="CI30" s="287">
        <f>IFERROR(CG30*CH16*CH22,0)</f>
        <v>4703.235875690797</v>
      </c>
      <c r="CK30" s="127" t="str">
        <f>IF(INDEX('Master Lookup'!$B$37:$B$47,$B30)=0,"",INDEX('Master Lookup'!$B$37:$B$47,$B30))</f>
        <v>Staff Training 204</v>
      </c>
      <c r="CL30" s="293">
        <f>IFERROR(INDEX('Master Lookup FY26'!C38:C48,MATCH(CK30,'Master Lookup FY26'!B38:B48,0)),"")</f>
        <v>364.52871302241937</v>
      </c>
      <c r="CN30" s="287">
        <f>IFERROR(CL30*CM16*CM22,0)</f>
        <v>4979.8968095549608</v>
      </c>
      <c r="CP30" s="127" t="str">
        <f>IF(INDEX('Master Lookup'!$B$37:$B$47,$B30)=0,"",INDEX('Master Lookup'!$B$37:$B$47,$B30))</f>
        <v>Staff Training 204</v>
      </c>
      <c r="CQ30" s="293">
        <f>IFERROR(INDEX('Master Lookup FY26'!C38:C48,MATCH(CP30,'Master Lookup FY26'!B38:B48,0)),"")</f>
        <v>364.52871302241937</v>
      </c>
      <c r="CS30" s="287">
        <f>IFERROR(CQ30*CR16*CR22,0)</f>
        <v>5256.5577434191264</v>
      </c>
      <c r="CU30" s="127" t="str">
        <f>IF(INDEX('Master Lookup'!$B$37:$B$47,$B30)=0,"",INDEX('Master Lookup'!$B$37:$B$47,$B30))</f>
        <v>Staff Training 204</v>
      </c>
      <c r="CV30" s="293">
        <f>IFERROR(INDEX('Master Lookup FY26'!C38:C48,MATCH(CU30,'Master Lookup FY26'!B38:B48,0)),"")</f>
        <v>364.52871302241937</v>
      </c>
      <c r="CX30" s="287">
        <f>IFERROR(CV30*CW16*CW22,0)</f>
        <v>5552.9801725593024</v>
      </c>
      <c r="CZ30" s="127" t="str">
        <f>IF(INDEX('Master Lookup'!$B$37:$B$47,$B30)=0,"",INDEX('Master Lookup'!$B$37:$B$47,$B30))</f>
        <v>Staff Training 204</v>
      </c>
      <c r="DA30" s="293">
        <f>IFERROR(INDEX('Master Lookup FY26'!C38:C48,MATCH(CZ30,'Master Lookup FY26'!B38:B48,0)),"")</f>
        <v>364.52871302241937</v>
      </c>
      <c r="DC30" s="287">
        <f>IFERROR(DA30*DB16*DB22,0)</f>
        <v>5851.7164476653415</v>
      </c>
      <c r="DE30" s="127" t="str">
        <f>IF(INDEX('Master Lookup'!$B$37:$B$47,$B30)=0,"",INDEX('Master Lookup'!$B$37:$B$47,$B30))</f>
        <v>Staff Training 204</v>
      </c>
      <c r="DF30" s="293">
        <f>IFERROR(INDEX('Master Lookup FY26'!C38:C48,MATCH(DE30,'Master Lookup FY26'!B38:B48,0)),"")</f>
        <v>364.52871302241937</v>
      </c>
      <c r="DH30" s="287">
        <f>IFERROR(DF30*DG16*DG22,0)</f>
        <v>6175.8640059908266</v>
      </c>
      <c r="DJ30" s="127" t="str">
        <f>IF(INDEX('Master Lookup'!$B$37:$B$47,$B30)=0,"",INDEX('Master Lookup'!$B$37:$B$47,$B30))</f>
        <v>Staff Training 204</v>
      </c>
      <c r="DK30" s="293">
        <f>IFERROR(INDEX('Master Lookup FY26'!C38:C48,MATCH(DJ30,'Master Lookup FY26'!B38:B48,0)),"")</f>
        <v>364.52871302241937</v>
      </c>
      <c r="DM30" s="287">
        <f>IFERROR(DK30*DL16*DL22,0)</f>
        <v>6505.7781264840169</v>
      </c>
      <c r="DO30" s="127" t="str">
        <f>IF(INDEX('Master Lookup'!$B$37:$B$47,$B30)=0,"",INDEX('Master Lookup'!$B$37:$B$47,$B30))</f>
        <v>Staff Training 204</v>
      </c>
      <c r="DP30" s="293">
        <f>IFERROR(INDEX('Master Lookup FY26'!C38:C48,MATCH(DO30,'Master Lookup FY26'!B38:B48,0)),"")</f>
        <v>364.52871302241937</v>
      </c>
      <c r="DR30" s="287">
        <f>IFERROR(DP30*DQ16*DQ22,0)</f>
        <v>6869.455164610451</v>
      </c>
    </row>
    <row r="31" spans="2:122" x14ac:dyDescent="0.25">
      <c r="B31" s="254">
        <v>3</v>
      </c>
      <c r="D31" s="127" t="str">
        <f>IF(INDEX('Master Lookup'!$B$37:$B$47,$B31)=0,"",INDEX('Master Lookup'!$B$37:$B$47,$B31))</f>
        <v>Staff Mileage / Travel 205</v>
      </c>
      <c r="E31" s="293">
        <f>IFERROR(INDEX('Master Lookup FY26'!C39:C49,MATCH(D31,'Master Lookup FY26'!B39:B49,0)),"")</f>
        <v>1059.8793475070393</v>
      </c>
      <c r="G31" s="287">
        <f>IFERROR(E31*F16*F22,0)</f>
        <v>1324.8491843837992</v>
      </c>
      <c r="I31" s="127" t="str">
        <f>IF(INDEX('Master Lookup'!$B$37:$B$47,$B31)=0,"",INDEX('Master Lookup'!$B$37:$B$47,$B31))</f>
        <v>Staff Mileage / Travel 205</v>
      </c>
      <c r="J31" s="293">
        <f>IFERROR(INDEX('Master Lookup FY26'!C39:C49,MATCH(I31,'Master Lookup FY26'!B39:B49,0)),"")</f>
        <v>1059.8793475070393</v>
      </c>
      <c r="L31" s="287">
        <f>IFERROR(J31*K16*K22,0)</f>
        <v>2649.6983687675984</v>
      </c>
      <c r="N31" s="127" t="str">
        <f>IF(INDEX('Master Lookup'!$B$37:$B$47,$B31)=0,"",INDEX('Master Lookup'!$B$37:$B$47,$B31))</f>
        <v>Staff Mileage / Travel 205</v>
      </c>
      <c r="O31" s="293">
        <f>IFERROR(INDEX('Master Lookup FY26'!C39:C49,MATCH(N31,'Master Lookup FY26'!B39:B49,0)),"")</f>
        <v>1059.8793475070393</v>
      </c>
      <c r="Q31" s="287">
        <f>IFERROR(O31*P16*P22,0)</f>
        <v>3974.5475531513971</v>
      </c>
      <c r="S31" s="127" t="str">
        <f>IF(INDEX('Master Lookup'!$B$37:$B$47,$B31)=0,"",INDEX('Master Lookup'!$B$37:$B$47,$B31))</f>
        <v>Staff Mileage / Travel 205</v>
      </c>
      <c r="T31" s="1172">
        <f>IFERROR(INDEX('Master Lookup FY26'!C39:C49,MATCH(S31,'Master Lookup FY26'!B39:B49,0)),"")</f>
        <v>1059.8793475070393</v>
      </c>
      <c r="U31" s="254"/>
      <c r="V31" s="287">
        <f>IFERROR(T31*U16*U22,0)</f>
        <v>5299.3967375351967</v>
      </c>
      <c r="X31" s="127" t="str">
        <f>IF(INDEX('Master Lookup'!$B$37:$B$47,$B31)=0,"",INDEX('Master Lookup'!$B$37:$B$47,$B31))</f>
        <v>Staff Mileage / Travel 205</v>
      </c>
      <c r="Y31" s="293">
        <f>IFERROR(INDEX('Master Lookup FY26'!C39:C49,MATCH(X31,'Master Lookup FY26'!B39:B49,0)),"")</f>
        <v>1059.8793475070393</v>
      </c>
      <c r="Z31" s="254"/>
      <c r="AA31" s="287">
        <f>IFERROR(Y31*Z16*Z22,0)</f>
        <v>5829.3364112887166</v>
      </c>
      <c r="AC31" s="127" t="str">
        <f>IF(INDEX('Master Lookup'!$B$37:$B$47,$B31)=0,"",INDEX('Master Lookup'!$B$37:$B$47,$B31))</f>
        <v>Staff Mileage / Travel 205</v>
      </c>
      <c r="AD31" s="293">
        <f>IFERROR(INDEX('Master Lookup FY26'!C39:C49,MATCH(AC31,'Master Lookup FY26'!B39:B49,0)),"")</f>
        <v>1059.8793475070393</v>
      </c>
      <c r="AE31" s="254"/>
      <c r="AF31" s="287">
        <f>IFERROR(AD31*AE16*AE22,0)</f>
        <v>6776.6035781231321</v>
      </c>
      <c r="AH31" s="127" t="str">
        <f>IF(INDEX('Master Lookup'!$B$37:$B$47,$B31)=0,"",INDEX('Master Lookup'!$B$37:$B$47,$B31))</f>
        <v>Staff Mileage / Travel 205</v>
      </c>
      <c r="AI31" s="293">
        <f>IFERROR(INDEX('Master Lookup FY26'!C39:C49,MATCH(AH31,'Master Lookup FY26'!B39:B50,0)),"")</f>
        <v>1059.8793475070393</v>
      </c>
      <c r="AJ31" s="254"/>
      <c r="AK31" s="287">
        <f>IFERROR(AI31*AJ16*AJ22,0)</f>
        <v>7649.3479783359589</v>
      </c>
      <c r="AM31" s="127" t="str">
        <f>IF(INDEX('Master Lookup'!$B$37:$B$47,$B31)=0,"",INDEX('Master Lookup'!$B$37:$B$47,$B31))</f>
        <v>Staff Mileage / Travel 205</v>
      </c>
      <c r="AN31" s="293">
        <f>IFERROR(INDEX('Master Lookup FY26'!C39:C49,MATCH(AM31,'Master Lookup FY26'!B39:B49,0)),"")</f>
        <v>1059.8793475070393</v>
      </c>
      <c r="AO31" s="254"/>
      <c r="AP31" s="287">
        <f>IFERROR(AN31*AO16*AO22,0)</f>
        <v>8377.8573096060518</v>
      </c>
      <c r="AR31" s="127" t="str">
        <f>IF(INDEX('Master Lookup'!$B$37:$B$47,$B31)=0,"",INDEX('Master Lookup'!$B$37:$B$47,$B31))</f>
        <v>Staff Mileage / Travel 205</v>
      </c>
      <c r="AS31" s="293">
        <f>IFERROR(INDEX('Master Lookup FY26'!C39:C49,MATCH(AR31,'Master Lookup FY26'!B39:B49,0)),"")</f>
        <v>1059.8793475070393</v>
      </c>
      <c r="AT31" s="254"/>
      <c r="AU31" s="287">
        <f>IFERROR(AS31*AT16*AT22,0)</f>
        <v>8901.4733914564295</v>
      </c>
      <c r="AW31" s="127" t="str">
        <f>IF(INDEX('Master Lookup'!$B$37:$B$47,$B31)=0,"",INDEX('Master Lookup'!$B$37:$B$47,$B31))</f>
        <v>Staff Mileage / Travel 205</v>
      </c>
      <c r="AX31" s="293">
        <f>IFERROR(INDEX('Master Lookup FY26'!C39:C49,MATCH(AW31,'Master Lookup FY26'!B39:B49,0)),"")</f>
        <v>1059.8793475070393</v>
      </c>
      <c r="AY31" s="254"/>
      <c r="AZ31" s="287">
        <f>IFERROR(AX31*AY16*AY22,0)</f>
        <v>9438.795236133019</v>
      </c>
      <c r="BB31" s="127" t="str">
        <f>IF(INDEX('Master Lookup'!$B$37:$B$47,$B31)=0,"",INDEX('Master Lookup'!$B$37:$B$47,$B31))</f>
        <v>Staff Mileage / Travel 205</v>
      </c>
      <c r="BC31" s="293">
        <f>IFERROR(INDEX('Master Lookup FY26'!C39:C49,MATCH(BB31,'Master Lookup FY26'!B39:B49,0)),"")</f>
        <v>1059.8793475070393</v>
      </c>
      <c r="BD31" s="254"/>
      <c r="BE31" s="287">
        <f>IFERROR(BC31*BD16*BD22,0)</f>
        <v>9910.7349979396695</v>
      </c>
      <c r="BG31" s="127" t="str">
        <f>IF(INDEX('Master Lookup'!$B$37:$B$47,$B31)=0,"",INDEX('Master Lookup'!$B$37:$B$47,$B31))</f>
        <v>Staff Mileage / Travel 205</v>
      </c>
      <c r="BH31" s="293">
        <f>IFERROR(INDEX('Master Lookup FY26'!C39:C49,MATCH(BG31,'Master Lookup FY26'!B39:B49,0)),"")</f>
        <v>1059.8793475070393</v>
      </c>
      <c r="BI31" s="254"/>
      <c r="BJ31" s="287">
        <f>IFERROR(BH31*BI16*BI22,0)</f>
        <v>10543.459179920519</v>
      </c>
      <c r="BL31" s="127" t="str">
        <f>IF(INDEX('Master Lookup'!$B$37:$B$47,$B31)=0,"",INDEX('Master Lookup'!$B$37:$B$47,$B31))</f>
        <v>Staff Mileage / Travel 205</v>
      </c>
      <c r="BM31" s="293">
        <f>IFERROR(INDEX('Master Lookup FY26'!C39:C49,MATCH(BL31,'Master Lookup FY26'!B39:B49,0)),"")</f>
        <v>1059.8793475070393</v>
      </c>
      <c r="BO31" s="287">
        <f>IFERROR(BM31*BN16*BN22,0)</f>
        <v>11129.206912138327</v>
      </c>
      <c r="BQ31" s="127" t="str">
        <f>IF(INDEX('Master Lookup'!$B$37:$B$47,$B31)=0,"",INDEX('Master Lookup'!$B$37:$B$47,$B31))</f>
        <v>Staff Mileage / Travel 205</v>
      </c>
      <c r="BR31" s="293">
        <f>IFERROR(INDEX('Master Lookup FY26'!C39:C49,MATCH(BQ31,'Master Lookup FY26'!B39:B49,0)),"")</f>
        <v>1059.8793475070393</v>
      </c>
      <c r="BT31" s="287">
        <f>IFERROR(BR31*BS16*BS22,0)</f>
        <v>11736.305428964373</v>
      </c>
      <c r="BV31" s="127" t="str">
        <f>IF(INDEX('Master Lookup'!$B$37:$B$47,$B31)=0,"",INDEX('Master Lookup'!$B$37:$B$47,$B31))</f>
        <v>Staff Mileage / Travel 205</v>
      </c>
      <c r="BW31" s="293">
        <f>IFERROR(INDEX('Master Lookup FY26'!C39:C49,MATCH(BV31,'Master Lookup FY26'!B39:B49,0)),"")</f>
        <v>1059.8793475070393</v>
      </c>
      <c r="BY31" s="287">
        <f>IFERROR(BW31*BX16*BX22,0)</f>
        <v>12295.177116057914</v>
      </c>
      <c r="CA31" s="127" t="str">
        <f>IF(INDEX('Master Lookup'!$B$37:$B$47,$B31)=0,"",INDEX('Master Lookup'!$B$37:$B$47,$B31))</f>
        <v>Staff Mileage / Travel 205</v>
      </c>
      <c r="CB31" s="293">
        <f>IFERROR(INDEX('Master Lookup FY26'!C39:C49,MATCH(CA31,'Master Lookup FY26'!B39:B49,0)),"")</f>
        <v>1059.8793475070393</v>
      </c>
      <c r="CD31" s="287">
        <f>IFERROR(CB31*CC16*CC22,0)</f>
        <v>12923.597279767542</v>
      </c>
      <c r="CF31" s="127" t="str">
        <f>IF(INDEX('Master Lookup'!$B$37:$B$47,$B31)=0,"",INDEX('Master Lookup'!$B$37:$B$47,$B31))</f>
        <v>Staff Mileage / Travel 205</v>
      </c>
      <c r="CG31" s="293">
        <f>IFERROR(INDEX('Master Lookup FY26'!C39:C49,MATCH(CF31,'Master Lookup FY26'!B39:B49,0)),"")</f>
        <v>1059.8793475070393</v>
      </c>
      <c r="CI31" s="287">
        <f>IFERROR(CG31*CH16*CH22,0)</f>
        <v>13674.814611358966</v>
      </c>
      <c r="CK31" s="127" t="str">
        <f>IF(INDEX('Master Lookup'!$B$37:$B$47,$B31)=0,"",INDEX('Master Lookup'!$B$37:$B$47,$B31))</f>
        <v>Staff Mileage / Travel 205</v>
      </c>
      <c r="CL31" s="293">
        <f>IFERROR(INDEX('Master Lookup FY26'!C39:C49,MATCH(CK31,'Master Lookup FY26'!B39:B49,0)),"")</f>
        <v>1059.8793475070393</v>
      </c>
      <c r="CN31" s="287">
        <f>IFERROR(CL31*CM16*CM22,0)</f>
        <v>14479.215470850671</v>
      </c>
      <c r="CP31" s="127" t="str">
        <f>IF(INDEX('Master Lookup'!$B$37:$B$47,$B31)=0,"",INDEX('Master Lookup'!$B$37:$B$47,$B31))</f>
        <v>Staff Mileage / Travel 205</v>
      </c>
      <c r="CQ31" s="293">
        <f>IFERROR(INDEX('Master Lookup FY26'!C39:C49,MATCH(CP31,'Master Lookup FY26'!B39:B49,0)),"")</f>
        <v>1059.8793475070393</v>
      </c>
      <c r="CS31" s="287">
        <f>IFERROR(CQ31*CR16*CR22,0)</f>
        <v>15283.616330342375</v>
      </c>
      <c r="CU31" s="127" t="str">
        <f>IF(INDEX('Master Lookup'!$B$37:$B$47,$B31)=0,"",INDEX('Master Lookup'!$B$37:$B$47,$B31))</f>
        <v>Staff Mileage / Travel 205</v>
      </c>
      <c r="CV31" s="293">
        <f>IFERROR(INDEX('Master Lookup FY26'!C39:C49,MATCH(CU31,'Master Lookup FY26'!B39:B49,0)),"")</f>
        <v>1059.8793475070393</v>
      </c>
      <c r="CX31" s="287">
        <f>IFERROR(CV31*CW16*CW22,0)</f>
        <v>16145.474394083489</v>
      </c>
      <c r="CZ31" s="127" t="str">
        <f>IF(INDEX('Master Lookup'!$B$37:$B$47,$B31)=0,"",INDEX('Master Lookup'!$B$37:$B$47,$B31))</f>
        <v>Staff Mileage / Travel 205</v>
      </c>
      <c r="DA31" s="293">
        <f>IFERROR(INDEX('Master Lookup FY26'!C39:C49,MATCH(CZ31,'Master Lookup FY26'!B39:B49,0)),"")</f>
        <v>1059.8793475070393</v>
      </c>
      <c r="DC31" s="287">
        <f>IFERROR(DA31*DB16*DB22,0)</f>
        <v>17014.060041866462</v>
      </c>
      <c r="DE31" s="127" t="str">
        <f>IF(INDEX('Master Lookup'!$B$37:$B$47,$B31)=0,"",INDEX('Master Lookup'!$B$37:$B$47,$B31))</f>
        <v>Staff Mileage / Travel 205</v>
      </c>
      <c r="DF31" s="293">
        <f>IFERROR(INDEX('Master Lookup FY26'!C39:C49,MATCH(DE31,'Master Lookup FY26'!B39:B49,0)),"")</f>
        <v>1059.8793475070393</v>
      </c>
      <c r="DH31" s="287">
        <f>IFERROR(DF31*DG16*DG22,0)</f>
        <v>17956.529840103962</v>
      </c>
      <c r="DJ31" s="127" t="str">
        <f>IF(INDEX('Master Lookup'!$B$37:$B$47,$B31)=0,"",INDEX('Master Lookup'!$B$37:$B$47,$B31))</f>
        <v>Staff Mileage / Travel 205</v>
      </c>
      <c r="DK31" s="293">
        <f>IFERROR(INDEX('Master Lookup FY26'!C39:C49,MATCH(DJ31,'Master Lookup FY26'!B39:B49,0)),"")</f>
        <v>1059.8793475070393</v>
      </c>
      <c r="DM31" s="287">
        <f>IFERROR(DK31*DL16*DL22,0)</f>
        <v>18915.766109484408</v>
      </c>
      <c r="DO31" s="127" t="str">
        <f>IF(INDEX('Master Lookup'!$B$37:$B$47,$B31)=0,"",INDEX('Master Lookup'!$B$37:$B$47,$B31))</f>
        <v>Staff Mileage / Travel 205</v>
      </c>
      <c r="DP31" s="293">
        <f>IFERROR(INDEX('Master Lookup FY26'!C39:C49,MATCH(DO31,'Master Lookup FY26'!B39:B49,0)),"")</f>
        <v>1059.8793475070393</v>
      </c>
      <c r="DR31" s="287">
        <f>IFERROR(DP31*DQ16*DQ22,0)</f>
        <v>19973.169183927632</v>
      </c>
    </row>
    <row r="32" spans="2:122" x14ac:dyDescent="0.25">
      <c r="B32" s="254">
        <v>4</v>
      </c>
      <c r="D32" s="127" t="str">
        <f>IF(INDEX('Master Lookup'!$B$37:$B$47,$B32)=0,"",INDEX('Master Lookup'!$B$37:$B$47,$B32))</f>
        <v>Program Supplies &amp; Materials 215</v>
      </c>
      <c r="E32" s="293">
        <f>IFERROR(INDEX('Master Lookup FY26'!C40:C50,MATCH(D32,'Master Lookup FY26'!B40:B50,0)),"")</f>
        <v>2947.5899663350119</v>
      </c>
      <c r="G32" s="287">
        <f>IFERROR(E32*F16*F22,0)</f>
        <v>3684.4874579187649</v>
      </c>
      <c r="I32" s="127" t="str">
        <f>IF(INDEX('Master Lookup'!$B$37:$B$47,$B32)=0,"",INDEX('Master Lookup'!$B$37:$B$47,$B32))</f>
        <v>Program Supplies &amp; Materials 215</v>
      </c>
      <c r="J32" s="293">
        <f>IFERROR(INDEX('Master Lookup FY26'!C40:C50,MATCH(I32,'Master Lookup FY26'!B40:B50,0)),"")</f>
        <v>2947.5899663350119</v>
      </c>
      <c r="L32" s="287">
        <f>IFERROR(J32*K16*K22,0)</f>
        <v>7368.9749158375298</v>
      </c>
      <c r="N32" s="127" t="str">
        <f>IF(INDEX('Master Lookup'!$B$37:$B$47,$B32)=0,"",INDEX('Master Lookup'!$B$37:$B$47,$B32))</f>
        <v>Program Supplies &amp; Materials 215</v>
      </c>
      <c r="O32" s="293">
        <f>IFERROR(INDEX('Master Lookup FY26'!C40:C50,MATCH(N32,'Master Lookup FY26'!B40:B50,0)),"")</f>
        <v>2947.5899663350119</v>
      </c>
      <c r="Q32" s="287">
        <f>IFERROR(O32*P16*P22,0)</f>
        <v>11053.462373756294</v>
      </c>
      <c r="S32" s="127" t="str">
        <f>IF(INDEX('Master Lookup'!$B$37:$B$47,$B32)=0,"",INDEX('Master Lookup'!$B$37:$B$47,$B32))</f>
        <v>Program Supplies &amp; Materials 215</v>
      </c>
      <c r="T32" s="1172">
        <f>IFERROR(INDEX('Master Lookup FY26'!C40:C50,MATCH(S32,'Master Lookup FY26'!B40:B50,0)),"")</f>
        <v>2947.5899663350119</v>
      </c>
      <c r="U32" s="254"/>
      <c r="V32" s="287">
        <f>IFERROR(T32*U16*U22,0)</f>
        <v>14737.94983167506</v>
      </c>
      <c r="X32" s="127" t="str">
        <f>IF(INDEX('Master Lookup'!$B$37:$B$47,$B32)=0,"",INDEX('Master Lookup'!$B$37:$B$47,$B32))</f>
        <v>Program Supplies &amp; Materials 215</v>
      </c>
      <c r="Y32" s="293">
        <f>IFERROR(INDEX('Master Lookup FY26'!C40:C50,MATCH(X32,'Master Lookup FY26'!B40:B50,0)),"")</f>
        <v>2947.5899663350119</v>
      </c>
      <c r="Z32" s="254"/>
      <c r="AA32" s="287">
        <f>IFERROR(Y32*Z16*Z22,0)</f>
        <v>16211.744814842566</v>
      </c>
      <c r="AC32" s="127" t="str">
        <f>IF(INDEX('Master Lookup'!$B$37:$B$47,$B32)=0,"",INDEX('Master Lookup'!$B$37:$B$47,$B32))</f>
        <v>Program Supplies &amp; Materials 215</v>
      </c>
      <c r="AD32" s="293">
        <f>IFERROR(INDEX('Master Lookup FY26'!C40:C50,MATCH(AC32,'Master Lookup FY26'!B40:B50,0)),"")</f>
        <v>2947.5899663350119</v>
      </c>
      <c r="AE32" s="254"/>
      <c r="AF32" s="287">
        <f>IFERROR(AD32*AE16*AE22,0)</f>
        <v>18846.153347254483</v>
      </c>
      <c r="AH32" s="127" t="str">
        <f>IF(INDEX('Master Lookup'!$B$37:$B$47,$B32)=0,"",INDEX('Master Lookup'!$B$37:$B$47,$B32))</f>
        <v>Program Supplies &amp; Materials 215</v>
      </c>
      <c r="AI32" s="293">
        <f>IFERROR(INDEX('Master Lookup FY26'!C40:C50,MATCH(AH32,'Master Lookup FY26'!B40:B51,0)),"")</f>
        <v>2947.5899663350119</v>
      </c>
      <c r="AJ32" s="254"/>
      <c r="AK32" s="287">
        <f>IFERROR(AI32*AJ16*AJ22,0)</f>
        <v>21273.309460158463</v>
      </c>
      <c r="AM32" s="127" t="str">
        <f>IF(INDEX('Master Lookup'!$B$37:$B$47,$B32)=0,"",INDEX('Master Lookup'!$B$37:$B$47,$B32))</f>
        <v>Program Supplies &amp; Materials 215</v>
      </c>
      <c r="AN32" s="293">
        <f>IFERROR(INDEX('Master Lookup FY26'!C40:C50,MATCH(AM32,'Master Lookup FY26'!B40:B50,0)),"")</f>
        <v>2947.5899663350119</v>
      </c>
      <c r="AO32" s="254"/>
      <c r="AP32" s="287">
        <f>IFERROR(AN32*AO16*AO22,0)</f>
        <v>23299.338932554514</v>
      </c>
      <c r="AR32" s="127" t="str">
        <f>IF(INDEX('Master Lookup'!$B$37:$B$47,$B32)=0,"",INDEX('Master Lookup'!$B$37:$B$47,$B32))</f>
        <v>Program Supplies &amp; Materials 215</v>
      </c>
      <c r="AS32" s="293">
        <f>IFERROR(INDEX('Master Lookup FY26'!C40:C50,MATCH(AR32,'Master Lookup FY26'!B40:B50,0)),"")</f>
        <v>2947.5899663350119</v>
      </c>
      <c r="AT32" s="254"/>
      <c r="AU32" s="287">
        <f>IFERROR(AS32*AT16*AT22,0)</f>
        <v>24755.547615839172</v>
      </c>
      <c r="AW32" s="127" t="str">
        <f>IF(INDEX('Master Lookup'!$B$37:$B$47,$B32)=0,"",INDEX('Master Lookup'!$B$37:$B$47,$B32))</f>
        <v>Program Supplies &amp; Materials 215</v>
      </c>
      <c r="AX32" s="293">
        <f>IFERROR(INDEX('Master Lookup FY26'!C40:C50,MATCH(AW32,'Master Lookup FY26'!B40:B50,0)),"")</f>
        <v>2947.5899663350119</v>
      </c>
      <c r="AY32" s="254"/>
      <c r="AZ32" s="287">
        <f>IFERROR(AX32*AY16*AY22,0)</f>
        <v>26249.872872564501</v>
      </c>
      <c r="BB32" s="127" t="str">
        <f>IF(INDEX('Master Lookup'!$B$37:$B$47,$B32)=0,"",INDEX('Master Lookup'!$B$37:$B$47,$B32))</f>
        <v>Program Supplies &amp; Materials 215</v>
      </c>
      <c r="BC32" s="293">
        <f>IFERROR(INDEX('Master Lookup FY26'!C40:C50,MATCH(BB32,'Master Lookup FY26'!B40:B50,0)),"")</f>
        <v>2947.5899663350119</v>
      </c>
      <c r="BD32" s="254"/>
      <c r="BE32" s="287">
        <f>IFERROR(BC32*BD16*BD22,0)</f>
        <v>27562.366516192727</v>
      </c>
      <c r="BG32" s="127" t="str">
        <f>IF(INDEX('Master Lookup'!$B$37:$B$47,$B32)=0,"",INDEX('Master Lookup'!$B$37:$B$47,$B32))</f>
        <v>Program Supplies &amp; Materials 215</v>
      </c>
      <c r="BH32" s="293">
        <f>IFERROR(INDEX('Master Lookup FY26'!C40:C50,MATCH(BG32,'Master Lookup FY26'!B40:B50,0)),"")</f>
        <v>2947.5899663350119</v>
      </c>
      <c r="BI32" s="254"/>
      <c r="BJ32" s="287">
        <f>IFERROR(BH32*BI16*BI22,0)</f>
        <v>29322.011568859343</v>
      </c>
      <c r="BL32" s="127" t="str">
        <f>IF(INDEX('Master Lookup'!$B$37:$B$47,$B32)=0,"",INDEX('Master Lookup'!$B$37:$B$47,$B32))</f>
        <v>Program Supplies &amp; Materials 215</v>
      </c>
      <c r="BM32" s="293">
        <f>IFERROR(INDEX('Master Lookup FY26'!C40:C50,MATCH(BL32,'Master Lookup FY26'!B40:B50,0)),"")</f>
        <v>2947.5899663350119</v>
      </c>
      <c r="BO32" s="287">
        <f>IFERROR(BM32*BN16*BN22,0)</f>
        <v>30951.01221157375</v>
      </c>
      <c r="BQ32" s="127" t="str">
        <f>IF(INDEX('Master Lookup'!$B$37:$B$47,$B32)=0,"",INDEX('Master Lookup'!$B$37:$B$47,$B32))</f>
        <v>Program Supplies &amp; Materials 215</v>
      </c>
      <c r="BR32" s="293">
        <f>IFERROR(INDEX('Master Lookup FY26'!C40:C50,MATCH(BQ32,'Master Lookup FY26'!B40:B50,0)),"")</f>
        <v>2947.5899663350119</v>
      </c>
      <c r="BT32" s="287">
        <f>IFERROR(BR32*BS16*BS22,0)</f>
        <v>32639.3907057697</v>
      </c>
      <c r="BV32" s="127" t="str">
        <f>IF(INDEX('Master Lookup'!$B$37:$B$47,$B32)=0,"",INDEX('Master Lookup'!$B$37:$B$47,$B32))</f>
        <v>Program Supplies &amp; Materials 215</v>
      </c>
      <c r="BW32" s="293">
        <f>IFERROR(INDEX('Master Lookup FY26'!C40:C50,MATCH(BV32,'Master Lookup FY26'!B40:B50,0)),"")</f>
        <v>2947.5899663350119</v>
      </c>
      <c r="BY32" s="287">
        <f>IFERROR(BW32*BX16*BX22,0)</f>
        <v>34193.647406044453</v>
      </c>
      <c r="CA32" s="127" t="str">
        <f>IF(INDEX('Master Lookup'!$B$37:$B$47,$B32)=0,"",INDEX('Master Lookup'!$B$37:$B$47,$B32))</f>
        <v>Program Supplies &amp; Materials 215</v>
      </c>
      <c r="CB32" s="293">
        <f>IFERROR(INDEX('Master Lookup FY26'!C40:C50,MATCH(CA32,'Master Lookup FY26'!B40:B50,0)),"")</f>
        <v>2947.5899663350119</v>
      </c>
      <c r="CD32" s="287">
        <f>IFERROR(CB32*CC16*CC22,0)</f>
        <v>35941.322717908944</v>
      </c>
      <c r="CF32" s="127" t="str">
        <f>IF(INDEX('Master Lookup'!$B$37:$B$47,$B32)=0,"",INDEX('Master Lookup'!$B$37:$B$47,$B32))</f>
        <v>Program Supplies &amp; Materials 215</v>
      </c>
      <c r="CG32" s="293">
        <f>IFERROR(INDEX('Master Lookup FY26'!C40:C50,MATCH(CF32,'Master Lookup FY26'!B40:B50,0)),"")</f>
        <v>2947.5899663350119</v>
      </c>
      <c r="CI32" s="287">
        <f>IFERROR(CG32*CH16*CH22,0)</f>
        <v>38030.504542561059</v>
      </c>
      <c r="CK32" s="127" t="str">
        <f>IF(INDEX('Master Lookup'!$B$37:$B$47,$B32)=0,"",INDEX('Master Lookup'!$B$37:$B$47,$B32))</f>
        <v>Program Supplies &amp; Materials 215</v>
      </c>
      <c r="CL32" s="293">
        <f>IFERROR(INDEX('Master Lookup FY26'!C40:C50,MATCH(CK32,'Master Lookup FY26'!B40:B50,0)),"")</f>
        <v>2947.5899663350119</v>
      </c>
      <c r="CN32" s="287">
        <f>IFERROR(CL32*CM16*CM22,0)</f>
        <v>40267.593045064656</v>
      </c>
      <c r="CP32" s="127" t="str">
        <f>IF(INDEX('Master Lookup'!$B$37:$B$47,$B32)=0,"",INDEX('Master Lookup'!$B$37:$B$47,$B32))</f>
        <v>Program Supplies &amp; Materials 215</v>
      </c>
      <c r="CQ32" s="293">
        <f>IFERROR(INDEX('Master Lookup FY26'!C40:C50,MATCH(CP32,'Master Lookup FY26'!B40:B50,0)),"")</f>
        <v>2947.5899663350119</v>
      </c>
      <c r="CS32" s="287">
        <f>IFERROR(CQ32*CR16*CR22,0)</f>
        <v>42504.681547568238</v>
      </c>
      <c r="CU32" s="127" t="str">
        <f>IF(INDEX('Master Lookup'!$B$37:$B$47,$B32)=0,"",INDEX('Master Lookup'!$B$37:$B$47,$B32))</f>
        <v>Program Supplies &amp; Materials 215</v>
      </c>
      <c r="CV32" s="293">
        <f>IFERROR(INDEX('Master Lookup FY26'!C40:C50,MATCH(CU32,'Master Lookup FY26'!B40:B50,0)),"")</f>
        <v>2947.5899663350119</v>
      </c>
      <c r="CX32" s="287">
        <f>IFERROR(CV32*CW16*CW22,0)</f>
        <v>44901.56208596495</v>
      </c>
      <c r="CZ32" s="127" t="str">
        <f>IF(INDEX('Master Lookup'!$B$37:$B$47,$B32)=0,"",INDEX('Master Lookup'!$B$37:$B$47,$B32))</f>
        <v>Program Supplies &amp; Materials 215</v>
      </c>
      <c r="DA32" s="293">
        <f>IFERROR(INDEX('Master Lookup FY26'!C40:C50,MATCH(CZ32,'Master Lookup FY26'!B40:B50,0)),"")</f>
        <v>2947.5899663350119</v>
      </c>
      <c r="DC32" s="287">
        <f>IFERROR(DA32*DB16*DB22,0)</f>
        <v>47317.152451349146</v>
      </c>
      <c r="DE32" s="127" t="str">
        <f>IF(INDEX('Master Lookup'!$B$37:$B$47,$B32)=0,"",INDEX('Master Lookup'!$B$37:$B$47,$B32))</f>
        <v>Program Supplies &amp; Materials 215</v>
      </c>
      <c r="DF32" s="293">
        <f>IFERROR(INDEX('Master Lookup FY26'!C40:C50,MATCH(DE32,'Master Lookup FY26'!B40:B50,0)),"")</f>
        <v>2947.5899663350119</v>
      </c>
      <c r="DH32" s="287">
        <f>IFERROR(DF32*DG16*DG22,0)</f>
        <v>49938.219205213958</v>
      </c>
      <c r="DJ32" s="127" t="str">
        <f>IF(INDEX('Master Lookup'!$B$37:$B$47,$B32)=0,"",INDEX('Master Lookup'!$B$37:$B$47,$B32))</f>
        <v>Program Supplies &amp; Materials 215</v>
      </c>
      <c r="DK32" s="293">
        <f>IFERROR(INDEX('Master Lookup FY26'!C40:C50,MATCH(DJ32,'Master Lookup FY26'!B40:B50,0)),"")</f>
        <v>2947.5899663350119</v>
      </c>
      <c r="DM32" s="287">
        <f>IFERROR(DK32*DL16*DL22,0)</f>
        <v>52605.914551501155</v>
      </c>
      <c r="DO32" s="127" t="str">
        <f>IF(INDEX('Master Lookup'!$B$37:$B$47,$B32)=0,"",INDEX('Master Lookup'!$B$37:$B$47,$B32))</f>
        <v>Program Supplies &amp; Materials 215</v>
      </c>
      <c r="DP32" s="293">
        <f>IFERROR(INDEX('Master Lookup FY26'!C40:C50,MATCH(DO32,'Master Lookup FY26'!B40:B50,0)),"")</f>
        <v>2947.5899663350119</v>
      </c>
      <c r="DR32" s="287">
        <f>IFERROR(DP32*DQ16*DQ22,0)</f>
        <v>55546.617849411152</v>
      </c>
    </row>
    <row r="33" spans="2:122" x14ac:dyDescent="0.25">
      <c r="B33" s="254">
        <v>5</v>
      </c>
      <c r="D33" s="127" t="str">
        <f>IF(INDEX('Master Lookup'!$B$37:$B$47,$B33)=0,"",INDEX('Master Lookup'!$B$37:$B$47,$B33))</f>
        <v>Other Expense</v>
      </c>
      <c r="E33" s="293">
        <f>IFERROR(INDEX('Master Lookup FY26'!C41:C51,MATCH(D33,'Master Lookup FY26'!B41:B51,0)),"")</f>
        <v>3236.4891574928697</v>
      </c>
      <c r="G33" s="287">
        <f>IFERROR(E33*F16*F22,0)</f>
        <v>4045.6114468660871</v>
      </c>
      <c r="I33" s="127" t="str">
        <f>IF(INDEX('Master Lookup'!$B$37:$B$47,$B33)=0,"",INDEX('Master Lookup'!$B$37:$B$47,$B33))</f>
        <v>Other Expense</v>
      </c>
      <c r="J33" s="293">
        <f>IFERROR(INDEX('Master Lookup FY26'!C41:C51,MATCH(I33,'Master Lookup FY26'!B41:B51,0)),"")</f>
        <v>3236.4891574928697</v>
      </c>
      <c r="L33" s="287">
        <f>IFERROR(J33*K16*K22,0)</f>
        <v>8091.2228937321743</v>
      </c>
      <c r="N33" s="127" t="str">
        <f>IF(INDEX('Master Lookup'!$B$37:$B$47,$B33)=0,"",INDEX('Master Lookup'!$B$37:$B$47,$B33))</f>
        <v>Other Expense</v>
      </c>
      <c r="O33" s="293">
        <f>IFERROR(INDEX('Master Lookup FY26'!C41:C51,MATCH(N33,'Master Lookup FY26'!B41:B51,0)),"")</f>
        <v>3236.4891574928697</v>
      </c>
      <c r="Q33" s="287">
        <f>IFERROR(O33*P16*P22,0)</f>
        <v>12136.834340598261</v>
      </c>
      <c r="S33" s="127" t="str">
        <f>IF(INDEX('Master Lookup'!$B$37:$B$47,$B33)=0,"",INDEX('Master Lookup'!$B$37:$B$47,$B33))</f>
        <v>Other Expense</v>
      </c>
      <c r="T33" s="1172">
        <f>IFERROR(INDEX('Master Lookup FY26'!C41:C51,MATCH(S33,'Master Lookup FY26'!B41:B51,0)),"")</f>
        <v>3236.4891574928697</v>
      </c>
      <c r="U33" s="254"/>
      <c r="V33" s="287">
        <f>IFERROR(T33*U16*U22,0)</f>
        <v>16182.445787464349</v>
      </c>
      <c r="X33" s="127" t="str">
        <f>IF(INDEX('Master Lookup'!$B$37:$B$47,$B33)=0,"",INDEX('Master Lookup'!$B$37:$B$47,$B33))</f>
        <v>Other Expense</v>
      </c>
      <c r="Y33" s="293">
        <f>IFERROR(INDEX('Master Lookup FY26'!C41:C51,MATCH(X33,'Master Lookup FY26'!B41:B51,0)),"")</f>
        <v>3236.4891574928697</v>
      </c>
      <c r="Z33" s="254"/>
      <c r="AA33" s="287">
        <f>IFERROR(Y33*Z16*Z22,0)</f>
        <v>17800.690366210783</v>
      </c>
      <c r="AC33" s="127" t="str">
        <f>IF(INDEX('Master Lookup'!$B$37:$B$47,$B33)=0,"",INDEX('Master Lookup'!$B$37:$B$47,$B33))</f>
        <v>Other Expense</v>
      </c>
      <c r="AD33" s="293">
        <f>IFERROR(INDEX('Master Lookup FY26'!C41:C51,MATCH(AC33,'Master Lookup FY26'!B41:B51,0)),"")</f>
        <v>3236.4891574928697</v>
      </c>
      <c r="AE33" s="254"/>
      <c r="AF33" s="287">
        <f>IFERROR(AD33*AE16*AE22,0)</f>
        <v>20693.302550720036</v>
      </c>
      <c r="AH33" s="127" t="str">
        <f>IF(INDEX('Master Lookup'!$B$37:$B$47,$B33)=0,"",INDEX('Master Lookup'!$B$37:$B$47,$B33))</f>
        <v>Other Expense</v>
      </c>
      <c r="AI33" s="293">
        <f>IFERROR(INDEX('Master Lookup FY26'!C41:C51,MATCH(AH33,'Master Lookup FY26'!B41:B52,0)),"")</f>
        <v>3236.4891574928697</v>
      </c>
      <c r="AJ33" s="254"/>
      <c r="AK33" s="287">
        <f>IFERROR(AI33*AJ16*AJ22,0)</f>
        <v>23358.349091343069</v>
      </c>
      <c r="AM33" s="127" t="str">
        <f>IF(INDEX('Master Lookup'!$B$37:$B$47,$B33)=0,"",INDEX('Master Lookup'!$B$37:$B$47,$B33))</f>
        <v>Other Expense</v>
      </c>
      <c r="AN33" s="293">
        <f>IFERROR(INDEX('Master Lookup FY26'!C41:C51,MATCH(AM33,'Master Lookup FY26'!B41:B51,0)),"")</f>
        <v>3236.4891574928697</v>
      </c>
      <c r="AO33" s="254"/>
      <c r="AP33" s="287">
        <f>IFERROR(AN33*AO16*AO22,0)</f>
        <v>25582.953766709077</v>
      </c>
      <c r="AR33" s="127" t="str">
        <f>IF(INDEX('Master Lookup'!$B$37:$B$47,$B33)=0,"",INDEX('Master Lookup'!$B$37:$B$47,$B33))</f>
        <v>Other Expense</v>
      </c>
      <c r="AS33" s="293">
        <f>IFERROR(INDEX('Master Lookup FY26'!C41:C51,MATCH(AR33,'Master Lookup FY26'!B41:B51,0)),"")</f>
        <v>3236.4891574928697</v>
      </c>
      <c r="AT33" s="254"/>
      <c r="AU33" s="287">
        <f>IFERROR(AS33*AT16*AT22,0)</f>
        <v>27181.888377128394</v>
      </c>
      <c r="AW33" s="127" t="str">
        <f>IF(INDEX('Master Lookup'!$B$37:$B$47,$B33)=0,"",INDEX('Master Lookup'!$B$37:$B$47,$B33))</f>
        <v>Other Expense</v>
      </c>
      <c r="AX33" s="293">
        <f>IFERROR(INDEX('Master Lookup FY26'!C41:C51,MATCH(AW33,'Master Lookup FY26'!B41:B51,0)),"")</f>
        <v>3236.4891574928697</v>
      </c>
      <c r="AY33" s="254"/>
      <c r="AZ33" s="287">
        <f>IFERROR(AX33*AY16*AY22,0)</f>
        <v>28822.67544262813</v>
      </c>
      <c r="BB33" s="127" t="str">
        <f>IF(INDEX('Master Lookup'!$B$37:$B$47,$B33)=0,"",INDEX('Master Lookup'!$B$37:$B$47,$B33))</f>
        <v>Other Expense</v>
      </c>
      <c r="BC33" s="293">
        <f>IFERROR(INDEX('Master Lookup FY26'!C41:C51,MATCH(BB33,'Master Lookup FY26'!B41:B51,0)),"")</f>
        <v>3236.4891574928697</v>
      </c>
      <c r="BD33" s="254"/>
      <c r="BE33" s="287">
        <f>IFERROR(BC33*BD16*BD22,0)</f>
        <v>30263.809214759534</v>
      </c>
      <c r="BG33" s="127" t="str">
        <f>IF(INDEX('Master Lookup'!$B$37:$B$47,$B33)=0,"",INDEX('Master Lookup'!$B$37:$B$47,$B33))</f>
        <v>Other Expense</v>
      </c>
      <c r="BH33" s="293">
        <f>IFERROR(INDEX('Master Lookup FY26'!C41:C51,MATCH(BG33,'Master Lookup FY26'!B41:B51,0)),"")</f>
        <v>3236.4891574928697</v>
      </c>
      <c r="BI33" s="254"/>
      <c r="BJ33" s="287">
        <f>IFERROR(BH33*BI16*BI22,0)</f>
        <v>32195.920600344361</v>
      </c>
      <c r="BL33" s="127" t="str">
        <f>IF(INDEX('Master Lookup'!$B$37:$B$47,$B33)=0,"",INDEX('Master Lookup'!$B$37:$B$47,$B33))</f>
        <v>Other Expense</v>
      </c>
      <c r="BM33" s="293">
        <f>IFERROR(INDEX('Master Lookup FY26'!C41:C51,MATCH(BL33,'Master Lookup FY26'!B41:B51,0)),"")</f>
        <v>3236.4891574928697</v>
      </c>
      <c r="BO33" s="287">
        <f>IFERROR(BM33*BN16*BN22,0)</f>
        <v>33984.582855919049</v>
      </c>
      <c r="BQ33" s="127" t="str">
        <f>IF(INDEX('Master Lookup'!$B$37:$B$47,$B33)=0,"",INDEX('Master Lookup'!$B$37:$B$47,$B33))</f>
        <v>Other Expense</v>
      </c>
      <c r="BR33" s="293">
        <f>IFERROR(INDEX('Master Lookup FY26'!C41:C51,MATCH(BQ33,'Master Lookup FY26'!B41:B51,0)),"")</f>
        <v>3236.4891574928697</v>
      </c>
      <c r="BT33" s="287">
        <f>IFERROR(BR33*BS16*BS22,0)</f>
        <v>35838.442705022724</v>
      </c>
      <c r="BV33" s="127" t="str">
        <f>IF(INDEX('Master Lookup'!$B$37:$B$47,$B33)=0,"",INDEX('Master Lookup'!$B$37:$B$47,$B33))</f>
        <v>Other Expense</v>
      </c>
      <c r="BW33" s="293">
        <f>IFERROR(INDEX('Master Lookup FY26'!C41:C51,MATCH(BV33,'Master Lookup FY26'!B41:B51,0)),"")</f>
        <v>3236.4891574928697</v>
      </c>
      <c r="BY33" s="287">
        <f>IFERROR(BW33*BX16*BX22,0)</f>
        <v>37545.035214785712</v>
      </c>
      <c r="CA33" s="127" t="str">
        <f>IF(INDEX('Master Lookup'!$B$37:$B$47,$B33)=0,"",INDEX('Master Lookup'!$B$37:$B$47,$B33))</f>
        <v>Other Expense</v>
      </c>
      <c r="CB33" s="293">
        <f>IFERROR(INDEX('Master Lookup FY26'!C41:C51,MATCH(CA33,'Master Lookup FY26'!B41:B51,0)),"")</f>
        <v>3236.4891574928697</v>
      </c>
      <c r="CD33" s="287">
        <f>IFERROR(CB33*CC16*CC22,0)</f>
        <v>39464.003681319205</v>
      </c>
      <c r="CF33" s="127" t="str">
        <f>IF(INDEX('Master Lookup'!$B$37:$B$47,$B33)=0,"",INDEX('Master Lookup'!$B$37:$B$47,$B33))</f>
        <v>Other Expense</v>
      </c>
      <c r="CG33" s="293">
        <f>IFERROR(INDEX('Master Lookup FY26'!C41:C51,MATCH(CF33,'Master Lookup FY26'!B41:B51,0)),"")</f>
        <v>3236.4891574928697</v>
      </c>
      <c r="CI33" s="287">
        <f>IFERROR(CG33*CH16*CH22,0)</f>
        <v>41757.950397362962</v>
      </c>
      <c r="CK33" s="127" t="str">
        <f>IF(INDEX('Master Lookup'!$B$37:$B$47,$B33)=0,"",INDEX('Master Lookup'!$B$37:$B$47,$B33))</f>
        <v>Other Expense</v>
      </c>
      <c r="CL33" s="293">
        <f>IFERROR(INDEX('Master Lookup FY26'!C41:C51,MATCH(CK33,'Master Lookup FY26'!B41:B51,0)),"")</f>
        <v>3236.4891574928697</v>
      </c>
      <c r="CN33" s="287">
        <f>IFERROR(CL33*CM16*CM22,0)</f>
        <v>44214.300420737258</v>
      </c>
      <c r="CP33" s="127" t="str">
        <f>IF(INDEX('Master Lookup'!$B$37:$B$47,$B33)=0,"",INDEX('Master Lookup'!$B$37:$B$47,$B33))</f>
        <v>Other Expense</v>
      </c>
      <c r="CQ33" s="293">
        <f>IFERROR(INDEX('Master Lookup FY26'!C41:C51,MATCH(CP33,'Master Lookup FY26'!B41:B51,0)),"")</f>
        <v>3236.4891574928697</v>
      </c>
      <c r="CS33" s="287">
        <f>IFERROR(CQ33*CR16*CR22,0)</f>
        <v>46670.650444111547</v>
      </c>
      <c r="CU33" s="127" t="str">
        <f>IF(INDEX('Master Lookup'!$B$37:$B$47,$B33)=0,"",INDEX('Master Lookup'!$B$37:$B$47,$B33))</f>
        <v>Other Expense</v>
      </c>
      <c r="CV33" s="293">
        <f>IFERROR(INDEX('Master Lookup FY26'!C41:C51,MATCH(CU33,'Master Lookup FY26'!B41:B51,0)),"")</f>
        <v>3236.4891574928697</v>
      </c>
      <c r="CX33" s="287">
        <f>IFERROR(CV33*CW16*CW22,0)</f>
        <v>49302.454040584009</v>
      </c>
      <c r="CZ33" s="127" t="str">
        <f>IF(INDEX('Master Lookup'!$B$37:$B$47,$B33)=0,"",INDEX('Master Lookup'!$B$37:$B$47,$B33))</f>
        <v>Other Expense</v>
      </c>
      <c r="DA33" s="293">
        <f>IFERROR(INDEX('Master Lookup FY26'!C41:C51,MATCH(CZ33,'Master Lookup FY26'!B41:B51,0)),"")</f>
        <v>3236.4891574928697</v>
      </c>
      <c r="DC33" s="287">
        <f>IFERROR(DA33*DB16*DB22,0)</f>
        <v>51954.801251628094</v>
      </c>
      <c r="DE33" s="127" t="str">
        <f>IF(INDEX('Master Lookup'!$B$37:$B$47,$B33)=0,"",INDEX('Master Lookup'!$B$37:$B$47,$B33))</f>
        <v>Other Expense</v>
      </c>
      <c r="DF33" s="293">
        <f>IFERROR(INDEX('Master Lookup FY26'!C41:C51,MATCH(DE33,'Master Lookup FY26'!B41:B51,0)),"")</f>
        <v>3236.4891574928697</v>
      </c>
      <c r="DH33" s="287">
        <f>IFERROR(DF33*DG16*DG22,0)</f>
        <v>54832.764003175995</v>
      </c>
      <c r="DJ33" s="127" t="str">
        <f>IF(INDEX('Master Lookup'!$B$37:$B$47,$B33)=0,"",INDEX('Master Lookup'!$B$37:$B$47,$B33))</f>
        <v>Other Expense</v>
      </c>
      <c r="DK33" s="293">
        <f>IFERROR(INDEX('Master Lookup FY26'!C41:C51,MATCH(DJ33,'Master Lookup FY26'!B41:B51,0)),"")</f>
        <v>3236.4891574928697</v>
      </c>
      <c r="DM33" s="287">
        <f>IFERROR(DK33*DL16*DL22,0)</f>
        <v>57761.925508800203</v>
      </c>
      <c r="DO33" s="127" t="str">
        <f>IF(INDEX('Master Lookup'!$B$37:$B$47,$B33)=0,"",INDEX('Master Lookup'!$B$37:$B$47,$B33))</f>
        <v>Other Expense</v>
      </c>
      <c r="DP33" s="293">
        <f>IFERROR(INDEX('Master Lookup FY26'!C41:C51,MATCH(DO33,'Master Lookup FY26'!B41:B51,0)),"")</f>
        <v>3236.4891574928697</v>
      </c>
      <c r="DR33" s="287">
        <f>IFERROR(DP33*DQ16*DQ22,0)</f>
        <v>60990.853021714494</v>
      </c>
    </row>
    <row r="34" spans="2:122" hidden="1" x14ac:dyDescent="0.25">
      <c r="B34" s="254">
        <v>6</v>
      </c>
      <c r="D34" s="297" t="str">
        <f>IF(INDEX('Master Lookup'!$B$37:$B$47,$B34)=0,"",INDEX('Master Lookup'!$B$37:$B$47,$B34))</f>
        <v/>
      </c>
      <c r="E34" s="293" t="str">
        <f>IFERROR(INDEX('Master Lookup FY26'!C42:C52,MATCH(D34,'Master Lookup FY26'!B42:B52,0)),"")</f>
        <v/>
      </c>
      <c r="F34" s="295"/>
      <c r="G34" s="294"/>
      <c r="I34" s="297" t="str">
        <f>IF(INDEX('Master Lookup'!$B$37:$B$47,$B34)=0,"",INDEX('Master Lookup'!$B$37:$B$47,$B34))</f>
        <v/>
      </c>
      <c r="J34" s="293" t="str">
        <f>IFERROR(INDEX('Master Lookup FY26'!C42:C52,MATCH(I34,'Master Lookup FY26'!B42:B52,0)),"")</f>
        <v/>
      </c>
      <c r="K34" s="295"/>
      <c r="L34" s="294"/>
      <c r="N34" s="297" t="str">
        <f>IF(INDEX('Master Lookup'!$B$37:$B$47,$B34)=0,"",INDEX('Master Lookup'!$B$37:$B$47,$B34))</f>
        <v/>
      </c>
      <c r="O34" s="293" t="str">
        <f>IFERROR(INDEX('Master Lookup FY26'!C42:C52,MATCH(N34,'Master Lookup FY26'!B42:B52,0)),"")</f>
        <v/>
      </c>
      <c r="P34" s="295"/>
      <c r="Q34" s="294"/>
      <c r="S34" s="297" t="str">
        <f>IF(INDEX('Master Lookup'!$B$37:$B$47,$B34)=0,"",INDEX('Master Lookup'!$B$37:$B$47,$B34))</f>
        <v/>
      </c>
      <c r="T34" s="1172" t="str">
        <f>IFERROR(INDEX('Master Lookup FY26'!C42:C52,MATCH(S34,'Master Lookup FY26'!B42:B52,0)),"")</f>
        <v/>
      </c>
      <c r="U34" s="295"/>
      <c r="V34" s="294"/>
      <c r="X34" s="297" t="str">
        <f>IF(INDEX('Master Lookup'!$B$37:$B$47,$B34)=0,"",INDEX('Master Lookup'!$B$37:$B$47,$B34))</f>
        <v/>
      </c>
      <c r="Y34" s="293" t="str">
        <f>IFERROR(INDEX('Master Lookup FY26'!C42:C52,MATCH(X34,'Master Lookup FY26'!B42:B52,0)),"")</f>
        <v/>
      </c>
      <c r="Z34" s="295"/>
      <c r="AA34" s="294"/>
      <c r="AC34" s="297" t="str">
        <f>IF(INDEX('Master Lookup'!$B$37:$B$47,$B34)=0,"",INDEX('Master Lookup'!$B$37:$B$47,$B34))</f>
        <v/>
      </c>
      <c r="AD34" s="293" t="str">
        <f>IFERROR(INDEX('Master Lookup FY26'!C42:C52,MATCH(AC34,'Master Lookup FY26'!B42:B52,0)),"")</f>
        <v/>
      </c>
      <c r="AE34" s="295"/>
      <c r="AF34" s="294"/>
      <c r="AH34" s="297" t="str">
        <f>IF(INDEX('Master Lookup'!$B$37:$B$47,$B34)=0,"",INDEX('Master Lookup'!$B$37:$B$47,$B34))</f>
        <v/>
      </c>
      <c r="AI34" s="293" t="str">
        <f>IFERROR(INDEX('Master Lookup FY26'!C42:C52,MATCH(AH34,'Master Lookup FY26'!B42:B53,0)),"")</f>
        <v/>
      </c>
      <c r="AJ34" s="295"/>
      <c r="AK34" s="294"/>
      <c r="AM34" s="297" t="str">
        <f>IF(INDEX('Master Lookup'!$B$37:$B$47,$B34)=0,"",INDEX('Master Lookup'!$B$37:$B$47,$B34))</f>
        <v/>
      </c>
      <c r="AN34" s="293" t="str">
        <f>IFERROR(INDEX('Master Lookup FY26'!C42:C52,MATCH(AM34,'Master Lookup FY26'!B42:B52,0)),"")</f>
        <v/>
      </c>
      <c r="AO34" s="295"/>
      <c r="AP34" s="294"/>
      <c r="AR34" s="297" t="str">
        <f>IF(INDEX('Master Lookup'!$B$37:$B$47,$B34)=0,"",INDEX('Master Lookup'!$B$37:$B$47,$B34))</f>
        <v/>
      </c>
      <c r="AS34" s="293" t="str">
        <f>IFERROR(INDEX('Master Lookup FY26'!C42:C52,MATCH(AR34,'Master Lookup FY26'!B42:B52,0)),"")</f>
        <v/>
      </c>
      <c r="AT34" s="295"/>
      <c r="AU34" s="294"/>
      <c r="AW34" s="297" t="str">
        <f>IF(INDEX('Master Lookup'!$B$37:$B$47,$B34)=0,"",INDEX('Master Lookup'!$B$37:$B$47,$B34))</f>
        <v/>
      </c>
      <c r="AX34" s="293" t="str">
        <f>IFERROR(INDEX('Master Lookup FY26'!C42:C52,MATCH(AW34,'Master Lookup FY26'!B42:B52,0)),"")</f>
        <v/>
      </c>
      <c r="AY34" s="295"/>
      <c r="AZ34" s="294"/>
      <c r="BB34" s="297" t="str">
        <f>IF(INDEX('Master Lookup'!$B$37:$B$47,$B34)=0,"",INDEX('Master Lookup'!$B$37:$B$47,$B34))</f>
        <v/>
      </c>
      <c r="BC34" s="293" t="str">
        <f>IFERROR(INDEX('Master Lookup FY26'!C42:C52,MATCH(BB34,'Master Lookup FY26'!B42:B52,0)),"")</f>
        <v/>
      </c>
      <c r="BD34" s="295"/>
      <c r="BE34" s="294"/>
      <c r="BG34" s="297" t="str">
        <f>IF(INDEX('Master Lookup'!$B$37:$B$47,$B34)=0,"",INDEX('Master Lookup'!$B$37:$B$47,$B34))</f>
        <v/>
      </c>
      <c r="BH34" s="293" t="str">
        <f>IFERROR(INDEX('Master Lookup FY26'!C42:C52,MATCH(BG34,'Master Lookup FY26'!B42:B52,0)),"")</f>
        <v/>
      </c>
      <c r="BI34" s="295"/>
      <c r="BJ34" s="294"/>
      <c r="BL34" s="297" t="str">
        <f>IF(INDEX('Master Lookup'!$B$37:$B$47,$B34)=0,"",INDEX('Master Lookup'!$B$37:$B$47,$B34))</f>
        <v/>
      </c>
      <c r="BM34" s="293" t="str">
        <f>IFERROR(INDEX('Master Lookup FY26'!C42:C52,MATCH(BL34,'Master Lookup FY26'!B42:B52,0)),"")</f>
        <v/>
      </c>
      <c r="BN34" s="295"/>
      <c r="BO34" s="294"/>
      <c r="BQ34" s="297" t="str">
        <f>IF(INDEX('Master Lookup'!$B$37:$B$47,$B34)=0,"",INDEX('Master Lookup'!$B$37:$B$47,$B34))</f>
        <v/>
      </c>
      <c r="BR34" s="293" t="str">
        <f>IFERROR(INDEX('Master Lookup FY26'!C42:C52,MATCH(BQ34,'Master Lookup FY26'!B42:B52,0)),"")</f>
        <v/>
      </c>
      <c r="BS34" s="295"/>
      <c r="BT34" s="294"/>
      <c r="BV34" s="297" t="str">
        <f>IF(INDEX('Master Lookup'!$B$37:$B$47,$B34)=0,"",INDEX('Master Lookup'!$B$37:$B$47,$B34))</f>
        <v/>
      </c>
      <c r="BW34" s="293" t="str">
        <f>IFERROR(INDEX('Master Lookup FY26'!C42:C52,MATCH(BV34,'Master Lookup FY26'!B42:B52,0)),"")</f>
        <v/>
      </c>
      <c r="BX34" s="295"/>
      <c r="BY34" s="294"/>
      <c r="CA34" s="297" t="str">
        <f>IF(INDEX('Master Lookup'!$B$37:$B$47,$B34)=0,"",INDEX('Master Lookup'!$B$37:$B$47,$B34))</f>
        <v/>
      </c>
      <c r="CB34" s="293" t="str">
        <f>IFERROR(INDEX('Master Lookup FY26'!C42:C52,MATCH(CA34,'Master Lookup FY26'!B42:B52,0)),"")</f>
        <v/>
      </c>
      <c r="CC34" s="295"/>
      <c r="CD34" s="294"/>
      <c r="CF34" s="297" t="str">
        <f>IF(INDEX('Master Lookup'!$B$37:$B$47,$B34)=0,"",INDEX('Master Lookup'!$B$37:$B$47,$B34))</f>
        <v/>
      </c>
      <c r="CG34" s="293" t="str">
        <f>IFERROR(INDEX('Master Lookup FY26'!C42:C52,MATCH(CF34,'Master Lookup FY26'!B42:B52,0)),"")</f>
        <v/>
      </c>
      <c r="CH34" s="295"/>
      <c r="CI34" s="294"/>
      <c r="CK34" s="297" t="str">
        <f>IF(INDEX('Master Lookup'!$B$37:$B$47,$B34)=0,"",INDEX('Master Lookup'!$B$37:$B$47,$B34))</f>
        <v/>
      </c>
      <c r="CL34" s="293" t="str">
        <f>IFERROR(INDEX('Master Lookup FY26'!C42:C52,MATCH(CK34,'Master Lookup FY26'!B42:B52,0)),"")</f>
        <v/>
      </c>
      <c r="CM34" s="295"/>
      <c r="CN34" s="294"/>
      <c r="CP34" s="297" t="str">
        <f>IF(INDEX('Master Lookup'!$B$37:$B$47,$B34)=0,"",INDEX('Master Lookup'!$B$37:$B$47,$B34))</f>
        <v/>
      </c>
      <c r="CQ34" s="293" t="str">
        <f>IFERROR(INDEX('Master Lookup FY26'!C42:C52,MATCH(CP34,'Master Lookup FY26'!B42:B52,0)),"")</f>
        <v/>
      </c>
      <c r="CR34" s="295"/>
      <c r="CS34" s="294"/>
      <c r="CU34" s="297" t="str">
        <f>IF(INDEX('Master Lookup'!$B$37:$B$47,$B34)=0,"",INDEX('Master Lookup'!$B$37:$B$47,$B34))</f>
        <v/>
      </c>
      <c r="CV34" s="293" t="str">
        <f>IFERROR(INDEX('Master Lookup FY26'!C42:C52,MATCH(CU34,'Master Lookup FY26'!B42:B52,0)),"")</f>
        <v/>
      </c>
      <c r="CW34" s="295"/>
      <c r="CX34" s="294"/>
      <c r="CZ34" s="297" t="str">
        <f>IF(INDEX('Master Lookup'!$B$37:$B$47,$B34)=0,"",INDEX('Master Lookup'!$B$37:$B$47,$B34))</f>
        <v/>
      </c>
      <c r="DA34" s="293" t="str">
        <f>IFERROR(INDEX('Master Lookup FY26'!C42:C52,MATCH(CZ34,'Master Lookup FY26'!B42:B52,0)),"")</f>
        <v/>
      </c>
      <c r="DB34" s="295"/>
      <c r="DC34" s="294"/>
      <c r="DE34" s="297" t="str">
        <f>IF(INDEX('Master Lookup'!$B$37:$B$47,$B34)=0,"",INDEX('Master Lookup'!$B$37:$B$47,$B34))</f>
        <v/>
      </c>
      <c r="DF34" s="293" t="str">
        <f>IFERROR(INDEX('Master Lookup FY26'!C42:C52,MATCH(DE34,'Master Lookup FY26'!B42:B52,0)),"")</f>
        <v/>
      </c>
      <c r="DG34" s="295"/>
      <c r="DH34" s="294"/>
      <c r="DJ34" s="297" t="str">
        <f>IF(INDEX('Master Lookup'!$B$37:$B$47,$B34)=0,"",INDEX('Master Lookup'!$B$37:$B$47,$B34))</f>
        <v/>
      </c>
      <c r="DK34" s="293" t="str">
        <f>IFERROR(INDEX('Master Lookup FY26'!C42:C52,MATCH(DJ34,'Master Lookup FY26'!B42:B52,0)),"")</f>
        <v/>
      </c>
      <c r="DL34" s="295"/>
      <c r="DM34" s="294"/>
      <c r="DO34" s="297" t="str">
        <f>IF(INDEX('Master Lookup'!$B$37:$B$47,$B34)=0,"",INDEX('Master Lookup'!$B$37:$B$47,$B34))</f>
        <v/>
      </c>
      <c r="DP34" s="293" t="str">
        <f>IFERROR(INDEX('Master Lookup FY26'!C42:C52,MATCH(DO34,'Master Lookup FY26'!B42:B52,0)),"")</f>
        <v/>
      </c>
      <c r="DQ34" s="295"/>
      <c r="DR34" s="294"/>
    </row>
    <row r="35" spans="2:122" hidden="1" x14ac:dyDescent="0.25">
      <c r="B35" s="254">
        <v>7</v>
      </c>
      <c r="D35" s="297" t="str">
        <f>IF(INDEX('Master Lookup'!$B$37:$B$47,$B35)=0,"",INDEX('Master Lookup'!$B$37:$B$47,$B35))</f>
        <v/>
      </c>
      <c r="E35" s="293" t="str">
        <f>IFERROR(INDEX('Master Lookup FY26'!C43:C53,MATCH(D35,'Master Lookup FY26'!B43:B53,0)),"")</f>
        <v/>
      </c>
      <c r="F35" s="295"/>
      <c r="G35" s="294"/>
      <c r="I35" s="297" t="str">
        <f>IF(INDEX('Master Lookup'!$B$37:$B$47,$B35)=0,"",INDEX('Master Lookup'!$B$37:$B$47,$B35))</f>
        <v/>
      </c>
      <c r="J35" s="293" t="str">
        <f>IFERROR(INDEX('Master Lookup FY26'!C43:C53,MATCH(I35,'Master Lookup FY26'!B43:B53,0)),"")</f>
        <v/>
      </c>
      <c r="K35" s="295"/>
      <c r="L35" s="294"/>
      <c r="N35" s="297" t="str">
        <f>IF(INDEX('Master Lookup'!$B$37:$B$47,$B35)=0,"",INDEX('Master Lookup'!$B$37:$B$47,$B35))</f>
        <v/>
      </c>
      <c r="O35" s="293" t="str">
        <f>IFERROR(INDEX('Master Lookup FY26'!C43:C53,MATCH(N35,'Master Lookup FY26'!B43:B53,0)),"")</f>
        <v/>
      </c>
      <c r="P35" s="295"/>
      <c r="Q35" s="294"/>
      <c r="S35" s="297" t="str">
        <f>IF(INDEX('Master Lookup'!$B$37:$B$47,$B35)=0,"",INDEX('Master Lookup'!$B$37:$B$47,$B35))</f>
        <v/>
      </c>
      <c r="T35" s="1172" t="str">
        <f>IFERROR(INDEX('Master Lookup FY26'!C43:C53,MATCH(S35,'Master Lookup FY26'!B43:B53,0)),"")</f>
        <v/>
      </c>
      <c r="U35" s="295"/>
      <c r="V35" s="294"/>
      <c r="X35" s="297" t="str">
        <f>IF(INDEX('Master Lookup'!$B$37:$B$47,$B35)=0,"",INDEX('Master Lookup'!$B$37:$B$47,$B35))</f>
        <v/>
      </c>
      <c r="Y35" s="293" t="str">
        <f>IFERROR(INDEX('Master Lookup FY26'!C43:C53,MATCH(X35,'Master Lookup FY26'!B43:B53,0)),"")</f>
        <v/>
      </c>
      <c r="Z35" s="295"/>
      <c r="AA35" s="294"/>
      <c r="AC35" s="297" t="str">
        <f>IF(INDEX('Master Lookup'!$B$37:$B$47,$B35)=0,"",INDEX('Master Lookup'!$B$37:$B$47,$B35))</f>
        <v/>
      </c>
      <c r="AD35" s="293" t="str">
        <f>IFERROR(INDEX('Master Lookup FY26'!C43:C53,MATCH(AC35,'Master Lookup FY26'!B43:B53,0)),"")</f>
        <v/>
      </c>
      <c r="AE35" s="295"/>
      <c r="AF35" s="294"/>
      <c r="AH35" s="297" t="str">
        <f>IF(INDEX('Master Lookup'!$B$37:$B$47,$B35)=0,"",INDEX('Master Lookup'!$B$37:$B$47,$B35))</f>
        <v/>
      </c>
      <c r="AI35" s="293" t="str">
        <f>IFERROR(INDEX('Master Lookup FY26'!C43:C53,MATCH(AH35,'Master Lookup FY26'!B43:B54,0)),"")</f>
        <v/>
      </c>
      <c r="AJ35" s="295"/>
      <c r="AK35" s="294"/>
      <c r="AM35" s="297" t="str">
        <f>IF(INDEX('Master Lookup'!$B$37:$B$47,$B35)=0,"",INDEX('Master Lookup'!$B$37:$B$47,$B35))</f>
        <v/>
      </c>
      <c r="AN35" s="293" t="str">
        <f>IFERROR(INDEX('Master Lookup FY26'!C43:C53,MATCH(AM35,'Master Lookup FY26'!B43:B53,0)),"")</f>
        <v/>
      </c>
      <c r="AO35" s="295"/>
      <c r="AP35" s="294"/>
      <c r="AR35" s="297" t="str">
        <f>IF(INDEX('Master Lookup'!$B$37:$B$47,$B35)=0,"",INDEX('Master Lookup'!$B$37:$B$47,$B35))</f>
        <v/>
      </c>
      <c r="AS35" s="293" t="str">
        <f>IFERROR(INDEX('Master Lookup FY26'!C43:C53,MATCH(AR35,'Master Lookup FY26'!B43:B53,0)),"")</f>
        <v/>
      </c>
      <c r="AT35" s="295"/>
      <c r="AU35" s="294"/>
      <c r="AW35" s="297" t="str">
        <f>IF(INDEX('Master Lookup'!$B$37:$B$47,$B35)=0,"",INDEX('Master Lookup'!$B$37:$B$47,$B35))</f>
        <v/>
      </c>
      <c r="AX35" s="293" t="str">
        <f>IFERROR(INDEX('Master Lookup FY26'!C43:C53,MATCH(AW35,'Master Lookup FY26'!B43:B53,0)),"")</f>
        <v/>
      </c>
      <c r="AY35" s="295"/>
      <c r="AZ35" s="294"/>
      <c r="BB35" s="297" t="str">
        <f>IF(INDEX('Master Lookup'!$B$37:$B$47,$B35)=0,"",INDEX('Master Lookup'!$B$37:$B$47,$B35))</f>
        <v/>
      </c>
      <c r="BC35" s="293" t="str">
        <f>IFERROR(INDEX('Master Lookup FY26'!C43:C53,MATCH(BB35,'Master Lookup FY26'!B43:B53,0)),"")</f>
        <v/>
      </c>
      <c r="BD35" s="295"/>
      <c r="BE35" s="294"/>
      <c r="BG35" s="297" t="str">
        <f>IF(INDEX('Master Lookup'!$B$37:$B$47,$B35)=0,"",INDEX('Master Lookup'!$B$37:$B$47,$B35))</f>
        <v/>
      </c>
      <c r="BH35" s="293" t="str">
        <f>IFERROR(INDEX('Master Lookup FY26'!C43:C53,MATCH(BG35,'Master Lookup FY26'!B43:B53,0)),"")</f>
        <v/>
      </c>
      <c r="BI35" s="295"/>
      <c r="BJ35" s="294"/>
      <c r="BL35" s="297" t="str">
        <f>IF(INDEX('Master Lookup'!$B$37:$B$47,$B35)=0,"",INDEX('Master Lookup'!$B$37:$B$47,$B35))</f>
        <v/>
      </c>
      <c r="BM35" s="293" t="str">
        <f>IFERROR(INDEX('Master Lookup FY26'!C43:C53,MATCH(BL35,'Master Lookup FY26'!B43:B53,0)),"")</f>
        <v/>
      </c>
      <c r="BN35" s="295"/>
      <c r="BO35" s="294"/>
      <c r="BQ35" s="297" t="str">
        <f>IF(INDEX('Master Lookup'!$B$37:$B$47,$B35)=0,"",INDEX('Master Lookup'!$B$37:$B$47,$B35))</f>
        <v/>
      </c>
      <c r="BR35" s="293" t="str">
        <f>IFERROR(INDEX('Master Lookup FY26'!C43:C53,MATCH(BQ35,'Master Lookup FY26'!B43:B53,0)),"")</f>
        <v/>
      </c>
      <c r="BS35" s="295"/>
      <c r="BT35" s="294"/>
      <c r="BV35" s="297" t="str">
        <f>IF(INDEX('Master Lookup'!$B$37:$B$47,$B35)=0,"",INDEX('Master Lookup'!$B$37:$B$47,$B35))</f>
        <v/>
      </c>
      <c r="BW35" s="293" t="str">
        <f>IFERROR(INDEX('Master Lookup FY26'!C43:C53,MATCH(BV35,'Master Lookup FY26'!B43:B53,0)),"")</f>
        <v/>
      </c>
      <c r="BX35" s="295"/>
      <c r="BY35" s="294"/>
      <c r="CA35" s="297" t="str">
        <f>IF(INDEX('Master Lookup'!$B$37:$B$47,$B35)=0,"",INDEX('Master Lookup'!$B$37:$B$47,$B35))</f>
        <v/>
      </c>
      <c r="CB35" s="293" t="str">
        <f>IFERROR(INDEX('Master Lookup FY26'!C43:C53,MATCH(CA35,'Master Lookup FY26'!B43:B53,0)),"")</f>
        <v/>
      </c>
      <c r="CC35" s="295"/>
      <c r="CD35" s="294"/>
      <c r="CF35" s="297" t="str">
        <f>IF(INDEX('Master Lookup'!$B$37:$B$47,$B35)=0,"",INDEX('Master Lookup'!$B$37:$B$47,$B35))</f>
        <v/>
      </c>
      <c r="CG35" s="293" t="str">
        <f>IFERROR(INDEX('Master Lookup FY26'!C43:C53,MATCH(CF35,'Master Lookup FY26'!B43:B53,0)),"")</f>
        <v/>
      </c>
      <c r="CH35" s="295"/>
      <c r="CI35" s="294"/>
      <c r="CK35" s="297" t="str">
        <f>IF(INDEX('Master Lookup'!$B$37:$B$47,$B35)=0,"",INDEX('Master Lookup'!$B$37:$B$47,$B35))</f>
        <v/>
      </c>
      <c r="CL35" s="293" t="str">
        <f>IFERROR(INDEX('Master Lookup FY26'!C43:C53,MATCH(CK35,'Master Lookup FY26'!B43:B53,0)),"")</f>
        <v/>
      </c>
      <c r="CM35" s="295"/>
      <c r="CN35" s="294"/>
      <c r="CP35" s="297" t="str">
        <f>IF(INDEX('Master Lookup'!$B$37:$B$47,$B35)=0,"",INDEX('Master Lookup'!$B$37:$B$47,$B35))</f>
        <v/>
      </c>
      <c r="CQ35" s="293" t="str">
        <f>IFERROR(INDEX('Master Lookup FY26'!C43:C53,MATCH(CP35,'Master Lookup FY26'!B43:B53,0)),"")</f>
        <v/>
      </c>
      <c r="CR35" s="295"/>
      <c r="CS35" s="294"/>
      <c r="CU35" s="297" t="str">
        <f>IF(INDEX('Master Lookup'!$B$37:$B$47,$B35)=0,"",INDEX('Master Lookup'!$B$37:$B$47,$B35))</f>
        <v/>
      </c>
      <c r="CV35" s="293" t="str">
        <f>IFERROR(INDEX('Master Lookup FY26'!C43:C53,MATCH(CU35,'Master Lookup FY26'!B43:B53,0)),"")</f>
        <v/>
      </c>
      <c r="CW35" s="295"/>
      <c r="CX35" s="294"/>
      <c r="CZ35" s="297" t="str">
        <f>IF(INDEX('Master Lookup'!$B$37:$B$47,$B35)=0,"",INDEX('Master Lookup'!$B$37:$B$47,$B35))</f>
        <v/>
      </c>
      <c r="DA35" s="293" t="str">
        <f>IFERROR(INDEX('Master Lookup FY26'!C43:C53,MATCH(CZ35,'Master Lookup FY26'!B43:B53,0)),"")</f>
        <v/>
      </c>
      <c r="DB35" s="295"/>
      <c r="DC35" s="294"/>
      <c r="DE35" s="297" t="str">
        <f>IF(INDEX('Master Lookup'!$B$37:$B$47,$B35)=0,"",INDEX('Master Lookup'!$B$37:$B$47,$B35))</f>
        <v/>
      </c>
      <c r="DF35" s="293" t="str">
        <f>IFERROR(INDEX('Master Lookup FY26'!C43:C53,MATCH(DE35,'Master Lookup FY26'!B43:B53,0)),"")</f>
        <v/>
      </c>
      <c r="DG35" s="295"/>
      <c r="DH35" s="294"/>
      <c r="DJ35" s="297" t="str">
        <f>IF(INDEX('Master Lookup'!$B$37:$B$47,$B35)=0,"",INDEX('Master Lookup'!$B$37:$B$47,$B35))</f>
        <v/>
      </c>
      <c r="DK35" s="293" t="str">
        <f>IFERROR(INDEX('Master Lookup FY26'!C43:C53,MATCH(DJ35,'Master Lookup FY26'!B43:B53,0)),"")</f>
        <v/>
      </c>
      <c r="DL35" s="295"/>
      <c r="DM35" s="294"/>
      <c r="DO35" s="297" t="str">
        <f>IF(INDEX('Master Lookup'!$B$37:$B$47,$B35)=0,"",INDEX('Master Lookup'!$B$37:$B$47,$B35))</f>
        <v/>
      </c>
      <c r="DP35" s="293" t="str">
        <f>IFERROR(INDEX('Master Lookup FY26'!C43:C53,MATCH(DO35,'Master Lookup FY26'!B43:B53,0)),"")</f>
        <v/>
      </c>
      <c r="DQ35" s="295"/>
      <c r="DR35" s="294"/>
    </row>
    <row r="36" spans="2:122" hidden="1" x14ac:dyDescent="0.25">
      <c r="B36" s="254">
        <v>8</v>
      </c>
      <c r="D36" s="297" t="str">
        <f>IF(INDEX('Master Lookup'!$B$37:$B$47,$B36)=0,"",INDEX('Master Lookup'!$B$37:$B$47,$B36))</f>
        <v/>
      </c>
      <c r="E36" s="293" t="str">
        <f>IFERROR(INDEX('Master Lookup FY26'!C44:C54,MATCH(D36,'Master Lookup FY26'!B44:B54,0)),"")</f>
        <v/>
      </c>
      <c r="F36" s="295"/>
      <c r="G36" s="294"/>
      <c r="I36" s="297" t="str">
        <f>IF(INDEX('Master Lookup'!$B$37:$B$47,$B36)=0,"",INDEX('Master Lookup'!$B$37:$B$47,$B36))</f>
        <v/>
      </c>
      <c r="J36" s="293" t="str">
        <f>IFERROR(INDEX('Master Lookup FY26'!C44:C54,MATCH(I36,'Master Lookup FY26'!B44:B54,0)),"")</f>
        <v/>
      </c>
      <c r="K36" s="295"/>
      <c r="L36" s="294"/>
      <c r="N36" s="297" t="str">
        <f>IF(INDEX('Master Lookup'!$B$37:$B$47,$B36)=0,"",INDEX('Master Lookup'!$B$37:$B$47,$B36))</f>
        <v/>
      </c>
      <c r="O36" s="293" t="str">
        <f>IFERROR(INDEX('Master Lookup FY26'!C44:C54,MATCH(N36,'Master Lookup FY26'!B44:B54,0)),"")</f>
        <v/>
      </c>
      <c r="P36" s="295"/>
      <c r="Q36" s="294"/>
      <c r="S36" s="297" t="str">
        <f>IF(INDEX('Master Lookup'!$B$37:$B$47,$B36)=0,"",INDEX('Master Lookup'!$B$37:$B$47,$B36))</f>
        <v/>
      </c>
      <c r="T36" s="1172" t="str">
        <f>IFERROR(INDEX('Master Lookup FY26'!C44:C54,MATCH(S36,'Master Lookup FY26'!B44:B54,0)),"")</f>
        <v/>
      </c>
      <c r="U36" s="295"/>
      <c r="V36" s="294"/>
      <c r="X36" s="297" t="str">
        <f>IF(INDEX('Master Lookup'!$B$37:$B$47,$B36)=0,"",INDEX('Master Lookup'!$B$37:$B$47,$B36))</f>
        <v/>
      </c>
      <c r="Y36" s="293" t="str">
        <f>IFERROR(INDEX('Master Lookup FY26'!C44:C54,MATCH(X36,'Master Lookup FY26'!B44:B54,0)),"")</f>
        <v/>
      </c>
      <c r="Z36" s="295"/>
      <c r="AA36" s="294"/>
      <c r="AC36" s="297" t="str">
        <f>IF(INDEX('Master Lookup'!$B$37:$B$47,$B36)=0,"",INDEX('Master Lookup'!$B$37:$B$47,$B36))</f>
        <v/>
      </c>
      <c r="AD36" s="293" t="str">
        <f>IFERROR(INDEX('Master Lookup FY26'!C44:C54,MATCH(AC36,'Master Lookup FY26'!B44:B54,0)),"")</f>
        <v/>
      </c>
      <c r="AE36" s="295"/>
      <c r="AF36" s="294"/>
      <c r="AH36" s="297" t="str">
        <f>IF(INDEX('Master Lookup'!$B$37:$B$47,$B36)=0,"",INDEX('Master Lookup'!$B$37:$B$47,$B36))</f>
        <v/>
      </c>
      <c r="AI36" s="293" t="str">
        <f>IFERROR(INDEX('Master Lookup FY26'!C44:C54,MATCH(AH36,'Master Lookup FY26'!B44:B55,0)),"")</f>
        <v/>
      </c>
      <c r="AJ36" s="295"/>
      <c r="AK36" s="294"/>
      <c r="AM36" s="297" t="str">
        <f>IF(INDEX('Master Lookup'!$B$37:$B$47,$B36)=0,"",INDEX('Master Lookup'!$B$37:$B$47,$B36))</f>
        <v/>
      </c>
      <c r="AN36" s="293" t="str">
        <f>IFERROR(INDEX('Master Lookup FY26'!C44:C54,MATCH(AM36,'Master Lookup FY26'!B44:B54,0)),"")</f>
        <v/>
      </c>
      <c r="AO36" s="295"/>
      <c r="AP36" s="294"/>
      <c r="AR36" s="297" t="str">
        <f>IF(INDEX('Master Lookup'!$B$37:$B$47,$B36)=0,"",INDEX('Master Lookup'!$B$37:$B$47,$B36))</f>
        <v/>
      </c>
      <c r="AS36" s="293" t="str">
        <f>IFERROR(INDEX('Master Lookup FY26'!C44:C54,MATCH(AR36,'Master Lookup FY26'!B44:B54,0)),"")</f>
        <v/>
      </c>
      <c r="AT36" s="295"/>
      <c r="AU36" s="294"/>
      <c r="AW36" s="297" t="str">
        <f>IF(INDEX('Master Lookup'!$B$37:$B$47,$B36)=0,"",INDEX('Master Lookup'!$B$37:$B$47,$B36))</f>
        <v/>
      </c>
      <c r="AX36" s="293" t="str">
        <f>IFERROR(INDEX('Master Lookup FY26'!C44:C54,MATCH(AW36,'Master Lookup FY26'!B44:B54,0)),"")</f>
        <v/>
      </c>
      <c r="AY36" s="295"/>
      <c r="AZ36" s="294"/>
      <c r="BB36" s="297" t="str">
        <f>IF(INDEX('Master Lookup'!$B$37:$B$47,$B36)=0,"",INDEX('Master Lookup'!$B$37:$B$47,$B36))</f>
        <v/>
      </c>
      <c r="BC36" s="293" t="str">
        <f>IFERROR(INDEX('Master Lookup FY26'!C44:C54,MATCH(BB36,'Master Lookup FY26'!B44:B54,0)),"")</f>
        <v/>
      </c>
      <c r="BD36" s="295"/>
      <c r="BE36" s="294"/>
      <c r="BG36" s="297" t="str">
        <f>IF(INDEX('Master Lookup'!$B$37:$B$47,$B36)=0,"",INDEX('Master Lookup'!$B$37:$B$47,$B36))</f>
        <v/>
      </c>
      <c r="BH36" s="293" t="str">
        <f>IFERROR(INDEX('Master Lookup FY26'!C44:C54,MATCH(BG36,'Master Lookup FY26'!B44:B54,0)),"")</f>
        <v/>
      </c>
      <c r="BI36" s="295"/>
      <c r="BJ36" s="294"/>
      <c r="BL36" s="297" t="str">
        <f>IF(INDEX('Master Lookup'!$B$37:$B$47,$B36)=0,"",INDEX('Master Lookup'!$B$37:$B$47,$B36))</f>
        <v/>
      </c>
      <c r="BM36" s="293" t="str">
        <f>IFERROR(INDEX('Master Lookup FY26'!C44:C54,MATCH(BL36,'Master Lookup FY26'!B44:B54,0)),"")</f>
        <v/>
      </c>
      <c r="BN36" s="295"/>
      <c r="BO36" s="294"/>
      <c r="BQ36" s="297" t="str">
        <f>IF(INDEX('Master Lookup'!$B$37:$B$47,$B36)=0,"",INDEX('Master Lookup'!$B$37:$B$47,$B36))</f>
        <v/>
      </c>
      <c r="BR36" s="293" t="str">
        <f>IFERROR(INDEX('Master Lookup FY26'!C44:C54,MATCH(BQ36,'Master Lookup FY26'!B44:B54,0)),"")</f>
        <v/>
      </c>
      <c r="BS36" s="295"/>
      <c r="BT36" s="294"/>
      <c r="BV36" s="297" t="str">
        <f>IF(INDEX('Master Lookup'!$B$37:$B$47,$B36)=0,"",INDEX('Master Lookup'!$B$37:$B$47,$B36))</f>
        <v/>
      </c>
      <c r="BW36" s="293" t="str">
        <f>IFERROR(INDEX('Master Lookup FY26'!C44:C54,MATCH(BV36,'Master Lookup FY26'!B44:B54,0)),"")</f>
        <v/>
      </c>
      <c r="BX36" s="295"/>
      <c r="BY36" s="294"/>
      <c r="CA36" s="297" t="str">
        <f>IF(INDEX('Master Lookup'!$B$37:$B$47,$B36)=0,"",INDEX('Master Lookup'!$B$37:$B$47,$B36))</f>
        <v/>
      </c>
      <c r="CB36" s="293" t="str">
        <f>IFERROR(INDEX('Master Lookup FY26'!C44:C54,MATCH(CA36,'Master Lookup FY26'!B44:B54,0)),"")</f>
        <v/>
      </c>
      <c r="CC36" s="295"/>
      <c r="CD36" s="294"/>
      <c r="CF36" s="297" t="str">
        <f>IF(INDEX('Master Lookup'!$B$37:$B$47,$B36)=0,"",INDEX('Master Lookup'!$B$37:$B$47,$B36))</f>
        <v/>
      </c>
      <c r="CG36" s="293" t="str">
        <f>IFERROR(INDEX('Master Lookup FY26'!C44:C54,MATCH(CF36,'Master Lookup FY26'!B44:B54,0)),"")</f>
        <v/>
      </c>
      <c r="CH36" s="295"/>
      <c r="CI36" s="294"/>
      <c r="CK36" s="297" t="str">
        <f>IF(INDEX('Master Lookup'!$B$37:$B$47,$B36)=0,"",INDEX('Master Lookup'!$B$37:$B$47,$B36))</f>
        <v/>
      </c>
      <c r="CL36" s="293" t="str">
        <f>IFERROR(INDEX('Master Lookup FY26'!C44:C54,MATCH(CK36,'Master Lookup FY26'!B44:B54,0)),"")</f>
        <v/>
      </c>
      <c r="CM36" s="295"/>
      <c r="CN36" s="294"/>
      <c r="CP36" s="297" t="str">
        <f>IF(INDEX('Master Lookup'!$B$37:$B$47,$B36)=0,"",INDEX('Master Lookup'!$B$37:$B$47,$B36))</f>
        <v/>
      </c>
      <c r="CQ36" s="293" t="str">
        <f>IFERROR(INDEX('Master Lookup FY26'!C44:C54,MATCH(CP36,'Master Lookup FY26'!B44:B54,0)),"")</f>
        <v/>
      </c>
      <c r="CR36" s="295"/>
      <c r="CS36" s="294"/>
      <c r="CU36" s="297" t="str">
        <f>IF(INDEX('Master Lookup'!$B$37:$B$47,$B36)=0,"",INDEX('Master Lookup'!$B$37:$B$47,$B36))</f>
        <v/>
      </c>
      <c r="CV36" s="293" t="str">
        <f>IFERROR(INDEX('Master Lookup FY26'!C44:C54,MATCH(CU36,'Master Lookup FY26'!B44:B54,0)),"")</f>
        <v/>
      </c>
      <c r="CW36" s="295"/>
      <c r="CX36" s="294"/>
      <c r="CZ36" s="297" t="str">
        <f>IF(INDEX('Master Lookup'!$B$37:$B$47,$B36)=0,"",INDEX('Master Lookup'!$B$37:$B$47,$B36))</f>
        <v/>
      </c>
      <c r="DA36" s="293" t="str">
        <f>IFERROR(INDEX('Master Lookup FY26'!C44:C54,MATCH(CZ36,'Master Lookup FY26'!B44:B54,0)),"")</f>
        <v/>
      </c>
      <c r="DB36" s="295"/>
      <c r="DC36" s="294"/>
      <c r="DE36" s="297" t="str">
        <f>IF(INDEX('Master Lookup'!$B$37:$B$47,$B36)=0,"",INDEX('Master Lookup'!$B$37:$B$47,$B36))</f>
        <v/>
      </c>
      <c r="DF36" s="293" t="str">
        <f>IFERROR(INDEX('Master Lookup FY26'!C44:C54,MATCH(DE36,'Master Lookup FY26'!B44:B54,0)),"")</f>
        <v/>
      </c>
      <c r="DG36" s="295"/>
      <c r="DH36" s="294"/>
      <c r="DJ36" s="297" t="str">
        <f>IF(INDEX('Master Lookup'!$B$37:$B$47,$B36)=0,"",INDEX('Master Lookup'!$B$37:$B$47,$B36))</f>
        <v/>
      </c>
      <c r="DK36" s="293" t="str">
        <f>IFERROR(INDEX('Master Lookup FY26'!C44:C54,MATCH(DJ36,'Master Lookup FY26'!B44:B54,0)),"")</f>
        <v/>
      </c>
      <c r="DL36" s="295"/>
      <c r="DM36" s="294"/>
      <c r="DO36" s="297" t="str">
        <f>IF(INDEX('Master Lookup'!$B$37:$B$47,$B36)=0,"",INDEX('Master Lookup'!$B$37:$B$47,$B36))</f>
        <v/>
      </c>
      <c r="DP36" s="293" t="str">
        <f>IFERROR(INDEX('Master Lookup FY26'!C44:C54,MATCH(DO36,'Master Lookup FY26'!B44:B54,0)),"")</f>
        <v/>
      </c>
      <c r="DQ36" s="295"/>
      <c r="DR36" s="294"/>
    </row>
    <row r="37" spans="2:122" hidden="1" x14ac:dyDescent="0.25">
      <c r="B37" s="254">
        <v>9</v>
      </c>
      <c r="D37" s="297" t="str">
        <f>IF(INDEX('Master Lookup'!$B$37:$B$47,$B37)=0,"",INDEX('Master Lookup'!$B$37:$B$47,$B37))</f>
        <v/>
      </c>
      <c r="E37" s="293" t="str">
        <f>IFERROR(INDEX('Master Lookup FY26'!C45:C55,MATCH(D37,'Master Lookup FY26'!B45:B55,0)),"")</f>
        <v/>
      </c>
      <c r="F37" s="295"/>
      <c r="G37" s="294"/>
      <c r="I37" s="297" t="str">
        <f>IF(INDEX('Master Lookup'!$B$37:$B$47,$B37)=0,"",INDEX('Master Lookup'!$B$37:$B$47,$B37))</f>
        <v/>
      </c>
      <c r="J37" s="293" t="str">
        <f>IFERROR(INDEX('Master Lookup FY26'!C45:C55,MATCH(I37,'Master Lookup FY26'!B45:B55,0)),"")</f>
        <v/>
      </c>
      <c r="K37" s="295"/>
      <c r="L37" s="294"/>
      <c r="N37" s="297" t="str">
        <f>IF(INDEX('Master Lookup'!$B$37:$B$47,$B37)=0,"",INDEX('Master Lookup'!$B$37:$B$47,$B37))</f>
        <v/>
      </c>
      <c r="O37" s="293" t="str">
        <f>IFERROR(INDEX('Master Lookup FY26'!C45:C55,MATCH(N37,'Master Lookup FY26'!B45:B55,0)),"")</f>
        <v/>
      </c>
      <c r="P37" s="295"/>
      <c r="Q37" s="294"/>
      <c r="S37" s="297" t="str">
        <f>IF(INDEX('Master Lookup'!$B$37:$B$47,$B37)=0,"",INDEX('Master Lookup'!$B$37:$B$47,$B37))</f>
        <v/>
      </c>
      <c r="T37" s="1172" t="str">
        <f>IFERROR(INDEX('Master Lookup FY26'!C45:C55,MATCH(S37,'Master Lookup FY26'!B45:B55,0)),"")</f>
        <v/>
      </c>
      <c r="U37" s="295"/>
      <c r="V37" s="294"/>
      <c r="X37" s="297" t="str">
        <f>IF(INDEX('Master Lookup'!$B$37:$B$47,$B37)=0,"",INDEX('Master Lookup'!$B$37:$B$47,$B37))</f>
        <v/>
      </c>
      <c r="Y37" s="293" t="str">
        <f>IFERROR(INDEX('Master Lookup FY26'!C45:C55,MATCH(X37,'Master Lookup FY26'!B45:B55,0)),"")</f>
        <v/>
      </c>
      <c r="Z37" s="295"/>
      <c r="AA37" s="294"/>
      <c r="AC37" s="297" t="str">
        <f>IF(INDEX('Master Lookup'!$B$37:$B$47,$B37)=0,"",INDEX('Master Lookup'!$B$37:$B$47,$B37))</f>
        <v/>
      </c>
      <c r="AD37" s="293" t="str">
        <f>IFERROR(INDEX('Master Lookup FY26'!C45:C55,MATCH(AC37,'Master Lookup FY26'!B45:B55,0)),"")</f>
        <v/>
      </c>
      <c r="AE37" s="295"/>
      <c r="AF37" s="294"/>
      <c r="AH37" s="297" t="str">
        <f>IF(INDEX('Master Lookup'!$B$37:$B$47,$B37)=0,"",INDEX('Master Lookup'!$B$37:$B$47,$B37))</f>
        <v/>
      </c>
      <c r="AI37" s="293" t="str">
        <f>IFERROR(INDEX('Master Lookup FY26'!C45:C55,MATCH(AH37,'Master Lookup FY26'!B45:B56,0)),"")</f>
        <v/>
      </c>
      <c r="AJ37" s="295"/>
      <c r="AK37" s="294"/>
      <c r="AM37" s="297" t="str">
        <f>IF(INDEX('Master Lookup'!$B$37:$B$47,$B37)=0,"",INDEX('Master Lookup'!$B$37:$B$47,$B37))</f>
        <v/>
      </c>
      <c r="AN37" s="293" t="str">
        <f>IFERROR(INDEX('Master Lookup FY26'!C45:C55,MATCH(AM37,'Master Lookup FY26'!B45:B55,0)),"")</f>
        <v/>
      </c>
      <c r="AO37" s="295"/>
      <c r="AP37" s="294"/>
      <c r="AR37" s="297" t="str">
        <f>IF(INDEX('Master Lookup'!$B$37:$B$47,$B37)=0,"",INDEX('Master Lookup'!$B$37:$B$47,$B37))</f>
        <v/>
      </c>
      <c r="AS37" s="293" t="str">
        <f>IFERROR(INDEX('Master Lookup FY26'!C45:C55,MATCH(AR37,'Master Lookup FY26'!B45:B55,0)),"")</f>
        <v/>
      </c>
      <c r="AT37" s="295"/>
      <c r="AU37" s="294"/>
      <c r="AW37" s="297" t="str">
        <f>IF(INDEX('Master Lookup'!$B$37:$B$47,$B37)=0,"",INDEX('Master Lookup'!$B$37:$B$47,$B37))</f>
        <v/>
      </c>
      <c r="AX37" s="293" t="str">
        <f>IFERROR(INDEX('Master Lookup FY26'!C45:C55,MATCH(AW37,'Master Lookup FY26'!B45:B55,0)),"")</f>
        <v/>
      </c>
      <c r="AY37" s="295"/>
      <c r="AZ37" s="294"/>
      <c r="BB37" s="297" t="str">
        <f>IF(INDEX('Master Lookup'!$B$37:$B$47,$B37)=0,"",INDEX('Master Lookup'!$B$37:$B$47,$B37))</f>
        <v/>
      </c>
      <c r="BC37" s="293" t="str">
        <f>IFERROR(INDEX('Master Lookup FY26'!C45:C55,MATCH(BB37,'Master Lookup FY26'!B45:B55,0)),"")</f>
        <v/>
      </c>
      <c r="BD37" s="295"/>
      <c r="BE37" s="294"/>
      <c r="BG37" s="297" t="str">
        <f>IF(INDEX('Master Lookup'!$B$37:$B$47,$B37)=0,"",INDEX('Master Lookup'!$B$37:$B$47,$B37))</f>
        <v/>
      </c>
      <c r="BH37" s="293" t="str">
        <f>IFERROR(INDEX('Master Lookup FY26'!C45:C55,MATCH(BG37,'Master Lookup FY26'!B45:B55,0)),"")</f>
        <v/>
      </c>
      <c r="BI37" s="295"/>
      <c r="BJ37" s="294"/>
      <c r="BL37" s="297" t="str">
        <f>IF(INDEX('Master Lookup'!$B$37:$B$47,$B37)=0,"",INDEX('Master Lookup'!$B$37:$B$47,$B37))</f>
        <v/>
      </c>
      <c r="BM37" s="293" t="str">
        <f>IFERROR(INDEX('Master Lookup FY26'!C45:C55,MATCH(BL37,'Master Lookup FY26'!B45:B55,0)),"")</f>
        <v/>
      </c>
      <c r="BN37" s="295"/>
      <c r="BO37" s="294"/>
      <c r="BQ37" s="297" t="str">
        <f>IF(INDEX('Master Lookup'!$B$37:$B$47,$B37)=0,"",INDEX('Master Lookup'!$B$37:$B$47,$B37))</f>
        <v/>
      </c>
      <c r="BR37" s="293" t="str">
        <f>IFERROR(INDEX('Master Lookup FY26'!C45:C55,MATCH(BQ37,'Master Lookup FY26'!B45:B55,0)),"")</f>
        <v/>
      </c>
      <c r="BS37" s="295"/>
      <c r="BT37" s="294"/>
      <c r="BV37" s="297" t="str">
        <f>IF(INDEX('Master Lookup'!$B$37:$B$47,$B37)=0,"",INDEX('Master Lookup'!$B$37:$B$47,$B37))</f>
        <v/>
      </c>
      <c r="BW37" s="293" t="str">
        <f>IFERROR(INDEX('Master Lookup FY26'!C45:C55,MATCH(BV37,'Master Lookup FY26'!B45:B55,0)),"")</f>
        <v/>
      </c>
      <c r="BX37" s="295"/>
      <c r="BY37" s="294"/>
      <c r="CA37" s="297" t="str">
        <f>IF(INDEX('Master Lookup'!$B$37:$B$47,$B37)=0,"",INDEX('Master Lookup'!$B$37:$B$47,$B37))</f>
        <v/>
      </c>
      <c r="CB37" s="293" t="str">
        <f>IFERROR(INDEX('Master Lookup FY26'!C45:C55,MATCH(CA37,'Master Lookup FY26'!B45:B55,0)),"")</f>
        <v/>
      </c>
      <c r="CC37" s="295"/>
      <c r="CD37" s="294"/>
      <c r="CF37" s="297" t="str">
        <f>IF(INDEX('Master Lookup'!$B$37:$B$47,$B37)=0,"",INDEX('Master Lookup'!$B$37:$B$47,$B37))</f>
        <v/>
      </c>
      <c r="CG37" s="293" t="str">
        <f>IFERROR(INDEX('Master Lookup FY26'!C45:C55,MATCH(CF37,'Master Lookup FY26'!B45:B55,0)),"")</f>
        <v/>
      </c>
      <c r="CH37" s="295"/>
      <c r="CI37" s="294"/>
      <c r="CK37" s="297" t="str">
        <f>IF(INDEX('Master Lookup'!$B$37:$B$47,$B37)=0,"",INDEX('Master Lookup'!$B$37:$B$47,$B37))</f>
        <v/>
      </c>
      <c r="CL37" s="293" t="str">
        <f>IFERROR(INDEX('Master Lookup FY26'!C45:C55,MATCH(CK37,'Master Lookup FY26'!B45:B55,0)),"")</f>
        <v/>
      </c>
      <c r="CM37" s="295"/>
      <c r="CN37" s="294"/>
      <c r="CP37" s="297" t="str">
        <f>IF(INDEX('Master Lookup'!$B$37:$B$47,$B37)=0,"",INDEX('Master Lookup'!$B$37:$B$47,$B37))</f>
        <v/>
      </c>
      <c r="CQ37" s="293" t="str">
        <f>IFERROR(INDEX('Master Lookup FY26'!C45:C55,MATCH(CP37,'Master Lookup FY26'!B45:B55,0)),"")</f>
        <v/>
      </c>
      <c r="CR37" s="295"/>
      <c r="CS37" s="294"/>
      <c r="CU37" s="297" t="str">
        <f>IF(INDEX('Master Lookup'!$B$37:$B$47,$B37)=0,"",INDEX('Master Lookup'!$B$37:$B$47,$B37))</f>
        <v/>
      </c>
      <c r="CV37" s="293" t="str">
        <f>IFERROR(INDEX('Master Lookup FY26'!C45:C55,MATCH(CU37,'Master Lookup FY26'!B45:B55,0)),"")</f>
        <v/>
      </c>
      <c r="CW37" s="295"/>
      <c r="CX37" s="294"/>
      <c r="CZ37" s="297" t="str">
        <f>IF(INDEX('Master Lookup'!$B$37:$B$47,$B37)=0,"",INDEX('Master Lookup'!$B$37:$B$47,$B37))</f>
        <v/>
      </c>
      <c r="DA37" s="293" t="str">
        <f>IFERROR(INDEX('Master Lookup FY26'!C45:C55,MATCH(CZ37,'Master Lookup FY26'!B45:B55,0)),"")</f>
        <v/>
      </c>
      <c r="DB37" s="295"/>
      <c r="DC37" s="294"/>
      <c r="DE37" s="297" t="str">
        <f>IF(INDEX('Master Lookup'!$B$37:$B$47,$B37)=0,"",INDEX('Master Lookup'!$B$37:$B$47,$B37))</f>
        <v/>
      </c>
      <c r="DF37" s="293" t="str">
        <f>IFERROR(INDEX('Master Lookup FY26'!C45:C55,MATCH(DE37,'Master Lookup FY26'!B45:B55,0)),"")</f>
        <v/>
      </c>
      <c r="DG37" s="295"/>
      <c r="DH37" s="294"/>
      <c r="DJ37" s="297" t="str">
        <f>IF(INDEX('Master Lookup'!$B$37:$B$47,$B37)=0,"",INDEX('Master Lookup'!$B$37:$B$47,$B37))</f>
        <v/>
      </c>
      <c r="DK37" s="293" t="str">
        <f>IFERROR(INDEX('Master Lookup FY26'!C45:C55,MATCH(DJ37,'Master Lookup FY26'!B45:B55,0)),"")</f>
        <v/>
      </c>
      <c r="DL37" s="295"/>
      <c r="DM37" s="294"/>
      <c r="DO37" s="297" t="str">
        <f>IF(INDEX('Master Lookup'!$B$37:$B$47,$B37)=0,"",INDEX('Master Lookup'!$B$37:$B$47,$B37))</f>
        <v/>
      </c>
      <c r="DP37" s="293" t="str">
        <f>IFERROR(INDEX('Master Lookup FY26'!C45:C55,MATCH(DO37,'Master Lookup FY26'!B45:B55,0)),"")</f>
        <v/>
      </c>
      <c r="DQ37" s="295"/>
      <c r="DR37" s="294"/>
    </row>
    <row r="38" spans="2:122" hidden="1" x14ac:dyDescent="0.25">
      <c r="B38" s="254">
        <v>10</v>
      </c>
      <c r="D38" s="297" t="str">
        <f>IF(INDEX('Master Lookup'!$B$37:$B$47,$B38)=0,"",INDEX('Master Lookup'!$B$37:$B$47,$B38))</f>
        <v/>
      </c>
      <c r="E38" s="293" t="str">
        <f>IFERROR(INDEX('Master Lookup FY26'!C46:C56,MATCH(D38,'Master Lookup FY26'!B46:B56,0)),"")</f>
        <v/>
      </c>
      <c r="F38" s="295"/>
      <c r="G38" s="294"/>
      <c r="I38" s="297" t="str">
        <f>IF(INDEX('Master Lookup'!$B$37:$B$47,$B38)=0,"",INDEX('Master Lookup'!$B$37:$B$47,$B38))</f>
        <v/>
      </c>
      <c r="J38" s="293" t="str">
        <f>IFERROR(INDEX('Master Lookup FY26'!C46:C56,MATCH(I38,'Master Lookup FY26'!B46:B56,0)),"")</f>
        <v/>
      </c>
      <c r="K38" s="295"/>
      <c r="L38" s="294"/>
      <c r="N38" s="297" t="str">
        <f>IF(INDEX('Master Lookup'!$B$37:$B$47,$B38)=0,"",INDEX('Master Lookup'!$B$37:$B$47,$B38))</f>
        <v/>
      </c>
      <c r="O38" s="293" t="str">
        <f>IFERROR(INDEX('Master Lookup FY26'!C46:C56,MATCH(N38,'Master Lookup FY26'!B46:B56,0)),"")</f>
        <v/>
      </c>
      <c r="P38" s="295"/>
      <c r="Q38" s="294"/>
      <c r="S38" s="297" t="str">
        <f>IF(INDEX('Master Lookup'!$B$37:$B$47,$B38)=0,"",INDEX('Master Lookup'!$B$37:$B$47,$B38))</f>
        <v/>
      </c>
      <c r="T38" s="1172" t="str">
        <f>IFERROR(INDEX('Master Lookup FY26'!C46:C56,MATCH(S38,'Master Lookup FY26'!B46:B56,0)),"")</f>
        <v/>
      </c>
      <c r="U38" s="295"/>
      <c r="V38" s="294"/>
      <c r="X38" s="297" t="str">
        <f>IF(INDEX('Master Lookup'!$B$37:$B$47,$B38)=0,"",INDEX('Master Lookup'!$B$37:$B$47,$B38))</f>
        <v/>
      </c>
      <c r="Y38" s="293" t="str">
        <f>IFERROR(INDEX('Master Lookup FY26'!C46:C56,MATCH(X38,'Master Lookup FY26'!B46:B56,0)),"")</f>
        <v/>
      </c>
      <c r="Z38" s="295"/>
      <c r="AA38" s="294"/>
      <c r="AC38" s="297" t="str">
        <f>IF(INDEX('Master Lookup'!$B$37:$B$47,$B38)=0,"",INDEX('Master Lookup'!$B$37:$B$47,$B38))</f>
        <v/>
      </c>
      <c r="AD38" s="293" t="str">
        <f>IFERROR(INDEX('Master Lookup FY26'!C46:C56,MATCH(AC38,'Master Lookup FY26'!B46:B56,0)),"")</f>
        <v/>
      </c>
      <c r="AE38" s="295"/>
      <c r="AF38" s="294"/>
      <c r="AH38" s="297" t="str">
        <f>IF(INDEX('Master Lookup'!$B$37:$B$47,$B38)=0,"",INDEX('Master Lookup'!$B$37:$B$47,$B38))</f>
        <v/>
      </c>
      <c r="AI38" s="293" t="str">
        <f>IFERROR(INDEX('Master Lookup FY26'!C46:C56,MATCH(AH38,'Master Lookup FY26'!B46:B57,0)),"")</f>
        <v/>
      </c>
      <c r="AJ38" s="295"/>
      <c r="AK38" s="294"/>
      <c r="AM38" s="297" t="str">
        <f>IF(INDEX('Master Lookup'!$B$37:$B$47,$B38)=0,"",INDEX('Master Lookup'!$B$37:$B$47,$B38))</f>
        <v/>
      </c>
      <c r="AN38" s="293" t="str">
        <f>IFERROR(INDEX('Master Lookup FY26'!C46:C56,MATCH(AM38,'Master Lookup FY26'!B46:B56,0)),"")</f>
        <v/>
      </c>
      <c r="AO38" s="295"/>
      <c r="AP38" s="294"/>
      <c r="AR38" s="297" t="str">
        <f>IF(INDEX('Master Lookup'!$B$37:$B$47,$B38)=0,"",INDEX('Master Lookup'!$B$37:$B$47,$B38))</f>
        <v/>
      </c>
      <c r="AS38" s="293" t="str">
        <f>IFERROR(INDEX('Master Lookup FY26'!C46:C56,MATCH(AR38,'Master Lookup FY26'!B46:B56,0)),"")</f>
        <v/>
      </c>
      <c r="AT38" s="295"/>
      <c r="AU38" s="294"/>
      <c r="AW38" s="297" t="str">
        <f>IF(INDEX('Master Lookup'!$B$37:$B$47,$B38)=0,"",INDEX('Master Lookup'!$B$37:$B$47,$B38))</f>
        <v/>
      </c>
      <c r="AX38" s="293" t="str">
        <f>IFERROR(INDEX('Master Lookup FY26'!C46:C56,MATCH(AW38,'Master Lookup FY26'!B46:B56,0)),"")</f>
        <v/>
      </c>
      <c r="AY38" s="295"/>
      <c r="AZ38" s="294"/>
      <c r="BB38" s="297" t="str">
        <f>IF(INDEX('Master Lookup'!$B$37:$B$47,$B38)=0,"",INDEX('Master Lookup'!$B$37:$B$47,$B38))</f>
        <v/>
      </c>
      <c r="BC38" s="293" t="str">
        <f>IFERROR(INDEX('Master Lookup FY26'!C46:C56,MATCH(BB38,'Master Lookup FY26'!B46:B56,0)),"")</f>
        <v/>
      </c>
      <c r="BD38" s="295"/>
      <c r="BE38" s="294"/>
      <c r="BG38" s="297" t="str">
        <f>IF(INDEX('Master Lookup'!$B$37:$B$47,$B38)=0,"",INDEX('Master Lookup'!$B$37:$B$47,$B38))</f>
        <v/>
      </c>
      <c r="BH38" s="293" t="str">
        <f>IFERROR(INDEX('Master Lookup FY26'!C46:C56,MATCH(BG38,'Master Lookup FY26'!B46:B56,0)),"")</f>
        <v/>
      </c>
      <c r="BI38" s="295"/>
      <c r="BJ38" s="294"/>
      <c r="BL38" s="297" t="str">
        <f>IF(INDEX('Master Lookup'!$B$37:$B$47,$B38)=0,"",INDEX('Master Lookup'!$B$37:$B$47,$B38))</f>
        <v/>
      </c>
      <c r="BM38" s="293" t="str">
        <f>IFERROR(INDEX('Master Lookup FY26'!C46:C56,MATCH(BL38,'Master Lookup FY26'!B46:B56,0)),"")</f>
        <v/>
      </c>
      <c r="BN38" s="295"/>
      <c r="BO38" s="294"/>
      <c r="BQ38" s="297" t="str">
        <f>IF(INDEX('Master Lookup'!$B$37:$B$47,$B38)=0,"",INDEX('Master Lookup'!$B$37:$B$47,$B38))</f>
        <v/>
      </c>
      <c r="BR38" s="293" t="str">
        <f>IFERROR(INDEX('Master Lookup FY26'!C46:C56,MATCH(BQ38,'Master Lookup FY26'!B46:B56,0)),"")</f>
        <v/>
      </c>
      <c r="BS38" s="295"/>
      <c r="BT38" s="294"/>
      <c r="BV38" s="297" t="str">
        <f>IF(INDEX('Master Lookup'!$B$37:$B$47,$B38)=0,"",INDEX('Master Lookup'!$B$37:$B$47,$B38))</f>
        <v/>
      </c>
      <c r="BW38" s="293" t="str">
        <f>IFERROR(INDEX('Master Lookup FY26'!C46:C56,MATCH(BV38,'Master Lookup FY26'!B46:B56,0)),"")</f>
        <v/>
      </c>
      <c r="BX38" s="295"/>
      <c r="BY38" s="294"/>
      <c r="CA38" s="297" t="str">
        <f>IF(INDEX('Master Lookup'!$B$37:$B$47,$B38)=0,"",INDEX('Master Lookup'!$B$37:$B$47,$B38))</f>
        <v/>
      </c>
      <c r="CB38" s="293" t="str">
        <f>IFERROR(INDEX('Master Lookup FY26'!C46:C56,MATCH(CA38,'Master Lookup FY26'!B46:B56,0)),"")</f>
        <v/>
      </c>
      <c r="CC38" s="295"/>
      <c r="CD38" s="294"/>
      <c r="CF38" s="297" t="str">
        <f>IF(INDEX('Master Lookup'!$B$37:$B$47,$B38)=0,"",INDEX('Master Lookup'!$B$37:$B$47,$B38))</f>
        <v/>
      </c>
      <c r="CG38" s="293" t="str">
        <f>IFERROR(INDEX('Master Lookup FY26'!C46:C56,MATCH(CF38,'Master Lookup FY26'!B46:B56,0)),"")</f>
        <v/>
      </c>
      <c r="CH38" s="295"/>
      <c r="CI38" s="294"/>
      <c r="CK38" s="297" t="str">
        <f>IF(INDEX('Master Lookup'!$B$37:$B$47,$B38)=0,"",INDEX('Master Lookup'!$B$37:$B$47,$B38))</f>
        <v/>
      </c>
      <c r="CL38" s="293" t="str">
        <f>IFERROR(INDEX('Master Lookup FY26'!C46:C56,MATCH(CK38,'Master Lookup FY26'!B46:B56,0)),"")</f>
        <v/>
      </c>
      <c r="CM38" s="295"/>
      <c r="CN38" s="294"/>
      <c r="CP38" s="297" t="str">
        <f>IF(INDEX('Master Lookup'!$B$37:$B$47,$B38)=0,"",INDEX('Master Lookup'!$B$37:$B$47,$B38))</f>
        <v/>
      </c>
      <c r="CQ38" s="293" t="str">
        <f>IFERROR(INDEX('Master Lookup FY26'!C46:C56,MATCH(CP38,'Master Lookup FY26'!B46:B56,0)),"")</f>
        <v/>
      </c>
      <c r="CR38" s="295"/>
      <c r="CS38" s="294"/>
      <c r="CU38" s="297" t="str">
        <f>IF(INDEX('Master Lookup'!$B$37:$B$47,$B38)=0,"",INDEX('Master Lookup'!$B$37:$B$47,$B38))</f>
        <v/>
      </c>
      <c r="CV38" s="293" t="str">
        <f>IFERROR(INDEX('Master Lookup FY26'!C46:C56,MATCH(CU38,'Master Lookup FY26'!B46:B56,0)),"")</f>
        <v/>
      </c>
      <c r="CW38" s="295"/>
      <c r="CX38" s="294"/>
      <c r="CZ38" s="297" t="str">
        <f>IF(INDEX('Master Lookup'!$B$37:$B$47,$B38)=0,"",INDEX('Master Lookup'!$B$37:$B$47,$B38))</f>
        <v/>
      </c>
      <c r="DA38" s="293" t="str">
        <f>IFERROR(INDEX('Master Lookup FY26'!C46:C56,MATCH(CZ38,'Master Lookup FY26'!B46:B56,0)),"")</f>
        <v/>
      </c>
      <c r="DB38" s="295"/>
      <c r="DC38" s="294"/>
      <c r="DE38" s="297" t="str">
        <f>IF(INDEX('Master Lookup'!$B$37:$B$47,$B38)=0,"",INDEX('Master Lookup'!$B$37:$B$47,$B38))</f>
        <v/>
      </c>
      <c r="DF38" s="293" t="str">
        <f>IFERROR(INDEX('Master Lookup FY26'!C46:C56,MATCH(DE38,'Master Lookup FY26'!B46:B56,0)),"")</f>
        <v/>
      </c>
      <c r="DG38" s="295"/>
      <c r="DH38" s="294"/>
      <c r="DJ38" s="297" t="str">
        <f>IF(INDEX('Master Lookup'!$B$37:$B$47,$B38)=0,"",INDEX('Master Lookup'!$B$37:$B$47,$B38))</f>
        <v/>
      </c>
      <c r="DK38" s="293" t="str">
        <f>IFERROR(INDEX('Master Lookup FY26'!C46:C56,MATCH(DJ38,'Master Lookup FY26'!B46:B56,0)),"")</f>
        <v/>
      </c>
      <c r="DL38" s="295"/>
      <c r="DM38" s="294"/>
      <c r="DO38" s="297" t="str">
        <f>IF(INDEX('Master Lookup'!$B$37:$B$47,$B38)=0,"",INDEX('Master Lookup'!$B$37:$B$47,$B38))</f>
        <v/>
      </c>
      <c r="DP38" s="293" t="str">
        <f>IFERROR(INDEX('Master Lookup FY26'!C46:C56,MATCH(DO38,'Master Lookup FY26'!B46:B56,0)),"")</f>
        <v/>
      </c>
      <c r="DQ38" s="295"/>
      <c r="DR38" s="294"/>
    </row>
    <row r="39" spans="2:122" x14ac:dyDescent="0.25">
      <c r="B39" s="254">
        <v>11</v>
      </c>
      <c r="D39" s="127" t="str">
        <f>IF(INDEX('Master Lookup'!$B$37:$B$47,$B39)=0,"",INDEX('Master Lookup'!$B$37:$B$47,$B39))</f>
        <v xml:space="preserve">Flex Spending </v>
      </c>
      <c r="E39" s="293">
        <f>IFERROR(INDEX('Master Lookup FY26'!C47:C57,MATCH(D39,'Master Lookup FY26'!B47:B57,0)),"")</f>
        <v>1000</v>
      </c>
      <c r="G39" s="287">
        <f>IFERROR(E39*F16,0)</f>
        <v>500</v>
      </c>
      <c r="I39" s="127" t="str">
        <f>IF(INDEX('Master Lookup'!$B$37:$B$47,$B39)=0,"",INDEX('Master Lookup'!$B$37:$B$47,$B39))</f>
        <v xml:space="preserve">Flex Spending </v>
      </c>
      <c r="J39" s="293">
        <f>IFERROR(INDEX('Master Lookup FY26'!C47:C57,MATCH(I39,'Master Lookup FY26'!B47:B57,0)),"")</f>
        <v>1000</v>
      </c>
      <c r="L39" s="287">
        <f>IFERROR(J39*K16,0)</f>
        <v>1000</v>
      </c>
      <c r="N39" s="127" t="str">
        <f>IF(INDEX('Master Lookup'!$B$37:$B$47,$B39)=0,"",INDEX('Master Lookup'!$B$37:$B$47,$B39))</f>
        <v xml:space="preserve">Flex Spending </v>
      </c>
      <c r="O39" s="293">
        <f>IFERROR(INDEX('Master Lookup FY26'!C47:C57,MATCH(N39,'Master Lookup FY26'!B47:B57,0)),"")</f>
        <v>1000</v>
      </c>
      <c r="Q39" s="287">
        <f>IFERROR(O39*P16,0)</f>
        <v>1500</v>
      </c>
      <c r="S39" s="127" t="str">
        <f>IF(INDEX('Master Lookup'!$B$37:$B$47,$B39)=0,"",INDEX('Master Lookup'!$B$37:$B$47,$B39))</f>
        <v xml:space="preserve">Flex Spending </v>
      </c>
      <c r="T39" s="1172">
        <f>IFERROR(INDEX('Master Lookup FY26'!C47:C57,MATCH(S39,'Master Lookup FY26'!B47:B57,0)),"")</f>
        <v>1000</v>
      </c>
      <c r="U39" s="254"/>
      <c r="V39" s="287">
        <f>IFERROR(T39*U16,0)</f>
        <v>2000</v>
      </c>
      <c r="X39" s="127" t="str">
        <f>IF(INDEX('Master Lookup'!$B$37:$B$47,$B39)=0,"",INDEX('Master Lookup'!$B$37:$B$47,$B39))</f>
        <v xml:space="preserve">Flex Spending </v>
      </c>
      <c r="Y39" s="293">
        <f>IFERROR(INDEX('Master Lookup FY26'!C47:C57,MATCH(X39,'Master Lookup FY26'!B47:B57,0)),"")</f>
        <v>1000</v>
      </c>
      <c r="Z39" s="254"/>
      <c r="AA39" s="287">
        <f>IFERROR(Y39*Z16,0)</f>
        <v>2500</v>
      </c>
      <c r="AC39" s="127" t="str">
        <f>IF(INDEX('Master Lookup'!$B$37:$B$47,$B39)=0,"",INDEX('Master Lookup'!$B$37:$B$47,$B39))</f>
        <v xml:space="preserve">Flex Spending </v>
      </c>
      <c r="AD39" s="293">
        <f>IFERROR(INDEX('Master Lookup FY26'!C47:C57,MATCH(AC39,'Master Lookup FY26'!B47:B57,0)),"")</f>
        <v>1000</v>
      </c>
      <c r="AE39" s="254"/>
      <c r="AF39" s="287">
        <f>IFERROR(AD39*AE16,0)</f>
        <v>3000</v>
      </c>
      <c r="AH39" s="127" t="str">
        <f>IF(INDEX('Master Lookup'!$B$37:$B$47,$B39)=0,"",INDEX('Master Lookup'!$B$37:$B$47,$B39))</f>
        <v xml:space="preserve">Flex Spending </v>
      </c>
      <c r="AI39" s="293">
        <f>IFERROR(INDEX('Master Lookup FY26'!C47:C57,MATCH(AH39,'Master Lookup FY26'!B47:B58,0)),"")</f>
        <v>1000</v>
      </c>
      <c r="AJ39" s="254"/>
      <c r="AK39" s="287">
        <f>IFERROR(AI39*AJ16,0)</f>
        <v>3500</v>
      </c>
      <c r="AM39" s="127" t="str">
        <f>IF(INDEX('Master Lookup'!$B$37:$B$47,$B39)=0,"",INDEX('Master Lookup'!$B$37:$B$47,$B39))</f>
        <v xml:space="preserve">Flex Spending </v>
      </c>
      <c r="AN39" s="293">
        <f>IFERROR(INDEX('Master Lookup FY26'!C47:C57,MATCH(AM39,'Master Lookup FY26'!B47:B57,0)),"")</f>
        <v>1000</v>
      </c>
      <c r="AO39" s="254"/>
      <c r="AP39" s="287">
        <f>IFERROR(AN39*AO16,0)</f>
        <v>4000</v>
      </c>
      <c r="AR39" s="127" t="str">
        <f>IF(INDEX('Master Lookup'!$B$37:$B$47,$B39)=0,"",INDEX('Master Lookup'!$B$37:$B$47,$B39))</f>
        <v xml:space="preserve">Flex Spending </v>
      </c>
      <c r="AS39" s="293">
        <f>IFERROR(INDEX('Master Lookup FY26'!C47:C57,MATCH(AR39,'Master Lookup FY26'!B47:B57,0)),"")</f>
        <v>1000</v>
      </c>
      <c r="AT39" s="254"/>
      <c r="AU39" s="287">
        <f>IFERROR(AS39*AT16,0)</f>
        <v>4500</v>
      </c>
      <c r="AW39" s="127" t="str">
        <f>IF(INDEX('Master Lookup'!$B$37:$B$47,$B39)=0,"",INDEX('Master Lookup'!$B$37:$B$47,$B39))</f>
        <v xml:space="preserve">Flex Spending </v>
      </c>
      <c r="AX39" s="293">
        <f>IFERROR(INDEX('Master Lookup FY26'!C47:C57,MATCH(AW39,'Master Lookup FY26'!B47:B57,0)),"")</f>
        <v>1000</v>
      </c>
      <c r="AY39" s="254"/>
      <c r="AZ39" s="287">
        <f>IFERROR(AX39*AY16,0)</f>
        <v>5000</v>
      </c>
      <c r="BB39" s="127" t="str">
        <f>IF(INDEX('Master Lookup'!$B$37:$B$47,$B39)=0,"",INDEX('Master Lookup'!$B$37:$B$47,$B39))</f>
        <v xml:space="preserve">Flex Spending </v>
      </c>
      <c r="BC39" s="293">
        <f>IFERROR(INDEX('Master Lookup FY26'!C47:C57,MATCH(BB39,'Master Lookup FY26'!B47:B57,0)),"")</f>
        <v>1000</v>
      </c>
      <c r="BD39" s="254"/>
      <c r="BE39" s="287">
        <f>IFERROR(BC39*BD16,0)</f>
        <v>5500</v>
      </c>
      <c r="BG39" s="127" t="str">
        <f>IF(INDEX('Master Lookup'!$B$37:$B$47,$B39)=0,"",INDEX('Master Lookup'!$B$37:$B$47,$B39))</f>
        <v xml:space="preserve">Flex Spending </v>
      </c>
      <c r="BH39" s="293">
        <f>IFERROR(INDEX('Master Lookup FY26'!C47:C57,MATCH(BG39,'Master Lookup FY26'!B47:B57,0)),"")</f>
        <v>1000</v>
      </c>
      <c r="BI39" s="254"/>
      <c r="BJ39" s="287">
        <f>IFERROR(BH39*BI16,0)</f>
        <v>6000</v>
      </c>
      <c r="BL39" s="127" t="str">
        <f>IF(INDEX('Master Lookup'!$B$37:$B$47,$B39)=0,"",INDEX('Master Lookup'!$B$37:$B$47,$B39))</f>
        <v xml:space="preserve">Flex Spending </v>
      </c>
      <c r="BM39" s="293">
        <f>IFERROR(INDEX('Master Lookup FY26'!C47:C57,MATCH(BL39,'Master Lookup FY26'!B47:B57,0)),"")</f>
        <v>1000</v>
      </c>
      <c r="BO39" s="287">
        <f>IFERROR(BM39*BN16,0)</f>
        <v>6500</v>
      </c>
      <c r="BQ39" s="127" t="str">
        <f>IF(INDEX('Master Lookup'!$B$37:$B$47,$B39)=0,"",INDEX('Master Lookup'!$B$37:$B$47,$B39))</f>
        <v xml:space="preserve">Flex Spending </v>
      </c>
      <c r="BR39" s="293">
        <f>IFERROR(INDEX('Master Lookup FY26'!C47:C57,MATCH(BQ39,'Master Lookup FY26'!B47:B57,0)),"")</f>
        <v>1000</v>
      </c>
      <c r="BT39" s="287">
        <f>IFERROR(BR39*BS16,0)</f>
        <v>7000</v>
      </c>
      <c r="BV39" s="127" t="str">
        <f>IF(INDEX('Master Lookup'!$B$37:$B$47,$B39)=0,"",INDEX('Master Lookup'!$B$37:$B$47,$B39))</f>
        <v xml:space="preserve">Flex Spending </v>
      </c>
      <c r="BW39" s="293">
        <f>IFERROR(INDEX('Master Lookup FY26'!C47:C57,MATCH(BV39,'Master Lookup FY26'!B47:B57,0)),"")</f>
        <v>1000</v>
      </c>
      <c r="BY39" s="287">
        <f>IFERROR(BW39*BX16,0)</f>
        <v>7500</v>
      </c>
      <c r="CA39" s="127" t="str">
        <f>IF(INDEX('Master Lookup'!$B$37:$B$47,$B39)=0,"",INDEX('Master Lookup'!$B$37:$B$47,$B39))</f>
        <v xml:space="preserve">Flex Spending </v>
      </c>
      <c r="CB39" s="293">
        <f>IFERROR(INDEX('Master Lookup FY26'!C47:C57,MATCH(CA39,'Master Lookup FY26'!B47:B57,0)),"")</f>
        <v>1000</v>
      </c>
      <c r="CD39" s="287">
        <f>IFERROR(CB39*CC16,0)</f>
        <v>8000</v>
      </c>
      <c r="CF39" s="127" t="str">
        <f>IF(INDEX('Master Lookup'!$B$37:$B$47,$B39)=0,"",INDEX('Master Lookup'!$B$37:$B$47,$B39))</f>
        <v xml:space="preserve">Flex Spending </v>
      </c>
      <c r="CG39" s="293">
        <f>IFERROR(INDEX('Master Lookup FY26'!C47:C57,MATCH(CF39,'Master Lookup FY26'!B47:B57,0)),"")</f>
        <v>1000</v>
      </c>
      <c r="CI39" s="287">
        <f>IFERROR(CG39*CH16,0)</f>
        <v>8500</v>
      </c>
      <c r="CK39" s="127" t="str">
        <f>IF(INDEX('Master Lookup'!$B$37:$B$47,$B39)=0,"",INDEX('Master Lookup'!$B$37:$B$47,$B39))</f>
        <v xml:space="preserve">Flex Spending </v>
      </c>
      <c r="CL39" s="293">
        <f>IFERROR(INDEX('Master Lookup FY26'!C47:C57,MATCH(CK39,'Master Lookup FY26'!B47:B57,0)),"")</f>
        <v>1000</v>
      </c>
      <c r="CN39" s="287">
        <f>IFERROR(CL39*CM16,0)</f>
        <v>9000</v>
      </c>
      <c r="CP39" s="127" t="str">
        <f>IF(INDEX('Master Lookup'!$B$37:$B$47,$B39)=0,"",INDEX('Master Lookup'!$B$37:$B$47,$B39))</f>
        <v xml:space="preserve">Flex Spending </v>
      </c>
      <c r="CQ39" s="293">
        <f>IFERROR(INDEX('Master Lookup FY26'!C47:C57,MATCH(CP39,'Master Lookup FY26'!B47:B57,0)),"")</f>
        <v>1000</v>
      </c>
      <c r="CS39" s="287">
        <f>IFERROR(CQ39*CR16,0)</f>
        <v>9500</v>
      </c>
      <c r="CU39" s="127" t="str">
        <f>IF(INDEX('Master Lookup'!$B$37:$B$47,$B39)=0,"",INDEX('Master Lookup'!$B$37:$B$47,$B39))</f>
        <v xml:space="preserve">Flex Spending </v>
      </c>
      <c r="CV39" s="293">
        <f>IFERROR(INDEX('Master Lookup FY26'!C47:C57,MATCH(CU39,'Master Lookup FY26'!B47:B57,0)),"")</f>
        <v>1000</v>
      </c>
      <c r="CX39" s="287">
        <f>IFERROR(CV39*CW16,0)</f>
        <v>10000</v>
      </c>
      <c r="CZ39" s="127" t="str">
        <f>IF(INDEX('Master Lookup'!$B$37:$B$47,$B39)=0,"",INDEX('Master Lookup'!$B$37:$B$47,$B39))</f>
        <v xml:space="preserve">Flex Spending </v>
      </c>
      <c r="DA39" s="293">
        <f>IFERROR(INDEX('Master Lookup FY26'!C47:C57,MATCH(CZ39,'Master Lookup FY26'!B47:B57,0)),"")</f>
        <v>1000</v>
      </c>
      <c r="DC39" s="287">
        <f>IFERROR(DA39*DB16,0)</f>
        <v>10500</v>
      </c>
      <c r="DE39" s="127" t="str">
        <f>IF(INDEX('Master Lookup'!$B$37:$B$47,$B39)=0,"",INDEX('Master Lookup'!$B$37:$B$47,$B39))</f>
        <v xml:space="preserve">Flex Spending </v>
      </c>
      <c r="DF39" s="293">
        <f>IFERROR(INDEX('Master Lookup FY26'!C47:C57,MATCH(DE39,'Master Lookup FY26'!B47:B57,0)),"")</f>
        <v>1000</v>
      </c>
      <c r="DH39" s="287">
        <f>IFERROR(DF39*DG16,0)</f>
        <v>11000</v>
      </c>
      <c r="DJ39" s="127" t="str">
        <f>IF(INDEX('Master Lookup'!$B$37:$B$47,$B39)=0,"",INDEX('Master Lookup'!$B$37:$B$47,$B39))</f>
        <v xml:space="preserve">Flex Spending </v>
      </c>
      <c r="DK39" s="293">
        <f>IFERROR(INDEX('Master Lookup FY26'!C47:C57,MATCH(DJ39,'Master Lookup FY26'!B47:B57,0)),"")</f>
        <v>1000</v>
      </c>
      <c r="DM39" s="287">
        <f>IFERROR(DK39*DL16,0)</f>
        <v>11500</v>
      </c>
      <c r="DO39" s="127" t="str">
        <f>IF(INDEX('Master Lookup'!$B$37:$B$47,$B39)=0,"",INDEX('Master Lookup'!$B$37:$B$47,$B39))</f>
        <v xml:space="preserve">Flex Spending </v>
      </c>
      <c r="DP39" s="293">
        <f>IFERROR(INDEX('Master Lookup FY26'!C47:C57,MATCH(DO39,'Master Lookup FY26'!B47:B57,0)),"")</f>
        <v>1000</v>
      </c>
      <c r="DR39" s="287">
        <f>IFERROR(DP39*DQ16,0)</f>
        <v>12000</v>
      </c>
    </row>
    <row r="40" spans="2:122" x14ac:dyDescent="0.25">
      <c r="D40" s="127"/>
      <c r="E40" s="293"/>
      <c r="G40" s="287"/>
      <c r="I40" s="127"/>
      <c r="J40" s="293"/>
      <c r="L40" s="287"/>
      <c r="N40" s="127"/>
      <c r="O40" s="293"/>
      <c r="Q40" s="287"/>
      <c r="S40" s="127"/>
      <c r="T40" s="293"/>
      <c r="U40" s="254"/>
      <c r="V40" s="287"/>
      <c r="X40" s="127"/>
      <c r="Y40" s="293"/>
      <c r="Z40" s="254"/>
      <c r="AA40" s="287"/>
      <c r="AC40" s="127"/>
      <c r="AD40" s="293"/>
      <c r="AE40" s="254"/>
      <c r="AF40" s="287"/>
      <c r="AH40" s="127"/>
      <c r="AI40" s="293"/>
      <c r="AJ40" s="254"/>
      <c r="AK40" s="287"/>
      <c r="AM40" s="127"/>
      <c r="AN40" s="293"/>
      <c r="AO40" s="254"/>
      <c r="AP40" s="287"/>
      <c r="AR40" s="127"/>
      <c r="AS40" s="293"/>
      <c r="AT40" s="254"/>
      <c r="AU40" s="287"/>
      <c r="AW40" s="127"/>
      <c r="AX40" s="293"/>
      <c r="AY40" s="254"/>
      <c r="AZ40" s="287"/>
      <c r="BB40" s="127"/>
      <c r="BC40" s="293"/>
      <c r="BD40" s="254"/>
      <c r="BE40" s="287"/>
      <c r="BG40" s="127"/>
      <c r="BH40" s="293"/>
      <c r="BI40" s="254"/>
      <c r="BJ40" s="287"/>
      <c r="BL40" s="127"/>
      <c r="BM40" s="293"/>
      <c r="BO40" s="287"/>
      <c r="BQ40" s="127"/>
      <c r="BR40" s="293"/>
      <c r="BT40" s="287"/>
      <c r="BV40" s="127"/>
      <c r="BW40" s="293"/>
      <c r="BY40" s="287"/>
      <c r="CA40" s="127"/>
      <c r="CB40" s="293"/>
      <c r="CD40" s="287"/>
      <c r="CF40" s="127"/>
      <c r="CG40" s="293"/>
      <c r="CI40" s="287"/>
      <c r="CK40" s="127"/>
      <c r="CL40" s="293"/>
      <c r="CN40" s="287"/>
      <c r="CP40" s="127"/>
      <c r="CQ40" s="293"/>
      <c r="CS40" s="287"/>
      <c r="CU40" s="127"/>
      <c r="CV40" s="293"/>
      <c r="CX40" s="287"/>
      <c r="CZ40" s="127"/>
      <c r="DA40" s="293"/>
      <c r="DC40" s="287"/>
      <c r="DE40" s="127"/>
      <c r="DF40" s="293"/>
      <c r="DH40" s="287"/>
      <c r="DJ40" s="127"/>
      <c r="DK40" s="293"/>
      <c r="DM40" s="287"/>
      <c r="DO40" s="127"/>
      <c r="DP40" s="293"/>
      <c r="DR40" s="287"/>
    </row>
    <row r="41" spans="2:122" x14ac:dyDescent="0.25">
      <c r="D41" s="292"/>
      <c r="E41" s="291"/>
      <c r="F41" s="278"/>
      <c r="G41" s="277"/>
      <c r="I41" s="292"/>
      <c r="J41" s="291"/>
      <c r="K41" s="278"/>
      <c r="L41" s="277"/>
      <c r="N41" s="292"/>
      <c r="O41" s="291"/>
      <c r="P41" s="278"/>
      <c r="Q41" s="277"/>
      <c r="S41" s="292"/>
      <c r="T41" s="291"/>
      <c r="U41" s="278"/>
      <c r="V41" s="277"/>
      <c r="X41" s="292"/>
      <c r="Y41" s="291"/>
      <c r="Z41" s="278"/>
      <c r="AA41" s="277"/>
      <c r="AC41" s="292"/>
      <c r="AD41" s="291"/>
      <c r="AE41" s="278"/>
      <c r="AF41" s="277"/>
      <c r="AH41" s="292"/>
      <c r="AI41" s="291"/>
      <c r="AJ41" s="278"/>
      <c r="AK41" s="277"/>
      <c r="AM41" s="292"/>
      <c r="AN41" s="291"/>
      <c r="AO41" s="278"/>
      <c r="AP41" s="277"/>
      <c r="AR41" s="292"/>
      <c r="AS41" s="291"/>
      <c r="AT41" s="278"/>
      <c r="AU41" s="277"/>
      <c r="AW41" s="292"/>
      <c r="AX41" s="291"/>
      <c r="AY41" s="278"/>
      <c r="AZ41" s="277"/>
      <c r="BB41" s="292"/>
      <c r="BC41" s="291"/>
      <c r="BD41" s="278"/>
      <c r="BE41" s="277"/>
      <c r="BG41" s="292"/>
      <c r="BH41" s="291"/>
      <c r="BI41" s="278"/>
      <c r="BJ41" s="277"/>
      <c r="BL41" s="292"/>
      <c r="BM41" s="291"/>
      <c r="BN41" s="278"/>
      <c r="BO41" s="277"/>
      <c r="BQ41" s="292"/>
      <c r="BR41" s="291"/>
      <c r="BS41" s="278"/>
      <c r="BT41" s="277"/>
      <c r="BV41" s="292"/>
      <c r="BW41" s="291"/>
      <c r="BX41" s="278"/>
      <c r="BY41" s="277"/>
      <c r="CA41" s="292"/>
      <c r="CB41" s="291"/>
      <c r="CC41" s="278"/>
      <c r="CD41" s="277"/>
      <c r="CF41" s="292"/>
      <c r="CG41" s="291"/>
      <c r="CH41" s="278"/>
      <c r="CI41" s="277"/>
      <c r="CK41" s="292"/>
      <c r="CL41" s="291"/>
      <c r="CM41" s="278"/>
      <c r="CN41" s="277"/>
      <c r="CP41" s="292"/>
      <c r="CQ41" s="291"/>
      <c r="CR41" s="278"/>
      <c r="CS41" s="277"/>
      <c r="CU41" s="292"/>
      <c r="CV41" s="291"/>
      <c r="CW41" s="278"/>
      <c r="CX41" s="277"/>
      <c r="CZ41" s="292"/>
      <c r="DA41" s="291"/>
      <c r="DB41" s="278"/>
      <c r="DC41" s="277"/>
      <c r="DE41" s="292"/>
      <c r="DF41" s="291"/>
      <c r="DG41" s="278"/>
      <c r="DH41" s="277"/>
      <c r="DJ41" s="292"/>
      <c r="DK41" s="291"/>
      <c r="DL41" s="278"/>
      <c r="DM41" s="277"/>
      <c r="DO41" s="292"/>
      <c r="DP41" s="291"/>
      <c r="DQ41" s="278"/>
      <c r="DR41" s="277"/>
    </row>
    <row r="42" spans="2:122" x14ac:dyDescent="0.25">
      <c r="D42" s="290" t="s">
        <v>455</v>
      </c>
      <c r="E42" s="289"/>
      <c r="F42" s="289"/>
      <c r="G42" s="288">
        <f>SUM(G29:G40)</f>
        <v>18001.755755924954</v>
      </c>
      <c r="I42" s="290" t="s">
        <v>455</v>
      </c>
      <c r="J42" s="289"/>
      <c r="K42" s="289"/>
      <c r="L42" s="288">
        <f>SUM(L29:L41)</f>
        <v>36003.511511849909</v>
      </c>
      <c r="N42" s="290" t="s">
        <v>455</v>
      </c>
      <c r="O42" s="289"/>
      <c r="P42" s="289"/>
      <c r="Q42" s="288">
        <f>SUM(Q29:Q41)</f>
        <v>54005.267267774863</v>
      </c>
      <c r="S42" s="290" t="s">
        <v>455</v>
      </c>
      <c r="T42" s="289"/>
      <c r="U42" s="289"/>
      <c r="V42" s="288">
        <f>SUM(V29:V41)</f>
        <v>72007.023023699818</v>
      </c>
      <c r="X42" s="290" t="s">
        <v>455</v>
      </c>
      <c r="Y42" s="289"/>
      <c r="Z42" s="289"/>
      <c r="AA42" s="288">
        <f>SUM(AA29:AA41)</f>
        <v>79507.725326069805</v>
      </c>
      <c r="AC42" s="290" t="s">
        <v>455</v>
      </c>
      <c r="AD42" s="289"/>
      <c r="AE42" s="289"/>
      <c r="AF42" s="288">
        <f>SUM(AF29:AF41)</f>
        <v>92521.480691556135</v>
      </c>
      <c r="AH42" s="290" t="s">
        <v>455</v>
      </c>
      <c r="AI42" s="289"/>
      <c r="AJ42" s="289"/>
      <c r="AK42" s="288">
        <f>SUM(AK29:AK41)</f>
        <v>104550.76229577168</v>
      </c>
      <c r="AM42" s="290" t="s">
        <v>455</v>
      </c>
      <c r="AN42" s="289"/>
      <c r="AO42" s="289"/>
      <c r="AP42" s="288">
        <f>SUM(AP29:AP41)</f>
        <v>114674.64441917853</v>
      </c>
      <c r="AR42" s="290" t="s">
        <v>455</v>
      </c>
      <c r="AS42" s="289"/>
      <c r="AT42" s="289"/>
      <c r="AU42" s="288">
        <f>SUM(AU29:AU41)</f>
        <v>122091.80969537719</v>
      </c>
      <c r="AW42" s="290" t="s">
        <v>455</v>
      </c>
      <c r="AX42" s="289"/>
      <c r="AY42" s="289"/>
      <c r="AZ42" s="288">
        <f>SUM(AZ29:AZ41)</f>
        <v>129690.0332507071</v>
      </c>
      <c r="BB42" s="290" t="s">
        <v>455</v>
      </c>
      <c r="BC42" s="289"/>
      <c r="BD42" s="289"/>
      <c r="BE42" s="288">
        <f>SUM(BE29:BE41)</f>
        <v>136424.53491324245</v>
      </c>
      <c r="BG42" s="290" t="s">
        <v>455</v>
      </c>
      <c r="BH42" s="289"/>
      <c r="BI42" s="289"/>
      <c r="BJ42" s="288">
        <f>SUM(BJ29:BJ41)</f>
        <v>145283.05920749772</v>
      </c>
      <c r="BL42" s="290" t="s">
        <v>455</v>
      </c>
      <c r="BM42" s="289"/>
      <c r="BN42" s="289"/>
      <c r="BO42" s="288">
        <f>SUM(BO29:BO41)</f>
        <v>153521.00694124759</v>
      </c>
      <c r="BQ42" s="290" t="s">
        <v>455</v>
      </c>
      <c r="BR42" s="289"/>
      <c r="BS42" s="289"/>
      <c r="BT42" s="288">
        <f>SUM(BT29:BT41)</f>
        <v>162041.00656574499</v>
      </c>
      <c r="BV42" s="290" t="s">
        <v>455</v>
      </c>
      <c r="BW42" s="289"/>
      <c r="BX42" s="289"/>
      <c r="BY42" s="288">
        <f>SUM(BY29:BY41)</f>
        <v>169923.91164030429</v>
      </c>
      <c r="CA42" s="290" t="s">
        <v>455</v>
      </c>
      <c r="CB42" s="289"/>
      <c r="CC42" s="289"/>
      <c r="CD42" s="288">
        <f>SUM(CD29:CD41)</f>
        <v>178725.57823525317</v>
      </c>
      <c r="CF42" s="290" t="s">
        <v>455</v>
      </c>
      <c r="CG42" s="289"/>
      <c r="CH42" s="289"/>
      <c r="CI42" s="288">
        <f>SUM(CI29:CI41)</f>
        <v>189149.44157917475</v>
      </c>
      <c r="CK42" s="290" t="s">
        <v>455</v>
      </c>
      <c r="CL42" s="289"/>
      <c r="CM42" s="289"/>
      <c r="CN42" s="288">
        <f>SUM(CN29:CN41)</f>
        <v>200275.87931912625</v>
      </c>
      <c r="CP42" s="290" t="s">
        <v>455</v>
      </c>
      <c r="CQ42" s="289"/>
      <c r="CR42" s="289"/>
      <c r="CS42" s="288">
        <f>SUM(CS29:CS41)</f>
        <v>211402.31705907767</v>
      </c>
      <c r="CU42" s="290" t="s">
        <v>455</v>
      </c>
      <c r="CV42" s="289"/>
      <c r="CW42" s="289"/>
      <c r="CX42" s="288">
        <f>SUM(CX29:CX41)</f>
        <v>223287.78606616854</v>
      </c>
      <c r="CZ42" s="290" t="s">
        <v>455</v>
      </c>
      <c r="DA42" s="289"/>
      <c r="DB42" s="289"/>
      <c r="DC42" s="288">
        <f>SUM(DC29:DC41)</f>
        <v>235262.1289874498</v>
      </c>
      <c r="DE42" s="290" t="s">
        <v>455</v>
      </c>
      <c r="DF42" s="289"/>
      <c r="DG42" s="289"/>
      <c r="DH42" s="288">
        <f>SUM(DH29:DH41)</f>
        <v>248212.50931036973</v>
      </c>
      <c r="DJ42" s="290" t="s">
        <v>455</v>
      </c>
      <c r="DK42" s="289"/>
      <c r="DL42" s="289"/>
      <c r="DM42" s="288">
        <f>SUM(DM29:DM41)</f>
        <v>261384.38101985012</v>
      </c>
      <c r="DO42" s="290" t="s">
        <v>455</v>
      </c>
      <c r="DP42" s="289"/>
      <c r="DQ42" s="289"/>
      <c r="DR42" s="288">
        <f>SUM(DR29:DR41)</f>
        <v>275853.07312654977</v>
      </c>
    </row>
    <row r="43" spans="2:122" x14ac:dyDescent="0.25">
      <c r="D43" s="127"/>
      <c r="G43" s="287"/>
      <c r="I43" s="127"/>
      <c r="L43" s="287"/>
      <c r="N43" s="127"/>
      <c r="Q43" s="287"/>
      <c r="S43" s="127"/>
      <c r="T43" s="254"/>
      <c r="U43" s="254"/>
      <c r="V43" s="287"/>
      <c r="X43" s="127"/>
      <c r="Y43" s="254"/>
      <c r="Z43" s="254"/>
      <c r="AA43" s="287"/>
      <c r="AC43" s="127"/>
      <c r="AD43" s="254"/>
      <c r="AE43" s="254"/>
      <c r="AF43" s="287"/>
      <c r="AH43" s="127"/>
      <c r="AI43" s="254"/>
      <c r="AJ43" s="254"/>
      <c r="AK43" s="287"/>
      <c r="AM43" s="127"/>
      <c r="AN43" s="254"/>
      <c r="AO43" s="254"/>
      <c r="AP43" s="287"/>
      <c r="AR43" s="127"/>
      <c r="AS43" s="254"/>
      <c r="AT43" s="254"/>
      <c r="AU43" s="287"/>
      <c r="AW43" s="127"/>
      <c r="AX43" s="254"/>
      <c r="AY43" s="254"/>
      <c r="AZ43" s="287"/>
      <c r="BB43" s="127"/>
      <c r="BC43" s="254"/>
      <c r="BD43" s="254"/>
      <c r="BE43" s="287"/>
      <c r="BG43" s="127"/>
      <c r="BH43" s="254"/>
      <c r="BI43" s="254"/>
      <c r="BJ43" s="287"/>
      <c r="BL43" s="127"/>
      <c r="BO43" s="287"/>
      <c r="BQ43" s="127"/>
      <c r="BT43" s="287"/>
      <c r="BV43" s="127"/>
      <c r="BY43" s="287"/>
      <c r="CA43" s="127"/>
      <c r="CD43" s="287"/>
      <c r="CF43" s="127"/>
      <c r="CI43" s="287"/>
      <c r="CK43" s="127"/>
      <c r="CN43" s="287"/>
      <c r="CP43" s="127"/>
      <c r="CS43" s="287"/>
      <c r="CU43" s="127"/>
      <c r="CX43" s="287"/>
      <c r="CZ43" s="127"/>
      <c r="DC43" s="287"/>
      <c r="DE43" s="127"/>
      <c r="DH43" s="287"/>
      <c r="DJ43" s="127"/>
      <c r="DM43" s="287"/>
      <c r="DO43" s="127"/>
      <c r="DR43" s="287"/>
    </row>
    <row r="44" spans="2:122" x14ac:dyDescent="0.25">
      <c r="D44" s="286" t="s">
        <v>454</v>
      </c>
      <c r="E44" s="282"/>
      <c r="F44" s="282"/>
      <c r="G44" s="285">
        <f>SUM(G42,G26)</f>
        <v>67724.210702036973</v>
      </c>
      <c r="I44" s="286" t="s">
        <v>454</v>
      </c>
      <c r="J44" s="282"/>
      <c r="K44" s="282"/>
      <c r="L44" s="285">
        <f>SUM(L42,L26)</f>
        <v>135448.42140407395</v>
      </c>
      <c r="N44" s="286" t="s">
        <v>454</v>
      </c>
      <c r="O44" s="282"/>
      <c r="P44" s="282"/>
      <c r="Q44" s="285">
        <f>SUM(Q42,Q26)</f>
        <v>203172.63210611086</v>
      </c>
      <c r="S44" s="286" t="s">
        <v>454</v>
      </c>
      <c r="T44" s="282"/>
      <c r="U44" s="282"/>
      <c r="V44" s="285">
        <f>SUM(V42,V26)</f>
        <v>270896.84280814789</v>
      </c>
      <c r="X44" s="286" t="s">
        <v>454</v>
      </c>
      <c r="Y44" s="282"/>
      <c r="Z44" s="282"/>
      <c r="AA44" s="285">
        <f>SUM(AA42,AA26)</f>
        <v>321755.36293622979</v>
      </c>
      <c r="AC44" s="286" t="s">
        <v>454</v>
      </c>
      <c r="AD44" s="282"/>
      <c r="AE44" s="282"/>
      <c r="AF44" s="285">
        <f>SUM(AF42,AF26)</f>
        <v>378636.10709706019</v>
      </c>
      <c r="AH44" s="286" t="s">
        <v>454</v>
      </c>
      <c r="AI44" s="282"/>
      <c r="AJ44" s="282"/>
      <c r="AK44" s="285">
        <f>SUM(AK42,AK26)</f>
        <v>434786.96298143576</v>
      </c>
      <c r="AM44" s="286" t="s">
        <v>454</v>
      </c>
      <c r="AN44" s="282"/>
      <c r="AO44" s="282"/>
      <c r="AP44" s="285">
        <f>SUM(AP42,AP26)</f>
        <v>490050.76132426655</v>
      </c>
      <c r="AR44" s="286" t="s">
        <v>454</v>
      </c>
      <c r="AS44" s="282"/>
      <c r="AT44" s="282"/>
      <c r="AU44" s="285">
        <f>SUM(AU42,AU26)</f>
        <v>544389.94121360127</v>
      </c>
      <c r="AW44" s="286" t="s">
        <v>454</v>
      </c>
      <c r="AX44" s="282"/>
      <c r="AY44" s="282"/>
      <c r="AZ44" s="285">
        <f>SUM(AZ42,AZ26)</f>
        <v>598401.00841243519</v>
      </c>
      <c r="BB44" s="286" t="s">
        <v>454</v>
      </c>
      <c r="BC44" s="282"/>
      <c r="BD44" s="282"/>
      <c r="BE44" s="285">
        <f>SUM(BE42,BE26)</f>
        <v>652006.60759114323</v>
      </c>
      <c r="BG44" s="286" t="s">
        <v>454</v>
      </c>
      <c r="BH44" s="282"/>
      <c r="BI44" s="282"/>
      <c r="BJ44" s="285">
        <f>SUM(BJ42,BJ26)</f>
        <v>707125.22423801303</v>
      </c>
      <c r="BL44" s="286" t="s">
        <v>454</v>
      </c>
      <c r="BM44" s="282"/>
      <c r="BN44" s="282"/>
      <c r="BO44" s="285">
        <f>SUM(BO42,BO26)</f>
        <v>762183.35239097255</v>
      </c>
      <c r="BQ44" s="286" t="s">
        <v>454</v>
      </c>
      <c r="BR44" s="282"/>
      <c r="BS44" s="282"/>
      <c r="BT44" s="285">
        <f>SUM(BT42,BT26)</f>
        <v>816810.69307719474</v>
      </c>
      <c r="BV44" s="286" t="s">
        <v>454</v>
      </c>
      <c r="BW44" s="282"/>
      <c r="BX44" s="282"/>
      <c r="BY44" s="285">
        <f>SUM(BY42,BY26)</f>
        <v>871462.86147400027</v>
      </c>
      <c r="CA44" s="286" t="s">
        <v>454</v>
      </c>
      <c r="CB44" s="282"/>
      <c r="CC44" s="282"/>
      <c r="CD44" s="285">
        <f>SUM(CD42,CD26)</f>
        <v>925404.44428837323</v>
      </c>
      <c r="CF44" s="286" t="s">
        <v>454</v>
      </c>
      <c r="CG44" s="282"/>
      <c r="CH44" s="282"/>
      <c r="CI44" s="285">
        <f>SUM(CI42,CI26)</f>
        <v>978422.369003559</v>
      </c>
      <c r="CK44" s="286" t="s">
        <v>454</v>
      </c>
      <c r="CL44" s="282"/>
      <c r="CM44" s="282"/>
      <c r="CN44" s="285">
        <f>SUM(CN42,CN26)</f>
        <v>1031124.5261755103</v>
      </c>
      <c r="CP44" s="286" t="s">
        <v>454</v>
      </c>
      <c r="CQ44" s="282"/>
      <c r="CR44" s="282"/>
      <c r="CS44" s="285">
        <f>SUM(CS42,CS26)</f>
        <v>1083826.6833474617</v>
      </c>
      <c r="CU44" s="286" t="s">
        <v>454</v>
      </c>
      <c r="CV44" s="282"/>
      <c r="CW44" s="282"/>
      <c r="CX44" s="285">
        <f>SUM(CX42,CX26)</f>
        <v>1136269.5298472885</v>
      </c>
      <c r="CZ44" s="286" t="s">
        <v>454</v>
      </c>
      <c r="DA44" s="282"/>
      <c r="DB44" s="282"/>
      <c r="DC44" s="285">
        <f>SUM(DC42,DC26)</f>
        <v>1188801.2502613058</v>
      </c>
      <c r="DE44" s="286" t="s">
        <v>454</v>
      </c>
      <c r="DF44" s="282"/>
      <c r="DG44" s="282"/>
      <c r="DH44" s="285">
        <f>SUM(DH42,DH26)</f>
        <v>1241290.6661376976</v>
      </c>
      <c r="DJ44" s="286" t="s">
        <v>454</v>
      </c>
      <c r="DK44" s="282"/>
      <c r="DL44" s="282"/>
      <c r="DM44" s="285">
        <f>SUM(DM42,DM26)</f>
        <v>1294001.5734006502</v>
      </c>
      <c r="DO44" s="286" t="s">
        <v>454</v>
      </c>
      <c r="DP44" s="282"/>
      <c r="DQ44" s="282"/>
      <c r="DR44" s="285">
        <f>SUM(DR42,DR26)</f>
        <v>1346990.9591215581</v>
      </c>
    </row>
    <row r="45" spans="2:122" x14ac:dyDescent="0.25">
      <c r="D45" s="284" t="s">
        <v>320</v>
      </c>
      <c r="E45" s="283">
        <f>INDEX('Master Lookup FY26'!C49:C51,MATCH(D45,'Master Lookup FY26'!B49:B51,0))</f>
        <v>0.12</v>
      </c>
      <c r="F45" s="282"/>
      <c r="G45" s="281">
        <f>(G44)*E45</f>
        <v>8126.9052842444362</v>
      </c>
      <c r="I45" s="284" t="s">
        <v>320</v>
      </c>
      <c r="J45" s="283">
        <f>INDEX('Master Lookup FY26'!C49:C51,MATCH(I45,'Master Lookup FY26'!B49:B51,0))</f>
        <v>0.12</v>
      </c>
      <c r="K45" s="282"/>
      <c r="L45" s="281">
        <f>(L44)*J45</f>
        <v>16253.810568488872</v>
      </c>
      <c r="N45" s="284" t="s">
        <v>320</v>
      </c>
      <c r="O45" s="283">
        <f>INDEX('Master Lookup FY26'!C49:C51,MATCH(N45,'Master Lookup FY26'!B49:B51,0))</f>
        <v>0.12</v>
      </c>
      <c r="P45" s="282"/>
      <c r="Q45" s="281">
        <f>(Q44)*O45</f>
        <v>24380.715852733301</v>
      </c>
      <c r="S45" s="284" t="s">
        <v>320</v>
      </c>
      <c r="T45" s="283">
        <f>INDEX('Master Lookup FY26'!C49:C51,MATCH(S45,'Master Lookup FY26'!B49:B51,0))</f>
        <v>0.12</v>
      </c>
      <c r="U45" s="282"/>
      <c r="V45" s="281">
        <f>(V44)*T45</f>
        <v>32507.621136977745</v>
      </c>
      <c r="X45" s="284" t="s">
        <v>320</v>
      </c>
      <c r="Y45" s="283">
        <f>INDEX('Master Lookup FY26'!C49:C51,MATCH(X45,'Master Lookup FY26'!B49:B51,0))</f>
        <v>0.12</v>
      </c>
      <c r="Z45" s="282"/>
      <c r="AA45" s="281">
        <f>(AA44)*Y45</f>
        <v>38610.643552347574</v>
      </c>
      <c r="AC45" s="284" t="s">
        <v>320</v>
      </c>
      <c r="AD45" s="283">
        <f>INDEX('Master Lookup FY26'!C49:C51,MATCH(AC45,'Master Lookup FY26'!B49:B51,0))</f>
        <v>0.12</v>
      </c>
      <c r="AE45" s="282"/>
      <c r="AF45" s="281">
        <f>(AF44)*AD45</f>
        <v>45436.332851647217</v>
      </c>
      <c r="AH45" s="284" t="s">
        <v>320</v>
      </c>
      <c r="AI45" s="283">
        <f>INDEX('Master Lookup FY26'!C49:C51,MATCH(AH45,'Master Lookup FY26'!B49:B51,0))</f>
        <v>0.12</v>
      </c>
      <c r="AJ45" s="282"/>
      <c r="AK45" s="281">
        <f>(AK44)*AI45</f>
        <v>52174.435557772289</v>
      </c>
      <c r="AM45" s="284" t="s">
        <v>320</v>
      </c>
      <c r="AN45" s="283">
        <f>INDEX('Master Lookup FY26'!C49:C51,MATCH(AM45,'Master Lookup FY26'!B49:B51,0))</f>
        <v>0.12</v>
      </c>
      <c r="AO45" s="282"/>
      <c r="AP45" s="281">
        <f>(AP44)*AN45</f>
        <v>58806.091358911981</v>
      </c>
      <c r="AR45" s="284" t="s">
        <v>320</v>
      </c>
      <c r="AS45" s="283">
        <f>INDEX('Master Lookup FY26'!C49:C51,MATCH(AR45,'Master Lookup FY26'!B49:B51,0))</f>
        <v>0.12</v>
      </c>
      <c r="AT45" s="282"/>
      <c r="AU45" s="281">
        <f>(AU44)*AS45</f>
        <v>65326.792945632151</v>
      </c>
      <c r="AW45" s="284" t="s">
        <v>320</v>
      </c>
      <c r="AX45" s="283">
        <f>INDEX('Master Lookup FY26'!C49:C51,MATCH(AW45,'Master Lookup FY26'!B49:B51,0))</f>
        <v>0.12</v>
      </c>
      <c r="AY45" s="282"/>
      <c r="AZ45" s="281">
        <f>(AZ44)*AX45</f>
        <v>71808.121009492213</v>
      </c>
      <c r="BB45" s="284" t="s">
        <v>320</v>
      </c>
      <c r="BC45" s="283">
        <f>INDEX('Master Lookup FY26'!C49:C51,MATCH(BB45,'Master Lookup FY26'!B49:B51,0))</f>
        <v>0.12</v>
      </c>
      <c r="BD45" s="282"/>
      <c r="BE45" s="281">
        <f>(BE44)*BC45</f>
        <v>78240.792910937191</v>
      </c>
      <c r="BG45" s="284" t="s">
        <v>320</v>
      </c>
      <c r="BH45" s="283">
        <f>INDEX('Master Lookup FY26'!C49:C51,MATCH(BG45,'Master Lookup FY26'!B49:B51,0))</f>
        <v>0.12</v>
      </c>
      <c r="BI45" s="282"/>
      <c r="BJ45" s="281">
        <f>(BJ44)*BH45</f>
        <v>84855.026908561558</v>
      </c>
      <c r="BL45" s="284" t="s">
        <v>320</v>
      </c>
      <c r="BM45" s="283">
        <f>INDEX('Master Lookup FY26'!C49:C51,MATCH(BL45,'Master Lookup FY26'!B49:B51,0))</f>
        <v>0.12</v>
      </c>
      <c r="BN45" s="282"/>
      <c r="BO45" s="281">
        <f>(BO44)*BM45</f>
        <v>91462.002286916701</v>
      </c>
      <c r="BQ45" s="284" t="s">
        <v>320</v>
      </c>
      <c r="BR45" s="283">
        <f>INDEX('Master Lookup FY26'!C49:C51,MATCH(BQ45,'Master Lookup FY26'!B49:B51,0))</f>
        <v>0.12</v>
      </c>
      <c r="BS45" s="282"/>
      <c r="BT45" s="281">
        <f>(BT44)*BR45</f>
        <v>98017.283169263363</v>
      </c>
      <c r="BV45" s="284" t="s">
        <v>320</v>
      </c>
      <c r="BW45" s="283">
        <f>INDEX('Master Lookup FY26'!C49:C51,MATCH(BV45,'Master Lookup FY26'!B49:B51,0))</f>
        <v>0.12</v>
      </c>
      <c r="BX45" s="282"/>
      <c r="BY45" s="281">
        <f>(BY44)*BW45</f>
        <v>104575.54337688003</v>
      </c>
      <c r="CA45" s="284" t="s">
        <v>320</v>
      </c>
      <c r="CB45" s="283">
        <f>INDEX('Master Lookup FY26'!C49:C51,MATCH(CA45,'Master Lookup FY26'!B49:B51,0))</f>
        <v>0.12</v>
      </c>
      <c r="CC45" s="282"/>
      <c r="CD45" s="281">
        <f>(CD44)*CB45</f>
        <v>111048.53331460478</v>
      </c>
      <c r="CF45" s="284" t="s">
        <v>320</v>
      </c>
      <c r="CG45" s="283">
        <f>INDEX('Master Lookup FY26'!C49:C51,MATCH(CF45,'Master Lookup FY26'!B49:B51,0))</f>
        <v>0.12</v>
      </c>
      <c r="CH45" s="282"/>
      <c r="CI45" s="281">
        <f>(CI44)*CG45</f>
        <v>117410.68428042707</v>
      </c>
      <c r="CK45" s="284" t="s">
        <v>320</v>
      </c>
      <c r="CL45" s="283">
        <f>INDEX('Master Lookup FY26'!C49:C51,MATCH(CK45,'Master Lookup FY26'!B49:B51,0))</f>
        <v>0.12</v>
      </c>
      <c r="CM45" s="282"/>
      <c r="CN45" s="281">
        <f>(CN44)*CL45</f>
        <v>123734.94314106123</v>
      </c>
      <c r="CP45" s="284" t="s">
        <v>320</v>
      </c>
      <c r="CQ45" s="283">
        <f>INDEX('Master Lookup FY26'!C49:C51,MATCH(CP45,'Master Lookup FY26'!B49:B51,0))</f>
        <v>0.12</v>
      </c>
      <c r="CR45" s="282"/>
      <c r="CS45" s="281">
        <f>(CS44)*CQ45</f>
        <v>130059.2020016954</v>
      </c>
      <c r="CU45" s="284" t="s">
        <v>320</v>
      </c>
      <c r="CV45" s="283">
        <f>INDEX('Master Lookup FY26'!C49:C51,MATCH(CU45,'Master Lookup FY26'!B49:B51,0))</f>
        <v>0.12</v>
      </c>
      <c r="CW45" s="282"/>
      <c r="CX45" s="281">
        <f>(CX44)*CV45</f>
        <v>136352.34358167462</v>
      </c>
      <c r="CZ45" s="284" t="s">
        <v>320</v>
      </c>
      <c r="DA45" s="283">
        <f>INDEX('Master Lookup FY26'!C49:C51,MATCH(CZ45,'Master Lookup FY26'!B49:B51,0))</f>
        <v>0.12</v>
      </c>
      <c r="DB45" s="282"/>
      <c r="DC45" s="281">
        <f>(DC44)*DA45</f>
        <v>142656.15003135669</v>
      </c>
      <c r="DE45" s="284" t="s">
        <v>320</v>
      </c>
      <c r="DF45" s="283">
        <f>INDEX('Master Lookup FY26'!C49:C51,MATCH(DE45,'Master Lookup FY26'!B49:B51,0))</f>
        <v>0.12</v>
      </c>
      <c r="DG45" s="282"/>
      <c r="DH45" s="281">
        <f>(DH44)*DF45</f>
        <v>148954.87993652371</v>
      </c>
      <c r="DJ45" s="284" t="s">
        <v>320</v>
      </c>
      <c r="DK45" s="283">
        <f>INDEX('Master Lookup FY26'!C49:C51,MATCH(DJ45,'Master Lookup FY26'!B49:B51,0))</f>
        <v>0.12</v>
      </c>
      <c r="DL45" s="282"/>
      <c r="DM45" s="281">
        <f>(DM44)*DK45</f>
        <v>155280.188808078</v>
      </c>
      <c r="DO45" s="284" t="s">
        <v>320</v>
      </c>
      <c r="DP45" s="283">
        <f>INDEX('Master Lookup FY26'!C49:C51,MATCH(DO45,'Master Lookup FY26'!B49:B51,0))</f>
        <v>0.12</v>
      </c>
      <c r="DQ45" s="282"/>
      <c r="DR45" s="281">
        <f>(DR44)*DP45</f>
        <v>161638.91509458696</v>
      </c>
    </row>
    <row r="46" spans="2:122" x14ac:dyDescent="0.25">
      <c r="D46" s="280" t="s">
        <v>321</v>
      </c>
      <c r="E46" s="279">
        <f>INDEX('Master Lookup FY26'!C50:C52,MATCH(D46,'Master Lookup FY26'!B50:B52,0))</f>
        <v>2.5282070971092779E-2</v>
      </c>
      <c r="F46" s="278"/>
      <c r="G46" s="277">
        <f>(G44+G45)*E46</f>
        <v>1917.6732976017568</v>
      </c>
      <c r="I46" s="280" t="s">
        <v>321</v>
      </c>
      <c r="J46" s="279">
        <f>INDEX('Master Lookup FY26'!C50:C52,MATCH(I46,'Master Lookup FY26'!B50:B52,0))</f>
        <v>2.5282070971092779E-2</v>
      </c>
      <c r="K46" s="278"/>
      <c r="L46" s="277">
        <f>(L44+L45)*J46</f>
        <v>3835.3465952035135</v>
      </c>
      <c r="N46" s="280" t="s">
        <v>321</v>
      </c>
      <c r="O46" s="279">
        <f>INDEX('Master Lookup FY26'!C50:C52,MATCH(N46,'Master Lookup FY26'!B50:B52,0))</f>
        <v>2.5282070971092779E-2</v>
      </c>
      <c r="P46" s="278"/>
      <c r="Q46" s="277">
        <f>(Q44+Q45)*O46</f>
        <v>5753.0198928052678</v>
      </c>
      <c r="S46" s="280" t="s">
        <v>321</v>
      </c>
      <c r="T46" s="279">
        <f>INDEX('Master Lookup FY26'!C50:C52,MATCH(S46,'Master Lookup FY26'!B50:B52,0))</f>
        <v>2.5282070971092779E-2</v>
      </c>
      <c r="U46" s="278"/>
      <c r="V46" s="277">
        <f>(V44+V45)*T46</f>
        <v>7670.693190407027</v>
      </c>
      <c r="X46" s="280" t="s">
        <v>321</v>
      </c>
      <c r="Y46" s="279">
        <f>INDEX('Master Lookup FY26'!C50:C52,MATCH(X46,'Master Lookup FY26'!B50:B52,0))</f>
        <v>2.5282070971092779E-2</v>
      </c>
      <c r="Z46" s="278"/>
      <c r="AA46" s="277">
        <f>(AA44+AA45)*Y46</f>
        <v>9110.798951613493</v>
      </c>
      <c r="AC46" s="280" t="s">
        <v>321</v>
      </c>
      <c r="AD46" s="279">
        <f>INDEX('Master Lookup FY26'!C50:C52,MATCH(AC46,'Master Lookup FY26'!B50:B52,0))</f>
        <v>2.5282070971092779E-2</v>
      </c>
      <c r="AE46" s="278"/>
      <c r="AF46" s="277">
        <f>(AF44+AF45)*AD46</f>
        <v>10721.429523667701</v>
      </c>
      <c r="AH46" s="280" t="s">
        <v>321</v>
      </c>
      <c r="AI46" s="279">
        <f>INDEX('Master Lookup FY26'!C50:C52,MATCH(AH46,'Master Lookup FY26'!B50:B52,0))</f>
        <v>2.5282070971092779E-2</v>
      </c>
      <c r="AJ46" s="278"/>
      <c r="AK46" s="277">
        <f>(AK44+AK45)*AI46</f>
        <v>12311.392638050853</v>
      </c>
      <c r="AM46" s="280" t="s">
        <v>321</v>
      </c>
      <c r="AN46" s="279">
        <f>INDEX('Master Lookup FY26'!C50:C52,MATCH(AM46,'Master Lookup FY26'!B50:B52,0))</f>
        <v>2.5282070971092779E-2</v>
      </c>
      <c r="AO46" s="278"/>
      <c r="AP46" s="277">
        <f>(AP44+AP45)*AN46</f>
        <v>13876.237902506733</v>
      </c>
      <c r="AR46" s="280" t="s">
        <v>321</v>
      </c>
      <c r="AS46" s="279">
        <f>INDEX('Master Lookup FY26'!C50:C52,MATCH(AR46,'Master Lookup FY26'!B50:B52,0))</f>
        <v>2.5282070971092779E-2</v>
      </c>
      <c r="AT46" s="278"/>
      <c r="AU46" s="277">
        <f>(AU44+AU45)*AS46</f>
        <v>15414.901745276647</v>
      </c>
      <c r="AW46" s="280" t="s">
        <v>321</v>
      </c>
      <c r="AX46" s="279">
        <f>INDEX('Master Lookup FY26'!C50:C52,MATCH(AW46,'Master Lookup FY26'!B50:B52,0))</f>
        <v>2.5282070971092779E-2</v>
      </c>
      <c r="AY46" s="278"/>
      <c r="AZ46" s="277">
        <f>(AZ44+AZ45)*AX46</f>
        <v>16944.274775519472</v>
      </c>
      <c r="BB46" s="280" t="s">
        <v>321</v>
      </c>
      <c r="BC46" s="279">
        <f>INDEX('Master Lookup FY26'!C50:C52,MATCH(BB46,'Master Lookup FY26'!B50:B52,0))</f>
        <v>2.5282070971092779E-2</v>
      </c>
      <c r="BD46" s="278"/>
      <c r="BE46" s="277">
        <f>(BE44+BE45)*BC46</f>
        <v>18462.166605949609</v>
      </c>
      <c r="BG46" s="280" t="s">
        <v>321</v>
      </c>
      <c r="BH46" s="279">
        <f>INDEX('Master Lookup FY26'!C50:C52,MATCH(BG46,'Master Lookup FY26'!B50:B52,0))</f>
        <v>2.5282070971092779E-2</v>
      </c>
      <c r="BI46" s="278"/>
      <c r="BJ46" s="277">
        <f>(BJ44+BJ45)*BH46</f>
        <v>20022.900917191582</v>
      </c>
      <c r="BL46" s="280" t="s">
        <v>321</v>
      </c>
      <c r="BM46" s="279">
        <f>INDEX('Master Lookup FY26'!C50:C52,MATCH(BL46,'Master Lookup FY26'!B50:B52,0))</f>
        <v>2.5282070971092779E-2</v>
      </c>
      <c r="BN46" s="278"/>
      <c r="BO46" s="277">
        <f>(BO44+BO45)*BM46</f>
        <v>21581.922441110062</v>
      </c>
      <c r="BQ46" s="280" t="s">
        <v>321</v>
      </c>
      <c r="BR46" s="279">
        <f>INDEX('Master Lookup FY26'!C50:C52,MATCH(BQ46,'Master Lookup FY26'!B50:B52,0))</f>
        <v>2.5282070971092779E-2</v>
      </c>
      <c r="BS46" s="278"/>
      <c r="BT46" s="277">
        <f>(BT44+BT45)*BR46</f>
        <v>23128.745821804132</v>
      </c>
      <c r="BV46" s="280" t="s">
        <v>321</v>
      </c>
      <c r="BW46" s="279">
        <f>INDEX('Master Lookup FY26'!C50:C52,MATCH(BV46,'Master Lookup FY26'!B50:B52,0))</f>
        <v>2.5282070971092779E-2</v>
      </c>
      <c r="BX46" s="278"/>
      <c r="BY46" s="277">
        <f>(BY44+BY45)*BW46</f>
        <v>24676.272221952142</v>
      </c>
      <c r="CA46" s="280" t="s">
        <v>321</v>
      </c>
      <c r="CB46" s="279">
        <f>INDEX('Master Lookup FY26'!C50:C52,MATCH(CA46,'Master Lookup FY26'!B50:B52,0))</f>
        <v>2.5282070971092779E-2</v>
      </c>
      <c r="CC46" s="278"/>
      <c r="CD46" s="277">
        <f>(CD44+CD45)*CB46</f>
        <v>26203.677737958926</v>
      </c>
      <c r="CF46" s="280" t="s">
        <v>321</v>
      </c>
      <c r="CG46" s="279">
        <f>INDEX('Master Lookup FY26'!C50:C52,MATCH(CF46,'Master Lookup FY26'!B50:B52,0))</f>
        <v>2.5282070971092779E-2</v>
      </c>
      <c r="CH46" s="278"/>
      <c r="CI46" s="277">
        <f>(CI44+CI45)*CG46</f>
        <v>27704.929025595033</v>
      </c>
      <c r="CK46" s="280" t="s">
        <v>321</v>
      </c>
      <c r="CL46" s="279">
        <f>INDEX('Master Lookup FY26'!C50:C52,MATCH(CK46,'Master Lookup FY26'!B50:B52,0))</f>
        <v>2.5282070971092779E-2</v>
      </c>
      <c r="CM46" s="278"/>
      <c r="CN46" s="277">
        <f>(CN44+CN45)*CL46</f>
        <v>29197.239064900103</v>
      </c>
      <c r="CP46" s="280" t="s">
        <v>321</v>
      </c>
      <c r="CQ46" s="279">
        <f>INDEX('Master Lookup FY26'!C50:C52,MATCH(CP46,'Master Lookup FY26'!B50:B52,0))</f>
        <v>2.5282070971092779E-2</v>
      </c>
      <c r="CR46" s="278"/>
      <c r="CS46" s="277">
        <f>(CS44+CS45)*CQ46</f>
        <v>30689.549104205187</v>
      </c>
      <c r="CU46" s="280" t="s">
        <v>321</v>
      </c>
      <c r="CV46" s="279">
        <f>INDEX('Master Lookup FY26'!C50:C52,MATCH(CU46,'Master Lookup FY26'!B50:B52,0))</f>
        <v>2.5282070971092779E-2</v>
      </c>
      <c r="CW46" s="278"/>
      <c r="CX46" s="277">
        <f>(CX44+CX45)*CV46</f>
        <v>32174.516523396098</v>
      </c>
      <c r="CZ46" s="280" t="s">
        <v>321</v>
      </c>
      <c r="DA46" s="279">
        <f>INDEX('Master Lookup FY26'!C50:C52,MATCH(CZ46,'Master Lookup FY26'!B50:B52,0))</f>
        <v>2.5282070971092779E-2</v>
      </c>
      <c r="DB46" s="278"/>
      <c r="DC46" s="277">
        <f>(DC44+DC45)*DA46</f>
        <v>33662.000489185782</v>
      </c>
      <c r="DE46" s="280" t="s">
        <v>321</v>
      </c>
      <c r="DF46" s="279">
        <f>INDEX('Master Lookup FY26'!C50:C52,MATCH(DE46,'Master Lookup FY26'!B50:B52,0))</f>
        <v>2.5282070971092779E-2</v>
      </c>
      <c r="DG46" s="278"/>
      <c r="DH46" s="277">
        <f>(DH44+DH45)*DF46</f>
        <v>35148.286563094101</v>
      </c>
      <c r="DJ46" s="280" t="s">
        <v>321</v>
      </c>
      <c r="DK46" s="279">
        <f>INDEX('Master Lookup FY26'!C50:C52,MATCH(DJ46,'Master Lookup FY26'!B50:B52,0))</f>
        <v>2.5282070971092779E-2</v>
      </c>
      <c r="DL46" s="278"/>
      <c r="DM46" s="277">
        <f>(DM44+DM45)*DK46</f>
        <v>36640.844369271472</v>
      </c>
      <c r="DO46" s="280" t="s">
        <v>321</v>
      </c>
      <c r="DP46" s="279">
        <f>INDEX('Master Lookup FY26'!C50:C52,MATCH(DO46,'Master Lookup FY26'!B50:B52,0))</f>
        <v>2.5282070971092779E-2</v>
      </c>
      <c r="DQ46" s="278"/>
      <c r="DR46" s="277">
        <f>(DR44+DR45)*DP46</f>
        <v>38141.287549043351</v>
      </c>
    </row>
    <row r="47" spans="2:122" x14ac:dyDescent="0.25">
      <c r="D47" s="276" t="s">
        <v>453</v>
      </c>
      <c r="E47" s="275"/>
      <c r="F47" s="275"/>
      <c r="G47" s="274">
        <f>SUM(G44:G46)</f>
        <v>77768.789283883161</v>
      </c>
      <c r="I47" s="276" t="s">
        <v>453</v>
      </c>
      <c r="J47" s="275"/>
      <c r="K47" s="275"/>
      <c r="L47" s="274">
        <f>SUM(L44:L46)</f>
        <v>155537.57856776632</v>
      </c>
      <c r="N47" s="276" t="s">
        <v>453</v>
      </c>
      <c r="O47" s="275"/>
      <c r="P47" s="275"/>
      <c r="Q47" s="274">
        <f>SUM(Q44:Q46)</f>
        <v>233306.36785164941</v>
      </c>
      <c r="S47" s="276" t="s">
        <v>453</v>
      </c>
      <c r="T47" s="275"/>
      <c r="U47" s="275"/>
      <c r="V47" s="274">
        <f>SUM(V44:V46)</f>
        <v>311075.15713553265</v>
      </c>
      <c r="X47" s="276" t="s">
        <v>453</v>
      </c>
      <c r="Y47" s="275"/>
      <c r="Z47" s="275"/>
      <c r="AA47" s="274">
        <f>SUM(AA44:AA46)</f>
        <v>369476.80544019083</v>
      </c>
      <c r="AC47" s="276" t="s">
        <v>453</v>
      </c>
      <c r="AD47" s="275"/>
      <c r="AE47" s="275"/>
      <c r="AF47" s="274">
        <f>SUM(AF44:AF46)</f>
        <v>434793.86947237514</v>
      </c>
      <c r="AH47" s="276" t="s">
        <v>453</v>
      </c>
      <c r="AI47" s="275"/>
      <c r="AJ47" s="275"/>
      <c r="AK47" s="274">
        <f>SUM(AK44:AK46)</f>
        <v>499272.79117725888</v>
      </c>
      <c r="AM47" s="276" t="s">
        <v>453</v>
      </c>
      <c r="AN47" s="275"/>
      <c r="AO47" s="275"/>
      <c r="AP47" s="274">
        <f>SUM(AP44:AP46)</f>
        <v>562733.09058568522</v>
      </c>
      <c r="AR47" s="276" t="s">
        <v>453</v>
      </c>
      <c r="AS47" s="275"/>
      <c r="AT47" s="275"/>
      <c r="AU47" s="274">
        <f>SUM(AU44:AU46)</f>
        <v>625131.63590451004</v>
      </c>
      <c r="AW47" s="276" t="s">
        <v>453</v>
      </c>
      <c r="AX47" s="275"/>
      <c r="AY47" s="275"/>
      <c r="AZ47" s="274">
        <f>SUM(AZ44:AZ46)</f>
        <v>687153.40419744689</v>
      </c>
      <c r="BB47" s="276" t="s">
        <v>453</v>
      </c>
      <c r="BC47" s="275"/>
      <c r="BD47" s="275"/>
      <c r="BE47" s="274">
        <f>SUM(BE44:BE46)</f>
        <v>748709.56710803008</v>
      </c>
      <c r="BG47" s="276" t="s">
        <v>453</v>
      </c>
      <c r="BH47" s="275"/>
      <c r="BI47" s="275"/>
      <c r="BJ47" s="274">
        <f>SUM(BJ44:BJ46)</f>
        <v>812003.15206376626</v>
      </c>
      <c r="BL47" s="276" t="s">
        <v>453</v>
      </c>
      <c r="BM47" s="275"/>
      <c r="BN47" s="275"/>
      <c r="BO47" s="274">
        <f>SUM(BO44:BO46)</f>
        <v>875227.27711899928</v>
      </c>
      <c r="BQ47" s="276" t="s">
        <v>453</v>
      </c>
      <c r="BR47" s="275"/>
      <c r="BS47" s="275"/>
      <c r="BT47" s="274">
        <f>SUM(BT44:BT46)</f>
        <v>937956.72206826229</v>
      </c>
      <c r="BV47" s="276" t="s">
        <v>453</v>
      </c>
      <c r="BW47" s="275"/>
      <c r="BX47" s="275"/>
      <c r="BY47" s="274">
        <f>SUM(BY44:BY46)</f>
        <v>1000714.6770728324</v>
      </c>
      <c r="CA47" s="276" t="s">
        <v>453</v>
      </c>
      <c r="CB47" s="275"/>
      <c r="CC47" s="275"/>
      <c r="CD47" s="274">
        <f>SUM(CD44:CD46)</f>
        <v>1062656.655340937</v>
      </c>
      <c r="CF47" s="276" t="s">
        <v>453</v>
      </c>
      <c r="CG47" s="275"/>
      <c r="CH47" s="275"/>
      <c r="CI47" s="274">
        <f>SUM(CI44:CI46)</f>
        <v>1123537.9823095812</v>
      </c>
      <c r="CK47" s="276" t="s">
        <v>453</v>
      </c>
      <c r="CL47" s="275"/>
      <c r="CM47" s="275"/>
      <c r="CN47" s="274">
        <f>SUM(CN44:CN46)</f>
        <v>1184056.7083814717</v>
      </c>
      <c r="CP47" s="276" t="s">
        <v>453</v>
      </c>
      <c r="CQ47" s="275"/>
      <c r="CR47" s="275"/>
      <c r="CS47" s="274">
        <f>SUM(CS44:CS46)</f>
        <v>1244575.4344533624</v>
      </c>
      <c r="CU47" s="276" t="s">
        <v>453</v>
      </c>
      <c r="CV47" s="275"/>
      <c r="CW47" s="275"/>
      <c r="CX47" s="274">
        <f>SUM(CX44:CX46)</f>
        <v>1304796.3899523593</v>
      </c>
      <c r="CZ47" s="276" t="s">
        <v>453</v>
      </c>
      <c r="DA47" s="275"/>
      <c r="DB47" s="275"/>
      <c r="DC47" s="274">
        <f>SUM(DC44:DC46)</f>
        <v>1365119.4007818482</v>
      </c>
      <c r="DE47" s="276" t="s">
        <v>453</v>
      </c>
      <c r="DF47" s="275"/>
      <c r="DG47" s="275"/>
      <c r="DH47" s="274">
        <f>SUM(DH44:DH46)</f>
        <v>1425393.8326373154</v>
      </c>
      <c r="DJ47" s="276" t="s">
        <v>453</v>
      </c>
      <c r="DK47" s="275"/>
      <c r="DL47" s="275"/>
      <c r="DM47" s="274">
        <f>SUM(DM44:DM46)</f>
        <v>1485922.6065779997</v>
      </c>
      <c r="DO47" s="276" t="s">
        <v>453</v>
      </c>
      <c r="DP47" s="275"/>
      <c r="DQ47" s="275"/>
      <c r="DR47" s="274">
        <f>SUM(DR44:DR46)</f>
        <v>1546771.1617651884</v>
      </c>
    </row>
    <row r="48" spans="2:122" s="1120" customFormat="1" ht="15.75" thickBot="1" x14ac:dyDescent="0.3">
      <c r="D48" s="868" t="s">
        <v>452</v>
      </c>
      <c r="E48" s="1121"/>
      <c r="F48" s="1121"/>
      <c r="G48" s="1123">
        <f>ROUND(G47/12,2)</f>
        <v>6480.73</v>
      </c>
      <c r="I48" s="868" t="s">
        <v>452</v>
      </c>
      <c r="J48" s="1121"/>
      <c r="K48" s="1121"/>
      <c r="L48" s="1123">
        <f>ROUND(L47/12,2)</f>
        <v>12961.46</v>
      </c>
      <c r="N48" s="868" t="s">
        <v>452</v>
      </c>
      <c r="O48" s="1121"/>
      <c r="P48" s="1121"/>
      <c r="Q48" s="1123">
        <f>ROUND(Q47/12,2)</f>
        <v>19442.2</v>
      </c>
      <c r="S48" s="868" t="s">
        <v>452</v>
      </c>
      <c r="T48" s="1121"/>
      <c r="U48" s="1121"/>
      <c r="V48" s="1123">
        <f>ROUND(V47/12,2)</f>
        <v>25922.93</v>
      </c>
      <c r="X48" s="868" t="s">
        <v>452</v>
      </c>
      <c r="Y48" s="1121"/>
      <c r="Z48" s="1121"/>
      <c r="AA48" s="1123">
        <f>ROUND(AA47/12,2)</f>
        <v>30789.73</v>
      </c>
      <c r="AC48" s="868" t="s">
        <v>452</v>
      </c>
      <c r="AD48" s="1121"/>
      <c r="AE48" s="1121"/>
      <c r="AF48" s="1123">
        <f>ROUND(AF47/12,2)</f>
        <v>36232.82</v>
      </c>
      <c r="AH48" s="868" t="s">
        <v>452</v>
      </c>
      <c r="AI48" s="1121"/>
      <c r="AJ48" s="1121"/>
      <c r="AK48" s="1123">
        <f>ROUND(AK47/12,2)</f>
        <v>41606.07</v>
      </c>
      <c r="AM48" s="868" t="s">
        <v>452</v>
      </c>
      <c r="AN48" s="1121"/>
      <c r="AO48" s="1121"/>
      <c r="AP48" s="1123">
        <f>ROUND(AP47/12,2)</f>
        <v>46894.42</v>
      </c>
      <c r="AR48" s="868" t="s">
        <v>452</v>
      </c>
      <c r="AS48" s="1121"/>
      <c r="AT48" s="1121"/>
      <c r="AU48" s="1123">
        <f>ROUND(AU47/12,2)</f>
        <v>52094.3</v>
      </c>
      <c r="AW48" s="868" t="s">
        <v>452</v>
      </c>
      <c r="AX48" s="1121"/>
      <c r="AY48" s="1121"/>
      <c r="AZ48" s="1123">
        <f>ROUND(AZ47/12,2)</f>
        <v>57262.78</v>
      </c>
      <c r="BB48" s="868" t="s">
        <v>452</v>
      </c>
      <c r="BC48" s="1121"/>
      <c r="BD48" s="1121"/>
      <c r="BE48" s="1123">
        <f>ROUND(BE47/12,2)</f>
        <v>62392.46</v>
      </c>
      <c r="BG48" s="868" t="s">
        <v>452</v>
      </c>
      <c r="BH48" s="1121"/>
      <c r="BI48" s="1121"/>
      <c r="BJ48" s="1123">
        <f>ROUND(BJ47/12,2)</f>
        <v>67666.929999999993</v>
      </c>
      <c r="BL48" s="868" t="s">
        <v>452</v>
      </c>
      <c r="BM48" s="1121"/>
      <c r="BN48" s="1121"/>
      <c r="BO48" s="1123">
        <f>ROUND(BO47/12,2)</f>
        <v>72935.61</v>
      </c>
      <c r="BQ48" s="868" t="s">
        <v>452</v>
      </c>
      <c r="BR48" s="1121"/>
      <c r="BS48" s="1121"/>
      <c r="BT48" s="1123">
        <f>ROUND(BT47/12,2)</f>
        <v>78163.06</v>
      </c>
      <c r="BV48" s="868" t="s">
        <v>452</v>
      </c>
      <c r="BW48" s="1121"/>
      <c r="BX48" s="1121"/>
      <c r="BY48" s="1123">
        <f>ROUND(BY47/12,2)</f>
        <v>83392.89</v>
      </c>
      <c r="CA48" s="868" t="s">
        <v>452</v>
      </c>
      <c r="CB48" s="1121"/>
      <c r="CC48" s="1121"/>
      <c r="CD48" s="1123">
        <f>ROUND(CD47/12,2)</f>
        <v>88554.72</v>
      </c>
      <c r="CF48" s="868" t="s">
        <v>452</v>
      </c>
      <c r="CG48" s="1121"/>
      <c r="CH48" s="1121"/>
      <c r="CI48" s="1123">
        <f>ROUND(CI47/12,2)</f>
        <v>93628.17</v>
      </c>
      <c r="CK48" s="868" t="s">
        <v>452</v>
      </c>
      <c r="CL48" s="1121"/>
      <c r="CM48" s="1121"/>
      <c r="CN48" s="1123">
        <f>ROUND(CN47/12,2)</f>
        <v>98671.39</v>
      </c>
      <c r="CP48" s="868" t="s">
        <v>452</v>
      </c>
      <c r="CQ48" s="1121"/>
      <c r="CR48" s="1121"/>
      <c r="CS48" s="1123">
        <f>ROUND(CS47/12,2)</f>
        <v>103714.62</v>
      </c>
      <c r="CU48" s="868" t="s">
        <v>452</v>
      </c>
      <c r="CV48" s="1121"/>
      <c r="CW48" s="1121"/>
      <c r="CX48" s="1123">
        <f>ROUND(CX47/12,2)</f>
        <v>108733.03</v>
      </c>
      <c r="CZ48" s="868" t="s">
        <v>452</v>
      </c>
      <c r="DA48" s="1121"/>
      <c r="DB48" s="1121"/>
      <c r="DC48" s="1123">
        <f>ROUND(DC47/12,2)</f>
        <v>113759.95</v>
      </c>
      <c r="DE48" s="868" t="s">
        <v>452</v>
      </c>
      <c r="DF48" s="1121"/>
      <c r="DG48" s="1121"/>
      <c r="DH48" s="1123">
        <f>ROUND(DH47/12,2)</f>
        <v>118782.82</v>
      </c>
      <c r="DJ48" s="868" t="s">
        <v>452</v>
      </c>
      <c r="DK48" s="1121"/>
      <c r="DL48" s="1121"/>
      <c r="DM48" s="1123">
        <f>ROUND(DM47/12,2)</f>
        <v>123826.88</v>
      </c>
      <c r="DO48" s="868" t="s">
        <v>452</v>
      </c>
      <c r="DP48" s="1121"/>
      <c r="DQ48" s="1121"/>
      <c r="DR48" s="1123">
        <f>ROUND(DR47/12,2)</f>
        <v>128897.60000000001</v>
      </c>
    </row>
    <row r="49" spans="5:122" ht="15.75" thickBot="1" x14ac:dyDescent="0.3">
      <c r="G49" s="268"/>
      <c r="U49" s="254"/>
      <c r="Z49" s="254"/>
      <c r="AA49" s="271"/>
      <c r="AE49" s="254"/>
      <c r="AF49" s="270"/>
      <c r="AJ49" s="254"/>
      <c r="AK49" s="270"/>
      <c r="AO49" s="254"/>
      <c r="AP49" s="270"/>
      <c r="AT49" s="254"/>
      <c r="AU49" s="270"/>
      <c r="AY49" s="254"/>
      <c r="AZ49" s="270"/>
      <c r="BD49" s="254"/>
      <c r="BE49" s="269"/>
      <c r="BI49" s="254"/>
      <c r="BJ49" s="271"/>
      <c r="BO49" s="270"/>
      <c r="BT49" s="270"/>
      <c r="BY49" s="270"/>
      <c r="CD49" s="270"/>
      <c r="CI49" s="270"/>
      <c r="CN49" s="270"/>
      <c r="CS49" s="269"/>
      <c r="CX49" s="271"/>
      <c r="DC49" s="270"/>
      <c r="DH49" s="270"/>
      <c r="DM49" s="270"/>
      <c r="DR49" s="269"/>
    </row>
    <row r="50" spans="5:122" x14ac:dyDescent="0.25">
      <c r="E50" s="254" t="s">
        <v>718</v>
      </c>
      <c r="G50" s="1169">
        <v>5827.56</v>
      </c>
      <c r="L50" s="1168">
        <v>11655.12</v>
      </c>
      <c r="Q50" s="1168">
        <f>17482.68</f>
        <v>17482.68</v>
      </c>
      <c r="R50" s="261"/>
      <c r="S50" s="261"/>
      <c r="T50" s="261"/>
      <c r="U50" s="254"/>
      <c r="V50" s="1168">
        <v>23310.25</v>
      </c>
      <c r="W50" s="261"/>
      <c r="X50" s="261"/>
      <c r="Y50" s="261"/>
      <c r="Z50" s="254"/>
      <c r="AA50" s="1168">
        <v>27676.7</v>
      </c>
      <c r="AB50" s="261"/>
      <c r="AC50" s="261"/>
      <c r="AD50" s="261"/>
      <c r="AE50" s="254"/>
      <c r="AF50" s="1168">
        <v>32540.52</v>
      </c>
      <c r="AG50" s="261"/>
      <c r="AH50" s="261"/>
      <c r="AI50" s="261"/>
      <c r="AJ50" s="254"/>
      <c r="AK50" s="1168">
        <v>37348.43</v>
      </c>
      <c r="AL50" s="261"/>
      <c r="AM50" s="261"/>
      <c r="AN50" s="261"/>
      <c r="AO50" s="254"/>
      <c r="AP50" s="1168">
        <v>42098.18</v>
      </c>
      <c r="AQ50" s="261"/>
      <c r="AR50" s="261"/>
      <c r="AS50" s="261"/>
      <c r="AT50" s="254"/>
      <c r="AU50" s="1168">
        <v>46797.24</v>
      </c>
      <c r="AV50" s="261"/>
      <c r="AW50" s="261"/>
      <c r="AX50" s="261"/>
      <c r="AY50" s="254"/>
      <c r="AZ50" s="1168">
        <v>51462.55</v>
      </c>
      <c r="BA50" s="261"/>
      <c r="BB50" s="261"/>
      <c r="BC50" s="261"/>
      <c r="BD50" s="254"/>
      <c r="BE50" s="1168">
        <v>56101.18</v>
      </c>
      <c r="BF50" s="261"/>
      <c r="BG50" s="261"/>
      <c r="BH50" s="261"/>
      <c r="BI50" s="254"/>
      <c r="BJ50" s="1168">
        <v>60854.559999999998</v>
      </c>
      <c r="BK50" s="261"/>
      <c r="BL50" s="254"/>
      <c r="BO50" s="1168">
        <v>65610.75</v>
      </c>
      <c r="BP50" s="260"/>
      <c r="BQ50" s="260"/>
      <c r="BR50" s="260"/>
      <c r="BT50" s="1168">
        <v>70322.03</v>
      </c>
      <c r="BU50" s="260"/>
      <c r="BV50" s="260"/>
      <c r="BW50" s="260"/>
      <c r="BY50" s="1168">
        <v>75044.460000000006</v>
      </c>
      <c r="CD50" s="1168">
        <v>79686.55</v>
      </c>
      <c r="CI50" s="1168">
        <v>84218.28</v>
      </c>
      <c r="CN50" s="1168">
        <v>88710.24</v>
      </c>
      <c r="CS50" s="1168">
        <v>93202.21</v>
      </c>
      <c r="CT50" s="260"/>
      <c r="CU50" s="260"/>
      <c r="CV50" s="260"/>
      <c r="CX50" s="1168">
        <v>97659</v>
      </c>
      <c r="CY50" s="260"/>
      <c r="CZ50" s="260"/>
      <c r="DA50" s="260"/>
      <c r="DC50" s="1168">
        <v>102123.03</v>
      </c>
      <c r="DH50" s="1168">
        <v>106569.56</v>
      </c>
      <c r="DM50" s="1168">
        <v>111034.12</v>
      </c>
      <c r="DR50" s="1168">
        <v>115507.3</v>
      </c>
    </row>
    <row r="51" spans="5:122" x14ac:dyDescent="0.25">
      <c r="E51" s="254" t="s">
        <v>727</v>
      </c>
      <c r="G51" s="855">
        <f>(G48-G50)/G50</f>
        <v>0.11208293007708185</v>
      </c>
      <c r="L51" s="855">
        <f>(L48-L50)/L50</f>
        <v>0.11208293007708185</v>
      </c>
      <c r="Q51" s="855">
        <f>(Q48-Q50)/Q50</f>
        <v>0.11208350207176476</v>
      </c>
      <c r="V51" s="855">
        <f>(V48-V50)/V50</f>
        <v>0.11208288199397262</v>
      </c>
      <c r="AA51" s="855">
        <f>(AA48-AA50)/AA50</f>
        <v>0.11247836627921677</v>
      </c>
      <c r="AF51" s="855">
        <f>(AF48-AF50)/AF50</f>
        <v>0.11346776265406942</v>
      </c>
      <c r="AK51" s="855">
        <f>(AK48-AK50)/AK50</f>
        <v>0.11399783069863979</v>
      </c>
      <c r="AP51" s="855">
        <f>(AP48-AP50)/AP50</f>
        <v>0.11392986585168285</v>
      </c>
      <c r="AU51" s="855">
        <f>(AU48-AU50)/AU50</f>
        <v>0.11319171814406159</v>
      </c>
      <c r="AZ51" s="855">
        <f>(AZ48-AZ50)/AZ50</f>
        <v>0.11270778459287376</v>
      </c>
      <c r="BE51" s="855">
        <f>(BE48-BE50)/BE50</f>
        <v>0.11214166974740992</v>
      </c>
      <c r="BJ51" s="855">
        <f>(BJ48-BJ50)/BJ50</f>
        <v>0.11194510321001409</v>
      </c>
      <c r="BL51" s="254"/>
      <c r="BO51" s="855">
        <f>(BO48-BO50)/BO50</f>
        <v>0.1116411563653822</v>
      </c>
      <c r="BT51" s="855">
        <f>(BT48-BT50)/BT50</f>
        <v>0.11150175841055782</v>
      </c>
      <c r="BY51" s="855">
        <f>(BY48-BY50)/BY50</f>
        <v>0.11124645310260067</v>
      </c>
      <c r="CD51" s="855">
        <f>(CD48-CD50)/CD50</f>
        <v>0.11128816594519399</v>
      </c>
      <c r="CI51" s="855">
        <f>(CI48-CI50)/CI50</f>
        <v>0.11173215601173521</v>
      </c>
      <c r="CN51" s="855">
        <f>(CN48-CN50)/CN50</f>
        <v>0.11228861515874597</v>
      </c>
      <c r="CS51" s="855">
        <f>(CS48-CS50)/CS50</f>
        <v>0.11279142415185206</v>
      </c>
      <c r="CX51" s="855">
        <f>(CX48-CX50)/CX50</f>
        <v>0.11339487400034814</v>
      </c>
      <c r="DC51" s="855">
        <f>(DC48-DC50)/DC50</f>
        <v>0.11395000716292886</v>
      </c>
      <c r="DH51" s="855">
        <f>(DH48-DH50)/DH50</f>
        <v>0.11460364479312864</v>
      </c>
      <c r="DM51" s="855">
        <f>(DM48-DM50)/DM50</f>
        <v>0.11521467455229087</v>
      </c>
      <c r="DR51" s="855">
        <f>(DR48-DR50)/DR50</f>
        <v>0.11592600640825301</v>
      </c>
    </row>
    <row r="52" spans="5:122" x14ac:dyDescent="0.25">
      <c r="G52" s="254"/>
      <c r="H52" s="254"/>
      <c r="L52" s="254"/>
      <c r="Q52" s="254"/>
      <c r="BL52" s="254"/>
    </row>
    <row r="53" spans="5:122" x14ac:dyDescent="0.25">
      <c r="E53" s="263"/>
      <c r="G53" s="254"/>
      <c r="H53" s="254"/>
      <c r="L53" s="254"/>
      <c r="Q53" s="254"/>
      <c r="R53" s="256"/>
      <c r="W53" s="256"/>
      <c r="Z53" s="256"/>
      <c r="AA53" s="256"/>
      <c r="AB53" s="256"/>
      <c r="AC53" s="256"/>
      <c r="AD53" s="256"/>
      <c r="AE53" s="256"/>
      <c r="AF53" s="256"/>
      <c r="AG53" s="256"/>
      <c r="AH53" s="256"/>
      <c r="AI53" s="256"/>
      <c r="AJ53" s="256"/>
      <c r="AK53" s="256"/>
      <c r="AL53" s="256"/>
      <c r="AM53" s="256"/>
      <c r="AN53" s="256"/>
      <c r="AO53" s="256"/>
      <c r="AP53" s="256"/>
      <c r="AQ53" s="256"/>
      <c r="AT53" s="256"/>
      <c r="AU53" s="256"/>
      <c r="AV53" s="256"/>
      <c r="AW53" s="256"/>
      <c r="AX53" s="256"/>
      <c r="AY53" s="256"/>
      <c r="AZ53" s="256"/>
      <c r="BA53" s="256"/>
      <c r="BB53" s="256"/>
      <c r="BC53" s="256"/>
      <c r="BD53" s="256"/>
      <c r="BE53" s="256"/>
      <c r="BF53" s="256"/>
      <c r="BG53" s="256"/>
      <c r="BH53" s="256"/>
      <c r="BI53" s="256"/>
      <c r="BJ53" s="256"/>
      <c r="BK53" s="256"/>
      <c r="BL53" s="254"/>
    </row>
    <row r="54" spans="5:122" x14ac:dyDescent="0.25">
      <c r="E54" s="263"/>
      <c r="G54" s="254"/>
      <c r="H54" s="254"/>
      <c r="L54" s="254"/>
      <c r="Q54" s="254"/>
      <c r="R54" s="256"/>
      <c r="W54" s="256"/>
      <c r="Z54" s="256"/>
      <c r="AA54" s="256"/>
      <c r="AB54" s="256"/>
      <c r="AC54" s="256"/>
      <c r="AD54" s="256"/>
      <c r="AE54" s="256"/>
      <c r="AF54" s="256"/>
      <c r="AG54" s="256"/>
      <c r="AH54" s="256"/>
      <c r="AI54" s="256"/>
      <c r="AJ54" s="256"/>
      <c r="AK54" s="256"/>
      <c r="AL54" s="256"/>
      <c r="AM54" s="256"/>
      <c r="AN54" s="256"/>
      <c r="AO54" s="256"/>
      <c r="AP54" s="256"/>
      <c r="AQ54" s="256"/>
      <c r="AT54" s="256"/>
      <c r="AU54" s="256"/>
      <c r="AV54" s="256"/>
      <c r="AW54" s="256"/>
      <c r="AX54" s="256"/>
      <c r="AY54" s="256"/>
      <c r="AZ54" s="256"/>
      <c r="BA54" s="256"/>
      <c r="BB54" s="256"/>
      <c r="BC54" s="256"/>
      <c r="BD54" s="256"/>
      <c r="BE54" s="256"/>
      <c r="BF54" s="256"/>
      <c r="BG54" s="256"/>
      <c r="BH54" s="256"/>
      <c r="BI54" s="256"/>
      <c r="BJ54" s="256"/>
      <c r="BK54" s="256"/>
      <c r="BL54" s="254"/>
    </row>
    <row r="55" spans="5:122" x14ac:dyDescent="0.25">
      <c r="E55" s="263"/>
      <c r="G55" s="254"/>
      <c r="H55" s="254"/>
      <c r="L55" s="254"/>
      <c r="P55" s="255"/>
      <c r="BJ55" s="254"/>
      <c r="BK55" s="254"/>
      <c r="BL55" s="254"/>
      <c r="CU55" s="1744"/>
      <c r="CV55" s="1745"/>
    </row>
    <row r="56" spans="5:122" x14ac:dyDescent="0.25">
      <c r="E56" s="263"/>
      <c r="G56" s="254"/>
      <c r="H56" s="254"/>
      <c r="L56" s="254"/>
      <c r="P56" s="255"/>
      <c r="BJ56" s="254"/>
      <c r="BK56" s="254"/>
      <c r="BL56" s="254"/>
      <c r="CU56" s="1744"/>
      <c r="CV56" s="1745"/>
    </row>
    <row r="57" spans="5:122" x14ac:dyDescent="0.25">
      <c r="E57" s="263"/>
      <c r="G57" s="254"/>
      <c r="H57" s="254"/>
      <c r="L57" s="254"/>
      <c r="P57" s="255"/>
      <c r="BJ57" s="254"/>
      <c r="BK57" s="254"/>
      <c r="BL57" s="254"/>
      <c r="CU57" s="267"/>
      <c r="CV57" s="268"/>
    </row>
    <row r="58" spans="5:122" x14ac:dyDescent="0.25">
      <c r="E58" s="263"/>
      <c r="G58" s="254"/>
      <c r="H58" s="254"/>
      <c r="L58" s="254"/>
      <c r="P58" s="255"/>
      <c r="BJ58" s="254"/>
      <c r="BK58" s="254"/>
      <c r="BL58" s="254"/>
      <c r="CU58" s="266"/>
    </row>
    <row r="59" spans="5:122" x14ac:dyDescent="0.25">
      <c r="E59" s="263"/>
      <c r="F59" s="255"/>
      <c r="G59" s="254"/>
      <c r="H59" s="254"/>
      <c r="L59" s="254"/>
      <c r="P59" s="255"/>
      <c r="BJ59" s="254"/>
      <c r="BK59" s="254"/>
      <c r="BL59" s="254"/>
      <c r="CU59" s="267"/>
    </row>
    <row r="60" spans="5:122" x14ac:dyDescent="0.25">
      <c r="E60" s="263"/>
      <c r="F60" s="255"/>
      <c r="G60" s="254"/>
      <c r="H60" s="254"/>
      <c r="L60" s="254"/>
      <c r="P60" s="255"/>
      <c r="BJ60" s="254"/>
      <c r="BK60" s="254"/>
      <c r="BL60" s="254"/>
      <c r="CU60" s="266"/>
    </row>
    <row r="61" spans="5:122" x14ac:dyDescent="0.25">
      <c r="E61" s="263"/>
      <c r="G61" s="254"/>
      <c r="H61" s="254"/>
      <c r="L61" s="254"/>
      <c r="P61" s="255"/>
      <c r="BJ61" s="254"/>
      <c r="BK61" s="254"/>
      <c r="BL61" s="254"/>
      <c r="CQ61" s="255"/>
      <c r="CR61" s="257"/>
      <c r="CU61" s="267"/>
      <c r="DA61" s="255"/>
    </row>
    <row r="62" spans="5:122" x14ac:dyDescent="0.25">
      <c r="E62" s="263"/>
      <c r="G62" s="254"/>
      <c r="H62" s="254"/>
      <c r="L62" s="254"/>
      <c r="P62" s="255"/>
      <c r="BJ62" s="254"/>
      <c r="BK62" s="254"/>
      <c r="BL62" s="254"/>
      <c r="CQ62" s="255"/>
      <c r="CR62" s="255"/>
      <c r="CU62" s="266"/>
      <c r="DA62" s="255"/>
    </row>
    <row r="63" spans="5:122" x14ac:dyDescent="0.25">
      <c r="E63" s="263"/>
      <c r="G63" s="254"/>
      <c r="H63" s="254"/>
      <c r="L63" s="254"/>
      <c r="P63" s="256"/>
      <c r="Q63" s="256"/>
      <c r="R63" s="256"/>
      <c r="S63" s="256"/>
      <c r="T63" s="256"/>
      <c r="U63" s="256"/>
      <c r="V63" s="256"/>
      <c r="W63" s="256"/>
      <c r="Z63" s="256"/>
      <c r="AA63" s="256"/>
      <c r="AB63" s="256"/>
      <c r="AC63" s="256"/>
      <c r="AD63" s="256"/>
      <c r="AE63" s="256"/>
      <c r="AF63" s="256"/>
      <c r="AG63" s="256"/>
      <c r="AH63" s="256"/>
      <c r="AI63" s="256"/>
      <c r="AJ63" s="256"/>
      <c r="AK63" s="256"/>
      <c r="AL63" s="256"/>
      <c r="AM63" s="256"/>
      <c r="AN63" s="256"/>
      <c r="AO63" s="256"/>
      <c r="AP63" s="256"/>
      <c r="AQ63" s="256"/>
      <c r="AT63" s="256"/>
      <c r="AU63" s="256"/>
      <c r="AV63" s="256"/>
      <c r="AW63" s="256"/>
      <c r="AX63" s="256"/>
      <c r="AY63" s="256"/>
      <c r="AZ63" s="256"/>
      <c r="BA63" s="256"/>
      <c r="BB63" s="256"/>
      <c r="BC63" s="256"/>
      <c r="BD63" s="256"/>
      <c r="BE63" s="256"/>
      <c r="BF63" s="256"/>
      <c r="BI63" s="256"/>
      <c r="BJ63" s="254"/>
      <c r="BK63" s="254"/>
      <c r="BL63" s="254"/>
      <c r="CQ63" s="255"/>
      <c r="CR63" s="255"/>
      <c r="CU63" s="267"/>
      <c r="DA63" s="255"/>
    </row>
    <row r="64" spans="5:122" x14ac:dyDescent="0.25">
      <c r="E64" s="263"/>
      <c r="G64" s="254"/>
      <c r="H64" s="254"/>
      <c r="J64" s="265"/>
      <c r="L64" s="254"/>
      <c r="O64" s="265"/>
      <c r="P64" s="261"/>
      <c r="Q64" s="261"/>
      <c r="R64" s="261"/>
      <c r="S64" s="261"/>
      <c r="T64" s="261"/>
      <c r="U64" s="261"/>
      <c r="V64" s="261"/>
      <c r="W64" s="261"/>
      <c r="Z64" s="261"/>
      <c r="AA64" s="261"/>
      <c r="AB64" s="261"/>
      <c r="AC64" s="261"/>
      <c r="AD64" s="261"/>
      <c r="AE64" s="261"/>
      <c r="AF64" s="261"/>
      <c r="AG64" s="261"/>
      <c r="AH64" s="261"/>
      <c r="AI64" s="261"/>
      <c r="AJ64" s="261"/>
      <c r="AK64" s="261"/>
      <c r="AL64" s="261"/>
      <c r="AM64" s="261"/>
      <c r="AN64" s="261"/>
      <c r="AO64" s="261"/>
      <c r="AP64" s="261"/>
      <c r="AQ64" s="261"/>
      <c r="AT64" s="261"/>
      <c r="AU64" s="261"/>
      <c r="AV64" s="261"/>
      <c r="AW64" s="261"/>
      <c r="AX64" s="261"/>
      <c r="AY64" s="261"/>
      <c r="AZ64" s="261"/>
      <c r="BA64" s="261"/>
      <c r="BB64" s="261"/>
      <c r="BC64" s="261"/>
      <c r="BD64" s="261"/>
      <c r="BE64" s="261"/>
      <c r="BF64" s="261"/>
      <c r="BI64" s="261"/>
      <c r="BJ64" s="254"/>
      <c r="BK64" s="254"/>
      <c r="BL64" s="254"/>
      <c r="CQ64" s="255"/>
      <c r="CR64" s="256"/>
      <c r="CU64" s="266"/>
      <c r="DA64" s="255"/>
    </row>
    <row r="65" spans="5:105" x14ac:dyDescent="0.25">
      <c r="E65" s="263"/>
      <c r="G65" s="254"/>
      <c r="H65" s="254"/>
      <c r="J65" s="255"/>
      <c r="L65" s="254"/>
      <c r="P65" s="265"/>
      <c r="Q65" s="265"/>
      <c r="R65" s="265"/>
      <c r="S65" s="265"/>
      <c r="T65" s="265"/>
      <c r="U65" s="265"/>
      <c r="V65" s="265"/>
      <c r="W65" s="265"/>
      <c r="Z65" s="265"/>
      <c r="AA65" s="265"/>
      <c r="AB65" s="265"/>
      <c r="AC65" s="265"/>
      <c r="AD65" s="265"/>
      <c r="AE65" s="265"/>
      <c r="AF65" s="265"/>
      <c r="AG65" s="265"/>
      <c r="AH65" s="265"/>
      <c r="AI65" s="265"/>
      <c r="AJ65" s="265"/>
      <c r="AK65" s="265"/>
      <c r="AL65" s="265"/>
      <c r="AM65" s="265"/>
      <c r="AN65" s="265"/>
      <c r="AO65" s="265"/>
      <c r="AP65" s="265"/>
      <c r="AQ65" s="265"/>
      <c r="AT65" s="265"/>
      <c r="AU65" s="265"/>
      <c r="AV65" s="265"/>
      <c r="AW65" s="265"/>
      <c r="AX65" s="265"/>
      <c r="AY65" s="265"/>
      <c r="AZ65" s="265"/>
      <c r="BA65" s="265"/>
      <c r="BB65" s="265"/>
      <c r="BC65" s="265"/>
      <c r="BD65" s="265"/>
      <c r="BE65" s="265"/>
      <c r="BF65" s="265"/>
      <c r="BI65" s="265"/>
      <c r="BJ65" s="254"/>
      <c r="BK65" s="254"/>
      <c r="BL65" s="254"/>
      <c r="CQ65" s="255"/>
      <c r="CR65" s="256"/>
      <c r="DA65" s="255"/>
    </row>
    <row r="66" spans="5:105" x14ac:dyDescent="0.25">
      <c r="E66" s="263"/>
      <c r="G66" s="254"/>
      <c r="H66" s="254"/>
      <c r="L66" s="254"/>
      <c r="Q66" s="254"/>
      <c r="R66" s="254"/>
      <c r="S66" s="254"/>
      <c r="T66" s="254"/>
      <c r="U66" s="254"/>
      <c r="V66" s="254"/>
      <c r="W66" s="254"/>
      <c r="Z66" s="254"/>
      <c r="AA66" s="254"/>
      <c r="AB66" s="254"/>
      <c r="AC66" s="254"/>
      <c r="AD66" s="254"/>
      <c r="AE66" s="254"/>
      <c r="AF66" s="254"/>
      <c r="AG66" s="254"/>
      <c r="AH66" s="254"/>
      <c r="AI66" s="254"/>
      <c r="AJ66" s="254"/>
      <c r="AK66" s="254"/>
      <c r="AL66" s="254"/>
      <c r="AM66" s="254"/>
      <c r="AN66" s="254"/>
      <c r="AO66" s="254"/>
      <c r="AP66" s="254"/>
      <c r="AQ66" s="254"/>
      <c r="AT66" s="254"/>
      <c r="AU66" s="254"/>
      <c r="AV66" s="254"/>
      <c r="AW66" s="254"/>
      <c r="AX66" s="254"/>
      <c r="AY66" s="254"/>
      <c r="AZ66" s="254"/>
      <c r="BA66" s="254"/>
      <c r="BB66" s="254"/>
      <c r="BC66" s="254"/>
      <c r="BD66" s="254"/>
      <c r="BE66" s="254"/>
      <c r="BF66" s="254"/>
      <c r="BI66" s="254"/>
      <c r="BJ66" s="254"/>
      <c r="BK66" s="254"/>
      <c r="BL66" s="254"/>
      <c r="CQ66" s="255"/>
      <c r="CR66" s="255"/>
      <c r="DA66" s="255"/>
    </row>
    <row r="67" spans="5:105" x14ac:dyDescent="0.25">
      <c r="E67" s="263"/>
      <c r="G67" s="254"/>
      <c r="H67" s="254"/>
      <c r="L67" s="254"/>
      <c r="P67" s="259"/>
      <c r="Q67" s="259"/>
      <c r="R67" s="259"/>
      <c r="S67" s="259"/>
      <c r="T67" s="259"/>
      <c r="U67" s="259"/>
      <c r="V67" s="259"/>
      <c r="W67" s="259"/>
      <c r="Z67" s="259"/>
      <c r="AA67" s="259"/>
      <c r="AB67" s="259"/>
      <c r="AC67" s="259"/>
      <c r="AD67" s="259"/>
      <c r="AE67" s="259"/>
      <c r="AF67" s="259"/>
      <c r="AG67" s="259"/>
      <c r="AH67" s="259"/>
      <c r="AI67" s="259"/>
      <c r="AJ67" s="259"/>
      <c r="AK67" s="259"/>
      <c r="AL67" s="259"/>
      <c r="AM67" s="259"/>
      <c r="AN67" s="259"/>
      <c r="AO67" s="259"/>
      <c r="AP67" s="259"/>
      <c r="AQ67" s="259"/>
      <c r="AT67" s="259"/>
      <c r="AU67" s="259"/>
      <c r="AV67" s="259"/>
      <c r="AW67" s="259"/>
      <c r="AX67" s="259"/>
      <c r="AY67" s="259"/>
      <c r="AZ67" s="259"/>
      <c r="BA67" s="259"/>
      <c r="BB67" s="259"/>
      <c r="BC67" s="259"/>
      <c r="BD67" s="259"/>
      <c r="BE67" s="259"/>
      <c r="BF67" s="259"/>
      <c r="BI67" s="259"/>
      <c r="BJ67" s="254"/>
      <c r="BK67" s="254"/>
      <c r="BL67" s="254"/>
      <c r="CQ67" s="255"/>
      <c r="CR67" s="256"/>
      <c r="DA67" s="255"/>
    </row>
    <row r="68" spans="5:105" x14ac:dyDescent="0.25">
      <c r="E68" s="263"/>
      <c r="F68" s="256"/>
      <c r="G68" s="264"/>
      <c r="H68" s="264"/>
      <c r="I68" s="264"/>
      <c r="L68" s="254"/>
      <c r="P68" s="257"/>
      <c r="Q68" s="257"/>
      <c r="R68" s="257"/>
      <c r="S68" s="257"/>
      <c r="T68" s="257"/>
      <c r="U68" s="257"/>
      <c r="V68" s="257"/>
      <c r="W68" s="257"/>
      <c r="Z68" s="257"/>
      <c r="AA68" s="257"/>
      <c r="AB68" s="257"/>
      <c r="AC68" s="257"/>
      <c r="AD68" s="257"/>
      <c r="AE68" s="257"/>
      <c r="AF68" s="257"/>
      <c r="AG68" s="257"/>
      <c r="AH68" s="257"/>
      <c r="AI68" s="257"/>
      <c r="AJ68" s="257"/>
      <c r="AK68" s="257"/>
      <c r="AL68" s="257"/>
      <c r="AM68" s="257"/>
      <c r="AN68" s="257"/>
      <c r="AO68" s="257"/>
      <c r="AP68" s="257"/>
      <c r="AQ68" s="257"/>
      <c r="AT68" s="257"/>
      <c r="AU68" s="257"/>
      <c r="AV68" s="257"/>
      <c r="AW68" s="257"/>
      <c r="AX68" s="257"/>
      <c r="AY68" s="257"/>
      <c r="AZ68" s="257"/>
      <c r="BA68" s="257"/>
      <c r="BB68" s="257"/>
      <c r="BC68" s="257"/>
      <c r="BD68" s="257"/>
      <c r="BE68" s="257"/>
      <c r="BF68" s="257"/>
      <c r="BI68" s="257"/>
      <c r="BJ68" s="254"/>
      <c r="BK68" s="254"/>
      <c r="BL68" s="254"/>
      <c r="CQ68" s="255"/>
      <c r="CR68" s="255"/>
      <c r="DA68" s="255"/>
    </row>
    <row r="69" spans="5:105" x14ac:dyDescent="0.25">
      <c r="E69" s="263"/>
      <c r="F69" s="256"/>
      <c r="G69" s="264"/>
      <c r="H69" s="264"/>
      <c r="I69" s="264"/>
      <c r="L69" s="254"/>
      <c r="P69" s="255"/>
      <c r="BJ69" s="254"/>
      <c r="BK69" s="254"/>
      <c r="BL69" s="254"/>
      <c r="CQ69" s="255"/>
      <c r="CR69" s="255"/>
      <c r="DA69" s="255"/>
    </row>
    <row r="70" spans="5:105" x14ac:dyDescent="0.25">
      <c r="E70" s="263"/>
      <c r="G70" s="254"/>
      <c r="H70" s="254"/>
      <c r="L70" s="254"/>
      <c r="P70" s="255"/>
      <c r="BJ70" s="254"/>
      <c r="BK70" s="254"/>
      <c r="BL70" s="254"/>
      <c r="CQ70" s="255"/>
      <c r="CR70" s="255"/>
      <c r="DA70" s="255"/>
    </row>
    <row r="71" spans="5:105" x14ac:dyDescent="0.25">
      <c r="E71" s="263"/>
      <c r="G71" s="254"/>
      <c r="H71" s="254"/>
      <c r="L71" s="254"/>
      <c r="P71" s="255"/>
      <c r="BJ71" s="254"/>
      <c r="BK71" s="254"/>
      <c r="BL71" s="254"/>
      <c r="CQ71" s="255"/>
      <c r="CR71" s="255"/>
      <c r="DA71" s="255"/>
    </row>
    <row r="72" spans="5:105" x14ac:dyDescent="0.25">
      <c r="E72" s="263"/>
      <c r="G72" s="254"/>
      <c r="H72" s="254"/>
      <c r="L72" s="254"/>
      <c r="P72" s="255"/>
      <c r="BJ72" s="254"/>
      <c r="BK72" s="254"/>
      <c r="BL72" s="254"/>
      <c r="CQ72" s="255"/>
      <c r="CR72" s="256"/>
      <c r="DA72" s="255"/>
    </row>
    <row r="73" spans="5:105" x14ac:dyDescent="0.25">
      <c r="E73" s="263"/>
      <c r="G73" s="254"/>
      <c r="H73" s="254"/>
      <c r="L73" s="254"/>
      <c r="P73" s="256"/>
      <c r="Q73" s="256"/>
      <c r="R73" s="256"/>
      <c r="S73" s="256"/>
      <c r="T73" s="256"/>
      <c r="U73" s="256"/>
      <c r="V73" s="256"/>
      <c r="W73" s="256"/>
      <c r="Z73" s="256"/>
      <c r="AA73" s="256"/>
      <c r="AB73" s="256"/>
      <c r="AC73" s="256"/>
      <c r="AD73" s="256"/>
      <c r="AE73" s="256"/>
      <c r="AF73" s="256"/>
      <c r="AG73" s="256"/>
      <c r="AH73" s="256"/>
      <c r="AI73" s="256"/>
      <c r="AJ73" s="256"/>
      <c r="AK73" s="256"/>
      <c r="AL73" s="256"/>
      <c r="AM73" s="256"/>
      <c r="AN73" s="256"/>
      <c r="AO73" s="256"/>
      <c r="AP73" s="256"/>
      <c r="AQ73" s="256"/>
      <c r="AT73" s="256"/>
      <c r="AU73" s="256"/>
      <c r="AV73" s="256"/>
      <c r="AW73" s="256"/>
      <c r="AX73" s="256"/>
      <c r="AY73" s="256"/>
      <c r="AZ73" s="256"/>
      <c r="BA73" s="256"/>
      <c r="BB73" s="256"/>
      <c r="BC73" s="256"/>
      <c r="BD73" s="256"/>
      <c r="BE73" s="256"/>
      <c r="BF73" s="256"/>
      <c r="BG73" s="256"/>
      <c r="BH73" s="256"/>
      <c r="BI73" s="256"/>
      <c r="BJ73" s="254"/>
      <c r="BK73" s="254"/>
      <c r="BL73" s="254"/>
      <c r="CQ73" s="255"/>
      <c r="CR73" s="256"/>
      <c r="CV73" s="255"/>
      <c r="DA73" s="255"/>
    </row>
    <row r="74" spans="5:105" x14ac:dyDescent="0.25">
      <c r="E74" s="263"/>
      <c r="G74" s="254"/>
      <c r="H74" s="254"/>
      <c r="L74" s="254"/>
      <c r="P74" s="255"/>
      <c r="BJ74" s="254"/>
      <c r="BK74" s="254"/>
      <c r="BL74" s="254"/>
      <c r="CN74" s="262"/>
    </row>
    <row r="75" spans="5:105" x14ac:dyDescent="0.25">
      <c r="E75" s="263"/>
      <c r="G75" s="254"/>
      <c r="H75" s="254"/>
      <c r="L75" s="254"/>
      <c r="P75" s="255"/>
      <c r="X75" s="256"/>
      <c r="Y75" s="256"/>
      <c r="BJ75" s="254"/>
      <c r="BK75" s="254"/>
      <c r="BL75" s="254"/>
      <c r="CN75" s="256"/>
    </row>
    <row r="76" spans="5:105" x14ac:dyDescent="0.25">
      <c r="E76" s="263"/>
      <c r="G76" s="254"/>
      <c r="H76" s="254"/>
      <c r="L76" s="254"/>
      <c r="P76" s="256"/>
      <c r="Q76" s="256"/>
      <c r="R76" s="256"/>
      <c r="S76" s="256"/>
      <c r="T76" s="256"/>
      <c r="U76" s="256"/>
      <c r="V76" s="256"/>
      <c r="W76" s="256"/>
      <c r="X76" s="261"/>
      <c r="Y76" s="261"/>
      <c r="Z76" s="256"/>
      <c r="AA76" s="256"/>
      <c r="AB76" s="256"/>
      <c r="AC76" s="256"/>
      <c r="AD76" s="256"/>
      <c r="AE76" s="256"/>
      <c r="AF76" s="256"/>
      <c r="AG76" s="256"/>
      <c r="AH76" s="256"/>
      <c r="AI76" s="256"/>
      <c r="AJ76" s="256"/>
      <c r="AK76" s="256"/>
      <c r="AL76" s="256"/>
      <c r="AM76" s="256"/>
      <c r="AN76" s="256"/>
      <c r="AO76" s="256"/>
      <c r="AP76" s="256"/>
      <c r="AQ76" s="256"/>
      <c r="AR76" s="256"/>
      <c r="AS76" s="256"/>
      <c r="AT76" s="256"/>
      <c r="AU76" s="256"/>
      <c r="AV76" s="256"/>
      <c r="AW76" s="256"/>
      <c r="AX76" s="256"/>
      <c r="AY76" s="256"/>
      <c r="AZ76" s="256"/>
      <c r="BA76" s="256"/>
      <c r="BB76" s="256"/>
      <c r="BC76" s="256"/>
      <c r="BD76" s="256"/>
      <c r="BE76" s="256"/>
      <c r="BF76" s="256"/>
      <c r="BG76" s="256"/>
      <c r="BH76" s="256"/>
      <c r="BI76" s="256"/>
      <c r="BJ76" s="254"/>
      <c r="BK76" s="254"/>
      <c r="BL76" s="254"/>
      <c r="CN76" s="256"/>
    </row>
    <row r="77" spans="5:105" x14ac:dyDescent="0.25">
      <c r="E77" s="263"/>
      <c r="G77" s="254"/>
      <c r="H77" s="254"/>
      <c r="L77" s="254"/>
      <c r="P77" s="255"/>
      <c r="X77" s="260"/>
      <c r="Y77" s="260"/>
      <c r="BJ77" s="254"/>
      <c r="BK77" s="254"/>
      <c r="BL77" s="254"/>
      <c r="CN77" s="262"/>
    </row>
    <row r="78" spans="5:105" x14ac:dyDescent="0.25">
      <c r="G78" s="254"/>
      <c r="H78" s="254"/>
      <c r="L78" s="254"/>
      <c r="P78" s="255"/>
      <c r="X78" s="254"/>
      <c r="Y78" s="254"/>
      <c r="BJ78" s="254"/>
      <c r="BK78" s="254"/>
      <c r="BL78" s="254"/>
      <c r="CN78" s="255"/>
    </row>
    <row r="79" spans="5:105" x14ac:dyDescent="0.25">
      <c r="G79" s="254"/>
      <c r="H79" s="254"/>
      <c r="L79" s="254"/>
      <c r="P79" s="256"/>
      <c r="Q79" s="256"/>
      <c r="R79" s="256"/>
      <c r="S79" s="256"/>
      <c r="T79" s="256"/>
      <c r="U79" s="256"/>
      <c r="V79" s="256"/>
      <c r="W79" s="256"/>
      <c r="X79" s="259"/>
      <c r="Y79" s="259"/>
      <c r="Z79" s="256"/>
      <c r="AA79" s="256"/>
      <c r="AB79" s="256"/>
      <c r="AC79" s="256"/>
      <c r="AD79" s="256"/>
      <c r="AE79" s="256"/>
      <c r="AF79" s="256"/>
      <c r="AG79" s="256"/>
      <c r="AH79" s="256"/>
      <c r="AI79" s="256"/>
      <c r="AJ79" s="256"/>
      <c r="AK79" s="256"/>
      <c r="AL79" s="256"/>
      <c r="AM79" s="256"/>
      <c r="AN79" s="256"/>
      <c r="AO79" s="256"/>
      <c r="AP79" s="256"/>
      <c r="AQ79" s="256"/>
      <c r="AR79" s="256"/>
      <c r="AS79" s="256"/>
      <c r="AT79" s="256"/>
      <c r="AU79" s="256"/>
      <c r="AV79" s="256"/>
      <c r="AW79" s="256"/>
      <c r="AX79" s="256"/>
      <c r="AY79" s="256"/>
      <c r="AZ79" s="256"/>
      <c r="BA79" s="256"/>
      <c r="BB79" s="256"/>
      <c r="BC79" s="256"/>
      <c r="BD79" s="256"/>
      <c r="BE79" s="256"/>
      <c r="BF79" s="256"/>
      <c r="BG79" s="256"/>
      <c r="BH79" s="256"/>
      <c r="BI79" s="256"/>
      <c r="BJ79" s="254"/>
      <c r="BK79" s="254"/>
      <c r="BL79" s="254"/>
      <c r="CN79" s="260"/>
    </row>
    <row r="80" spans="5:105" x14ac:dyDescent="0.25">
      <c r="G80" s="254"/>
      <c r="H80" s="254"/>
      <c r="L80" s="254"/>
      <c r="P80" s="261"/>
      <c r="Q80" s="261"/>
      <c r="R80" s="261"/>
      <c r="S80" s="261"/>
      <c r="T80" s="261"/>
      <c r="U80" s="261"/>
      <c r="V80" s="261"/>
      <c r="W80" s="261"/>
      <c r="X80" s="257"/>
      <c r="Y80" s="257"/>
      <c r="Z80" s="261"/>
      <c r="AA80" s="261"/>
      <c r="AB80" s="261"/>
      <c r="AC80" s="261"/>
      <c r="AD80" s="261"/>
      <c r="AE80" s="261"/>
      <c r="AF80" s="261"/>
      <c r="AG80" s="261"/>
      <c r="AH80" s="261"/>
      <c r="AI80" s="261"/>
      <c r="AJ80" s="261"/>
      <c r="AK80" s="261"/>
      <c r="AL80" s="261"/>
      <c r="AM80" s="261"/>
      <c r="AN80" s="261"/>
      <c r="AO80" s="261"/>
      <c r="AP80" s="261"/>
      <c r="AQ80" s="261"/>
      <c r="AR80" s="261"/>
      <c r="AS80" s="261"/>
      <c r="AT80" s="261"/>
      <c r="AU80" s="261"/>
      <c r="AV80" s="261"/>
      <c r="AW80" s="261"/>
      <c r="AX80" s="261"/>
      <c r="AY80" s="261"/>
      <c r="AZ80" s="261"/>
      <c r="BA80" s="261"/>
      <c r="BB80" s="261"/>
      <c r="BC80" s="261"/>
      <c r="BD80" s="261"/>
      <c r="BE80" s="261"/>
      <c r="BF80" s="261"/>
      <c r="BG80" s="261"/>
      <c r="BH80" s="261"/>
      <c r="BI80" s="261"/>
      <c r="BJ80" s="254"/>
      <c r="BK80" s="254"/>
      <c r="BL80" s="254"/>
      <c r="CN80" s="255"/>
    </row>
    <row r="81" spans="7:94" x14ac:dyDescent="0.25">
      <c r="G81" s="254"/>
      <c r="H81" s="254"/>
      <c r="L81" s="254"/>
      <c r="Q81" s="254"/>
      <c r="R81" s="260"/>
      <c r="S81" s="260"/>
      <c r="T81" s="260"/>
      <c r="U81" s="260"/>
      <c r="V81" s="260"/>
      <c r="W81" s="260"/>
      <c r="Z81" s="260"/>
      <c r="AA81" s="260"/>
      <c r="AB81" s="260"/>
      <c r="AC81" s="260"/>
      <c r="AD81" s="260"/>
      <c r="AE81" s="260"/>
      <c r="AF81" s="260"/>
      <c r="AG81" s="260"/>
      <c r="AH81" s="260"/>
      <c r="AI81" s="260"/>
      <c r="AJ81" s="260"/>
      <c r="AK81" s="260"/>
      <c r="AL81" s="260"/>
      <c r="AM81" s="260"/>
      <c r="AN81" s="260"/>
      <c r="AO81" s="260"/>
      <c r="AP81" s="260"/>
      <c r="AQ81" s="260"/>
      <c r="AR81" s="260"/>
      <c r="AS81" s="260"/>
      <c r="AT81" s="260"/>
      <c r="AU81" s="260"/>
      <c r="AV81" s="260"/>
      <c r="AW81" s="260"/>
      <c r="AX81" s="260"/>
      <c r="AY81" s="260"/>
      <c r="AZ81" s="260"/>
      <c r="BA81" s="260"/>
      <c r="BB81" s="260"/>
      <c r="BC81" s="260"/>
      <c r="BD81" s="260"/>
      <c r="BE81" s="260"/>
      <c r="BF81" s="260"/>
      <c r="BG81" s="260"/>
      <c r="BH81" s="260"/>
      <c r="BI81" s="260"/>
      <c r="BJ81" s="260"/>
      <c r="BK81" s="260"/>
      <c r="BL81" s="254"/>
      <c r="CP81" s="256"/>
    </row>
    <row r="82" spans="7:94" x14ac:dyDescent="0.25">
      <c r="G82" s="254"/>
      <c r="H82" s="254"/>
      <c r="L82" s="254"/>
      <c r="Q82" s="254"/>
      <c r="R82" s="254"/>
      <c r="S82" s="254"/>
      <c r="T82" s="254"/>
      <c r="U82" s="254"/>
      <c r="V82" s="254"/>
      <c r="W82" s="254"/>
      <c r="Z82" s="254"/>
      <c r="AA82" s="254"/>
      <c r="AB82" s="254"/>
      <c r="AC82" s="254"/>
      <c r="AD82" s="254"/>
      <c r="AE82" s="254"/>
      <c r="AF82" s="254"/>
      <c r="AG82" s="254"/>
      <c r="AH82" s="254"/>
      <c r="AI82" s="254"/>
      <c r="AJ82" s="254"/>
      <c r="AK82" s="254"/>
      <c r="AL82" s="254"/>
      <c r="AM82" s="254"/>
      <c r="AN82" s="254"/>
      <c r="AO82" s="254"/>
      <c r="AP82" s="254"/>
      <c r="AQ82" s="254"/>
      <c r="AR82" s="254"/>
      <c r="AS82" s="254"/>
      <c r="AT82" s="254"/>
      <c r="AU82" s="254"/>
      <c r="AV82" s="254"/>
      <c r="AW82" s="254"/>
      <c r="AX82" s="254"/>
      <c r="AY82" s="254"/>
      <c r="AZ82" s="254"/>
      <c r="BA82" s="254"/>
      <c r="BB82" s="254"/>
      <c r="BC82" s="254"/>
      <c r="BD82" s="254"/>
      <c r="BE82" s="254"/>
      <c r="BF82" s="254"/>
      <c r="BG82" s="254"/>
      <c r="BH82" s="254"/>
      <c r="BI82" s="254"/>
      <c r="BJ82" s="254"/>
      <c r="BK82" s="254"/>
      <c r="BL82" s="254"/>
      <c r="CP82" s="256"/>
    </row>
    <row r="83" spans="7:94" x14ac:dyDescent="0.25">
      <c r="G83" s="254"/>
      <c r="H83" s="254"/>
      <c r="L83" s="254"/>
      <c r="Q83" s="254"/>
      <c r="R83" s="259"/>
      <c r="S83" s="259"/>
      <c r="T83" s="259"/>
      <c r="U83" s="259"/>
      <c r="V83" s="259"/>
      <c r="W83" s="259"/>
      <c r="Z83" s="259"/>
      <c r="AA83" s="259"/>
      <c r="AB83" s="259"/>
      <c r="AC83" s="259"/>
      <c r="AD83" s="259"/>
      <c r="AE83" s="259"/>
      <c r="AF83" s="259"/>
      <c r="AG83" s="259"/>
      <c r="AH83" s="259"/>
      <c r="AI83" s="259"/>
      <c r="AJ83" s="259"/>
      <c r="AK83" s="259"/>
      <c r="AL83" s="259"/>
      <c r="AM83" s="259"/>
      <c r="AN83" s="259"/>
      <c r="AO83" s="259"/>
      <c r="AP83" s="259"/>
      <c r="AQ83" s="259"/>
      <c r="AR83" s="259"/>
      <c r="AS83" s="259"/>
      <c r="AT83" s="259"/>
      <c r="AU83" s="259"/>
      <c r="AV83" s="259"/>
      <c r="AW83" s="259"/>
      <c r="AX83" s="259"/>
      <c r="AY83" s="259"/>
      <c r="AZ83" s="259"/>
      <c r="BA83" s="259"/>
      <c r="BB83" s="259"/>
      <c r="BC83" s="259"/>
      <c r="BD83" s="259"/>
      <c r="BE83" s="259"/>
      <c r="BF83" s="259"/>
      <c r="BG83" s="259"/>
      <c r="BH83" s="259"/>
      <c r="BI83" s="259"/>
      <c r="BJ83" s="259"/>
      <c r="BK83" s="259"/>
      <c r="BL83" s="254"/>
      <c r="CP83" s="256"/>
    </row>
    <row r="84" spans="7:94" x14ac:dyDescent="0.25">
      <c r="G84" s="254"/>
      <c r="H84" s="254"/>
      <c r="L84" s="254"/>
      <c r="Q84" s="254"/>
      <c r="R84" s="257"/>
      <c r="S84" s="257"/>
      <c r="T84" s="257"/>
      <c r="U84" s="257"/>
      <c r="V84" s="257"/>
      <c r="W84" s="257"/>
      <c r="Z84" s="257"/>
      <c r="AA84" s="257"/>
      <c r="AB84" s="257"/>
      <c r="AC84" s="257"/>
      <c r="AD84" s="257"/>
      <c r="AE84" s="257"/>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4"/>
      <c r="CP84" s="255"/>
    </row>
    <row r="85" spans="7:94" x14ac:dyDescent="0.25">
      <c r="G85" s="254"/>
      <c r="H85" s="254"/>
      <c r="L85" s="254"/>
      <c r="Q85" s="254"/>
      <c r="X85" s="256"/>
      <c r="Y85" s="256"/>
      <c r="BL85" s="254"/>
      <c r="CP85" s="256"/>
    </row>
    <row r="86" spans="7:94" x14ac:dyDescent="0.25">
      <c r="G86" s="254"/>
      <c r="H86" s="254"/>
      <c r="L86" s="254"/>
      <c r="Q86" s="254"/>
      <c r="X86" s="256"/>
      <c r="Y86" s="256"/>
      <c r="BL86" s="254"/>
      <c r="CP86" s="255"/>
    </row>
    <row r="87" spans="7:94" x14ac:dyDescent="0.25">
      <c r="G87" s="254"/>
      <c r="H87" s="254"/>
      <c r="L87" s="254"/>
      <c r="Q87" s="254"/>
      <c r="BL87" s="254"/>
      <c r="CP87" s="255"/>
    </row>
    <row r="88" spans="7:94" x14ac:dyDescent="0.25">
      <c r="G88" s="254"/>
      <c r="H88" s="254"/>
      <c r="L88" s="254"/>
      <c r="Q88" s="254"/>
      <c r="BL88" s="254"/>
      <c r="CP88" s="255"/>
    </row>
    <row r="89" spans="7:94" x14ac:dyDescent="0.25">
      <c r="G89" s="254"/>
      <c r="H89" s="254"/>
      <c r="L89" s="254"/>
      <c r="Q89" s="254"/>
      <c r="R89" s="256"/>
      <c r="S89" s="256"/>
      <c r="T89" s="256"/>
      <c r="U89" s="256"/>
      <c r="V89" s="256"/>
      <c r="W89" s="256"/>
      <c r="Z89" s="256"/>
      <c r="AA89" s="256"/>
      <c r="AB89" s="256"/>
      <c r="AC89" s="256"/>
      <c r="AD89" s="256"/>
      <c r="AE89" s="256"/>
      <c r="AF89" s="256"/>
      <c r="AG89" s="256"/>
      <c r="AH89" s="256"/>
      <c r="AI89" s="256"/>
      <c r="AJ89" s="256"/>
      <c r="AK89" s="256"/>
      <c r="AL89" s="256"/>
      <c r="AM89" s="256"/>
      <c r="AN89" s="256"/>
      <c r="AO89" s="256"/>
      <c r="AP89" s="256"/>
      <c r="AQ89" s="256"/>
      <c r="AR89" s="256"/>
      <c r="AS89" s="256"/>
      <c r="AT89" s="256"/>
      <c r="AU89" s="256"/>
      <c r="AV89" s="256"/>
      <c r="AW89" s="256"/>
      <c r="AX89" s="256"/>
      <c r="AY89" s="256"/>
      <c r="AZ89" s="256"/>
      <c r="BA89" s="256"/>
      <c r="BB89" s="256"/>
      <c r="BC89" s="256"/>
      <c r="BD89" s="256"/>
      <c r="BE89" s="256"/>
      <c r="BF89" s="256"/>
      <c r="BG89" s="256"/>
      <c r="BH89" s="256"/>
      <c r="BI89" s="256"/>
      <c r="BJ89" s="256"/>
      <c r="BK89" s="256"/>
      <c r="BL89" s="254"/>
      <c r="CP89" s="255"/>
    </row>
    <row r="90" spans="7:94" x14ac:dyDescent="0.25">
      <c r="G90" s="254"/>
      <c r="H90" s="254"/>
      <c r="L90" s="254"/>
      <c r="Q90" s="254"/>
      <c r="R90" s="256"/>
      <c r="S90" s="256"/>
      <c r="T90" s="256"/>
      <c r="U90" s="256"/>
      <c r="V90" s="256"/>
      <c r="W90" s="256"/>
      <c r="Z90" s="256"/>
      <c r="AA90" s="256"/>
      <c r="AB90" s="256"/>
      <c r="AC90" s="256"/>
      <c r="AD90" s="256"/>
      <c r="AE90" s="256"/>
      <c r="AF90" s="256"/>
      <c r="AG90" s="256"/>
      <c r="AH90" s="256"/>
      <c r="AI90" s="256"/>
      <c r="AJ90" s="256"/>
      <c r="AK90" s="256"/>
      <c r="AL90" s="256"/>
      <c r="AM90" s="256"/>
      <c r="AN90" s="256"/>
      <c r="AO90" s="256"/>
      <c r="AP90" s="256"/>
      <c r="AQ90" s="256"/>
      <c r="AR90" s="256"/>
      <c r="AS90" s="256"/>
      <c r="AT90" s="256"/>
      <c r="AU90" s="256"/>
      <c r="AV90" s="256"/>
      <c r="AW90" s="256"/>
      <c r="AX90" s="256"/>
      <c r="AY90" s="256"/>
      <c r="AZ90" s="256"/>
      <c r="BA90" s="256"/>
      <c r="BB90" s="256"/>
      <c r="BC90" s="256"/>
      <c r="BD90" s="256"/>
      <c r="BE90" s="256"/>
      <c r="BF90" s="256"/>
      <c r="BG90" s="256"/>
      <c r="BH90" s="256"/>
      <c r="BI90" s="256"/>
      <c r="BJ90" s="256"/>
      <c r="BK90" s="256"/>
      <c r="BL90" s="254"/>
      <c r="CP90" s="255"/>
    </row>
    <row r="91" spans="7:94" x14ac:dyDescent="0.25">
      <c r="G91" s="254"/>
      <c r="H91" s="254"/>
      <c r="L91" s="254"/>
      <c r="Q91" s="254"/>
      <c r="BL91" s="254"/>
      <c r="CP91" s="256"/>
    </row>
    <row r="92" spans="7:94" x14ac:dyDescent="0.25">
      <c r="G92" s="254"/>
      <c r="H92" s="254"/>
      <c r="L92" s="254"/>
      <c r="Q92" s="254"/>
      <c r="BL92" s="254"/>
      <c r="CP92" s="256"/>
    </row>
    <row r="93" spans="7:94" x14ac:dyDescent="0.25">
      <c r="G93" s="254"/>
      <c r="H93" s="254"/>
      <c r="L93" s="254"/>
      <c r="Q93" s="254"/>
      <c r="X93" s="256"/>
      <c r="Y93" s="256"/>
      <c r="BL93" s="254"/>
      <c r="CP93" s="262"/>
    </row>
    <row r="94" spans="7:94" x14ac:dyDescent="0.25">
      <c r="G94" s="254"/>
      <c r="H94" s="254"/>
      <c r="L94" s="254"/>
      <c r="Q94" s="254"/>
      <c r="BL94" s="254"/>
      <c r="CP94" s="262"/>
    </row>
    <row r="95" spans="7:94" x14ac:dyDescent="0.25">
      <c r="G95" s="254"/>
      <c r="H95" s="254"/>
      <c r="L95" s="254"/>
      <c r="Q95" s="254"/>
      <c r="BL95" s="254"/>
      <c r="CP95" s="262"/>
    </row>
    <row r="96" spans="7:94" x14ac:dyDescent="0.25">
      <c r="G96" s="254"/>
      <c r="H96" s="254"/>
      <c r="L96" s="254"/>
      <c r="Q96" s="254"/>
      <c r="X96" s="256"/>
      <c r="Y96" s="256"/>
      <c r="BL96" s="254"/>
      <c r="CP96" s="256"/>
    </row>
    <row r="97" spans="7:94" x14ac:dyDescent="0.25">
      <c r="G97" s="254"/>
      <c r="H97" s="254"/>
      <c r="L97" s="254"/>
      <c r="Q97" s="254"/>
      <c r="R97" s="256"/>
      <c r="S97" s="256"/>
      <c r="T97" s="256"/>
      <c r="U97" s="256"/>
      <c r="V97" s="256"/>
      <c r="W97" s="256"/>
      <c r="X97" s="261"/>
      <c r="Y97" s="261"/>
      <c r="Z97" s="256"/>
      <c r="AA97" s="256"/>
      <c r="AB97" s="256"/>
      <c r="AC97" s="256"/>
      <c r="AD97" s="256"/>
      <c r="AE97" s="256"/>
      <c r="AF97" s="256"/>
      <c r="AG97" s="256"/>
      <c r="AH97" s="256"/>
      <c r="AI97" s="256"/>
      <c r="AJ97" s="256"/>
      <c r="AK97" s="256"/>
      <c r="AL97" s="256"/>
      <c r="AM97" s="256"/>
      <c r="AN97" s="256"/>
      <c r="AO97" s="256"/>
      <c r="AP97" s="256"/>
      <c r="AQ97" s="256"/>
      <c r="AR97" s="256"/>
      <c r="AS97" s="256"/>
      <c r="AT97" s="256"/>
      <c r="AU97" s="256"/>
      <c r="AV97" s="256"/>
      <c r="AW97" s="256"/>
      <c r="AX97" s="256"/>
      <c r="AY97" s="256"/>
      <c r="AZ97" s="256"/>
      <c r="BA97" s="256"/>
      <c r="BB97" s="256"/>
      <c r="BC97" s="256"/>
      <c r="BD97" s="256"/>
      <c r="BE97" s="256"/>
      <c r="BF97" s="256"/>
      <c r="BG97" s="256"/>
      <c r="BH97" s="256"/>
      <c r="BI97" s="256"/>
      <c r="BJ97" s="256"/>
      <c r="BK97" s="256"/>
      <c r="BL97" s="254"/>
      <c r="CP97" s="256"/>
    </row>
    <row r="98" spans="7:94" x14ac:dyDescent="0.25">
      <c r="G98" s="254"/>
      <c r="H98" s="254"/>
      <c r="L98" s="254"/>
      <c r="Q98" s="254"/>
      <c r="X98" s="260"/>
      <c r="Y98" s="260"/>
      <c r="BL98" s="254"/>
      <c r="CP98" s="262"/>
    </row>
    <row r="99" spans="7:94" x14ac:dyDescent="0.25">
      <c r="G99" s="254"/>
      <c r="H99" s="254"/>
      <c r="L99" s="254"/>
      <c r="Q99" s="254"/>
      <c r="BL99" s="254"/>
    </row>
    <row r="100" spans="7:94" x14ac:dyDescent="0.25">
      <c r="G100" s="254"/>
      <c r="H100" s="254"/>
      <c r="L100" s="254"/>
      <c r="Q100" s="254"/>
      <c r="R100" s="256"/>
      <c r="S100" s="256"/>
      <c r="T100" s="256"/>
      <c r="U100" s="256"/>
      <c r="V100" s="256"/>
      <c r="W100" s="256"/>
      <c r="X100" s="259"/>
      <c r="Y100" s="259"/>
      <c r="Z100" s="256"/>
      <c r="AA100" s="256"/>
      <c r="AB100" s="256"/>
      <c r="AC100" s="256"/>
      <c r="AD100" s="256"/>
      <c r="AE100" s="256"/>
      <c r="AF100" s="256"/>
      <c r="AG100" s="256"/>
      <c r="AH100" s="256"/>
      <c r="AI100" s="256"/>
      <c r="AJ100" s="256"/>
      <c r="AK100" s="256"/>
      <c r="AL100" s="256"/>
      <c r="AM100" s="256"/>
      <c r="AN100" s="256"/>
      <c r="AO100" s="256"/>
      <c r="AP100" s="256"/>
      <c r="AQ100" s="256"/>
      <c r="AR100" s="256"/>
      <c r="AS100" s="256"/>
      <c r="AT100" s="256"/>
      <c r="AU100" s="256"/>
      <c r="AV100" s="256"/>
      <c r="AW100" s="256"/>
      <c r="AX100" s="256"/>
      <c r="AY100" s="256"/>
      <c r="AZ100" s="256"/>
      <c r="BA100" s="256"/>
      <c r="BB100" s="256"/>
      <c r="BC100" s="256"/>
      <c r="BD100" s="256"/>
      <c r="BE100" s="256"/>
      <c r="BF100" s="256"/>
      <c r="BG100" s="256"/>
      <c r="BH100" s="256"/>
      <c r="BI100" s="256"/>
      <c r="BJ100" s="256"/>
      <c r="BK100" s="256"/>
      <c r="BL100" s="254"/>
      <c r="CP100" s="260"/>
    </row>
    <row r="101" spans="7:94" x14ac:dyDescent="0.25">
      <c r="G101" s="254"/>
      <c r="H101" s="254"/>
      <c r="L101" s="254"/>
      <c r="Q101" s="254"/>
      <c r="R101" s="261"/>
      <c r="S101" s="261"/>
      <c r="T101" s="261"/>
      <c r="U101" s="261"/>
      <c r="V101" s="261"/>
      <c r="W101" s="261"/>
      <c r="X101" s="257"/>
      <c r="Y101" s="257"/>
      <c r="Z101" s="261"/>
      <c r="AA101" s="261"/>
      <c r="AB101" s="261"/>
      <c r="AC101" s="261"/>
      <c r="AD101" s="261"/>
      <c r="AE101" s="261"/>
      <c r="AF101" s="261"/>
      <c r="AG101" s="261"/>
      <c r="AH101" s="261"/>
      <c r="AI101" s="261"/>
      <c r="AJ101" s="261"/>
      <c r="AK101" s="261"/>
      <c r="AL101" s="261"/>
      <c r="AM101" s="261"/>
      <c r="AN101" s="261"/>
      <c r="AO101" s="261"/>
      <c r="AP101" s="261"/>
      <c r="AQ101" s="261"/>
      <c r="AR101" s="261"/>
      <c r="AS101" s="261"/>
      <c r="AT101" s="261"/>
      <c r="AU101" s="261"/>
      <c r="AV101" s="261"/>
      <c r="AW101" s="261"/>
      <c r="AX101" s="261"/>
      <c r="AY101" s="261"/>
      <c r="AZ101" s="261"/>
      <c r="BA101" s="261"/>
      <c r="BB101" s="261"/>
      <c r="BC101" s="261"/>
      <c r="BD101" s="261"/>
      <c r="BE101" s="261"/>
      <c r="BF101" s="261"/>
      <c r="BG101" s="261"/>
      <c r="BH101" s="261"/>
      <c r="BI101" s="261"/>
      <c r="BJ101" s="261"/>
      <c r="BK101" s="261"/>
      <c r="BL101" s="254"/>
    </row>
    <row r="102" spans="7:94" x14ac:dyDescent="0.25">
      <c r="G102" s="254"/>
      <c r="H102" s="254"/>
      <c r="L102" s="254"/>
      <c r="Q102" s="254"/>
      <c r="R102" s="260"/>
      <c r="S102" s="260"/>
      <c r="T102" s="260"/>
      <c r="U102" s="260"/>
      <c r="V102" s="260"/>
      <c r="W102" s="260"/>
      <c r="Z102" s="260"/>
      <c r="AA102" s="260"/>
      <c r="AB102" s="260"/>
      <c r="AC102" s="260"/>
      <c r="AD102" s="260"/>
      <c r="AE102" s="260"/>
      <c r="AF102" s="260"/>
      <c r="AG102" s="260"/>
      <c r="AH102" s="260"/>
      <c r="AI102" s="260"/>
      <c r="AJ102" s="260"/>
      <c r="AK102" s="260"/>
      <c r="AL102" s="260"/>
      <c r="AM102" s="260"/>
      <c r="AN102" s="260"/>
      <c r="AO102" s="260"/>
      <c r="AP102" s="260"/>
      <c r="AQ102" s="260"/>
      <c r="AR102" s="260"/>
      <c r="AS102" s="260"/>
      <c r="AT102" s="260"/>
      <c r="AU102" s="260"/>
      <c r="AV102" s="260"/>
      <c r="AW102" s="260"/>
      <c r="AX102" s="260"/>
      <c r="AY102" s="260"/>
      <c r="AZ102" s="260"/>
      <c r="BA102" s="260"/>
      <c r="BB102" s="260"/>
      <c r="BC102" s="260"/>
      <c r="BD102" s="260"/>
      <c r="BE102" s="260"/>
      <c r="BF102" s="260"/>
      <c r="BG102" s="260"/>
      <c r="BH102" s="260"/>
      <c r="BI102" s="260"/>
      <c r="BJ102" s="260"/>
      <c r="BK102" s="260"/>
      <c r="BL102" s="254"/>
      <c r="CP102" s="256"/>
    </row>
    <row r="103" spans="7:94" x14ac:dyDescent="0.25">
      <c r="G103" s="254"/>
      <c r="H103" s="254"/>
      <c r="L103" s="254"/>
      <c r="Q103" s="254"/>
      <c r="BL103" s="254"/>
      <c r="CP103" s="256"/>
    </row>
    <row r="104" spans="7:94" x14ac:dyDescent="0.25">
      <c r="G104" s="254"/>
      <c r="H104" s="254"/>
      <c r="L104" s="254"/>
      <c r="Q104" s="254"/>
      <c r="R104" s="259"/>
      <c r="S104" s="259"/>
      <c r="T104" s="259"/>
      <c r="U104" s="259"/>
      <c r="V104" s="259"/>
      <c r="W104" s="259"/>
      <c r="Z104" s="259"/>
      <c r="AA104" s="259"/>
      <c r="AB104" s="259"/>
      <c r="AC104" s="259"/>
      <c r="AD104" s="259"/>
      <c r="AE104" s="259"/>
      <c r="AF104" s="259"/>
      <c r="AG104" s="259"/>
      <c r="AH104" s="259"/>
      <c r="AI104" s="259"/>
      <c r="AJ104" s="259"/>
      <c r="AK104" s="259"/>
      <c r="AL104" s="259"/>
      <c r="AM104" s="259"/>
      <c r="AN104" s="259"/>
      <c r="AO104" s="259"/>
      <c r="AP104" s="259"/>
      <c r="AQ104" s="259"/>
      <c r="AR104" s="259"/>
      <c r="AS104" s="259"/>
      <c r="AT104" s="259"/>
      <c r="AU104" s="259"/>
      <c r="AV104" s="259"/>
      <c r="AW104" s="259"/>
      <c r="AX104" s="259"/>
      <c r="AY104" s="259"/>
      <c r="AZ104" s="259"/>
      <c r="BA104" s="259"/>
      <c r="BB104" s="259"/>
      <c r="BC104" s="259"/>
      <c r="BD104" s="259"/>
      <c r="BE104" s="259"/>
      <c r="BF104" s="259"/>
      <c r="BG104" s="259"/>
      <c r="BH104" s="259"/>
      <c r="BI104" s="259"/>
      <c r="BJ104" s="259"/>
      <c r="BK104" s="259"/>
      <c r="BL104" s="254"/>
      <c r="CP104" s="256"/>
    </row>
    <row r="105" spans="7:94" x14ac:dyDescent="0.25">
      <c r="G105" s="254"/>
      <c r="H105" s="254"/>
      <c r="L105" s="254"/>
      <c r="Q105" s="254"/>
      <c r="R105" s="257"/>
      <c r="S105" s="257"/>
      <c r="T105" s="257"/>
      <c r="U105" s="257"/>
      <c r="V105" s="257"/>
      <c r="W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4"/>
      <c r="CP105" s="255"/>
    </row>
    <row r="106" spans="7:94" x14ac:dyDescent="0.25">
      <c r="G106" s="254"/>
      <c r="H106" s="254"/>
      <c r="L106" s="254"/>
      <c r="Q106" s="254"/>
      <c r="X106" s="256"/>
      <c r="Y106" s="256"/>
      <c r="BL106" s="254"/>
      <c r="CP106" s="255"/>
    </row>
    <row r="107" spans="7:94" x14ac:dyDescent="0.25">
      <c r="G107" s="254"/>
      <c r="H107" s="254"/>
      <c r="L107" s="254"/>
      <c r="Q107" s="254"/>
      <c r="X107" s="256"/>
      <c r="Y107" s="256"/>
      <c r="BL107" s="254"/>
      <c r="CP107" s="255"/>
    </row>
    <row r="108" spans="7:94" x14ac:dyDescent="0.25">
      <c r="G108" s="254"/>
      <c r="H108" s="254"/>
      <c r="L108" s="254"/>
      <c r="Q108" s="254"/>
      <c r="BL108" s="254"/>
      <c r="CP108" s="255"/>
    </row>
    <row r="109" spans="7:94" x14ac:dyDescent="0.25">
      <c r="G109" s="254"/>
      <c r="H109" s="254"/>
      <c r="L109" s="254"/>
      <c r="Q109" s="254"/>
      <c r="BL109" s="254"/>
      <c r="CP109" s="255"/>
    </row>
    <row r="110" spans="7:94" x14ac:dyDescent="0.25">
      <c r="G110" s="254"/>
      <c r="H110" s="254"/>
      <c r="L110" s="254"/>
      <c r="Q110" s="254"/>
      <c r="R110" s="256"/>
      <c r="S110" s="256"/>
      <c r="T110" s="256"/>
      <c r="U110" s="256"/>
      <c r="V110" s="256"/>
      <c r="W110" s="256"/>
      <c r="Z110" s="256"/>
      <c r="AA110" s="256"/>
      <c r="AB110" s="256"/>
      <c r="AC110" s="256"/>
      <c r="AD110" s="256"/>
      <c r="AE110" s="256"/>
      <c r="AF110" s="256"/>
      <c r="AG110" s="256"/>
      <c r="AH110" s="256"/>
      <c r="AI110" s="256"/>
      <c r="AJ110" s="256"/>
      <c r="AK110" s="256"/>
      <c r="AL110" s="256"/>
      <c r="AM110" s="256"/>
      <c r="AN110" s="256"/>
      <c r="AO110" s="256"/>
      <c r="AP110" s="256"/>
      <c r="AQ110" s="256"/>
      <c r="AR110" s="256"/>
      <c r="AS110" s="256"/>
      <c r="AT110" s="256"/>
      <c r="AU110" s="256"/>
      <c r="AV110" s="256"/>
      <c r="AW110" s="256"/>
      <c r="AX110" s="256"/>
      <c r="AY110" s="256"/>
      <c r="AZ110" s="256"/>
      <c r="BA110" s="256"/>
      <c r="BB110" s="256"/>
      <c r="BC110" s="256"/>
      <c r="BD110" s="256"/>
      <c r="BE110" s="256"/>
      <c r="BF110" s="256"/>
      <c r="BG110" s="256"/>
      <c r="BH110" s="256"/>
      <c r="BI110" s="256"/>
      <c r="BJ110" s="256"/>
      <c r="BK110" s="256"/>
      <c r="BL110" s="254"/>
      <c r="CP110" s="255"/>
    </row>
    <row r="111" spans="7:94" x14ac:dyDescent="0.25">
      <c r="G111" s="254"/>
      <c r="H111" s="254"/>
      <c r="L111" s="254"/>
      <c r="Q111" s="254"/>
      <c r="R111" s="256"/>
      <c r="S111" s="256"/>
      <c r="T111" s="256"/>
      <c r="U111" s="256"/>
      <c r="V111" s="256"/>
      <c r="W111" s="256"/>
      <c r="Z111" s="256"/>
      <c r="AA111" s="256"/>
      <c r="AB111" s="256"/>
      <c r="AC111" s="256"/>
      <c r="AD111" s="256"/>
      <c r="AE111" s="256"/>
      <c r="AF111" s="256"/>
      <c r="AG111" s="256"/>
      <c r="AH111" s="256"/>
      <c r="AI111" s="256"/>
      <c r="AJ111" s="256"/>
      <c r="AK111" s="256"/>
      <c r="AL111" s="256"/>
      <c r="AM111" s="256"/>
      <c r="AN111" s="256"/>
      <c r="AO111" s="256"/>
      <c r="AP111" s="256"/>
      <c r="AQ111" s="256"/>
      <c r="AR111" s="256"/>
      <c r="AS111" s="256"/>
      <c r="AT111" s="256"/>
      <c r="AU111" s="256"/>
      <c r="AV111" s="256"/>
      <c r="AW111" s="256"/>
      <c r="AX111" s="256"/>
      <c r="AY111" s="256"/>
      <c r="AZ111" s="256"/>
      <c r="BA111" s="256"/>
      <c r="BB111" s="256"/>
      <c r="BC111" s="256"/>
      <c r="BD111" s="256"/>
      <c r="BE111" s="256"/>
      <c r="BF111" s="256"/>
      <c r="BG111" s="256"/>
      <c r="BH111" s="256"/>
      <c r="BI111" s="256"/>
      <c r="BJ111" s="256"/>
      <c r="BK111" s="256"/>
      <c r="BL111" s="254"/>
      <c r="CP111" s="255"/>
    </row>
    <row r="112" spans="7:94" x14ac:dyDescent="0.25">
      <c r="G112" s="254"/>
      <c r="H112" s="254"/>
      <c r="L112" s="254"/>
      <c r="Q112" s="254"/>
      <c r="BL112" s="254"/>
      <c r="CP112" s="255"/>
    </row>
    <row r="113" spans="7:94" x14ac:dyDescent="0.25">
      <c r="G113" s="254"/>
      <c r="H113" s="254"/>
      <c r="L113" s="254"/>
      <c r="Q113" s="254"/>
      <c r="BL113" s="254"/>
      <c r="CP113" s="255"/>
    </row>
    <row r="114" spans="7:94" x14ac:dyDescent="0.25">
      <c r="G114" s="254"/>
      <c r="H114" s="254"/>
      <c r="L114" s="254"/>
      <c r="Q114" s="254"/>
      <c r="X114" s="256"/>
      <c r="Y114" s="256"/>
      <c r="BL114" s="254"/>
      <c r="CP114" s="255"/>
    </row>
    <row r="115" spans="7:94" x14ac:dyDescent="0.25">
      <c r="G115" s="254"/>
      <c r="H115" s="254"/>
      <c r="L115" s="254"/>
      <c r="Q115" s="254"/>
      <c r="BL115" s="254"/>
      <c r="CP115" s="255"/>
    </row>
    <row r="116" spans="7:94" x14ac:dyDescent="0.25">
      <c r="G116" s="254"/>
      <c r="H116" s="254"/>
      <c r="L116" s="254"/>
      <c r="Q116" s="254"/>
      <c r="BL116" s="254"/>
      <c r="CP116" s="255"/>
    </row>
    <row r="117" spans="7:94" x14ac:dyDescent="0.25">
      <c r="G117" s="254"/>
      <c r="H117" s="254"/>
      <c r="L117" s="254"/>
      <c r="Q117" s="254"/>
      <c r="X117" s="256"/>
      <c r="Y117" s="256"/>
      <c r="BL117" s="254"/>
      <c r="CP117" s="255"/>
    </row>
    <row r="118" spans="7:94" x14ac:dyDescent="0.25">
      <c r="G118" s="254"/>
      <c r="H118" s="254"/>
      <c r="L118" s="254"/>
      <c r="Q118" s="254"/>
      <c r="R118" s="256"/>
      <c r="S118" s="256"/>
      <c r="T118" s="256"/>
      <c r="U118" s="256"/>
      <c r="V118" s="256"/>
      <c r="W118" s="256"/>
      <c r="X118" s="261"/>
      <c r="Y118" s="261"/>
      <c r="Z118" s="256"/>
      <c r="AA118" s="256"/>
      <c r="AB118" s="256"/>
      <c r="AC118" s="256"/>
      <c r="AD118" s="256"/>
      <c r="AE118" s="256"/>
      <c r="AF118" s="256"/>
      <c r="AG118" s="256"/>
      <c r="AH118" s="256"/>
      <c r="AI118" s="256"/>
      <c r="AJ118" s="256"/>
      <c r="AK118" s="256"/>
      <c r="AL118" s="256"/>
      <c r="AM118" s="256"/>
      <c r="AN118" s="256"/>
      <c r="AO118" s="256"/>
      <c r="AP118" s="256"/>
      <c r="AQ118" s="256"/>
      <c r="AR118" s="256"/>
      <c r="AS118" s="256"/>
      <c r="AT118" s="256"/>
      <c r="AU118" s="256"/>
      <c r="AV118" s="256"/>
      <c r="AW118" s="256"/>
      <c r="AX118" s="256"/>
      <c r="AY118" s="256"/>
      <c r="AZ118" s="256"/>
      <c r="BA118" s="256"/>
      <c r="BB118" s="256"/>
      <c r="BC118" s="256"/>
      <c r="BD118" s="256"/>
      <c r="BE118" s="256"/>
      <c r="BF118" s="256"/>
      <c r="BG118" s="256"/>
      <c r="BH118" s="256"/>
      <c r="BI118" s="256"/>
      <c r="BJ118" s="256"/>
      <c r="BK118" s="256"/>
      <c r="BL118" s="254"/>
      <c r="CP118" s="255"/>
    </row>
    <row r="119" spans="7:94" x14ac:dyDescent="0.25">
      <c r="G119" s="254"/>
      <c r="H119" s="254"/>
      <c r="L119" s="254"/>
      <c r="Q119" s="254"/>
      <c r="X119" s="260"/>
      <c r="Y119" s="260"/>
      <c r="BL119" s="254"/>
      <c r="CP119" s="255"/>
    </row>
    <row r="120" spans="7:94" x14ac:dyDescent="0.25">
      <c r="G120" s="254"/>
      <c r="H120" s="254"/>
      <c r="L120" s="254"/>
      <c r="Q120" s="254"/>
      <c r="X120" s="254"/>
      <c r="Y120" s="254"/>
      <c r="BL120" s="254"/>
      <c r="CP120" s="255"/>
    </row>
    <row r="121" spans="7:94" x14ac:dyDescent="0.25">
      <c r="G121" s="254"/>
      <c r="H121" s="254"/>
      <c r="L121" s="254"/>
      <c r="Q121" s="254"/>
      <c r="R121" s="256"/>
      <c r="S121" s="256"/>
      <c r="T121" s="256"/>
      <c r="U121" s="256"/>
      <c r="V121" s="256"/>
      <c r="W121" s="256"/>
      <c r="X121" s="259"/>
      <c r="Y121" s="259"/>
      <c r="Z121" s="256"/>
      <c r="AA121" s="256"/>
      <c r="AB121" s="256"/>
      <c r="AC121" s="256"/>
      <c r="AD121" s="256"/>
      <c r="AE121" s="256"/>
      <c r="AF121" s="256"/>
      <c r="AG121" s="256"/>
      <c r="AH121" s="256"/>
      <c r="AI121" s="256"/>
      <c r="AJ121" s="256"/>
      <c r="AK121" s="256"/>
      <c r="AL121" s="256"/>
      <c r="AM121" s="256"/>
      <c r="AN121" s="256"/>
      <c r="AO121" s="256"/>
      <c r="AP121" s="256"/>
      <c r="AQ121" s="256"/>
      <c r="AR121" s="256"/>
      <c r="AS121" s="256"/>
      <c r="AT121" s="256"/>
      <c r="AU121" s="256"/>
      <c r="AV121" s="256"/>
      <c r="AW121" s="256"/>
      <c r="AX121" s="256"/>
      <c r="AY121" s="256"/>
      <c r="AZ121" s="256"/>
      <c r="BA121" s="256"/>
      <c r="BB121" s="256"/>
      <c r="BC121" s="256"/>
      <c r="BD121" s="256"/>
      <c r="BE121" s="256"/>
      <c r="BF121" s="256"/>
      <c r="BG121" s="256"/>
      <c r="BH121" s="256"/>
      <c r="BI121" s="256"/>
      <c r="BJ121" s="256"/>
      <c r="BK121" s="256"/>
      <c r="BL121" s="254"/>
      <c r="CP121" s="255"/>
    </row>
    <row r="122" spans="7:94" x14ac:dyDescent="0.25">
      <c r="G122" s="254"/>
      <c r="H122" s="254"/>
      <c r="L122" s="254"/>
      <c r="Q122" s="254"/>
      <c r="R122" s="261"/>
      <c r="S122" s="261"/>
      <c r="T122" s="261"/>
      <c r="U122" s="261"/>
      <c r="V122" s="261"/>
      <c r="W122" s="261"/>
      <c r="X122" s="257"/>
      <c r="Y122" s="257"/>
      <c r="Z122" s="261"/>
      <c r="AA122" s="261"/>
      <c r="AB122" s="261"/>
      <c r="AC122" s="261"/>
      <c r="AD122" s="261"/>
      <c r="AE122" s="261"/>
      <c r="AF122" s="261"/>
      <c r="AG122" s="261"/>
      <c r="AH122" s="261"/>
      <c r="AI122" s="261"/>
      <c r="AJ122" s="261"/>
      <c r="AK122" s="261"/>
      <c r="AL122" s="261"/>
      <c r="AM122" s="261"/>
      <c r="AN122" s="261"/>
      <c r="AO122" s="261"/>
      <c r="AP122" s="261"/>
      <c r="AQ122" s="261"/>
      <c r="AR122" s="261"/>
      <c r="AS122" s="261"/>
      <c r="AT122" s="261"/>
      <c r="AU122" s="261"/>
      <c r="AV122" s="261"/>
      <c r="AW122" s="261"/>
      <c r="AX122" s="261"/>
      <c r="AY122" s="261"/>
      <c r="AZ122" s="261"/>
      <c r="BA122" s="261"/>
      <c r="BB122" s="261"/>
      <c r="BC122" s="261"/>
      <c r="BD122" s="261"/>
      <c r="BE122" s="261"/>
      <c r="BF122" s="261"/>
      <c r="BG122" s="261"/>
      <c r="BH122" s="261"/>
      <c r="BI122" s="261"/>
      <c r="BJ122" s="261"/>
      <c r="BK122" s="261"/>
      <c r="BL122" s="254"/>
      <c r="CP122" s="255"/>
    </row>
    <row r="123" spans="7:94" x14ac:dyDescent="0.25">
      <c r="G123" s="254"/>
      <c r="H123" s="254"/>
      <c r="L123" s="254"/>
      <c r="Q123" s="254"/>
      <c r="R123" s="260"/>
      <c r="S123" s="260"/>
      <c r="T123" s="260"/>
      <c r="U123" s="260"/>
      <c r="V123" s="260"/>
      <c r="W123" s="260"/>
      <c r="Z123" s="260"/>
      <c r="AA123" s="260"/>
      <c r="AB123" s="260"/>
      <c r="AC123" s="260"/>
      <c r="AD123" s="260"/>
      <c r="AE123" s="260"/>
      <c r="AF123" s="260"/>
      <c r="AG123" s="260"/>
      <c r="AH123" s="260"/>
      <c r="AI123" s="260"/>
      <c r="AJ123" s="260"/>
      <c r="AK123" s="260"/>
      <c r="AL123" s="260"/>
      <c r="AM123" s="260"/>
      <c r="AN123" s="260"/>
      <c r="AO123" s="260"/>
      <c r="AP123" s="260"/>
      <c r="AQ123" s="260"/>
      <c r="AR123" s="260"/>
      <c r="AS123" s="260"/>
      <c r="AT123" s="260"/>
      <c r="AU123" s="260"/>
      <c r="AV123" s="260"/>
      <c r="AW123" s="260"/>
      <c r="AX123" s="260"/>
      <c r="AY123" s="260"/>
      <c r="AZ123" s="260"/>
      <c r="BA123" s="260"/>
      <c r="BB123" s="260"/>
      <c r="BC123" s="260"/>
      <c r="BD123" s="260"/>
      <c r="BE123" s="260"/>
      <c r="BF123" s="260"/>
      <c r="BG123" s="260"/>
      <c r="BH123" s="260"/>
      <c r="BI123" s="260"/>
      <c r="BJ123" s="260"/>
      <c r="BK123" s="260"/>
      <c r="BL123" s="254"/>
      <c r="CP123" s="255"/>
    </row>
    <row r="124" spans="7:94" x14ac:dyDescent="0.25">
      <c r="G124" s="254"/>
      <c r="H124" s="254"/>
      <c r="L124" s="254"/>
      <c r="Q124" s="254"/>
      <c r="R124" s="254"/>
      <c r="S124" s="254"/>
      <c r="T124" s="254"/>
      <c r="U124" s="254"/>
      <c r="V124" s="254"/>
      <c r="W124" s="254"/>
      <c r="Z124" s="254"/>
      <c r="AA124" s="254"/>
      <c r="AB124" s="254"/>
      <c r="AC124" s="254"/>
      <c r="AD124" s="254"/>
      <c r="AE124" s="254"/>
      <c r="AF124" s="254"/>
      <c r="AG124" s="254"/>
      <c r="AH124" s="254"/>
      <c r="AI124" s="254"/>
      <c r="AJ124" s="254"/>
      <c r="AK124" s="254"/>
      <c r="AL124" s="254"/>
      <c r="AM124" s="254"/>
      <c r="AN124" s="254"/>
      <c r="AO124" s="254"/>
      <c r="AP124" s="254"/>
      <c r="AQ124" s="254"/>
      <c r="AR124" s="254"/>
      <c r="AS124" s="254"/>
      <c r="AT124" s="254"/>
      <c r="AU124" s="254"/>
      <c r="AV124" s="254"/>
      <c r="AW124" s="254"/>
      <c r="AX124" s="254"/>
      <c r="AY124" s="254"/>
      <c r="AZ124" s="254"/>
      <c r="BA124" s="254"/>
      <c r="BB124" s="254"/>
      <c r="BC124" s="254"/>
      <c r="BD124" s="254"/>
      <c r="BE124" s="254"/>
      <c r="BF124" s="254"/>
      <c r="BG124" s="254"/>
      <c r="BH124" s="254"/>
      <c r="BI124" s="254"/>
      <c r="BJ124" s="254"/>
      <c r="BK124" s="254"/>
      <c r="BL124" s="254"/>
      <c r="CP124" s="255"/>
    </row>
    <row r="125" spans="7:94" x14ac:dyDescent="0.25">
      <c r="G125" s="254"/>
      <c r="H125" s="254"/>
      <c r="L125" s="254"/>
      <c r="Q125" s="254"/>
      <c r="R125" s="259"/>
      <c r="S125" s="259"/>
      <c r="T125" s="259"/>
      <c r="U125" s="259"/>
      <c r="V125" s="259"/>
      <c r="W125" s="259"/>
      <c r="Z125" s="259"/>
      <c r="AA125" s="259"/>
      <c r="AB125" s="259"/>
      <c r="AC125" s="259"/>
      <c r="AD125" s="259"/>
      <c r="AE125" s="259"/>
      <c r="AF125" s="259"/>
      <c r="AG125" s="259"/>
      <c r="AH125" s="259"/>
      <c r="AI125" s="259"/>
      <c r="AJ125" s="259"/>
      <c r="AK125" s="259"/>
      <c r="AL125" s="259"/>
      <c r="AM125" s="259"/>
      <c r="AN125" s="259"/>
      <c r="AO125" s="259"/>
      <c r="AP125" s="259"/>
      <c r="AQ125" s="259"/>
      <c r="AR125" s="259"/>
      <c r="AS125" s="259"/>
      <c r="AT125" s="259"/>
      <c r="AU125" s="259"/>
      <c r="AV125" s="259"/>
      <c r="AW125" s="259"/>
      <c r="AX125" s="259"/>
      <c r="AY125" s="259"/>
      <c r="AZ125" s="259"/>
      <c r="BA125" s="259"/>
      <c r="BB125" s="259"/>
      <c r="BC125" s="259"/>
      <c r="BD125" s="259"/>
      <c r="BE125" s="259"/>
      <c r="BF125" s="259"/>
      <c r="BG125" s="259"/>
      <c r="BH125" s="259"/>
      <c r="BI125" s="259"/>
      <c r="BJ125" s="259"/>
      <c r="BK125" s="259"/>
      <c r="BL125" s="254"/>
      <c r="CP125" s="255"/>
    </row>
    <row r="126" spans="7:94" x14ac:dyDescent="0.25">
      <c r="G126" s="254"/>
      <c r="H126" s="254"/>
      <c r="L126" s="254"/>
      <c r="Q126" s="254"/>
      <c r="R126" s="257"/>
      <c r="S126" s="257"/>
      <c r="T126" s="257"/>
      <c r="U126" s="257"/>
      <c r="V126" s="257"/>
      <c r="W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4"/>
      <c r="CP126" s="255"/>
    </row>
    <row r="127" spans="7:94" x14ac:dyDescent="0.25">
      <c r="G127" s="254"/>
      <c r="H127" s="254"/>
      <c r="L127" s="254"/>
      <c r="Q127" s="254"/>
      <c r="X127" s="256"/>
      <c r="Y127" s="256"/>
      <c r="BL127" s="254"/>
      <c r="CP127" s="255"/>
    </row>
    <row r="128" spans="7:94" x14ac:dyDescent="0.25">
      <c r="G128" s="254"/>
      <c r="H128" s="254"/>
      <c r="L128" s="254"/>
      <c r="Q128" s="254"/>
      <c r="X128" s="256"/>
      <c r="Y128" s="256"/>
      <c r="BL128" s="254"/>
      <c r="CP128" s="255"/>
    </row>
    <row r="129" spans="7:94" x14ac:dyDescent="0.25">
      <c r="G129" s="254"/>
      <c r="H129" s="254"/>
      <c r="L129" s="254"/>
      <c r="Q129" s="254"/>
      <c r="BL129" s="254"/>
      <c r="CP129" s="255"/>
    </row>
    <row r="130" spans="7:94" x14ac:dyDescent="0.25">
      <c r="G130" s="254"/>
      <c r="H130" s="254"/>
      <c r="L130" s="254"/>
      <c r="Q130" s="254"/>
      <c r="BL130" s="254"/>
      <c r="CP130" s="255"/>
    </row>
    <row r="131" spans="7:94" x14ac:dyDescent="0.25">
      <c r="G131" s="254"/>
      <c r="H131" s="254"/>
      <c r="L131" s="254"/>
      <c r="Q131" s="254"/>
      <c r="R131" s="256"/>
      <c r="S131" s="256"/>
      <c r="T131" s="256"/>
      <c r="U131" s="256"/>
      <c r="V131" s="256"/>
      <c r="W131" s="256"/>
      <c r="Z131" s="256"/>
      <c r="AA131" s="256"/>
      <c r="AB131" s="256"/>
      <c r="AC131" s="256"/>
      <c r="AD131" s="256"/>
      <c r="AE131" s="256"/>
      <c r="AF131" s="256"/>
      <c r="AG131" s="256"/>
      <c r="AH131" s="256"/>
      <c r="AI131" s="256"/>
      <c r="AJ131" s="256"/>
      <c r="AK131" s="256"/>
      <c r="AL131" s="256"/>
      <c r="AM131" s="256"/>
      <c r="AN131" s="256"/>
      <c r="AO131" s="256"/>
      <c r="AP131" s="256"/>
      <c r="AQ131" s="256"/>
      <c r="AR131" s="256"/>
      <c r="AS131" s="256"/>
      <c r="AT131" s="256"/>
      <c r="AU131" s="256"/>
      <c r="AV131" s="256"/>
      <c r="AW131" s="256"/>
      <c r="AX131" s="256"/>
      <c r="AY131" s="256"/>
      <c r="AZ131" s="256"/>
      <c r="BA131" s="256"/>
      <c r="BB131" s="256"/>
      <c r="BC131" s="256"/>
      <c r="BD131" s="256"/>
      <c r="BE131" s="256"/>
      <c r="BF131" s="256"/>
      <c r="BG131" s="256"/>
      <c r="BH131" s="256"/>
      <c r="BI131" s="256"/>
      <c r="BJ131" s="256"/>
      <c r="BK131" s="256"/>
      <c r="BL131" s="254"/>
      <c r="CP131" s="255"/>
    </row>
    <row r="132" spans="7:94" x14ac:dyDescent="0.25">
      <c r="G132" s="254"/>
      <c r="H132" s="254"/>
      <c r="L132" s="254"/>
      <c r="Q132" s="254"/>
      <c r="R132" s="256"/>
      <c r="S132" s="256"/>
      <c r="T132" s="256"/>
      <c r="U132" s="256"/>
      <c r="V132" s="256"/>
      <c r="W132" s="256"/>
      <c r="Z132" s="256"/>
      <c r="AA132" s="256"/>
      <c r="AB132" s="256"/>
      <c r="AC132" s="256"/>
      <c r="AD132" s="256"/>
      <c r="AE132" s="256"/>
      <c r="AF132" s="256"/>
      <c r="AG132" s="256"/>
      <c r="AH132" s="256"/>
      <c r="AI132" s="256"/>
      <c r="AJ132" s="256"/>
      <c r="AK132" s="256"/>
      <c r="AL132" s="256"/>
      <c r="AM132" s="256"/>
      <c r="AN132" s="256"/>
      <c r="AO132" s="256"/>
      <c r="AP132" s="256"/>
      <c r="AQ132" s="256"/>
      <c r="AR132" s="256"/>
      <c r="AS132" s="256"/>
      <c r="AT132" s="256"/>
      <c r="AU132" s="256"/>
      <c r="AV132" s="256"/>
      <c r="AW132" s="256"/>
      <c r="AX132" s="256"/>
      <c r="AY132" s="256"/>
      <c r="AZ132" s="256"/>
      <c r="BA132" s="256"/>
      <c r="BB132" s="256"/>
      <c r="BC132" s="256"/>
      <c r="BD132" s="256"/>
      <c r="BE132" s="256"/>
      <c r="BF132" s="256"/>
      <c r="BG132" s="256"/>
      <c r="BH132" s="256"/>
      <c r="BI132" s="256"/>
      <c r="BJ132" s="256"/>
      <c r="BK132" s="256"/>
      <c r="BL132" s="254"/>
      <c r="CP132" s="255"/>
    </row>
    <row r="133" spans="7:94" x14ac:dyDescent="0.25">
      <c r="G133" s="254"/>
      <c r="H133" s="254"/>
      <c r="L133" s="254"/>
      <c r="Q133" s="254"/>
      <c r="BL133" s="254"/>
      <c r="CP133" s="255"/>
    </row>
    <row r="134" spans="7:94" x14ac:dyDescent="0.25">
      <c r="G134" s="254"/>
      <c r="H134" s="254"/>
      <c r="L134" s="254"/>
      <c r="Q134" s="254"/>
      <c r="BL134" s="254"/>
      <c r="CP134" s="255"/>
    </row>
    <row r="135" spans="7:94" x14ac:dyDescent="0.25">
      <c r="G135" s="254"/>
      <c r="H135" s="254"/>
      <c r="L135" s="254"/>
      <c r="Q135" s="254"/>
      <c r="X135" s="256"/>
      <c r="Y135" s="256"/>
      <c r="BL135" s="254"/>
      <c r="CP135" s="255"/>
    </row>
    <row r="136" spans="7:94" x14ac:dyDescent="0.25">
      <c r="G136" s="254"/>
      <c r="H136" s="254"/>
      <c r="L136" s="254"/>
      <c r="Q136" s="254"/>
      <c r="BL136" s="254"/>
      <c r="CP136" s="255"/>
    </row>
    <row r="137" spans="7:94" x14ac:dyDescent="0.25">
      <c r="G137" s="254"/>
      <c r="H137" s="254"/>
      <c r="L137" s="254"/>
      <c r="Q137" s="254"/>
      <c r="BL137" s="254"/>
      <c r="CP137" s="255"/>
    </row>
    <row r="138" spans="7:94" x14ac:dyDescent="0.25">
      <c r="G138" s="254"/>
      <c r="H138" s="254"/>
      <c r="L138" s="254"/>
      <c r="Q138" s="254"/>
      <c r="X138" s="256"/>
      <c r="Y138" s="256"/>
      <c r="BL138" s="254"/>
      <c r="CP138" s="255"/>
    </row>
    <row r="139" spans="7:94" x14ac:dyDescent="0.25">
      <c r="G139" s="254"/>
      <c r="H139" s="254"/>
      <c r="L139" s="254"/>
      <c r="Q139" s="254"/>
      <c r="R139" s="256"/>
      <c r="S139" s="256"/>
      <c r="T139" s="256"/>
      <c r="U139" s="256"/>
      <c r="V139" s="256"/>
      <c r="W139" s="256"/>
      <c r="X139" s="261"/>
      <c r="Y139" s="261"/>
      <c r="Z139" s="256"/>
      <c r="AA139" s="256"/>
      <c r="AB139" s="256"/>
      <c r="AC139" s="256"/>
      <c r="AD139" s="256"/>
      <c r="AE139" s="256"/>
      <c r="AF139" s="256"/>
      <c r="AG139" s="256"/>
      <c r="AH139" s="256"/>
      <c r="AI139" s="256"/>
      <c r="AJ139" s="256"/>
      <c r="AK139" s="256"/>
      <c r="AL139" s="256"/>
      <c r="AM139" s="256"/>
      <c r="AN139" s="256"/>
      <c r="AO139" s="256"/>
      <c r="AP139" s="256"/>
      <c r="AQ139" s="256"/>
      <c r="AR139" s="256"/>
      <c r="AS139" s="256"/>
      <c r="AT139" s="256"/>
      <c r="AU139" s="256"/>
      <c r="AV139" s="256"/>
      <c r="AW139" s="256"/>
      <c r="AX139" s="256"/>
      <c r="AY139" s="256"/>
      <c r="AZ139" s="256"/>
      <c r="BA139" s="256"/>
      <c r="BB139" s="256"/>
      <c r="BC139" s="256"/>
      <c r="BD139" s="256"/>
      <c r="BE139" s="256"/>
      <c r="BF139" s="256"/>
      <c r="BG139" s="256"/>
      <c r="BH139" s="256"/>
      <c r="BI139" s="256"/>
      <c r="BJ139" s="256"/>
      <c r="BK139" s="256"/>
      <c r="BL139" s="254"/>
      <c r="CP139" s="255"/>
    </row>
    <row r="140" spans="7:94" x14ac:dyDescent="0.25">
      <c r="G140" s="254"/>
      <c r="H140" s="254"/>
      <c r="L140" s="254"/>
      <c r="Q140" s="254"/>
      <c r="X140" s="260"/>
      <c r="Y140" s="260"/>
      <c r="BL140" s="254"/>
      <c r="CP140" s="255"/>
    </row>
    <row r="141" spans="7:94" x14ac:dyDescent="0.25">
      <c r="G141" s="254"/>
      <c r="H141" s="254"/>
      <c r="L141" s="254"/>
      <c r="Q141" s="254"/>
      <c r="BL141" s="254"/>
      <c r="CP141" s="255"/>
    </row>
    <row r="142" spans="7:94" x14ac:dyDescent="0.25">
      <c r="G142" s="254"/>
      <c r="H142" s="254"/>
      <c r="L142" s="254"/>
      <c r="Q142" s="254"/>
      <c r="R142" s="256"/>
      <c r="S142" s="256"/>
      <c r="T142" s="256"/>
      <c r="U142" s="256"/>
      <c r="V142" s="256"/>
      <c r="W142" s="256"/>
      <c r="Z142" s="256"/>
      <c r="AA142" s="256"/>
      <c r="AB142" s="256"/>
      <c r="AC142" s="256"/>
      <c r="AD142" s="256"/>
      <c r="AE142" s="256"/>
      <c r="AF142" s="256"/>
      <c r="AG142" s="256"/>
      <c r="AH142" s="256"/>
      <c r="AI142" s="256"/>
      <c r="AJ142" s="256"/>
      <c r="AK142" s="256"/>
      <c r="AL142" s="256"/>
      <c r="AM142" s="256"/>
      <c r="AN142" s="256"/>
      <c r="AO142" s="256"/>
      <c r="AP142" s="256"/>
      <c r="AQ142" s="256"/>
      <c r="AR142" s="256"/>
      <c r="AS142" s="256"/>
      <c r="AT142" s="256"/>
      <c r="AU142" s="256"/>
      <c r="AV142" s="256"/>
      <c r="AW142" s="256"/>
      <c r="AX142" s="256"/>
      <c r="AY142" s="256"/>
      <c r="AZ142" s="256"/>
      <c r="BA142" s="256"/>
      <c r="BB142" s="256"/>
      <c r="BC142" s="256"/>
      <c r="BD142" s="256"/>
      <c r="BE142" s="256"/>
      <c r="BF142" s="256"/>
      <c r="BG142" s="256"/>
      <c r="BH142" s="256"/>
      <c r="BI142" s="256"/>
      <c r="BJ142" s="256"/>
      <c r="BK142" s="256"/>
      <c r="BL142" s="254"/>
      <c r="CP142" s="255"/>
    </row>
    <row r="143" spans="7:94" x14ac:dyDescent="0.25">
      <c r="G143" s="254"/>
      <c r="H143" s="254"/>
      <c r="L143" s="254"/>
      <c r="Q143" s="254"/>
      <c r="R143" s="261"/>
      <c r="S143" s="261"/>
      <c r="T143" s="261"/>
      <c r="U143" s="261"/>
      <c r="V143" s="261"/>
      <c r="W143" s="261"/>
      <c r="Z143" s="261"/>
      <c r="AA143" s="261"/>
      <c r="AB143" s="261"/>
      <c r="AC143" s="261"/>
      <c r="AD143" s="261"/>
      <c r="AE143" s="261"/>
      <c r="AF143" s="261"/>
      <c r="AG143" s="261"/>
      <c r="AH143" s="261"/>
      <c r="AI143" s="261"/>
      <c r="AJ143" s="261"/>
      <c r="AK143" s="261"/>
      <c r="AL143" s="261"/>
      <c r="AM143" s="261"/>
      <c r="AN143" s="261"/>
      <c r="AO143" s="261"/>
      <c r="AP143" s="261"/>
      <c r="AQ143" s="261"/>
      <c r="AR143" s="261"/>
      <c r="AS143" s="261"/>
      <c r="AT143" s="261"/>
      <c r="AU143" s="261"/>
      <c r="AV143" s="261"/>
      <c r="AW143" s="261"/>
      <c r="AX143" s="261"/>
      <c r="AY143" s="261"/>
      <c r="AZ143" s="261"/>
      <c r="BA143" s="261"/>
      <c r="BB143" s="261"/>
      <c r="BC143" s="261"/>
      <c r="BD143" s="261"/>
      <c r="BE143" s="261"/>
      <c r="BF143" s="261"/>
      <c r="BG143" s="261"/>
      <c r="BH143" s="261"/>
      <c r="BI143" s="261"/>
      <c r="BJ143" s="261"/>
      <c r="BK143" s="261"/>
      <c r="BL143" s="254"/>
      <c r="CP143" s="255"/>
    </row>
    <row r="144" spans="7:94" x14ac:dyDescent="0.25">
      <c r="G144" s="254"/>
      <c r="H144" s="254"/>
      <c r="L144" s="254"/>
      <c r="Q144" s="254"/>
      <c r="R144" s="260"/>
      <c r="S144" s="260"/>
      <c r="T144" s="260"/>
      <c r="U144" s="260"/>
      <c r="V144" s="260"/>
      <c r="W144" s="260"/>
      <c r="Z144" s="260"/>
      <c r="AA144" s="260"/>
      <c r="AB144" s="260"/>
      <c r="AC144" s="260"/>
      <c r="AD144" s="260"/>
      <c r="AE144" s="260"/>
      <c r="AF144" s="260"/>
      <c r="AG144" s="260"/>
      <c r="AH144" s="260"/>
      <c r="AI144" s="260"/>
      <c r="AJ144" s="260"/>
      <c r="AK144" s="260"/>
      <c r="AL144" s="260"/>
      <c r="AM144" s="260"/>
      <c r="AN144" s="260"/>
      <c r="AO144" s="260"/>
      <c r="AP144" s="260"/>
      <c r="AQ144" s="260"/>
      <c r="AR144" s="260"/>
      <c r="AS144" s="260"/>
      <c r="AT144" s="260"/>
      <c r="AU144" s="260"/>
      <c r="AV144" s="260"/>
      <c r="AW144" s="260"/>
      <c r="AX144" s="260"/>
      <c r="AY144" s="260"/>
      <c r="AZ144" s="260"/>
      <c r="BA144" s="260"/>
      <c r="BB144" s="260"/>
      <c r="BC144" s="260"/>
      <c r="BD144" s="260"/>
      <c r="BE144" s="260"/>
      <c r="BF144" s="260"/>
      <c r="BG144" s="260"/>
      <c r="BH144" s="260"/>
      <c r="BI144" s="260"/>
      <c r="BJ144" s="260"/>
      <c r="BK144" s="260"/>
      <c r="BL144" s="254"/>
      <c r="CP144" s="255"/>
    </row>
    <row r="145" spans="7:94" x14ac:dyDescent="0.25">
      <c r="G145" s="254"/>
      <c r="H145" s="254"/>
      <c r="L145" s="254"/>
      <c r="Q145" s="254"/>
      <c r="BL145" s="254"/>
      <c r="CP145" s="255"/>
    </row>
    <row r="146" spans="7:94" x14ac:dyDescent="0.25">
      <c r="G146" s="254"/>
      <c r="H146" s="254"/>
      <c r="L146" s="254"/>
      <c r="Q146" s="254"/>
      <c r="BL146" s="254"/>
      <c r="CP146" s="255"/>
    </row>
    <row r="147" spans="7:94" x14ac:dyDescent="0.25">
      <c r="G147" s="254"/>
      <c r="H147" s="254"/>
      <c r="L147" s="254"/>
      <c r="Q147" s="254"/>
      <c r="BL147" s="254"/>
      <c r="CP147" s="255"/>
    </row>
    <row r="148" spans="7:94" x14ac:dyDescent="0.25">
      <c r="G148" s="254"/>
      <c r="H148" s="254"/>
      <c r="L148" s="254"/>
      <c r="Q148" s="254"/>
      <c r="BL148" s="254"/>
      <c r="CP148" s="255"/>
    </row>
    <row r="149" spans="7:94" x14ac:dyDescent="0.25">
      <c r="G149" s="254"/>
      <c r="H149" s="254"/>
      <c r="L149" s="254"/>
      <c r="Q149" s="254"/>
      <c r="BL149" s="254"/>
      <c r="CP149" s="255"/>
    </row>
    <row r="150" spans="7:94" x14ac:dyDescent="0.25">
      <c r="G150" s="254"/>
      <c r="H150" s="254"/>
      <c r="L150" s="254"/>
      <c r="Q150" s="254"/>
      <c r="BL150" s="254"/>
      <c r="CP150" s="255"/>
    </row>
    <row r="151" spans="7:94" x14ac:dyDescent="0.25">
      <c r="G151" s="254"/>
      <c r="H151" s="254"/>
      <c r="L151" s="254"/>
      <c r="Q151" s="254"/>
      <c r="BL151" s="254"/>
      <c r="CP151" s="255"/>
    </row>
    <row r="152" spans="7:94" x14ac:dyDescent="0.25">
      <c r="G152" s="254"/>
      <c r="H152" s="254"/>
      <c r="L152" s="254"/>
      <c r="Q152" s="254"/>
      <c r="BL152" s="254"/>
      <c r="CP152" s="255"/>
    </row>
    <row r="153" spans="7:94" x14ac:dyDescent="0.25">
      <c r="G153" s="254"/>
      <c r="H153" s="254"/>
      <c r="L153" s="254"/>
      <c r="Q153" s="254"/>
      <c r="BL153" s="254"/>
      <c r="CP153" s="255"/>
    </row>
    <row r="154" spans="7:94" x14ac:dyDescent="0.25">
      <c r="G154" s="254"/>
      <c r="H154" s="254"/>
      <c r="L154" s="254"/>
      <c r="Q154" s="254"/>
      <c r="BL154" s="254"/>
      <c r="CP154" s="255"/>
    </row>
    <row r="155" spans="7:94" x14ac:dyDescent="0.25">
      <c r="G155" s="254"/>
      <c r="H155" s="254"/>
      <c r="L155" s="254"/>
      <c r="Q155" s="254"/>
      <c r="BL155" s="254"/>
      <c r="CP155" s="255"/>
    </row>
    <row r="156" spans="7:94" x14ac:dyDescent="0.25">
      <c r="G156" s="254"/>
      <c r="H156" s="254"/>
      <c r="L156" s="254"/>
      <c r="Q156" s="254"/>
      <c r="BL156" s="254"/>
      <c r="CP156" s="255"/>
    </row>
    <row r="157" spans="7:94" x14ac:dyDescent="0.25">
      <c r="G157" s="254"/>
      <c r="H157" s="254"/>
      <c r="L157" s="254"/>
      <c r="Q157" s="254"/>
      <c r="BL157" s="254"/>
      <c r="CP157" s="255"/>
    </row>
    <row r="158" spans="7:94" x14ac:dyDescent="0.25">
      <c r="H158" s="256"/>
      <c r="L158" s="254"/>
      <c r="Q158" s="254"/>
      <c r="BL158" s="254"/>
      <c r="CP158" s="255"/>
    </row>
    <row r="159" spans="7:94" x14ac:dyDescent="0.25">
      <c r="H159" s="256"/>
      <c r="L159" s="254"/>
      <c r="Q159" s="254"/>
      <c r="BL159" s="254"/>
      <c r="CP159" s="255"/>
    </row>
    <row r="160" spans="7:94" x14ac:dyDescent="0.25">
      <c r="H160" s="256"/>
      <c r="L160" s="254"/>
      <c r="Q160" s="254"/>
      <c r="BL160" s="254"/>
      <c r="CP160" s="255"/>
    </row>
    <row r="161" spans="8:94" x14ac:dyDescent="0.25">
      <c r="H161" s="256"/>
      <c r="L161" s="254"/>
      <c r="Q161" s="254"/>
      <c r="BL161" s="254"/>
      <c r="CP161" s="255"/>
    </row>
    <row r="162" spans="8:94" x14ac:dyDescent="0.25">
      <c r="L162" s="254"/>
      <c r="Q162" s="254"/>
      <c r="BL162" s="254"/>
      <c r="CP162" s="255"/>
    </row>
    <row r="163" spans="8:94" x14ac:dyDescent="0.25">
      <c r="L163" s="254"/>
      <c r="Q163" s="254"/>
      <c r="BL163" s="254"/>
      <c r="CP163" s="255"/>
    </row>
    <row r="164" spans="8:94" x14ac:dyDescent="0.25">
      <c r="H164" s="259"/>
      <c r="L164" s="254"/>
      <c r="Q164" s="254"/>
      <c r="BL164" s="254"/>
      <c r="CP164" s="255"/>
    </row>
    <row r="165" spans="8:94" x14ac:dyDescent="0.25">
      <c r="H165" s="258"/>
      <c r="L165" s="254"/>
      <c r="Q165" s="254"/>
      <c r="BL165" s="254"/>
      <c r="CP165" s="255"/>
    </row>
    <row r="166" spans="8:94" x14ac:dyDescent="0.25">
      <c r="H166" s="257"/>
      <c r="L166" s="254"/>
      <c r="Q166" s="254"/>
      <c r="BL166" s="254"/>
      <c r="CP166" s="255"/>
    </row>
    <row r="167" spans="8:94" x14ac:dyDescent="0.25">
      <c r="L167" s="254"/>
      <c r="Q167" s="254"/>
      <c r="BL167" s="254"/>
      <c r="CP167" s="255"/>
    </row>
    <row r="168" spans="8:94" x14ac:dyDescent="0.25">
      <c r="L168" s="254"/>
      <c r="Q168" s="254"/>
      <c r="BL168" s="254"/>
      <c r="CP168" s="255"/>
    </row>
    <row r="169" spans="8:94" x14ac:dyDescent="0.25">
      <c r="H169" s="256"/>
      <c r="L169" s="254"/>
      <c r="Q169" s="254"/>
      <c r="BL169" s="254"/>
      <c r="CP169" s="255"/>
    </row>
    <row r="170" spans="8:94" x14ac:dyDescent="0.25">
      <c r="H170" s="256"/>
      <c r="L170" s="254"/>
      <c r="Q170" s="254"/>
      <c r="BL170" s="254"/>
      <c r="CP170" s="255"/>
    </row>
    <row r="171" spans="8:94" x14ac:dyDescent="0.25">
      <c r="L171" s="254"/>
      <c r="Q171" s="254"/>
      <c r="BL171" s="254"/>
      <c r="CP171" s="255"/>
    </row>
    <row r="172" spans="8:94" x14ac:dyDescent="0.25">
      <c r="H172" s="256"/>
      <c r="L172" s="254"/>
      <c r="Q172" s="254"/>
      <c r="BL172" s="254"/>
      <c r="CP172" s="255"/>
    </row>
    <row r="173" spans="8:94" x14ac:dyDescent="0.25">
      <c r="L173" s="254"/>
      <c r="Q173" s="254"/>
      <c r="BL173" s="254"/>
      <c r="CP173" s="255"/>
    </row>
    <row r="174" spans="8:94" x14ac:dyDescent="0.25">
      <c r="L174" s="254"/>
      <c r="Q174" s="254"/>
      <c r="BL174" s="254"/>
      <c r="CP174" s="255"/>
    </row>
    <row r="175" spans="8:94" x14ac:dyDescent="0.25">
      <c r="BL175" s="254"/>
      <c r="CP175" s="255"/>
    </row>
    <row r="176" spans="8:94" x14ac:dyDescent="0.25">
      <c r="BL176" s="254"/>
      <c r="CP176" s="255"/>
    </row>
    <row r="177" spans="8:94" x14ac:dyDescent="0.25">
      <c r="H177" s="256"/>
      <c r="BL177" s="254"/>
      <c r="CP177" s="255"/>
    </row>
    <row r="178" spans="8:94" x14ac:dyDescent="0.25">
      <c r="H178" s="256"/>
      <c r="BL178" s="254"/>
      <c r="CP178" s="255"/>
    </row>
    <row r="179" spans="8:94" x14ac:dyDescent="0.25">
      <c r="BL179" s="254"/>
      <c r="CP179" s="255"/>
    </row>
    <row r="180" spans="8:94" x14ac:dyDescent="0.25">
      <c r="H180" s="256"/>
      <c r="BL180" s="254"/>
      <c r="CP180" s="255"/>
    </row>
    <row r="181" spans="8:94" x14ac:dyDescent="0.25">
      <c r="H181" s="256"/>
      <c r="BL181" s="254"/>
    </row>
    <row r="182" spans="8:94" x14ac:dyDescent="0.25">
      <c r="H182" s="256"/>
      <c r="BL182" s="254"/>
    </row>
    <row r="183" spans="8:94" x14ac:dyDescent="0.25">
      <c r="H183" s="256"/>
      <c r="BL183" s="254"/>
    </row>
    <row r="184" spans="8:94" x14ac:dyDescent="0.25">
      <c r="BL184" s="254"/>
    </row>
    <row r="186" spans="8:94" x14ac:dyDescent="0.25">
      <c r="H186" s="259"/>
      <c r="BL186" s="254"/>
    </row>
    <row r="187" spans="8:94" x14ac:dyDescent="0.25">
      <c r="H187" s="258"/>
      <c r="BL187" s="254"/>
    </row>
    <row r="188" spans="8:94" x14ac:dyDescent="0.25">
      <c r="H188" s="257"/>
      <c r="BL188" s="254"/>
    </row>
    <row r="189" spans="8:94" x14ac:dyDescent="0.25">
      <c r="BL189" s="254"/>
    </row>
    <row r="190" spans="8:94" x14ac:dyDescent="0.25">
      <c r="BL190" s="254"/>
    </row>
    <row r="191" spans="8:94" x14ac:dyDescent="0.25">
      <c r="H191" s="256"/>
      <c r="BL191" s="254"/>
    </row>
    <row r="192" spans="8:94" x14ac:dyDescent="0.25">
      <c r="H192" s="256"/>
      <c r="BL192" s="254"/>
    </row>
    <row r="193" spans="8:64" x14ac:dyDescent="0.25">
      <c r="BL193" s="254"/>
    </row>
    <row r="194" spans="8:64" x14ac:dyDescent="0.25">
      <c r="H194" s="256"/>
      <c r="BL194" s="254"/>
    </row>
    <row r="195" spans="8:64" x14ac:dyDescent="0.25">
      <c r="BL195" s="254"/>
    </row>
    <row r="196" spans="8:64" x14ac:dyDescent="0.25">
      <c r="BL196" s="254"/>
    </row>
    <row r="197" spans="8:64" x14ac:dyDescent="0.25">
      <c r="BL197" s="254"/>
    </row>
    <row r="198" spans="8:64" x14ac:dyDescent="0.25">
      <c r="BL198" s="254"/>
    </row>
    <row r="199" spans="8:64" x14ac:dyDescent="0.25">
      <c r="H199" s="256"/>
      <c r="BL199" s="254"/>
    </row>
    <row r="200" spans="8:64" x14ac:dyDescent="0.25">
      <c r="H200" s="256"/>
      <c r="BL200" s="254"/>
    </row>
    <row r="201" spans="8:64" x14ac:dyDescent="0.25">
      <c r="BL201" s="254"/>
    </row>
    <row r="202" spans="8:64" x14ac:dyDescent="0.25">
      <c r="H202" s="256"/>
      <c r="BL202" s="254"/>
    </row>
    <row r="203" spans="8:64" x14ac:dyDescent="0.25">
      <c r="H203" s="256"/>
      <c r="BL203" s="254"/>
    </row>
    <row r="204" spans="8:64" x14ac:dyDescent="0.25">
      <c r="H204" s="256"/>
      <c r="BL204" s="254"/>
    </row>
    <row r="205" spans="8:64" x14ac:dyDescent="0.25">
      <c r="H205" s="256"/>
      <c r="BL205" s="254"/>
    </row>
    <row r="206" spans="8:64" x14ac:dyDescent="0.25">
      <c r="BL206" s="254"/>
    </row>
    <row r="207" spans="8:64" x14ac:dyDescent="0.25">
      <c r="BL207" s="254"/>
    </row>
    <row r="208" spans="8:64" x14ac:dyDescent="0.25">
      <c r="BL208" s="254"/>
    </row>
    <row r="209" spans="64:64" x14ac:dyDescent="0.25">
      <c r="BL209" s="254"/>
    </row>
    <row r="210" spans="64:64" x14ac:dyDescent="0.25">
      <c r="BL210" s="254"/>
    </row>
    <row r="211" spans="64:64" x14ac:dyDescent="0.25">
      <c r="BL211" s="254"/>
    </row>
    <row r="212" spans="64:64" x14ac:dyDescent="0.25">
      <c r="BL212" s="254"/>
    </row>
    <row r="213" spans="64:64" x14ac:dyDescent="0.25">
      <c r="BL213" s="254"/>
    </row>
    <row r="214" spans="64:64" x14ac:dyDescent="0.25">
      <c r="BL214" s="254"/>
    </row>
    <row r="215" spans="64:64" x14ac:dyDescent="0.25">
      <c r="BL215" s="254"/>
    </row>
    <row r="217" spans="64:64" x14ac:dyDescent="0.25">
      <c r="BL217" s="254"/>
    </row>
    <row r="218" spans="64:64" x14ac:dyDescent="0.25">
      <c r="BL218" s="254"/>
    </row>
    <row r="219" spans="64:64" x14ac:dyDescent="0.25">
      <c r="BL219" s="254"/>
    </row>
    <row r="220" spans="64:64" x14ac:dyDescent="0.25">
      <c r="BL220" s="254"/>
    </row>
    <row r="221" spans="64:64" x14ac:dyDescent="0.25">
      <c r="BL221" s="254"/>
    </row>
    <row r="222" spans="64:64" x14ac:dyDescent="0.25">
      <c r="BL222" s="254"/>
    </row>
  </sheetData>
  <mergeCells count="28">
    <mergeCell ref="S13:V13"/>
    <mergeCell ref="I1:M1"/>
    <mergeCell ref="I2:J2"/>
    <mergeCell ref="D13:G13"/>
    <mergeCell ref="I13:L13"/>
    <mergeCell ref="N13:Q13"/>
    <mergeCell ref="CA13:CD13"/>
    <mergeCell ref="X13:AA13"/>
    <mergeCell ref="AC13:AF13"/>
    <mergeCell ref="AH13:AK13"/>
    <mergeCell ref="AM13:AP13"/>
    <mergeCell ref="AR13:AU13"/>
    <mergeCell ref="AW13:AZ13"/>
    <mergeCell ref="BB13:BE13"/>
    <mergeCell ref="BG13:BJ13"/>
    <mergeCell ref="BL13:BO13"/>
    <mergeCell ref="BQ13:BT13"/>
    <mergeCell ref="BV13:BY13"/>
    <mergeCell ref="DJ13:DM13"/>
    <mergeCell ref="DO13:DR13"/>
    <mergeCell ref="CU55:CU56"/>
    <mergeCell ref="CV55:CV56"/>
    <mergeCell ref="CF13:CI13"/>
    <mergeCell ref="CK13:CN13"/>
    <mergeCell ref="CP13:CS13"/>
    <mergeCell ref="CU13:CX13"/>
    <mergeCell ref="CZ13:DC13"/>
    <mergeCell ref="DE13:DH13"/>
  </mergeCells>
  <pageMargins left="0.2" right="0.2" top="0.25" bottom="0.2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18</vt:i4>
      </vt:variant>
    </vt:vector>
  </HeadingPairs>
  <TitlesOfParts>
    <vt:vector size="51" baseType="lpstr">
      <vt:lpstr>M2022 BLS SALARY CHART (53_PCT)</vt:lpstr>
      <vt:lpstr>M2024 BLS SALARY CHART (53_PCT)</vt:lpstr>
      <vt:lpstr>Master Lookup FY26</vt:lpstr>
      <vt:lpstr>CAF Spring 2025</vt:lpstr>
      <vt:lpstr>FY26 Rates</vt:lpstr>
      <vt:lpstr>Adolescent Supprt Network FY26</vt:lpstr>
      <vt:lpstr>Adult Comp-Respite Recp FY26</vt:lpstr>
      <vt:lpstr>HOURLY &amp; AFTER SCHOOL FY26</vt:lpstr>
      <vt:lpstr>Aut-FamSupCtrs FY26</vt:lpstr>
      <vt:lpstr>AWC Admin-Family Nav FY26</vt:lpstr>
      <vt:lpstr>BehavioralSupport FY26</vt:lpstr>
      <vt:lpstr>Fin. Assistance Admin FY26</vt:lpstr>
      <vt:lpstr>Clinical Non Clinical Hrly FY26</vt:lpstr>
      <vt:lpstr>DCFClinicalComp FY26</vt:lpstr>
      <vt:lpstr>DCF Ed Coordination FY26</vt:lpstr>
      <vt:lpstr>DCFSpecialty Fam Skills Grp</vt:lpstr>
      <vt:lpstr>DCFFamily Skills Dev Group FY26</vt:lpstr>
      <vt:lpstr>Parent Skill Dev Group FY26</vt:lpstr>
      <vt:lpstr>Family Training FY26</vt:lpstr>
      <vt:lpstr>IFFS FY26</vt:lpstr>
      <vt:lpstr>Med Complex FY26</vt:lpstr>
      <vt:lpstr>Peer Suppt FY26</vt:lpstr>
      <vt:lpstr>Site Based Respite FY26</vt:lpstr>
      <vt:lpstr>Respite Caregiver Home FY26</vt:lpstr>
      <vt:lpstr>Unbundled IFC Support</vt:lpstr>
      <vt:lpstr>MCB FAMS FY26</vt:lpstr>
      <vt:lpstr>Salary lookup</vt:lpstr>
      <vt:lpstr>Salary lookup FY24</vt:lpstr>
      <vt:lpstr>CAF Spring 2023</vt:lpstr>
      <vt:lpstr>Non-Salary Expense FY26</vt:lpstr>
      <vt:lpstr>Below the Line</vt:lpstr>
      <vt:lpstr>Non-Salary Expense</vt:lpstr>
      <vt:lpstr>Master Lookup</vt:lpstr>
      <vt:lpstr>'Adult Comp-Respite Recp FY26'!Print_Area</vt:lpstr>
      <vt:lpstr>'AWC Admin-Family Nav FY26'!Print_Area</vt:lpstr>
      <vt:lpstr>'BehavioralSupport FY26'!Print_Area</vt:lpstr>
      <vt:lpstr>'Clinical Non Clinical Hrly FY26'!Print_Area</vt:lpstr>
      <vt:lpstr>'DCFClinicalComp FY26'!Print_Area</vt:lpstr>
      <vt:lpstr>'DCFSpecialty Fam Skills Grp'!Print_Area</vt:lpstr>
      <vt:lpstr>'Family Training FY26'!Print_Area</vt:lpstr>
      <vt:lpstr>'Fin. Assistance Admin FY26'!Print_Area</vt:lpstr>
      <vt:lpstr>'HOURLY &amp; AFTER SCHOOL FY26'!Print_Area</vt:lpstr>
      <vt:lpstr>'IFFS FY26'!Print_Area</vt:lpstr>
      <vt:lpstr>'M2022 BLS SALARY CHART (53_PCT)'!Print_Area</vt:lpstr>
      <vt:lpstr>'Med Complex FY26'!Print_Area</vt:lpstr>
      <vt:lpstr>'Peer Suppt FY26'!Print_Area</vt:lpstr>
      <vt:lpstr>'Respite Caregiver Home FY26'!Print_Area</vt:lpstr>
      <vt:lpstr>'Site Based Respite FY26'!Print_Area</vt:lpstr>
      <vt:lpstr>'Unbundled IFC Support'!Print_Area</vt:lpstr>
      <vt:lpstr>'CAF Spring 2023'!Print_Titles</vt:lpstr>
      <vt:lpstr>'CAF Spring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Farrell, Conor (EHS)</dc:creator>
  <cp:lastModifiedBy>Harrison, Deborah (EHS)</cp:lastModifiedBy>
  <dcterms:created xsi:type="dcterms:W3CDTF">2024-01-22T14:40:43Z</dcterms:created>
  <dcterms:modified xsi:type="dcterms:W3CDTF">2026-02-11T15:39:59Z</dcterms:modified>
</cp:coreProperties>
</file>