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9416" windowHeight="8676" activeTab="1"/>
  </bookViews>
  <sheets>
    <sheet name="Chart" sheetId="8" r:id="rId1"/>
    <sheet name="FY22 Models " sheetId="1" r:id="rId2"/>
    <sheet name="Per Diem Rates " sheetId="9" r:id="rId3"/>
    <sheet name="CAF Fall 2020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sdfasdf" localSheetId="2">#REF!</definedName>
    <definedName name="asdfasdf">#REF!</definedName>
    <definedName name="Average" localSheetId="2">#REF!</definedName>
    <definedName name="Average">#REF!</definedName>
    <definedName name="CAF_NEW">[1]RawDataCalcs!$L$70:$DB$70</definedName>
    <definedName name="Cap">[2]RawDataCalcs!$L$70:$DB$70</definedName>
    <definedName name="Data" localSheetId="2">#REF!</definedName>
    <definedName name="Data">#REF!</definedName>
    <definedName name="Floor">[2]RawDataCalcs!$L$69:$DB$69</definedName>
    <definedName name="Funds">'[3]RawDataCalcs3386&amp;3401'!$L$68:$DB$68</definedName>
    <definedName name="gk" localSheetId="2">#REF!</definedName>
    <definedName name="gk">#REF!</definedName>
    <definedName name="hhh" localSheetId="2">#REF!</definedName>
    <definedName name="hhh">#REF!</definedName>
    <definedName name="JailDAverage" localSheetId="2">#REF!</definedName>
    <definedName name="JailDAverage">#REF!</definedName>
    <definedName name="JailDCap">[4]ALLRawDataCalcs!$L$80:$DB$80</definedName>
    <definedName name="JailDFloor">[4]ALLRawDataCalcs!$L$79:$DB$79</definedName>
    <definedName name="JailDgk" localSheetId="2">#REF!</definedName>
    <definedName name="JailDgk">#REF!</definedName>
    <definedName name="JailDMax" localSheetId="2">#REF!</definedName>
    <definedName name="JailDMax">#REF!</definedName>
    <definedName name="JailDMedian" localSheetId="2">#REF!</definedName>
    <definedName name="JailDMedian">#REF!</definedName>
    <definedName name="kls" localSheetId="2">#REF!</definedName>
    <definedName name="kls">#REF!</definedName>
    <definedName name="ListProviders">'[5]List of Programs'!$A$24:$A$29</definedName>
    <definedName name="Max" localSheetId="2">#REF!</definedName>
    <definedName name="Max">#REF!</definedName>
    <definedName name="Median" localSheetId="2">#REF!</definedName>
    <definedName name="Median">#REF!</definedName>
    <definedName name="Min" localSheetId="2">#REF!</definedName>
    <definedName name="Min">#REF!</definedName>
    <definedName name="MT" localSheetId="2">#REF!</definedName>
    <definedName name="MT">#REF!</definedName>
    <definedName name="new" localSheetId="2">#REF!</definedName>
    <definedName name="new">#REF!</definedName>
    <definedName name="ok" localSheetId="2">#REF!</definedName>
    <definedName name="ok">#REF!</definedName>
    <definedName name="_xlnm.Print_Area" localSheetId="0">Chart!$A$3:$G$33</definedName>
    <definedName name="_xlnm.Print_Area" localSheetId="1">'FY22 Models '!$A$2:$H$75</definedName>
    <definedName name="_xlnm.Print_Area" localSheetId="2">'Per Diem Rates '!$A$3:$M$33</definedName>
    <definedName name="_xlnm.Print_Titles" localSheetId="3">'CAF Fall 2020'!$A:$A</definedName>
    <definedName name="Program_File" localSheetId="2">#REF!</definedName>
    <definedName name="Program_File">#REF!</definedName>
    <definedName name="Programs">'[5]List of Programs'!$B$3:$B$19</definedName>
    <definedName name="ProvFTE" localSheetId="2">'[6]FTE Data'!$A$3:$AW$56</definedName>
    <definedName name="ProvFTE">'[7]FTE Data'!$A$3:$AW$56</definedName>
    <definedName name="PurchasedBy" localSheetId="2">'[6]FTE Data'!$C$263:$AZ$657</definedName>
    <definedName name="PurchasedBy">'[7]FTE Data'!$C$263:$AZ$657</definedName>
    <definedName name="resmay2007" localSheetId="2">#REF!</definedName>
    <definedName name="resmay2007">#REF!</definedName>
    <definedName name="Site_list" localSheetId="2">[6]Lists!$A$2:$A$53</definedName>
    <definedName name="Site_list">[7]Lists!$A$2:$A$53</definedName>
    <definedName name="Source" localSheetId="2">#REF!</definedName>
    <definedName name="Source">#REF!</definedName>
    <definedName name="Source_2" localSheetId="2">#REF!</definedName>
    <definedName name="Source_2">#REF!</definedName>
    <definedName name="SourcePathAndFileName" localSheetId="2">#REF!</definedName>
    <definedName name="SourcePathAndFileName">#REF!</definedName>
    <definedName name="Total_UFR" localSheetId="2">#REF!</definedName>
    <definedName name="Total_UFR">#REF!</definedName>
    <definedName name="Total_UFRs" localSheetId="2">#REF!</definedName>
    <definedName name="Total_UFRs">#REF!</definedName>
    <definedName name="Total_UFRs_" localSheetId="2">#REF!</definedName>
    <definedName name="Total_UFRs_">#REF!</definedName>
    <definedName name="UFR" localSheetId="2">'[8]Complete UFR List'!#REF!</definedName>
    <definedName name="UFR">'[8]Complete UFR List'!#REF!</definedName>
    <definedName name="UFRS" localSheetId="2">'[8]Complete UFR List'!#REF!</definedName>
    <definedName name="UFRS">'[8]Complete UFR List'!#REF!</definedName>
  </definedNames>
  <calcPr calcId="145621"/>
</workbook>
</file>

<file path=xl/calcChain.xml><?xml version="1.0" encoding="utf-8"?>
<calcChain xmlns="http://schemas.openxmlformats.org/spreadsheetml/2006/main">
  <c r="G10" i="9" l="1"/>
  <c r="C27" i="1"/>
  <c r="BW22" i="11"/>
  <c r="BV22" i="11"/>
  <c r="BU22" i="11"/>
  <c r="BT22" i="11"/>
  <c r="BS22" i="11"/>
  <c r="BR22" i="11"/>
  <c r="BQ22" i="11"/>
  <c r="BP22" i="11"/>
  <c r="BY22" i="11" s="1"/>
  <c r="BY24" i="11" s="1"/>
  <c r="BW21" i="11"/>
  <c r="BV21" i="11"/>
  <c r="BU21" i="11"/>
  <c r="BT21" i="11"/>
  <c r="BS21" i="11"/>
  <c r="BR21" i="11"/>
  <c r="BQ21" i="11"/>
  <c r="BP21" i="11"/>
  <c r="BY18" i="11"/>
  <c r="BP18" i="11"/>
  <c r="BP17" i="11"/>
  <c r="A65" i="1" l="1"/>
  <c r="C18" i="1"/>
  <c r="E18" i="1" s="1"/>
  <c r="E47" i="1"/>
  <c r="D46" i="1"/>
  <c r="D45" i="1"/>
  <c r="D44" i="1"/>
  <c r="C19" i="1"/>
  <c r="C17" i="1"/>
  <c r="C8" i="1"/>
  <c r="C36" i="1" s="1"/>
  <c r="C65" i="1" l="1"/>
  <c r="E65" i="1" s="1"/>
  <c r="C11" i="1"/>
  <c r="C10" i="1"/>
  <c r="C9" i="1"/>
  <c r="E11" i="9" l="1"/>
  <c r="E8" i="9"/>
  <c r="E4" i="9"/>
  <c r="E5" i="9"/>
  <c r="J28" i="9"/>
  <c r="D28" i="9"/>
  <c r="J27" i="9"/>
  <c r="J29" i="9" s="1"/>
  <c r="J30" i="9" s="1"/>
  <c r="D27" i="9"/>
  <c r="D29" i="9" s="1"/>
  <c r="D30" i="9" s="1"/>
  <c r="M17" i="9"/>
  <c r="L17" i="9"/>
  <c r="K17" i="9"/>
  <c r="J17" i="9"/>
  <c r="I17" i="9"/>
  <c r="H17" i="9"/>
  <c r="F17" i="9"/>
  <c r="D17" i="9"/>
  <c r="C17" i="9"/>
  <c r="B17" i="9"/>
  <c r="F8" i="9"/>
  <c r="C8" i="9"/>
  <c r="D5" i="9"/>
  <c r="F5" i="9"/>
  <c r="F6" i="9" s="1"/>
  <c r="F7" i="9" s="1"/>
  <c r="C5" i="9"/>
  <c r="C6" i="9" s="1"/>
  <c r="C7" i="9" s="1"/>
  <c r="B5" i="9"/>
  <c r="D4" i="9"/>
  <c r="D8" i="9" s="1"/>
  <c r="B4" i="9"/>
  <c r="B8" i="9" s="1"/>
  <c r="E6" i="9" l="1"/>
  <c r="E7" i="9" s="1"/>
  <c r="E9" i="9" s="1"/>
  <c r="C9" i="9"/>
  <c r="F9" i="9"/>
  <c r="C11" i="9"/>
  <c r="B11" i="9"/>
  <c r="D11" i="9"/>
  <c r="F11" i="9"/>
  <c r="D6" i="9"/>
  <c r="D7" i="9" s="1"/>
  <c r="D9" i="9" s="1"/>
  <c r="B6" i="9"/>
  <c r="B7" i="9" s="1"/>
  <c r="B9" i="9" s="1"/>
  <c r="E10" i="9" l="1"/>
  <c r="E12" i="9" s="1"/>
  <c r="E18" i="9" s="1"/>
  <c r="B10" i="9"/>
  <c r="B13" i="9" s="1"/>
  <c r="D10" i="9"/>
  <c r="F10" i="9"/>
  <c r="C10" i="9"/>
  <c r="E17" i="1"/>
  <c r="C62" i="1"/>
  <c r="C41" i="1"/>
  <c r="C66" i="1"/>
  <c r="C64" i="1"/>
  <c r="E64" i="1" s="1"/>
  <c r="A64" i="1"/>
  <c r="C58" i="1"/>
  <c r="A36" i="1"/>
  <c r="C38" i="1"/>
  <c r="C37" i="1"/>
  <c r="A38" i="1"/>
  <c r="A37" i="1"/>
  <c r="E19" i="1"/>
  <c r="C24" i="8"/>
  <c r="H23" i="8"/>
  <c r="D23" i="8"/>
  <c r="D24" i="8" s="1"/>
  <c r="C22" i="8"/>
  <c r="H21" i="8"/>
  <c r="D21" i="8"/>
  <c r="D22" i="8" s="1"/>
  <c r="C20" i="8"/>
  <c r="H19" i="8"/>
  <c r="D19" i="8"/>
  <c r="D20" i="8" s="1"/>
  <c r="C18" i="8"/>
  <c r="H17" i="8"/>
  <c r="D17" i="8"/>
  <c r="D18" i="8" s="1"/>
  <c r="C16" i="8"/>
  <c r="H15" i="8"/>
  <c r="D15" i="8"/>
  <c r="D16" i="8" s="1"/>
  <c r="C14" i="8"/>
  <c r="H13" i="8"/>
  <c r="D13" i="8"/>
  <c r="D14" i="8" s="1"/>
  <c r="C12" i="8"/>
  <c r="D11" i="8"/>
  <c r="D12" i="8" s="1"/>
  <c r="C10" i="8"/>
  <c r="H9" i="8"/>
  <c r="D9" i="8"/>
  <c r="D10" i="8" s="1"/>
  <c r="C8" i="8"/>
  <c r="H7" i="8"/>
  <c r="D7" i="8"/>
  <c r="D8" i="8" s="1"/>
  <c r="C6" i="8"/>
  <c r="H5" i="8"/>
  <c r="D5" i="8"/>
  <c r="D6" i="8" s="1"/>
  <c r="E20" i="1" l="1"/>
  <c r="B12" i="9"/>
  <c r="D12" i="9"/>
  <c r="D18" i="9" s="1"/>
  <c r="C12" i="9"/>
  <c r="C18" i="9" s="1"/>
  <c r="F12" i="9"/>
  <c r="F18" i="9" s="1"/>
  <c r="B18" i="9"/>
  <c r="B16" i="9"/>
  <c r="B14" i="9"/>
  <c r="B15" i="9"/>
  <c r="J5" i="8"/>
  <c r="J13" i="8"/>
  <c r="J17" i="8"/>
  <c r="J21" i="8"/>
  <c r="J9" i="8"/>
  <c r="J7" i="8"/>
  <c r="J15" i="8"/>
  <c r="J19" i="8"/>
  <c r="J23" i="8"/>
  <c r="E46" i="1" l="1"/>
  <c r="E44" i="1"/>
  <c r="E24" i="1"/>
  <c r="E23" i="1"/>
  <c r="E22" i="1"/>
  <c r="E66" i="1"/>
  <c r="E67" i="1" s="1"/>
  <c r="E58" i="1"/>
  <c r="E59" i="1" s="1"/>
  <c r="C61" i="1"/>
  <c r="A61" i="1"/>
  <c r="D69" i="1"/>
  <c r="E69" i="1" s="1"/>
  <c r="E45" i="1"/>
  <c r="C49" i="1"/>
  <c r="C72" i="1" s="1"/>
  <c r="A49" i="1"/>
  <c r="A72" i="1" s="1"/>
  <c r="E36" i="1"/>
  <c r="E37" i="1"/>
  <c r="E38" i="1"/>
  <c r="E25" i="1"/>
  <c r="E62" i="1" l="1"/>
  <c r="E61" i="1"/>
  <c r="D70" i="1"/>
  <c r="E70" i="1" s="1"/>
  <c r="E39" i="1"/>
  <c r="E40" i="1" s="1"/>
  <c r="E73" i="1" l="1"/>
  <c r="E63" i="1"/>
  <c r="E71" i="1" s="1"/>
  <c r="E72" i="1" s="1"/>
  <c r="E41" i="1"/>
  <c r="E42" i="1" s="1"/>
  <c r="E48" i="1" s="1"/>
  <c r="E49" i="1" l="1"/>
  <c r="E50" i="1" s="1"/>
  <c r="E74" i="1"/>
  <c r="E75" i="1" s="1"/>
  <c r="E51" i="1" l="1"/>
  <c r="E52" i="1" s="1"/>
  <c r="E8" i="1" l="1"/>
  <c r="E9" i="1"/>
  <c r="E10" i="1"/>
  <c r="E11" i="1"/>
  <c r="E7" i="1"/>
  <c r="E12" i="1" l="1"/>
  <c r="E15" i="1" l="1"/>
  <c r="E14" i="1"/>
  <c r="E16" i="1" l="1"/>
  <c r="E28" i="1" s="1"/>
  <c r="E26" i="1" l="1"/>
  <c r="E27" i="1" s="1"/>
  <c r="E29" i="1" l="1"/>
  <c r="E30" i="1" s="1"/>
</calcChain>
</file>

<file path=xl/comments1.xml><?xml version="1.0" encoding="utf-8"?>
<comments xmlns="http://schemas.openxmlformats.org/spreadsheetml/2006/main">
  <authors>
    <author>kara</author>
    <author>srayavarapu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12/17/20 Bench to Prog Director in YPS: 101 CMR 427: YYASS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srayavarapu:</t>
        </r>
        <r>
          <rPr>
            <sz val="9"/>
            <color indexed="81"/>
            <rFont val="Tahoma"/>
            <family val="2"/>
          </rPr>
          <t xml:space="preserve">
Estimate Occupancy is based on 2650 sq. ft. (2500 sq. ft. + two additional small rooms, 75 sq. ft. each)
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kara: 12/16/20
These hourly rates are all consistant with those in FY22 Congregate Care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<sst xmlns="http://schemas.openxmlformats.org/spreadsheetml/2006/main" count="288" uniqueCount="232">
  <si>
    <t>Family Resource Center</t>
  </si>
  <si>
    <t>CRA Assessments    :</t>
  </si>
  <si>
    <t xml:space="preserve">Exp. Caseload  </t>
  </si>
  <si>
    <t>Salary</t>
  </si>
  <si>
    <t>FTE</t>
  </si>
  <si>
    <t>Expense</t>
  </si>
  <si>
    <t>Program Manager</t>
  </si>
  <si>
    <t>Program Director</t>
  </si>
  <si>
    <t>Family Support Worker</t>
  </si>
  <si>
    <t>Administrative Professional / Welcomer</t>
  </si>
  <si>
    <t>Total Program Staff</t>
  </si>
  <si>
    <t>Expenses</t>
  </si>
  <si>
    <t>Unit Cost</t>
  </si>
  <si>
    <t>Tax and Fringe</t>
  </si>
  <si>
    <t>Total Compensation</t>
  </si>
  <si>
    <t>Family Partner</t>
  </si>
  <si>
    <t>Contract Overhead Expenses</t>
  </si>
  <si>
    <t xml:space="preserve">Family Related Expenses </t>
  </si>
  <si>
    <t>Staff Mileage / Travel</t>
  </si>
  <si>
    <t xml:space="preserve">Program Supplies &amp; Materials </t>
  </si>
  <si>
    <t xml:space="preserve">Occupancy </t>
  </si>
  <si>
    <t>2650 Sq. Ft.</t>
  </si>
  <si>
    <t>Total Reims excel M&amp;G</t>
  </si>
  <si>
    <t>Admin. Allocation</t>
  </si>
  <si>
    <t>TOTAL</t>
  </si>
  <si>
    <t xml:space="preserve"> Accommodation Rate: Monthly Case Management </t>
  </si>
  <si>
    <t>CRA Assessments   :</t>
  </si>
  <si>
    <t>Total Reimb excl M&amp;G</t>
  </si>
  <si>
    <t>NA</t>
  </si>
  <si>
    <t>N/A</t>
  </si>
  <si>
    <t>CAF</t>
  </si>
  <si>
    <t>Tax &amp; Fringe</t>
  </si>
  <si>
    <t>Micro Family Resource Center</t>
  </si>
  <si>
    <t>Micro Family Resource Center Add-On</t>
  </si>
  <si>
    <t>PFMLA Trust Contribution</t>
  </si>
  <si>
    <t xml:space="preserve"> Rates for July 1, 2021 - June 30, 2023</t>
  </si>
  <si>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</si>
  <si>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</si>
  <si>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</si>
  <si>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</si>
  <si>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</si>
  <si>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</si>
  <si>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</si>
  <si>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</si>
  <si>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</si>
  <si>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</si>
  <si>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</si>
  <si>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</si>
  <si>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</si>
  <si>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</si>
  <si>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</si>
  <si>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</si>
  <si>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</si>
  <si>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</si>
  <si>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</si>
  <si>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</si>
  <si>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</si>
  <si>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</si>
  <si>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</si>
  <si>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</si>
  <si>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</si>
  <si>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</si>
  <si>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</si>
  <si>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</si>
  <si>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</si>
  <si>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</si>
  <si>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</si>
  <si>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</si>
  <si>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</si>
  <si>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</si>
  <si>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</si>
  <si>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</si>
  <si>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</si>
  <si>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</si>
  <si>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</si>
  <si>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</si>
  <si>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</si>
  <si>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</si>
  <si>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</si>
  <si>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</si>
  <si>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</si>
  <si>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</si>
  <si>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</si>
  <si>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</si>
  <si>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</si>
  <si>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</si>
  <si>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Overnight staff (asleep or awake) benchmarked to $14.25 / hr </t>
  </si>
  <si>
    <t>CY20 min. wage = $13.50 and CY20 min. wage = $14.25</t>
  </si>
  <si>
    <t xml:space="preserve">Tax and Fringe  =  </t>
  </si>
  <si>
    <t>Benchmarked to FY20 Commonwealth (office of the Comptroller) T&amp;F rate, less terminal</t>
  </si>
  <si>
    <t xml:space="preserve"> leave, retirement and Paid Family Medical Leave tax</t>
  </si>
  <si>
    <t xml:space="preserve">Benchmarked to FY21 Commonwealth (office of the Comptroller) T&amp;F rate, less </t>
  </si>
  <si>
    <t>Social / Caseworker (BA Level)</t>
  </si>
  <si>
    <t>Source</t>
  </si>
  <si>
    <t>BLS /OES Massachusetts Median 2018</t>
  </si>
  <si>
    <t>Total Tax &amp; Fringe</t>
  </si>
  <si>
    <t>Subtotal Compensation</t>
  </si>
  <si>
    <t>PFMLA</t>
  </si>
  <si>
    <t>TOTAL COMPENSATION</t>
  </si>
  <si>
    <t>Clinician w/Independent Lic</t>
  </si>
  <si>
    <t>Billable Hours</t>
  </si>
  <si>
    <t>Monthly Rate (1.0 FTE Add-on)</t>
  </si>
  <si>
    <t>Monthly Rate (0.75 FTE Add-on)</t>
  </si>
  <si>
    <t>Monthly Rate (0.50 FTE Add-on)</t>
  </si>
  <si>
    <t>Monthly Rate (0.25 FTE Add-on)</t>
  </si>
  <si>
    <t>Days</t>
  </si>
  <si>
    <t>Hours</t>
  </si>
  <si>
    <t>Paid Time Off (PTO)</t>
  </si>
  <si>
    <t>Training (not OJT)</t>
  </si>
  <si>
    <t>Travel / Admin / Supervision / Training / Misc</t>
  </si>
  <si>
    <t>Total Hours per FTE:</t>
  </si>
  <si>
    <t>Per Diem Add-on Rates</t>
  </si>
  <si>
    <t>Rates (per hour)</t>
  </si>
  <si>
    <t>Family Patrner &amp; Family Support Staff Productivity Chart</t>
  </si>
  <si>
    <t>Rates (per diem)</t>
  </si>
  <si>
    <t xml:space="preserve"> Clinician (MA level but not Indep Lic)</t>
  </si>
  <si>
    <t>School Liaison and Clinical  Staff Productivity Chart</t>
  </si>
  <si>
    <t>Massachusetts Economic Indicators</t>
  </si>
  <si>
    <t>IHS Markit, Fall 2020 Forecast</t>
  </si>
  <si>
    <t>Prepared by Michael Lynch, 781-301-9129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</si>
  <si>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</si>
  <si>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</si>
  <si>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</si>
  <si>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</si>
  <si>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</si>
  <si>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</si>
  <si>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</si>
  <si>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</si>
  <si>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</si>
  <si>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</si>
  <si>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</si>
  <si>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</si>
  <si>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</si>
  <si>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</si>
  <si>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</si>
  <si>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</si>
  <si>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</si>
  <si>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</si>
  <si>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</si>
  <si>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</si>
  <si>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</si>
  <si>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</si>
  <si>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</si>
  <si>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</si>
  <si>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</si>
  <si>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</si>
  <si>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</si>
  <si>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</si>
  <si>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</si>
  <si>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</si>
  <si>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</si>
  <si>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</si>
  <si>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</si>
  <si>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</si>
  <si>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</si>
  <si>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</si>
  <si>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</si>
  <si>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</si>
  <si>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</si>
  <si>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</si>
  <si>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</si>
  <si>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</si>
  <si>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</si>
  <si>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</si>
  <si>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</si>
  <si>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</si>
  <si>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</si>
  <si>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</si>
  <si>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</si>
  <si>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</si>
  <si>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</si>
  <si>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</si>
  <si>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</si>
  <si>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</si>
  <si>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</si>
  <si>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</si>
  <si>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</si>
  <si>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</si>
  <si>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</si>
  <si>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</si>
  <si>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</si>
  <si>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</si>
  <si>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</si>
  <si>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</si>
  <si>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</si>
  <si>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</si>
  <si>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</si>
  <si>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</si>
  <si>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</si>
  <si>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</si>
  <si>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</si>
  <si>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</si>
  <si>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</si>
  <si>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</si>
  <si>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</si>
  <si>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</si>
  <si>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</si>
  <si>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</si>
  <si>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</si>
  <si>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</si>
  <si>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</si>
  <si>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</si>
  <si>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</si>
  <si>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</si>
  <si>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</si>
  <si>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</si>
  <si>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</si>
  <si>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</si>
  <si>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</si>
  <si>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</si>
  <si>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</si>
  <si>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</si>
  <si>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</si>
  <si>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</si>
  <si>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</si>
  <si>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</si>
  <si>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</si>
  <si>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July  1, 2021</t>
  </si>
  <si>
    <t xml:space="preserve">Base period: </t>
  </si>
  <si>
    <t>FY21Q4</t>
  </si>
  <si>
    <t>Average</t>
  </si>
  <si>
    <t xml:space="preserve">Prospective rate period: </t>
  </si>
  <si>
    <t>7/1/21 - 12/31/23</t>
  </si>
  <si>
    <t>(FY22 and FY23)</t>
  </si>
  <si>
    <t>CAF:</t>
  </si>
  <si>
    <t>Commonwealth FY21 Rate</t>
  </si>
  <si>
    <r>
      <t xml:space="preserve">CAF </t>
    </r>
    <r>
      <rPr>
        <b/>
        <sz val="10"/>
        <color rgb="FFFF0000"/>
        <rFont val="Calibri"/>
        <family val="2"/>
        <scheme val="minor"/>
      </rPr>
      <t>:</t>
    </r>
    <r>
      <rPr>
        <sz val="10"/>
        <color indexed="8"/>
        <rFont val="Calibri"/>
        <family val="2"/>
        <scheme val="minor"/>
      </rPr>
      <t xml:space="preserve"> (rate review FY22 - FY23)</t>
    </r>
  </si>
  <si>
    <t xml:space="preserve">Diret Admin,Program Supplies &amp; Materials </t>
  </si>
  <si>
    <t>Family Support Worker (DC III BA Level or 5+ yrs exp)</t>
  </si>
  <si>
    <t>School Liaison (BA Level Social worker)</t>
  </si>
  <si>
    <r>
      <t xml:space="preserve">Clinician </t>
    </r>
    <r>
      <rPr>
        <b/>
        <sz val="10"/>
        <rFont val="Calibri"/>
        <family val="2"/>
        <scheme val="minor"/>
      </rPr>
      <t>(LICSW)</t>
    </r>
  </si>
  <si>
    <r>
      <t xml:space="preserve">Clinician </t>
    </r>
    <r>
      <rPr>
        <b/>
        <sz val="10"/>
        <rFont val="Calibri"/>
        <family val="2"/>
        <scheme val="minor"/>
      </rPr>
      <t>(LCSW)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</si>
</sst>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_(&quot;$&quot;* #,##0_);_(&quot;$&quot;* \(#,##0\);_(&quot;$&quot;* &quot;-&quot;??_);_(@_)"/>
    <numFmt numFmtId="166" formatCode="&quot;$&quot;#,##0"/>
    <numFmt numFmtId="167" formatCode="&quot;$&quot;#,##0.00"/>
    <numFmt numFmtId="168" formatCode="0.000"/>
    <numFmt numFmtId="169" formatCode="0.0000"/>
    <numFmt numFmtId="170" formatCode="[$-409]mmmm\ d\,\ yyyy;@"/>
    <numFmt numFmtId="171" formatCode="_(&quot;$&quot;* #,##0.000_);_(&quot;$&quot;* \(#,##0.000\);_(&quot;$&quot;* &quot;-&quot;??_);_(@_)"/>
    <numFmt numFmtId="172" formatCode="&quot;$&quot;#,##0.000"/>
    <numFmt numFmtId="174" formatCode="0.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0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sz val="10"/>
      <color indexed="8"/>
      <name val="Arial"/>
      <family val="2"/>
    </font>
    <font>
      <sz val="10"/>
      <color theme="1"/>
      <name val="Tahoma"/>
      <family val="2"/>
    </font>
    <font>
      <b/>
      <sz val="12"/>
      <color indexed="3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rgb="FFFF0000"/>
      </top>
      <bottom style="thin">
        <color theme="0"/>
      </bottom>
      <diagonal/>
    </border>
    <border>
      <left style="thin">
        <color theme="0"/>
      </left>
      <right/>
      <top style="thin">
        <color rgb="FF00B05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35" fillId="7" borderId="0" applyNumberFormat="0" applyBorder="0" applyAlignment="0" applyProtection="0"/>
    <xf numFmtId="0" fontId="36" fillId="24" borderId="39" applyNumberFormat="0" applyAlignment="0" applyProtection="0"/>
    <xf numFmtId="0" fontId="37" fillId="25" borderId="4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8" borderId="0" applyNumberFormat="0" applyBorder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2" fillId="0" borderId="43" applyNumberFormat="0" applyFill="0" applyAlignment="0" applyProtection="0"/>
    <xf numFmtId="0" fontId="42" fillId="0" borderId="0" applyNumberFormat="0" applyFill="0" applyBorder="0" applyAlignment="0" applyProtection="0"/>
    <xf numFmtId="0" fontId="43" fillId="11" borderId="39" applyNumberFormat="0" applyAlignment="0" applyProtection="0"/>
    <xf numFmtId="0" fontId="44" fillId="0" borderId="44" applyNumberFormat="0" applyFill="0" applyAlignment="0" applyProtection="0"/>
    <xf numFmtId="0" fontId="45" fillId="26" borderId="0" applyNumberFormat="0" applyBorder="0" applyAlignment="0" applyProtection="0"/>
    <xf numFmtId="0" fontId="17" fillId="0" borderId="0"/>
    <xf numFmtId="0" fontId="18" fillId="0" borderId="0"/>
    <xf numFmtId="0" fontId="17" fillId="0" borderId="0"/>
    <xf numFmtId="0" fontId="46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5" borderId="29" applyNumberFormat="0" applyFont="0" applyAlignment="0" applyProtection="0"/>
    <xf numFmtId="0" fontId="17" fillId="27" borderId="45" applyNumberFormat="0" applyFont="0" applyAlignment="0" applyProtection="0"/>
    <xf numFmtId="0" fontId="47" fillId="24" borderId="46" applyNumberForma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7" applyNumberFormat="0" applyFill="0" applyAlignment="0" applyProtection="0"/>
    <xf numFmtId="0" fontId="5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0" fontId="62" fillId="4" borderId="0" applyNumberFormat="0" applyBorder="0" applyAlignment="0" applyProtection="0"/>
    <xf numFmtId="0" fontId="63" fillId="0" borderId="48" applyNumberFormat="0" applyFont="0" applyProtection="0">
      <alignment wrapText="1"/>
    </xf>
    <xf numFmtId="0" fontId="36" fillId="24" borderId="39" applyNumberFormat="0" applyAlignment="0" applyProtection="0"/>
    <xf numFmtId="0" fontId="36" fillId="24" borderId="39" applyNumberFormat="0" applyAlignment="0" applyProtection="0"/>
    <xf numFmtId="41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49" applyNumberFormat="0" applyProtection="0">
      <alignment wrapText="1"/>
    </xf>
    <xf numFmtId="0" fontId="64" fillId="0" borderId="50" applyNumberFormat="0" applyProtection="0">
      <alignment wrapText="1"/>
    </xf>
    <xf numFmtId="0" fontId="26" fillId="0" borderId="25" applyNumberFormat="0" applyFill="0" applyAlignment="0" applyProtection="0"/>
    <xf numFmtId="0" fontId="40" fillId="0" borderId="41" applyNumberFormat="0" applyFill="0" applyAlignment="0" applyProtection="0"/>
    <xf numFmtId="0" fontId="27" fillId="0" borderId="26" applyNumberFormat="0" applyFill="0" applyAlignment="0" applyProtection="0"/>
    <xf numFmtId="0" fontId="41" fillId="0" borderId="42" applyNumberFormat="0" applyFill="0" applyAlignment="0" applyProtection="0"/>
    <xf numFmtId="0" fontId="28" fillId="0" borderId="27" applyNumberFormat="0" applyFill="0" applyAlignment="0" applyProtection="0"/>
    <xf numFmtId="0" fontId="42" fillId="0" borderId="43" applyNumberFormat="0" applyFill="0" applyAlignment="0" applyProtection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3" fillId="11" borderId="39" applyNumberFormat="0" applyAlignment="0" applyProtection="0"/>
    <xf numFmtId="0" fontId="43" fillId="11" borderId="39" applyNumberFormat="0" applyAlignment="0" applyProtection="0"/>
    <xf numFmtId="0" fontId="29" fillId="0" borderId="28" applyNumberFormat="0" applyFill="0" applyAlignment="0" applyProtection="0"/>
    <xf numFmtId="0" fontId="44" fillId="0" borderId="44" applyNumberFormat="0" applyFill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17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17" fillId="0" borderId="0"/>
    <xf numFmtId="0" fontId="1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7" fillId="0" borderId="0"/>
    <xf numFmtId="0" fontId="66" fillId="0" borderId="0">
      <alignment vertical="top"/>
    </xf>
    <xf numFmtId="0" fontId="67" fillId="0" borderId="0"/>
    <xf numFmtId="0" fontId="4" fillId="0" borderId="0"/>
    <xf numFmtId="0" fontId="17" fillId="0" borderId="0"/>
    <xf numFmtId="0" fontId="4" fillId="0" borderId="0"/>
    <xf numFmtId="0" fontId="1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6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27" borderId="45" applyNumberFormat="0" applyFont="0" applyAlignment="0" applyProtection="0"/>
    <xf numFmtId="0" fontId="47" fillId="24" borderId="46" applyNumberFormat="0" applyAlignment="0" applyProtection="0"/>
    <xf numFmtId="0" fontId="47" fillId="24" borderId="46" applyNumberFormat="0" applyAlignment="0" applyProtection="0"/>
    <xf numFmtId="0" fontId="64" fillId="0" borderId="51" applyNumberFormat="0" applyProtection="0">
      <alignment wrapText="1"/>
    </xf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8" fillId="0" borderId="0" applyNumberFormat="0" applyProtection="0">
      <alignment horizontal="left"/>
    </xf>
    <xf numFmtId="0" fontId="49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50" fillId="0" borderId="47" applyNumberFormat="0" applyFill="0" applyAlignment="0" applyProtection="0"/>
    <xf numFmtId="0" fontId="3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44">
    <xf numFmtId="0" fontId="0" fillId="0" borderId="0" xfId="0"/>
    <xf numFmtId="0" fontId="7" fillId="0" borderId="0" xfId="3" applyFont="1" applyBorder="1" applyAlignment="1">
      <alignment horizontal="center"/>
    </xf>
    <xf numFmtId="2" fontId="6" fillId="0" borderId="0" xfId="3" applyNumberFormat="1" applyFont="1" applyBorder="1" applyAlignment="1">
      <alignment horizontal="center" vertical="center"/>
    </xf>
    <xf numFmtId="0" fontId="6" fillId="0" borderId="0" xfId="3" applyFont="1" applyBorder="1"/>
    <xf numFmtId="0" fontId="3" fillId="0" borderId="0" xfId="3" applyFont="1" applyBorder="1" applyAlignment="1">
      <alignment horizontal="center" vertical="center"/>
    </xf>
    <xf numFmtId="0" fontId="3" fillId="0" borderId="0" xfId="3" applyFont="1" applyBorder="1"/>
    <xf numFmtId="0" fontId="8" fillId="0" borderId="0" xfId="3" applyFont="1" applyBorder="1"/>
    <xf numFmtId="0" fontId="6" fillId="0" borderId="10" xfId="3" applyFont="1" applyBorder="1"/>
    <xf numFmtId="0" fontId="6" fillId="0" borderId="10" xfId="3" applyFont="1" applyBorder="1" applyAlignment="1">
      <alignment horizontal="center"/>
    </xf>
    <xf numFmtId="0" fontId="6" fillId="0" borderId="14" xfId="3" applyFont="1" applyBorder="1"/>
    <xf numFmtId="0" fontId="8" fillId="0" borderId="17" xfId="3" applyFont="1" applyBorder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/>
    <xf numFmtId="3" fontId="6" fillId="0" borderId="7" xfId="3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165" fontId="8" fillId="0" borderId="9" xfId="3" applyNumberFormat="1" applyFont="1" applyFill="1" applyBorder="1"/>
    <xf numFmtId="0" fontId="6" fillId="0" borderId="10" xfId="3" applyFont="1" applyFill="1" applyBorder="1"/>
    <xf numFmtId="165" fontId="0" fillId="0" borderId="0" xfId="0" applyNumberFormat="1" applyFill="1"/>
    <xf numFmtId="44" fontId="0" fillId="0" borderId="0" xfId="0" applyNumberFormat="1"/>
    <xf numFmtId="10" fontId="0" fillId="0" borderId="0" xfId="2" applyNumberFormat="1" applyFont="1"/>
    <xf numFmtId="165" fontId="0" fillId="0" borderId="0" xfId="1" applyNumberFormat="1" applyFont="1"/>
    <xf numFmtId="9" fontId="0" fillId="0" borderId="0" xfId="2" applyFont="1"/>
    <xf numFmtId="0" fontId="11" fillId="0" borderId="0" xfId="3" applyFont="1" applyFill="1" applyBorder="1" applyAlignment="1">
      <alignment horizontal="left"/>
    </xf>
    <xf numFmtId="42" fontId="8" fillId="0" borderId="9" xfId="3" applyNumberFormat="1" applyFont="1" applyFill="1" applyBorder="1"/>
    <xf numFmtId="0" fontId="11" fillId="0" borderId="8" xfId="3" applyFont="1" applyFill="1" applyBorder="1" applyAlignment="1">
      <alignment horizontal="left"/>
    </xf>
    <xf numFmtId="0" fontId="6" fillId="0" borderId="11" xfId="3" applyFont="1" applyFill="1" applyBorder="1"/>
    <xf numFmtId="0" fontId="6" fillId="0" borderId="0" xfId="3" applyFont="1" applyFill="1" applyBorder="1"/>
    <xf numFmtId="0" fontId="7" fillId="0" borderId="0" xfId="3" applyFont="1" applyFill="1" applyBorder="1" applyAlignment="1">
      <alignment horizontal="center"/>
    </xf>
    <xf numFmtId="2" fontId="6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/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/>
    <xf numFmtId="0" fontId="13" fillId="0" borderId="0" xfId="3" applyFont="1" applyFill="1" applyBorder="1" applyAlignment="1">
      <alignment horizontal="right"/>
    </xf>
    <xf numFmtId="0" fontId="8" fillId="0" borderId="0" xfId="3" applyFont="1" applyFill="1" applyBorder="1" applyAlignment="1">
      <alignment horizontal="right"/>
    </xf>
    <xf numFmtId="0" fontId="8" fillId="0" borderId="9" xfId="3" applyFont="1" applyFill="1" applyBorder="1"/>
    <xf numFmtId="0" fontId="6" fillId="0" borderId="10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14" xfId="3" applyFont="1" applyFill="1" applyBorder="1"/>
    <xf numFmtId="42" fontId="6" fillId="0" borderId="16" xfId="3" applyNumberFormat="1" applyFont="1" applyFill="1" applyBorder="1"/>
    <xf numFmtId="44" fontId="6" fillId="0" borderId="14" xfId="3" applyNumberFormat="1" applyFont="1" applyFill="1" applyBorder="1"/>
    <xf numFmtId="0" fontId="8" fillId="0" borderId="17" xfId="3" applyFont="1" applyFill="1" applyBorder="1"/>
    <xf numFmtId="42" fontId="6" fillId="0" borderId="19" xfId="3" applyNumberFormat="1" applyFont="1" applyFill="1" applyBorder="1"/>
    <xf numFmtId="0" fontId="0" fillId="0" borderId="0" xfId="0" applyNumberFormat="1" applyFill="1"/>
    <xf numFmtId="0" fontId="6" fillId="0" borderId="8" xfId="3" applyFont="1" applyFill="1" applyBorder="1"/>
    <xf numFmtId="0" fontId="8" fillId="0" borderId="8" xfId="3" applyFont="1" applyFill="1" applyBorder="1"/>
    <xf numFmtId="0" fontId="6" fillId="0" borderId="15" xfId="3" applyFont="1" applyFill="1" applyBorder="1"/>
    <xf numFmtId="0" fontId="6" fillId="0" borderId="18" xfId="3" applyFont="1" applyFill="1" applyBorder="1"/>
    <xf numFmtId="0" fontId="3" fillId="0" borderId="15" xfId="0" applyFont="1" applyFill="1" applyBorder="1"/>
    <xf numFmtId="0" fontId="11" fillId="0" borderId="0" xfId="3" applyFont="1" applyFill="1" applyBorder="1" applyAlignment="1">
      <alignment horizontal="left"/>
    </xf>
    <xf numFmtId="0" fontId="11" fillId="0" borderId="8" xfId="3" applyFont="1" applyFill="1" applyBorder="1" applyAlignment="1">
      <alignment horizontal="left"/>
    </xf>
    <xf numFmtId="0" fontId="11" fillId="0" borderId="8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6" fillId="0" borderId="8" xfId="3" applyFont="1" applyBorder="1"/>
    <xf numFmtId="0" fontId="8" fillId="0" borderId="8" xfId="3" applyFont="1" applyBorder="1"/>
    <xf numFmtId="0" fontId="8" fillId="0" borderId="9" xfId="3" applyFont="1" applyBorder="1"/>
    <xf numFmtId="0" fontId="6" fillId="0" borderId="11" xfId="3" applyFont="1" applyBorder="1"/>
    <xf numFmtId="0" fontId="6" fillId="0" borderId="12" xfId="3" applyFont="1" applyBorder="1" applyAlignment="1">
      <alignment horizontal="center"/>
    </xf>
    <xf numFmtId="0" fontId="6" fillId="0" borderId="15" xfId="3" applyFont="1" applyBorder="1"/>
    <xf numFmtId="42" fontId="6" fillId="0" borderId="16" xfId="3" applyNumberFormat="1" applyFont="1" applyBorder="1"/>
    <xf numFmtId="165" fontId="8" fillId="0" borderId="9" xfId="3" applyNumberFormat="1" applyFont="1" applyBorder="1"/>
    <xf numFmtId="42" fontId="6" fillId="0" borderId="9" xfId="3" applyNumberFormat="1" applyFont="1" applyBorder="1"/>
    <xf numFmtId="0" fontId="6" fillId="0" borderId="18" xfId="3" applyFont="1" applyBorder="1"/>
    <xf numFmtId="42" fontId="6" fillId="0" borderId="19" xfId="3" applyNumberFormat="1" applyFont="1" applyBorder="1"/>
    <xf numFmtId="165" fontId="7" fillId="0" borderId="3" xfId="4" applyNumberFormat="1" applyFont="1" applyFill="1" applyBorder="1"/>
    <xf numFmtId="10" fontId="11" fillId="0" borderId="0" xfId="3" applyNumberFormat="1" applyFont="1" applyFill="1" applyBorder="1"/>
    <xf numFmtId="0" fontId="7" fillId="0" borderId="14" xfId="3" applyFont="1" applyBorder="1"/>
    <xf numFmtId="44" fontId="7" fillId="0" borderId="14" xfId="3" applyNumberFormat="1" applyFont="1" applyBorder="1"/>
    <xf numFmtId="42" fontId="7" fillId="0" borderId="16" xfId="3" applyNumberFormat="1" applyFont="1" applyBorder="1"/>
    <xf numFmtId="165" fontId="11" fillId="0" borderId="0" xfId="3" applyNumberFormat="1" applyFont="1" applyBorder="1"/>
    <xf numFmtId="4" fontId="11" fillId="0" borderId="0" xfId="3" applyNumberFormat="1" applyFont="1" applyFill="1" applyBorder="1"/>
    <xf numFmtId="42" fontId="11" fillId="0" borderId="9" xfId="3" applyNumberFormat="1" applyFont="1" applyBorder="1"/>
    <xf numFmtId="9" fontId="20" fillId="0" borderId="0" xfId="3" applyNumberFormat="1" applyFont="1" applyBorder="1"/>
    <xf numFmtId="165" fontId="11" fillId="0" borderId="9" xfId="3" applyNumberFormat="1" applyFont="1" applyBorder="1"/>
    <xf numFmtId="0" fontId="11" fillId="0" borderId="0" xfId="3" applyFont="1" applyBorder="1"/>
    <xf numFmtId="44" fontId="11" fillId="0" borderId="0" xfId="3" applyNumberFormat="1" applyFont="1" applyBorder="1"/>
    <xf numFmtId="0" fontId="11" fillId="0" borderId="0" xfId="3" applyFont="1" applyFill="1" applyBorder="1" applyAlignment="1">
      <alignment horizontal="right"/>
    </xf>
    <xf numFmtId="165" fontId="11" fillId="0" borderId="9" xfId="3" applyNumberFormat="1" applyFont="1" applyFill="1" applyBorder="1"/>
    <xf numFmtId="42" fontId="11" fillId="0" borderId="0" xfId="3" applyNumberFormat="1" applyFont="1" applyBorder="1"/>
    <xf numFmtId="4" fontId="11" fillId="0" borderId="0" xfId="3" applyNumberFormat="1" applyFont="1" applyBorder="1"/>
    <xf numFmtId="42" fontId="11" fillId="0" borderId="0" xfId="3" applyNumberFormat="1" applyFont="1" applyFill="1" applyBorder="1"/>
    <xf numFmtId="165" fontId="11" fillId="0" borderId="0" xfId="3" applyNumberFormat="1" applyFont="1" applyFill="1" applyBorder="1"/>
    <xf numFmtId="2" fontId="11" fillId="0" borderId="0" xfId="3" applyNumberFormat="1" applyFont="1" applyBorder="1"/>
    <xf numFmtId="165" fontId="11" fillId="0" borderId="0" xfId="1" applyNumberFormat="1" applyFont="1" applyBorder="1"/>
    <xf numFmtId="2" fontId="11" fillId="0" borderId="0" xfId="3" applyNumberFormat="1" applyFont="1" applyFill="1" applyBorder="1"/>
    <xf numFmtId="4" fontId="7" fillId="0" borderId="14" xfId="3" applyNumberFormat="1" applyFont="1" applyBorder="1"/>
    <xf numFmtId="0" fontId="7" fillId="0" borderId="0" xfId="3" applyFont="1" applyBorder="1"/>
    <xf numFmtId="0" fontId="11" fillId="0" borderId="9" xfId="3" applyFont="1" applyBorder="1"/>
    <xf numFmtId="10" fontId="11" fillId="0" borderId="0" xfId="3" applyNumberFormat="1" applyFont="1" applyBorder="1"/>
    <xf numFmtId="44" fontId="11" fillId="0" borderId="9" xfId="3" applyNumberFormat="1" applyFont="1" applyBorder="1"/>
    <xf numFmtId="165" fontId="7" fillId="3" borderId="4" xfId="4" applyNumberFormat="1" applyFont="1" applyFill="1" applyBorder="1"/>
    <xf numFmtId="0" fontId="11" fillId="0" borderId="15" xfId="3" applyFont="1" applyFill="1" applyBorder="1"/>
    <xf numFmtId="0" fontId="0" fillId="0" borderId="21" xfId="0" applyFont="1" applyBorder="1"/>
    <xf numFmtId="0" fontId="3" fillId="0" borderId="1" xfId="0" applyFont="1" applyBorder="1"/>
    <xf numFmtId="0" fontId="0" fillId="0" borderId="2" xfId="0" applyFont="1" applyBorder="1"/>
    <xf numFmtId="165" fontId="3" fillId="3" borderId="34" xfId="0" applyNumberFormat="1" applyFont="1" applyFill="1" applyBorder="1"/>
    <xf numFmtId="0" fontId="7" fillId="0" borderId="10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165" fontId="11" fillId="0" borderId="9" xfId="1" applyNumberFormat="1" applyFont="1" applyBorder="1"/>
    <xf numFmtId="0" fontId="6" fillId="0" borderId="24" xfId="3" applyFont="1" applyFill="1" applyBorder="1"/>
    <xf numFmtId="10" fontId="14" fillId="0" borderId="24" xfId="3" applyNumberFormat="1" applyFont="1" applyFill="1" applyBorder="1"/>
    <xf numFmtId="165" fontId="6" fillId="0" borderId="24" xfId="1" applyNumberFormat="1" applyFont="1" applyFill="1" applyBorder="1"/>
    <xf numFmtId="165" fontId="11" fillId="0" borderId="0" xfId="1" applyNumberFormat="1" applyFont="1" applyFill="1" applyBorder="1"/>
    <xf numFmtId="9" fontId="11" fillId="0" borderId="0" xfId="2" applyFont="1" applyFill="1" applyBorder="1"/>
    <xf numFmtId="44" fontId="20" fillId="0" borderId="0" xfId="1" applyFont="1" applyFill="1" applyBorder="1"/>
    <xf numFmtId="0" fontId="11" fillId="0" borderId="0" xfId="3" applyFont="1" applyFill="1" applyBorder="1"/>
    <xf numFmtId="44" fontId="11" fillId="0" borderId="0" xfId="3" applyNumberFormat="1" applyFont="1" applyFill="1" applyBorder="1"/>
    <xf numFmtId="0" fontId="7" fillId="0" borderId="14" xfId="3" applyFont="1" applyFill="1" applyBorder="1"/>
    <xf numFmtId="165" fontId="7" fillId="0" borderId="0" xfId="3" applyNumberFormat="1" applyFont="1" applyFill="1" applyBorder="1"/>
    <xf numFmtId="44" fontId="8" fillId="0" borderId="9" xfId="3" applyNumberFormat="1" applyFont="1" applyFill="1" applyBorder="1"/>
    <xf numFmtId="4" fontId="7" fillId="0" borderId="14" xfId="3" applyNumberFormat="1" applyFont="1" applyFill="1" applyBorder="1"/>
    <xf numFmtId="0" fontId="7" fillId="0" borderId="0" xfId="3" applyFont="1" applyFill="1" applyBorder="1"/>
    <xf numFmtId="165" fontId="8" fillId="0" borderId="9" xfId="1" applyNumberFormat="1" applyFont="1" applyFill="1" applyBorder="1"/>
    <xf numFmtId="165" fontId="0" fillId="0" borderId="0" xfId="1" applyNumberFormat="1" applyFont="1" applyFill="1"/>
    <xf numFmtId="0" fontId="19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70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wrapText="1"/>
    </xf>
    <xf numFmtId="0" fontId="32" fillId="0" borderId="0" xfId="0" applyFont="1"/>
    <xf numFmtId="9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0" fontId="33" fillId="0" borderId="6" xfId="0" applyFont="1" applyBorder="1"/>
    <xf numFmtId="167" fontId="33" fillId="0" borderId="35" xfId="0" applyNumberFormat="1" applyFont="1" applyBorder="1" applyAlignment="1">
      <alignment horizontal="center"/>
    </xf>
    <xf numFmtId="0" fontId="33" fillId="0" borderId="5" xfId="0" applyFont="1" applyBorder="1"/>
    <xf numFmtId="167" fontId="0" fillId="0" borderId="36" xfId="0" applyNumberFormat="1" applyBorder="1"/>
    <xf numFmtId="167" fontId="0" fillId="0" borderId="0" xfId="0" applyNumberFormat="1"/>
    <xf numFmtId="0" fontId="33" fillId="0" borderId="8" xfId="0" applyFont="1" applyBorder="1"/>
    <xf numFmtId="166" fontId="33" fillId="0" borderId="0" xfId="0" applyNumberFormat="1" applyFont="1" applyBorder="1" applyAlignment="1">
      <alignment horizontal="center"/>
    </xf>
    <xf numFmtId="166" fontId="33" fillId="0" borderId="0" xfId="0" applyNumberFormat="1" applyFont="1" applyFill="1" applyBorder="1" applyAlignment="1">
      <alignment horizontal="center"/>
    </xf>
    <xf numFmtId="0" fontId="33" fillId="0" borderId="0" xfId="0" applyFont="1" applyBorder="1"/>
    <xf numFmtId="166" fontId="0" fillId="0" borderId="37" xfId="0" applyNumberFormat="1" applyBorder="1"/>
    <xf numFmtId="167" fontId="33" fillId="0" borderId="35" xfId="0" applyNumberFormat="1" applyFont="1" applyFill="1" applyBorder="1" applyAlignment="1">
      <alignment horizontal="center"/>
    </xf>
    <xf numFmtId="0" fontId="33" fillId="0" borderId="21" xfId="0" applyFont="1" applyBorder="1"/>
    <xf numFmtId="166" fontId="33" fillId="0" borderId="24" xfId="0" applyNumberFormat="1" applyFont="1" applyBorder="1" applyAlignment="1">
      <alignment horizontal="center"/>
    </xf>
    <xf numFmtId="166" fontId="33" fillId="0" borderId="24" xfId="0" applyNumberFormat="1" applyFont="1" applyFill="1" applyBorder="1" applyAlignment="1">
      <alignment horizontal="center"/>
    </xf>
    <xf numFmtId="0" fontId="33" fillId="0" borderId="24" xfId="0" applyFont="1" applyBorder="1"/>
    <xf numFmtId="0" fontId="33" fillId="0" borderId="5" xfId="0" applyFont="1" applyFill="1" applyBorder="1"/>
    <xf numFmtId="167" fontId="30" fillId="0" borderId="0" xfId="0" applyNumberFormat="1" applyFont="1"/>
    <xf numFmtId="0" fontId="33" fillId="0" borderId="8" xfId="0" applyFont="1" applyBorder="1" applyAlignment="1">
      <alignment wrapText="1"/>
    </xf>
    <xf numFmtId="167" fontId="33" fillId="0" borderId="10" xfId="0" applyNumberFormat="1" applyFont="1" applyBorder="1" applyAlignment="1">
      <alignment horizontal="center"/>
    </xf>
    <xf numFmtId="167" fontId="33" fillId="0" borderId="10" xfId="0" applyNumberFormat="1" applyFont="1" applyFill="1" applyBorder="1" applyAlignment="1">
      <alignment horizontal="center"/>
    </xf>
    <xf numFmtId="167" fontId="0" fillId="0" borderId="38" xfId="0" applyNumberFormat="1" applyBorder="1"/>
    <xf numFmtId="0" fontId="33" fillId="0" borderId="0" xfId="0" applyFont="1" applyAlignment="1">
      <alignment horizontal="right" wrapText="1"/>
    </xf>
    <xf numFmtId="166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right"/>
    </xf>
    <xf numFmtId="10" fontId="33" fillId="0" borderId="0" xfId="0" applyNumberFormat="1" applyFont="1" applyAlignment="1">
      <alignment horizontal="center"/>
    </xf>
    <xf numFmtId="0" fontId="33" fillId="0" borderId="0" xfId="0" applyFont="1" applyFill="1" applyAlignment="1">
      <alignment horizontal="right"/>
    </xf>
    <xf numFmtId="10" fontId="0" fillId="0" borderId="0" xfId="2" applyNumberFormat="1" applyFont="1" applyFill="1"/>
    <xf numFmtId="165" fontId="6" fillId="3" borderId="22" xfId="4" applyNumberFormat="1" applyFont="1" applyFill="1" applyBorder="1"/>
    <xf numFmtId="0" fontId="20" fillId="0" borderId="8" xfId="0" applyFont="1" applyBorder="1" applyAlignment="1">
      <alignment horizontal="right"/>
    </xf>
    <xf numFmtId="10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right"/>
    </xf>
    <xf numFmtId="5" fontId="1" fillId="0" borderId="0" xfId="91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9" xfId="0" applyFont="1" applyFill="1" applyBorder="1" applyAlignment="1"/>
    <xf numFmtId="0" fontId="0" fillId="0" borderId="0" xfId="0" applyAlignment="1">
      <alignment horizontal="center" wrapText="1"/>
    </xf>
    <xf numFmtId="0" fontId="0" fillId="0" borderId="0" xfId="0" applyBorder="1"/>
    <xf numFmtId="0" fontId="53" fillId="0" borderId="0" xfId="0" applyFont="1" applyBorder="1"/>
    <xf numFmtId="0" fontId="54" fillId="0" borderId="0" xfId="0" applyFont="1" applyBorder="1" applyAlignment="1">
      <alignment horizontal="center"/>
    </xf>
    <xf numFmtId="0" fontId="54" fillId="0" borderId="0" xfId="0" applyFont="1" applyBorder="1"/>
    <xf numFmtId="0" fontId="54" fillId="0" borderId="0" xfId="0" applyFont="1" applyBorder="1" applyAlignment="1"/>
    <xf numFmtId="14" fontId="55" fillId="0" borderId="0" xfId="0" applyNumberFormat="1" applyFont="1" applyFill="1" applyBorder="1" applyAlignment="1">
      <alignment horizontal="left"/>
    </xf>
    <xf numFmtId="0" fontId="19" fillId="29" borderId="20" xfId="0" applyFont="1" applyFill="1" applyBorder="1" applyAlignment="1">
      <alignment horizontal="center" wrapText="1"/>
    </xf>
    <xf numFmtId="10" fontId="0" fillId="0" borderId="0" xfId="0" applyNumberFormat="1" applyBorder="1"/>
    <xf numFmtId="10" fontId="20" fillId="0" borderId="0" xfId="0" applyNumberFormat="1" applyFont="1" applyFill="1" applyBorder="1" applyAlignment="1"/>
    <xf numFmtId="10" fontId="20" fillId="0" borderId="9" xfId="0" applyNumberFormat="1" applyFont="1" applyFill="1" applyBorder="1" applyAlignment="1"/>
    <xf numFmtId="5" fontId="57" fillId="0" borderId="0" xfId="91" applyNumberFormat="1" applyFont="1" applyBorder="1" applyAlignment="1">
      <alignment horizontal="center"/>
    </xf>
    <xf numFmtId="171" fontId="1" fillId="0" borderId="0" xfId="92" applyNumberFormat="1" applyFont="1"/>
    <xf numFmtId="168" fontId="0" fillId="0" borderId="0" xfId="0" applyNumberFormat="1"/>
    <xf numFmtId="169" fontId="0" fillId="0" borderId="0" xfId="0" applyNumberFormat="1"/>
    <xf numFmtId="0" fontId="0" fillId="0" borderId="0" xfId="0" applyFill="1" applyAlignment="1">
      <alignment horizontal="center"/>
    </xf>
    <xf numFmtId="0" fontId="58" fillId="30" borderId="6" xfId="93" applyFont="1" applyFill="1" applyBorder="1"/>
    <xf numFmtId="0" fontId="58" fillId="30" borderId="5" xfId="93" applyFont="1" applyFill="1" applyBorder="1"/>
    <xf numFmtId="0" fontId="58" fillId="30" borderId="5" xfId="93" applyFont="1" applyFill="1" applyBorder="1" applyAlignment="1">
      <alignment horizontal="center"/>
    </xf>
    <xf numFmtId="164" fontId="58" fillId="30" borderId="7" xfId="93" applyNumberFormat="1" applyFont="1" applyFill="1" applyBorder="1" applyAlignment="1">
      <alignment horizontal="center"/>
    </xf>
    <xf numFmtId="164" fontId="58" fillId="0" borderId="0" xfId="93" applyNumberFormat="1" applyFont="1" applyFill="1" applyBorder="1" applyAlignment="1">
      <alignment horizontal="center"/>
    </xf>
    <xf numFmtId="0" fontId="59" fillId="30" borderId="8" xfId="93" applyFont="1" applyFill="1" applyBorder="1"/>
    <xf numFmtId="0" fontId="59" fillId="30" borderId="0" xfId="93" applyFont="1" applyFill="1" applyBorder="1" applyAlignment="1">
      <alignment horizontal="right"/>
    </xf>
    <xf numFmtId="0" fontId="59" fillId="30" borderId="9" xfId="93" applyFont="1" applyFill="1" applyBorder="1" applyAlignment="1">
      <alignment horizontal="center"/>
    </xf>
    <xf numFmtId="0" fontId="59" fillId="0" borderId="0" xfId="93" applyFont="1" applyFill="1" applyBorder="1" applyAlignment="1">
      <alignment horizontal="center"/>
    </xf>
    <xf numFmtId="0" fontId="60" fillId="0" borderId="0" xfId="0" applyFont="1"/>
    <xf numFmtId="0" fontId="59" fillId="30" borderId="11" xfId="93" applyFont="1" applyFill="1" applyBorder="1"/>
    <xf numFmtId="0" fontId="59" fillId="30" borderId="10" xfId="93" applyFont="1" applyFill="1" applyBorder="1" applyAlignment="1">
      <alignment horizontal="right"/>
    </xf>
    <xf numFmtId="1" fontId="59" fillId="30" borderId="12" xfId="93" applyNumberFormat="1" applyFont="1" applyFill="1" applyBorder="1" applyAlignment="1">
      <alignment horizontal="center"/>
    </xf>
    <xf numFmtId="1" fontId="59" fillId="0" borderId="0" xfId="93" applyNumberFormat="1" applyFont="1" applyFill="1" applyBorder="1" applyAlignment="1">
      <alignment horizontal="center"/>
    </xf>
    <xf numFmtId="0" fontId="59" fillId="30" borderId="11" xfId="93" applyFont="1" applyFill="1" applyBorder="1" applyAlignment="1">
      <alignment horizontal="left"/>
    </xf>
    <xf numFmtId="0" fontId="61" fillId="30" borderId="10" xfId="93" applyFont="1" applyFill="1" applyBorder="1" applyAlignment="1">
      <alignment horizontal="right"/>
    </xf>
    <xf numFmtId="0" fontId="59" fillId="30" borderId="12" xfId="93" applyFont="1" applyFill="1" applyBorder="1" applyAlignment="1">
      <alignment horizontal="center"/>
    </xf>
    <xf numFmtId="0" fontId="59" fillId="30" borderId="0" xfId="93" applyFont="1" applyFill="1" applyBorder="1"/>
    <xf numFmtId="1" fontId="59" fillId="30" borderId="9" xfId="93" applyNumberFormat="1" applyFont="1" applyFill="1" applyBorder="1" applyAlignment="1">
      <alignment horizontal="center"/>
    </xf>
    <xf numFmtId="0" fontId="59" fillId="30" borderId="21" xfId="93" applyFont="1" applyFill="1" applyBorder="1"/>
    <xf numFmtId="0" fontId="59" fillId="30" borderId="24" xfId="93" applyFont="1" applyFill="1" applyBorder="1"/>
    <xf numFmtId="0" fontId="59" fillId="30" borderId="24" xfId="93" applyFont="1" applyFill="1" applyBorder="1" applyAlignment="1">
      <alignment horizontal="right"/>
    </xf>
    <xf numFmtId="1" fontId="59" fillId="30" borderId="22" xfId="93" applyNumberFormat="1" applyFont="1" applyFill="1" applyBorder="1" applyAlignment="1">
      <alignment horizontal="center"/>
    </xf>
    <xf numFmtId="0" fontId="59" fillId="30" borderId="22" xfId="93" applyFon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2" fontId="0" fillId="0" borderId="0" xfId="0" applyNumberFormat="1" applyFill="1" applyBorder="1" applyAlignment="1">
      <alignment horizontal="center"/>
    </xf>
    <xf numFmtId="166" fontId="20" fillId="0" borderId="0" xfId="0" applyNumberFormat="1" applyFont="1" applyBorder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37" fontId="1" fillId="0" borderId="0" xfId="16" applyNumberFormat="1" applyFont="1" applyBorder="1" applyAlignment="1">
      <alignment horizontal="center"/>
    </xf>
    <xf numFmtId="37" fontId="1" fillId="0" borderId="0" xfId="16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59" fillId="30" borderId="0" xfId="93" applyFont="1" applyFill="1" applyBorder="1" applyAlignment="1">
      <alignment horizontal="center"/>
    </xf>
    <xf numFmtId="1" fontId="59" fillId="30" borderId="10" xfId="93" applyNumberFormat="1" applyFont="1" applyFill="1" applyBorder="1" applyAlignment="1">
      <alignment horizontal="center"/>
    </xf>
    <xf numFmtId="0" fontId="20" fillId="0" borderId="0" xfId="0" applyFont="1" applyFill="1"/>
    <xf numFmtId="0" fontId="0" fillId="0" borderId="0" xfId="0" applyFill="1" applyAlignment="1">
      <alignment horizontal="center" wrapText="1"/>
    </xf>
    <xf numFmtId="7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67" fontId="20" fillId="0" borderId="10" xfId="0" applyNumberFormat="1" applyFont="1" applyFill="1" applyBorder="1" applyAlignment="1">
      <alignment horizontal="center"/>
    </xf>
    <xf numFmtId="10" fontId="20" fillId="0" borderId="10" xfId="0" applyNumberFormat="1" applyFont="1" applyFill="1" applyBorder="1" applyAlignment="1"/>
    <xf numFmtId="0" fontId="20" fillId="0" borderId="6" xfId="0" applyFont="1" applyBorder="1"/>
    <xf numFmtId="0" fontId="20" fillId="0" borderId="11" xfId="0" applyFont="1" applyFill="1" applyBorder="1" applyAlignment="1">
      <alignment horizontal="right"/>
    </xf>
    <xf numFmtId="10" fontId="20" fillId="0" borderId="12" xfId="0" applyNumberFormat="1" applyFont="1" applyFill="1" applyBorder="1" applyAlignment="1"/>
    <xf numFmtId="0" fontId="56" fillId="0" borderId="8" xfId="0" applyFont="1" applyBorder="1" applyAlignment="1">
      <alignment horizontal="right"/>
    </xf>
    <xf numFmtId="5" fontId="57" fillId="0" borderId="9" xfId="91" applyNumberFormat="1" applyFont="1" applyBorder="1" applyAlignment="1">
      <alignment horizontal="center"/>
    </xf>
    <xf numFmtId="0" fontId="0" fillId="0" borderId="8" xfId="0" applyBorder="1"/>
    <xf numFmtId="171" fontId="1" fillId="0" borderId="0" xfId="92" applyNumberFormat="1" applyFont="1" applyBorder="1"/>
    <xf numFmtId="168" fontId="0" fillId="0" borderId="0" xfId="0" applyNumberFormat="1" applyBorder="1" applyAlignment="1">
      <alignment wrapText="1"/>
    </xf>
    <xf numFmtId="168" fontId="0" fillId="0" borderId="0" xfId="0" applyNumberFormat="1" applyBorder="1"/>
    <xf numFmtId="168" fontId="0" fillId="0" borderId="9" xfId="0" applyNumberFormat="1" applyBorder="1"/>
    <xf numFmtId="167" fontId="20" fillId="0" borderId="24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right"/>
    </xf>
    <xf numFmtId="7" fontId="3" fillId="0" borderId="20" xfId="92" applyNumberFormat="1" applyFont="1" applyBorder="1" applyAlignment="1">
      <alignment horizontal="center"/>
    </xf>
    <xf numFmtId="168" fontId="0" fillId="0" borderId="20" xfId="0" applyNumberFormat="1" applyBorder="1"/>
    <xf numFmtId="168" fontId="0" fillId="0" borderId="4" xfId="0" applyNumberFormat="1" applyBorder="1"/>
    <xf numFmtId="10" fontId="7" fillId="0" borderId="0" xfId="3" applyNumberFormat="1" applyFont="1" applyBorder="1"/>
    <xf numFmtId="0" fontId="7" fillId="0" borderId="0" xfId="3" applyFont="1" applyBorder="1" applyAlignment="1">
      <alignment horizontal="right"/>
    </xf>
    <xf numFmtId="165" fontId="30" fillId="0" borderId="0" xfId="1" applyNumberFormat="1" applyFont="1"/>
    <xf numFmtId="0" fontId="69" fillId="31" borderId="5" xfId="15" applyFont="1" applyFill="1" applyBorder="1"/>
    <xf numFmtId="0" fontId="70" fillId="31" borderId="7" xfId="15" applyFont="1" applyFill="1" applyBorder="1"/>
    <xf numFmtId="0" fontId="23" fillId="0" borderId="0" xfId="15"/>
    <xf numFmtId="0" fontId="70" fillId="31" borderId="0" xfId="15" applyFont="1" applyFill="1" applyBorder="1"/>
    <xf numFmtId="0" fontId="71" fillId="31" borderId="9" xfId="15" applyFont="1" applyFill="1" applyBorder="1"/>
    <xf numFmtId="0" fontId="72" fillId="31" borderId="24" xfId="15" applyFont="1" applyFill="1" applyBorder="1"/>
    <xf numFmtId="0" fontId="71" fillId="31" borderId="22" xfId="15" applyFont="1" applyFill="1" applyBorder="1"/>
    <xf numFmtId="0" fontId="71" fillId="0" borderId="0" xfId="15" applyFont="1"/>
    <xf numFmtId="0" fontId="73" fillId="32" borderId="0" xfId="10" applyFont="1" applyFill="1"/>
    <xf numFmtId="0" fontId="73" fillId="33" borderId="0" xfId="10" applyFont="1" applyFill="1"/>
    <xf numFmtId="0" fontId="73" fillId="34" borderId="0" xfId="10" applyFont="1" applyFill="1"/>
    <xf numFmtId="0" fontId="73" fillId="35" borderId="0" xfId="10" applyFont="1" applyFill="1"/>
    <xf numFmtId="14" fontId="71" fillId="0" borderId="0" xfId="15" applyNumberFormat="1" applyFont="1"/>
    <xf numFmtId="168" fontId="23" fillId="0" borderId="0" xfId="15" applyNumberFormat="1"/>
    <xf numFmtId="0" fontId="23" fillId="0" borderId="54" xfId="15" applyBorder="1"/>
    <xf numFmtId="0" fontId="23" fillId="0" borderId="55" xfId="15" applyBorder="1"/>
    <xf numFmtId="0" fontId="23" fillId="0" borderId="56" xfId="15" applyBorder="1"/>
    <xf numFmtId="0" fontId="23" fillId="0" borderId="57" xfId="15" applyBorder="1"/>
    <xf numFmtId="0" fontId="23" fillId="0" borderId="58" xfId="15" applyBorder="1"/>
    <xf numFmtId="0" fontId="23" fillId="0" borderId="59" xfId="15" applyBorder="1"/>
    <xf numFmtId="0" fontId="23" fillId="0" borderId="60" xfId="15" applyBorder="1"/>
    <xf numFmtId="0" fontId="23" fillId="0" borderId="61" xfId="15" applyBorder="1"/>
    <xf numFmtId="2" fontId="23" fillId="0" borderId="0" xfId="15" applyNumberFormat="1"/>
    <xf numFmtId="0" fontId="71" fillId="0" borderId="0" xfId="8" applyFont="1"/>
    <xf numFmtId="0" fontId="17" fillId="0" borderId="0" xfId="8"/>
    <xf numFmtId="0" fontId="74" fillId="0" borderId="0" xfId="8" applyFont="1"/>
    <xf numFmtId="0" fontId="75" fillId="0" borderId="0" xfId="8" applyFont="1"/>
    <xf numFmtId="0" fontId="17" fillId="0" borderId="62" xfId="8" applyBorder="1"/>
    <xf numFmtId="0" fontId="17" fillId="0" borderId="13" xfId="8" applyBorder="1"/>
    <xf numFmtId="0" fontId="17" fillId="0" borderId="52" xfId="8" applyBorder="1"/>
    <xf numFmtId="0" fontId="17" fillId="0" borderId="63" xfId="8" applyBorder="1"/>
    <xf numFmtId="0" fontId="17" fillId="0" borderId="0" xfId="8" applyBorder="1" applyAlignment="1">
      <alignment horizontal="right"/>
    </xf>
    <xf numFmtId="0" fontId="17" fillId="0" borderId="0" xfId="8" applyBorder="1"/>
    <xf numFmtId="0" fontId="17" fillId="0" borderId="53" xfId="8" applyBorder="1"/>
    <xf numFmtId="174" fontId="23" fillId="0" borderId="0" xfId="15" applyNumberFormat="1"/>
    <xf numFmtId="0" fontId="76" fillId="0" borderId="53" xfId="8" applyFont="1" applyBorder="1" applyAlignment="1">
      <alignment horizontal="center"/>
    </xf>
    <xf numFmtId="168" fontId="23" fillId="0" borderId="55" xfId="15" applyNumberFormat="1" applyBorder="1"/>
    <xf numFmtId="0" fontId="17" fillId="0" borderId="64" xfId="8" applyBorder="1"/>
    <xf numFmtId="168" fontId="17" fillId="0" borderId="53" xfId="8" applyNumberFormat="1" applyBorder="1" applyAlignment="1">
      <alignment horizontal="center"/>
    </xf>
    <xf numFmtId="0" fontId="17" fillId="0" borderId="53" xfId="8" applyBorder="1" applyAlignment="1">
      <alignment horizontal="center"/>
    </xf>
    <xf numFmtId="0" fontId="23" fillId="0" borderId="65" xfId="15" applyBorder="1"/>
    <xf numFmtId="168" fontId="23" fillId="0" borderId="56" xfId="15" applyNumberFormat="1" applyBorder="1"/>
    <xf numFmtId="168" fontId="23" fillId="0" borderId="57" xfId="15" applyNumberFormat="1" applyBorder="1"/>
    <xf numFmtId="168" fontId="23" fillId="0" borderId="58" xfId="15" applyNumberFormat="1" applyBorder="1"/>
    <xf numFmtId="0" fontId="71" fillId="3" borderId="0" xfId="8" applyFont="1" applyFill="1" applyBorder="1" applyAlignment="1">
      <alignment horizontal="right"/>
    </xf>
    <xf numFmtId="10" fontId="71" fillId="3" borderId="53" xfId="11" applyNumberFormat="1" applyFont="1" applyFill="1" applyBorder="1" applyAlignment="1">
      <alignment horizontal="center"/>
    </xf>
    <xf numFmtId="0" fontId="17" fillId="0" borderId="66" xfId="8" applyBorder="1"/>
    <xf numFmtId="0" fontId="17" fillId="0" borderId="10" xfId="8" applyBorder="1"/>
    <xf numFmtId="0" fontId="17" fillId="0" borderId="67" xfId="8" applyBorder="1"/>
    <xf numFmtId="0" fontId="7" fillId="0" borderId="15" xfId="3" applyFont="1" applyBorder="1"/>
    <xf numFmtId="0" fontId="7" fillId="0" borderId="8" xfId="3" applyFont="1" applyBorder="1"/>
    <xf numFmtId="0" fontId="11" fillId="0" borderId="8" xfId="3" applyFont="1" applyBorder="1"/>
    <xf numFmtId="167" fontId="0" fillId="0" borderId="36" xfId="0" applyNumberFormat="1" applyBorder="1" applyAlignment="1">
      <alignment horizontal="right" vertical="center"/>
    </xf>
    <xf numFmtId="167" fontId="0" fillId="0" borderId="37" xfId="0" applyNumberFormat="1" applyBorder="1" applyAlignment="1">
      <alignment horizontal="right" vertical="center"/>
    </xf>
    <xf numFmtId="0" fontId="33" fillId="0" borderId="5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top" wrapText="1"/>
    </xf>
    <xf numFmtId="0" fontId="33" fillId="0" borderId="24" xfId="0" applyFont="1" applyBorder="1" applyAlignment="1">
      <alignment vertical="top" wrapText="1"/>
    </xf>
    <xf numFmtId="0" fontId="12" fillId="0" borderId="8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11" fillId="0" borderId="8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0" fillId="0" borderId="8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0" fontId="6" fillId="0" borderId="23" xfId="3" applyFont="1" applyFill="1" applyBorder="1" applyAlignment="1">
      <alignment horizontal="left"/>
    </xf>
    <xf numFmtId="0" fontId="6" fillId="0" borderId="13" xfId="3" applyFont="1" applyFill="1" applyBorder="1" applyAlignment="1">
      <alignment horizontal="left"/>
    </xf>
    <xf numFmtId="0" fontId="12" fillId="0" borderId="8" xfId="3" applyFont="1" applyBorder="1" applyAlignment="1">
      <alignment horizontal="left"/>
    </xf>
    <xf numFmtId="0" fontId="12" fillId="0" borderId="0" xfId="3" applyFont="1" applyBorder="1" applyAlignment="1">
      <alignment horizontal="left"/>
    </xf>
    <xf numFmtId="0" fontId="8" fillId="0" borderId="8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10" fillId="0" borderId="8" xfId="3" applyFont="1" applyBorder="1" applyAlignment="1">
      <alignment horizontal="left"/>
    </xf>
    <xf numFmtId="0" fontId="10" fillId="0" borderId="0" xfId="3" applyFont="1" applyBorder="1" applyAlignment="1">
      <alignment horizontal="left"/>
    </xf>
    <xf numFmtId="0" fontId="5" fillId="2" borderId="3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2" fillId="28" borderId="0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164" fontId="7" fillId="0" borderId="8" xfId="3" applyNumberFormat="1" applyFont="1" applyBorder="1" applyAlignment="1">
      <alignment horizontal="left"/>
    </xf>
    <xf numFmtId="164" fontId="7" fillId="0" borderId="0" xfId="3" applyNumberFormat="1" applyFont="1" applyBorder="1" applyAlignment="1">
      <alignment horizontal="left"/>
    </xf>
    <xf numFmtId="0" fontId="6" fillId="0" borderId="23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3" fillId="0" borderId="31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52" fillId="0" borderId="0" xfId="0" applyFont="1" applyBorder="1" applyAlignment="1">
      <alignment horizontal="left"/>
    </xf>
    <xf numFmtId="0" fontId="54" fillId="0" borderId="0" xfId="0" applyFont="1" applyBorder="1" applyAlignment="1">
      <alignment horizontal="center"/>
    </xf>
    <xf numFmtId="0" fontId="20" fillId="0" borderId="0" xfId="0" applyFont="1" applyFill="1" applyBorder="1" applyAlignment="1"/>
    <xf numFmtId="0" fontId="20" fillId="0" borderId="9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left"/>
    </xf>
    <xf numFmtId="10" fontId="20" fillId="0" borderId="9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63" xfId="8" applyBorder="1" applyAlignment="1">
      <alignment horizontal="right"/>
    </xf>
    <xf numFmtId="0" fontId="17" fillId="0" borderId="0" xfId="8" applyBorder="1" applyAlignment="1">
      <alignment horizontal="right"/>
    </xf>
    <xf numFmtId="10" fontId="77" fillId="0" borderId="0" xfId="0" applyNumberFormat="1" applyFont="1" applyFill="1" applyBorder="1" applyAlignment="1">
      <alignment horizontal="left"/>
    </xf>
    <xf numFmtId="10" fontId="77" fillId="0" borderId="9" xfId="0" applyNumberFormat="1" applyFont="1" applyFill="1" applyBorder="1" applyAlignment="1">
      <alignment horizontal="left"/>
    </xf>
    <xf numFmtId="0" fontId="19" fillId="29" borderId="3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20" fillId="29" borderId="4" xfId="0" applyFont="1" applyFill="1" applyBorder="1" applyAlignment="1"/>
  </cellXfs>
  <cellStyles count="30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Bad 3" xfId="94"/>
    <cellStyle name="Body: normal cell" xfId="95"/>
    <cellStyle name="Calculation 2" xfId="42"/>
    <cellStyle name="Calculation 2 2" xfId="96"/>
    <cellStyle name="Calculation 2 3" xfId="97"/>
    <cellStyle name="Check Cell 2" xfId="43"/>
    <cellStyle name="Comma" xfId="16" builtinId="3"/>
    <cellStyle name="Comma [0] 2" xfId="98"/>
    <cellStyle name="Comma 10" xfId="99"/>
    <cellStyle name="Comma 11" xfId="100"/>
    <cellStyle name="Comma 2" xfId="5"/>
    <cellStyle name="Comma 2 2" xfId="101"/>
    <cellStyle name="Comma 2 2 2" xfId="102"/>
    <cellStyle name="Comma 2 3" xfId="103"/>
    <cellStyle name="Comma 3" xfId="44"/>
    <cellStyle name="Comma 3 2" xfId="45"/>
    <cellStyle name="Comma 3 3" xfId="104"/>
    <cellStyle name="Comma 3 4" xfId="105"/>
    <cellStyle name="Comma 4" xfId="46"/>
    <cellStyle name="Comma 4 2" xfId="106"/>
    <cellStyle name="Comma 5" xfId="47"/>
    <cellStyle name="Comma 5 2" xfId="107"/>
    <cellStyle name="Comma 5 3" xfId="108"/>
    <cellStyle name="Comma 6" xfId="48"/>
    <cellStyle name="Comma 6 2" xfId="109"/>
    <cellStyle name="Comma 7" xfId="110"/>
    <cellStyle name="Comma 7 2" xfId="111"/>
    <cellStyle name="Comma 8" xfId="112"/>
    <cellStyle name="Comma 9" xfId="113"/>
    <cellStyle name="Currency" xfId="1" builtinId="4"/>
    <cellStyle name="Currency [0] 2" xfId="114"/>
    <cellStyle name="Currency 10" xfId="115"/>
    <cellStyle name="Currency 11" xfId="116"/>
    <cellStyle name="Currency 12" xfId="117"/>
    <cellStyle name="Currency 13" xfId="118"/>
    <cellStyle name="Currency 14" xfId="119"/>
    <cellStyle name="Currency 15" xfId="120"/>
    <cellStyle name="Currency 16" xfId="121"/>
    <cellStyle name="Currency 17" xfId="122"/>
    <cellStyle name="Currency 18" xfId="123"/>
    <cellStyle name="Currency 19" xfId="124"/>
    <cellStyle name="Currency 2" xfId="49"/>
    <cellStyle name="Currency 2 2" xfId="6"/>
    <cellStyle name="Currency 2 2 2" xfId="91"/>
    <cellStyle name="Currency 2 2 2 2" xfId="125"/>
    <cellStyle name="Currency 2 2 2 3" xfId="126"/>
    <cellStyle name="Currency 2 3" xfId="127"/>
    <cellStyle name="Currency 2 4" xfId="128"/>
    <cellStyle name="Currency 2 4 2" xfId="92"/>
    <cellStyle name="Currency 2 5" xfId="129"/>
    <cellStyle name="Currency 20" xfId="130"/>
    <cellStyle name="Currency 21" xfId="131"/>
    <cellStyle name="Currency 22" xfId="132"/>
    <cellStyle name="Currency 23" xfId="133"/>
    <cellStyle name="Currency 24" xfId="134"/>
    <cellStyle name="Currency 25" xfId="135"/>
    <cellStyle name="Currency 26" xfId="136"/>
    <cellStyle name="Currency 27" xfId="137"/>
    <cellStyle name="Currency 28" xfId="138"/>
    <cellStyle name="Currency 29" xfId="139"/>
    <cellStyle name="Currency 3" xfId="50"/>
    <cellStyle name="Currency 3 2" xfId="51"/>
    <cellStyle name="Currency 3 3" xfId="52"/>
    <cellStyle name="Currency 3 4" xfId="140"/>
    <cellStyle name="Currency 3 5" xfId="141"/>
    <cellStyle name="Currency 30" xfId="142"/>
    <cellStyle name="Currency 31" xfId="143"/>
    <cellStyle name="Currency 32" xfId="144"/>
    <cellStyle name="Currency 33" xfId="145"/>
    <cellStyle name="Currency 34" xfId="146"/>
    <cellStyle name="Currency 35" xfId="147"/>
    <cellStyle name="Currency 36" xfId="148"/>
    <cellStyle name="Currency 37" xfId="149"/>
    <cellStyle name="Currency 38" xfId="150"/>
    <cellStyle name="Currency 39" xfId="151"/>
    <cellStyle name="Currency 4" xfId="53"/>
    <cellStyle name="Currency 4 2" xfId="4"/>
    <cellStyle name="Currency 4 2 2" xfId="152"/>
    <cellStyle name="Currency 4 2 2 2" xfId="153"/>
    <cellStyle name="Currency 4 2 2 3" xfId="154"/>
    <cellStyle name="Currency 4 2 3" xfId="155"/>
    <cellStyle name="Currency 4 3" xfId="156"/>
    <cellStyle name="Currency 4 3 2" xfId="157"/>
    <cellStyle name="Currency 4 3 3" xfId="158"/>
    <cellStyle name="Currency 4 4" xfId="159"/>
    <cellStyle name="Currency 4 5" xfId="160"/>
    <cellStyle name="Currency 40" xfId="161"/>
    <cellStyle name="Currency 41" xfId="162"/>
    <cellStyle name="Currency 42" xfId="163"/>
    <cellStyle name="Currency 43" xfId="164"/>
    <cellStyle name="Currency 44" xfId="165"/>
    <cellStyle name="Currency 45" xfId="166"/>
    <cellStyle name="Currency 46" xfId="167"/>
    <cellStyle name="Currency 5" xfId="14"/>
    <cellStyle name="Currency 5 2" xfId="54"/>
    <cellStyle name="Currency 5 2 2" xfId="168"/>
    <cellStyle name="Currency 5 3" xfId="169"/>
    <cellStyle name="Currency 5 3 2" xfId="170"/>
    <cellStyle name="Currency 5 3 3" xfId="171"/>
    <cellStyle name="Currency 5 4" xfId="172"/>
    <cellStyle name="Currency 5 5" xfId="173"/>
    <cellStyle name="Currency 5 6" xfId="174"/>
    <cellStyle name="Currency 6" xfId="175"/>
    <cellStyle name="Currency 6 2" xfId="176"/>
    <cellStyle name="Currency 6 3" xfId="177"/>
    <cellStyle name="Currency 7" xfId="55"/>
    <cellStyle name="Currency 7 2" xfId="178"/>
    <cellStyle name="Currency 7 3" xfId="179"/>
    <cellStyle name="Currency 8" xfId="180"/>
    <cellStyle name="Currency 8 2" xfId="181"/>
    <cellStyle name="Currency 9" xfId="182"/>
    <cellStyle name="Explanatory Text 2" xfId="56"/>
    <cellStyle name="Explanatory Text 2 2" xfId="183"/>
    <cellStyle name="Explanatory Text 2 3" xfId="184"/>
    <cellStyle name="Font: Calibri, 9pt regular" xfId="185"/>
    <cellStyle name="Footnotes: top row" xfId="186"/>
    <cellStyle name="Good 2" xfId="57"/>
    <cellStyle name="Header: bottom row" xfId="187"/>
    <cellStyle name="Heading 1 2" xfId="58"/>
    <cellStyle name="Heading 1 2 2" xfId="188"/>
    <cellStyle name="Heading 1 2 3" xfId="189"/>
    <cellStyle name="Heading 2 2" xfId="59"/>
    <cellStyle name="Heading 2 2 2" xfId="190"/>
    <cellStyle name="Heading 2 2 3" xfId="191"/>
    <cellStyle name="Heading 3 2" xfId="60"/>
    <cellStyle name="Heading 3 2 2" xfId="192"/>
    <cellStyle name="Heading 3 2 3" xfId="193"/>
    <cellStyle name="Heading 4 2" xfId="61"/>
    <cellStyle name="Heading 4 2 2" xfId="194"/>
    <cellStyle name="Heading 4 2 3" xfId="195"/>
    <cellStyle name="Hyperlink 2" xfId="196"/>
    <cellStyle name="Input 2" xfId="62"/>
    <cellStyle name="Input 2 2" xfId="197"/>
    <cellStyle name="Input 2 3" xfId="198"/>
    <cellStyle name="Linked Cell 2" xfId="63"/>
    <cellStyle name="Linked Cell 2 2" xfId="199"/>
    <cellStyle name="Linked Cell 2 3" xfId="200"/>
    <cellStyle name="Neutral 2" xfId="64"/>
    <cellStyle name="Normal" xfId="0" builtinId="0"/>
    <cellStyle name="Normal 10" xfId="201"/>
    <cellStyle name="Normal 10 2" xfId="202"/>
    <cellStyle name="Normal 10 3" xfId="203"/>
    <cellStyle name="Normal 10 3 2" xfId="204"/>
    <cellStyle name="Normal 11" xfId="205"/>
    <cellStyle name="Normal 11 2" xfId="206"/>
    <cellStyle name="Normal 11 2 2" xfId="207"/>
    <cellStyle name="Normal 12" xfId="65"/>
    <cellStyle name="Normal 13" xfId="208"/>
    <cellStyle name="Normal 13 2" xfId="209"/>
    <cellStyle name="Normal 14" xfId="210"/>
    <cellStyle name="Normal 14 2" xfId="211"/>
    <cellStyle name="Normal 15" xfId="212"/>
    <cellStyle name="Normal 16" xfId="213"/>
    <cellStyle name="Normal 17" xfId="66"/>
    <cellStyle name="Normal 17 2" xfId="214"/>
    <cellStyle name="Normal 18" xfId="215"/>
    <cellStyle name="Normal 19" xfId="216"/>
    <cellStyle name="Normal 2" xfId="7"/>
    <cellStyle name="Normal 2 2" xfId="3"/>
    <cellStyle name="Normal 2 2 2" xfId="67"/>
    <cellStyle name="Normal 2 2 3" xfId="217"/>
    <cellStyle name="Normal 2 3" xfId="68"/>
    <cellStyle name="Normal 2 3 2" xfId="218"/>
    <cellStyle name="Normal 2 4" xfId="69"/>
    <cellStyle name="Normal 2 4 2" xfId="219"/>
    <cellStyle name="Normal 2 4 3" xfId="220"/>
    <cellStyle name="Normal 2 5" xfId="221"/>
    <cellStyle name="Normal 2 5 2" xfId="222"/>
    <cellStyle name="Normal 20" xfId="223"/>
    <cellStyle name="Normal 21" xfId="224"/>
    <cellStyle name="Normal 22" xfId="225"/>
    <cellStyle name="Normal 23" xfId="226"/>
    <cellStyle name="Normal 23 2" xfId="227"/>
    <cellStyle name="Normal 3" xfId="15"/>
    <cellStyle name="Normal 3 2" xfId="70"/>
    <cellStyle name="Normal 3 2 2" xfId="228"/>
    <cellStyle name="Normal 3 2 3" xfId="229"/>
    <cellStyle name="Normal 3 2 4" xfId="230"/>
    <cellStyle name="Normal 3 3" xfId="71"/>
    <cellStyle name="Normal 3 3 2" xfId="231"/>
    <cellStyle name="Normal 3 4" xfId="232"/>
    <cellStyle name="Normal 3 4 2" xfId="233"/>
    <cellStyle name="Normal 3 5" xfId="234"/>
    <cellStyle name="Normal 3 9" xfId="72"/>
    <cellStyle name="Normal 4" xfId="8"/>
    <cellStyle name="Normal 4 2" xfId="73"/>
    <cellStyle name="Normal 4 2 2" xfId="74"/>
    <cellStyle name="Normal 4 2 2 2" xfId="235"/>
    <cellStyle name="Normal 4 2 2 3" xfId="236"/>
    <cellStyle name="Normal 4 2 3" xfId="237"/>
    <cellStyle name="Normal 4 2 3 2" xfId="238"/>
    <cellStyle name="Normal 4 3" xfId="239"/>
    <cellStyle name="Normal 4 3 2" xfId="240"/>
    <cellStyle name="Normal 4 3 3" xfId="241"/>
    <cellStyle name="Normal 4 4" xfId="242"/>
    <cellStyle name="Normal 5" xfId="9"/>
    <cellStyle name="Normal 5 2" xfId="75"/>
    <cellStyle name="Normal 6" xfId="76"/>
    <cellStyle name="Normal 6 2" xfId="10"/>
    <cellStyle name="Normal 6 2 2" xfId="77"/>
    <cellStyle name="Normal 6 2 2 2" xfId="243"/>
    <cellStyle name="Normal 6 2 3" xfId="244"/>
    <cellStyle name="Normal 6 2 4" xfId="245"/>
    <cellStyle name="Normal 6 3" xfId="78"/>
    <cellStyle name="Normal 6 4" xfId="246"/>
    <cellStyle name="Normal 7" xfId="247"/>
    <cellStyle name="Normal 7 2" xfId="248"/>
    <cellStyle name="Normal 7 3" xfId="249"/>
    <cellStyle name="Normal 8" xfId="250"/>
    <cellStyle name="Normal 8 2" xfId="93"/>
    <cellStyle name="Normal 8 3" xfId="251"/>
    <cellStyle name="Normal 8 4" xfId="252"/>
    <cellStyle name="Normal 8 5" xfId="253"/>
    <cellStyle name="Normal 9" xfId="254"/>
    <cellStyle name="Normal 9 2" xfId="79"/>
    <cellStyle name="Normal 9 2 2" xfId="255"/>
    <cellStyle name="Normal 9 2 3" xfId="256"/>
    <cellStyle name="Normal 9 3" xfId="257"/>
    <cellStyle name="Note 2" xfId="80"/>
    <cellStyle name="Note 2 2" xfId="81"/>
    <cellStyle name="Note 2 3" xfId="258"/>
    <cellStyle name="Output 2" xfId="82"/>
    <cellStyle name="Output 2 2" xfId="259"/>
    <cellStyle name="Output 2 3" xfId="260"/>
    <cellStyle name="Parent row" xfId="261"/>
    <cellStyle name="Percent" xfId="2" builtinId="5"/>
    <cellStyle name="Percent 10" xfId="262"/>
    <cellStyle name="Percent 10 2" xfId="263"/>
    <cellStyle name="Percent 11" xfId="264"/>
    <cellStyle name="Percent 2" xfId="11"/>
    <cellStyle name="Percent 2 2" xfId="83"/>
    <cellStyle name="Percent 2 2 2" xfId="265"/>
    <cellStyle name="Percent 2 2 3" xfId="266"/>
    <cellStyle name="Percent 2 3" xfId="267"/>
    <cellStyle name="Percent 2 4" xfId="268"/>
    <cellStyle name="Percent 2 5" xfId="269"/>
    <cellStyle name="Percent 3" xfId="12"/>
    <cellStyle name="Percent 3 2" xfId="270"/>
    <cellStyle name="Percent 3 2 2" xfId="271"/>
    <cellStyle name="Percent 3 2 3" xfId="272"/>
    <cellStyle name="Percent 3 3" xfId="273"/>
    <cellStyle name="Percent 4" xfId="13"/>
    <cellStyle name="Percent 4 2" xfId="84"/>
    <cellStyle name="Percent 4 2 2" xfId="274"/>
    <cellStyle name="Percent 4 2 3" xfId="275"/>
    <cellStyle name="Percent 4 3" xfId="276"/>
    <cellStyle name="Percent 4 3 2" xfId="277"/>
    <cellStyle name="Percent 5" xfId="85"/>
    <cellStyle name="Percent 5 2" xfId="278"/>
    <cellStyle name="Percent 5 2 2" xfId="279"/>
    <cellStyle name="Percent 5 3" xfId="280"/>
    <cellStyle name="Percent 5 4" xfId="281"/>
    <cellStyle name="Percent 5 5" xfId="282"/>
    <cellStyle name="Percent 6" xfId="86"/>
    <cellStyle name="Percent 6 2" xfId="283"/>
    <cellStyle name="Percent 6 3" xfId="284"/>
    <cellStyle name="Percent 6 4" xfId="285"/>
    <cellStyle name="Percent 7" xfId="286"/>
    <cellStyle name="Percent 7 2" xfId="287"/>
    <cellStyle name="Percent 7 3" xfId="288"/>
    <cellStyle name="Percent 7 4" xfId="289"/>
    <cellStyle name="Percent 8" xfId="290"/>
    <cellStyle name="Percent 8 2" xfId="291"/>
    <cellStyle name="Percent 8 3" xfId="292"/>
    <cellStyle name="Percent 9" xfId="293"/>
    <cellStyle name="Percent 9 2" xfId="294"/>
    <cellStyle name="Table title" xfId="295"/>
    <cellStyle name="Title 2" xfId="87"/>
    <cellStyle name="Title 2 2" xfId="88"/>
    <cellStyle name="Title 2 3" xfId="296"/>
    <cellStyle name="Total 2" xfId="89"/>
    <cellStyle name="Total 2 2" xfId="297"/>
    <cellStyle name="Total 2 3" xfId="298"/>
    <cellStyle name="Warning Text 2" xfId="90"/>
    <cellStyle name="Warning Text 2 2" xfId="299"/>
    <cellStyle name="Warning Text 2 3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evelopmental%20and%20Support%20Services-%20CMR%20424/FY21/FY21%20Workbook%20101%20CMR%204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YITs%20413-%20FY22%20DCF%20&amp;%20DMH/July%202021/1.%20Strategy%20materials/4.%20Ch.%20257%20Model%20-%20CC%20Draft%20model%20budgets%20with%20New%20Models%205.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istrative%20Services-POS%20Policy%20Office\Admin%20&amp;%20Staff\Kara\Workforce%20Initiatives\3.%20Benchmark%20Analysis%20for%20FY21%20FO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HabSupRates 3285 v1"/>
      <sheetName val="Chart"/>
      <sheetName val="CorpRepPayee 3274 Models"/>
      <sheetName val="TAP 2222 Model"/>
      <sheetName val="Rate Chart"/>
      <sheetName val="Spring2017 CAF"/>
      <sheetName val="RatesForReg"/>
      <sheetName val="DayHabSupRates 3285 (V2)"/>
      <sheetName val="Fiscal Impact"/>
      <sheetName val="CAF 2019 Fall"/>
      <sheetName val="DayHab 3285 add ons"/>
      <sheetName val="Kara ALTR Add on Rates"/>
    </sheetNames>
    <sheetDataSet>
      <sheetData sheetId="0"/>
      <sheetData sheetId="1">
        <row r="4">
          <cell r="C4">
            <v>32198.400000000001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BZ25">
            <v>1.7780248869661817E-2</v>
          </cell>
        </row>
      </sheetData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Bench Chart"/>
      <sheetName val="Consolidated Rate Chart"/>
      <sheetName val="FY21 Add on Rates "/>
      <sheetName val="EXAMPLE - Group Home 1-4"/>
      <sheetName val="GH 12 Beds(DMH) "/>
      <sheetName val="Latency Res with H. Parent"/>
      <sheetName val="XXCTR 0-6"/>
      <sheetName val="XXCTR 7-12"/>
      <sheetName val="Short Term CTR"/>
      <sheetName val="Teen Parent"/>
      <sheetName val="Emergency Model"/>
      <sheetName val="The CTR model (was 13-17)"/>
      <sheetName val="Specialty (Exploited)"/>
      <sheetName val="Specialty"/>
      <sheetName val="XXInt Treatment Res A NOT USING"/>
      <sheetName val="Intensive Treatment Residence M"/>
      <sheetName val="ITR Aggressive old"/>
      <sheetName val="ITR Mental Health old"/>
      <sheetName val="TEMPLATE (7)"/>
      <sheetName val="TEMPLATE (8)"/>
    </sheetNames>
    <sheetDataSet>
      <sheetData sheetId="0" refreshError="1">
        <row r="4">
          <cell r="C4">
            <v>32198.400000000001</v>
          </cell>
        </row>
        <row r="10">
          <cell r="C10">
            <v>43971.200000000004</v>
          </cell>
        </row>
        <row r="30">
          <cell r="C30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topLeftCell="A22" zoomScale="90" zoomScaleNormal="90" workbookViewId="0">
      <selection activeCell="C12" sqref="C12"/>
    </sheetView>
  </sheetViews>
  <sheetFormatPr defaultRowHeight="14.4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116" customWidth="1"/>
    <col min="8" max="8" width="14.7773437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>
      <c r="C1" s="115" t="s">
        <v>36</v>
      </c>
    </row>
    <row r="2" spans="2:10">
      <c r="C2" s="117" t="s">
        <v>37</v>
      </c>
    </row>
    <row r="3" spans="2:10" ht="21">
      <c r="B3" s="118"/>
      <c r="C3" s="119" t="s">
        <v>38</v>
      </c>
      <c r="D3" s="119" t="s">
        <v>39</v>
      </c>
      <c r="E3" s="120"/>
      <c r="F3" s="120"/>
      <c r="G3" s="121"/>
    </row>
    <row r="4" spans="2:10" ht="42.6" thickBot="1">
      <c r="B4" s="122" t="s">
        <v>40</v>
      </c>
      <c r="C4" s="123" t="s">
        <v>41</v>
      </c>
      <c r="D4" s="119" t="s">
        <v>42</v>
      </c>
      <c r="E4" s="120"/>
      <c r="F4" s="122" t="s">
        <v>43</v>
      </c>
      <c r="G4" s="124" t="s">
        <v>44</v>
      </c>
      <c r="H4" s="117" t="s">
        <v>45</v>
      </c>
      <c r="J4" t="s">
        <v>46</v>
      </c>
    </row>
    <row r="5" spans="2:10" ht="31.2" customHeight="1">
      <c r="B5" s="125" t="s">
        <v>47</v>
      </c>
      <c r="C5" s="126">
        <v>15.48</v>
      </c>
      <c r="D5" s="126" t="e">
        <f>'[9]Direct Care'!#REF!</f>
        <v>#REF!</v>
      </c>
      <c r="E5" s="127"/>
      <c r="F5" s="289" t="s">
        <v>48</v>
      </c>
      <c r="G5" s="291" t="s">
        <v>49</v>
      </c>
      <c r="H5" s="128">
        <f>H6/2080</f>
        <v>15.480288461538462</v>
      </c>
      <c r="J5" s="129" t="e">
        <f>D5-H5</f>
        <v>#REF!</v>
      </c>
    </row>
    <row r="6" spans="2:10" ht="31.2" customHeight="1" thickBot="1">
      <c r="B6" s="130" t="s">
        <v>50</v>
      </c>
      <c r="C6" s="131">
        <f>C5*2080</f>
        <v>32198.400000000001</v>
      </c>
      <c r="D6" s="132" t="e">
        <f>D5*2080</f>
        <v>#REF!</v>
      </c>
      <c r="E6" s="133"/>
      <c r="F6" s="290"/>
      <c r="G6" s="292"/>
      <c r="H6" s="134">
        <v>32199</v>
      </c>
      <c r="J6" s="129"/>
    </row>
    <row r="7" spans="2:10" ht="21">
      <c r="B7" s="125" t="s">
        <v>51</v>
      </c>
      <c r="C7" s="126">
        <v>19.96</v>
      </c>
      <c r="D7" s="135" t="e">
        <f>'[9]Direct Care III '!#REF!</f>
        <v>#REF!</v>
      </c>
      <c r="E7" s="127"/>
      <c r="F7" s="127" t="s">
        <v>52</v>
      </c>
      <c r="G7" s="291" t="s">
        <v>53</v>
      </c>
      <c r="H7" s="128">
        <f>H8/2080</f>
        <v>18.400480769230768</v>
      </c>
      <c r="J7" s="129" t="e">
        <f>D7-H7</f>
        <v>#REF!</v>
      </c>
    </row>
    <row r="8" spans="2:10" ht="21.6" thickBot="1">
      <c r="B8" s="136" t="s">
        <v>54</v>
      </c>
      <c r="C8" s="137">
        <f>C7*2080</f>
        <v>41516.800000000003</v>
      </c>
      <c r="D8" s="138" t="e">
        <f>D7*2080</f>
        <v>#REF!</v>
      </c>
      <c r="E8" s="139"/>
      <c r="F8" s="139"/>
      <c r="G8" s="292"/>
      <c r="H8" s="134">
        <v>38273</v>
      </c>
      <c r="J8" s="129"/>
    </row>
    <row r="9" spans="2:10" ht="21">
      <c r="B9" s="125" t="s">
        <v>55</v>
      </c>
      <c r="C9" s="126">
        <v>15.53</v>
      </c>
      <c r="D9" s="135" t="e">
        <f>[9]CNA!#REF!</f>
        <v>#REF!</v>
      </c>
      <c r="E9" s="127"/>
      <c r="F9" s="140"/>
      <c r="G9" s="291" t="s">
        <v>56</v>
      </c>
      <c r="H9" s="128">
        <f>H10/2080</f>
        <v>20.43028846153846</v>
      </c>
      <c r="J9" s="141" t="e">
        <f>D9-H9</f>
        <v>#REF!</v>
      </c>
    </row>
    <row r="10" spans="2:10" ht="21.6" thickBot="1">
      <c r="B10" s="136" t="s">
        <v>57</v>
      </c>
      <c r="C10" s="137">
        <f>C9*2080</f>
        <v>32302.399999999998</v>
      </c>
      <c r="D10" s="138" t="e">
        <f>D9*2080</f>
        <v>#REF!</v>
      </c>
      <c r="E10" s="139"/>
      <c r="F10" s="139"/>
      <c r="G10" s="292"/>
      <c r="H10" s="134">
        <v>42495</v>
      </c>
      <c r="J10" s="129"/>
    </row>
    <row r="11" spans="2:10" ht="21">
      <c r="B11" s="125" t="s">
        <v>58</v>
      </c>
      <c r="C11" s="126">
        <v>21.14</v>
      </c>
      <c r="D11" s="135" t="e">
        <f>'[9]Caseworker BA'!#REF!</f>
        <v>#REF!</v>
      </c>
      <c r="E11" s="127"/>
      <c r="F11" s="127" t="s">
        <v>59</v>
      </c>
      <c r="G11" s="291" t="s">
        <v>60</v>
      </c>
      <c r="H11" s="287" t="s">
        <v>29</v>
      </c>
      <c r="J11" s="129"/>
    </row>
    <row r="12" spans="2:10" ht="21.6" thickBot="1">
      <c r="B12" s="136" t="s">
        <v>61</v>
      </c>
      <c r="C12" s="137">
        <f>C11*2080</f>
        <v>43971.200000000004</v>
      </c>
      <c r="D12" s="138" t="e">
        <f>D11*2080</f>
        <v>#REF!</v>
      </c>
      <c r="E12" s="139"/>
      <c r="F12" s="139" t="s">
        <v>62</v>
      </c>
      <c r="G12" s="292"/>
      <c r="H12" s="288"/>
      <c r="J12" s="129"/>
    </row>
    <row r="13" spans="2:10" ht="42">
      <c r="B13" s="142" t="s">
        <v>63</v>
      </c>
      <c r="C13" s="143">
        <v>25.32</v>
      </c>
      <c r="D13" s="144" t="e">
        <f>'[9]Casemanager MA '!#REF!</f>
        <v>#REF!</v>
      </c>
      <c r="E13" s="133"/>
      <c r="F13" s="133" t="s">
        <v>64</v>
      </c>
      <c r="G13" s="293" t="s">
        <v>65</v>
      </c>
      <c r="H13" s="128">
        <f>H14/2080</f>
        <v>19.703365384615385</v>
      </c>
      <c r="J13" s="129" t="e">
        <f>D13-H13</f>
        <v>#REF!</v>
      </c>
    </row>
    <row r="14" spans="2:10" ht="42.6" thickBot="1">
      <c r="B14" s="142" t="s">
        <v>66</v>
      </c>
      <c r="C14" s="137">
        <f>C13*2080</f>
        <v>52665.599999999999</v>
      </c>
      <c r="D14" s="138" t="e">
        <f>D13*2080</f>
        <v>#REF!</v>
      </c>
      <c r="E14" s="139"/>
      <c r="F14" s="139" t="s">
        <v>67</v>
      </c>
      <c r="G14" s="292"/>
      <c r="H14" s="134">
        <v>40983</v>
      </c>
      <c r="J14" s="129"/>
    </row>
    <row r="15" spans="2:10" ht="21">
      <c r="B15" s="125" t="s">
        <v>68</v>
      </c>
      <c r="C15" s="126">
        <v>29.29</v>
      </c>
      <c r="D15" s="135" t="e">
        <f>'[9]Clinician w indep Lic'!#REF!</f>
        <v>#REF!</v>
      </c>
      <c r="E15" s="127"/>
      <c r="F15" s="127" t="s">
        <v>69</v>
      </c>
      <c r="G15" s="291" t="s">
        <v>70</v>
      </c>
      <c r="H15" s="128">
        <f>H16/2080</f>
        <v>27.190865384615385</v>
      </c>
      <c r="J15" s="129" t="e">
        <f>D15-H15</f>
        <v>#REF!</v>
      </c>
    </row>
    <row r="16" spans="2:10" ht="21.6" thickBot="1">
      <c r="B16" s="136" t="s">
        <v>71</v>
      </c>
      <c r="C16" s="137">
        <f>C15*2080</f>
        <v>60923.199999999997</v>
      </c>
      <c r="D16" s="138" t="e">
        <f>D15*2080</f>
        <v>#REF!</v>
      </c>
      <c r="E16" s="139"/>
      <c r="F16" s="139"/>
      <c r="G16" s="292"/>
      <c r="H16" s="134">
        <v>56557</v>
      </c>
      <c r="J16" s="129"/>
    </row>
    <row r="17" spans="2:10" ht="21">
      <c r="B17" s="125" t="s">
        <v>72</v>
      </c>
      <c r="C17" s="126">
        <v>40.06</v>
      </c>
      <c r="D17" s="135" t="e">
        <f>'[9]Clinical Manager'!#REF!</f>
        <v>#REF!</v>
      </c>
      <c r="E17" s="127"/>
      <c r="F17" s="294" t="s">
        <v>73</v>
      </c>
      <c r="G17" s="291" t="s">
        <v>74</v>
      </c>
      <c r="H17" s="128">
        <f>H18/2080</f>
        <v>33.217788461538461</v>
      </c>
      <c r="J17" s="129" t="e">
        <f>D17-H17</f>
        <v>#REF!</v>
      </c>
    </row>
    <row r="18" spans="2:10" ht="21.6" thickBot="1">
      <c r="B18" s="136" t="s">
        <v>75</v>
      </c>
      <c r="C18" s="137">
        <f>C17*2080</f>
        <v>83324.800000000003</v>
      </c>
      <c r="D18" s="138" t="e">
        <f>D17*2080</f>
        <v>#REF!</v>
      </c>
      <c r="E18" s="139"/>
      <c r="F18" s="295"/>
      <c r="G18" s="292"/>
      <c r="H18" s="134">
        <v>69093</v>
      </c>
      <c r="J18" s="129"/>
    </row>
    <row r="19" spans="2:10" ht="21">
      <c r="B19" s="125" t="s">
        <v>76</v>
      </c>
      <c r="C19" s="126">
        <v>27.62</v>
      </c>
      <c r="D19" s="135" t="e">
        <f>[9]LPN!#REF!</f>
        <v>#REF!</v>
      </c>
      <c r="E19" s="127"/>
      <c r="F19" s="127"/>
      <c r="G19" s="291" t="s">
        <v>77</v>
      </c>
      <c r="H19" s="128">
        <f>H20/2080</f>
        <v>25.143750000000001</v>
      </c>
      <c r="J19" s="129" t="e">
        <f>D19-H19</f>
        <v>#REF!</v>
      </c>
    </row>
    <row r="20" spans="2:10" ht="21.6" thickBot="1">
      <c r="B20" s="136" t="s">
        <v>78</v>
      </c>
      <c r="C20" s="137">
        <f>C19*2080</f>
        <v>57449.599999999999</v>
      </c>
      <c r="D20" s="138" t="e">
        <f>D19*2080</f>
        <v>#REF!</v>
      </c>
      <c r="E20" s="139"/>
      <c r="F20" s="139"/>
      <c r="G20" s="292"/>
      <c r="H20" s="134">
        <v>52299</v>
      </c>
      <c r="J20" s="129"/>
    </row>
    <row r="21" spans="2:10" ht="21">
      <c r="B21" s="125" t="s">
        <v>79</v>
      </c>
      <c r="C21" s="126">
        <v>41.76</v>
      </c>
      <c r="D21" s="135" t="e">
        <f>'[9]BS RN'!#REF!</f>
        <v>#REF!</v>
      </c>
      <c r="E21" s="127"/>
      <c r="F21" s="127"/>
      <c r="G21" s="291" t="s">
        <v>80</v>
      </c>
      <c r="H21" s="145">
        <f>H22/2080</f>
        <v>33.460576923076921</v>
      </c>
      <c r="J21" s="129" t="e">
        <f>D21-H21</f>
        <v>#REF!</v>
      </c>
    </row>
    <row r="22" spans="2:10" ht="21.6" thickBot="1">
      <c r="B22" s="136" t="s">
        <v>81</v>
      </c>
      <c r="C22" s="137">
        <f>C21*2080</f>
        <v>86860.800000000003</v>
      </c>
      <c r="D22" s="138" t="e">
        <f>D21*2080</f>
        <v>#REF!</v>
      </c>
      <c r="E22" s="139"/>
      <c r="F22" s="139"/>
      <c r="G22" s="292"/>
      <c r="H22" s="134">
        <v>69598</v>
      </c>
      <c r="J22" s="129"/>
    </row>
    <row r="23" spans="2:10" ht="21">
      <c r="B23" s="125" t="s">
        <v>82</v>
      </c>
      <c r="C23" s="126">
        <v>57.41</v>
      </c>
      <c r="D23" s="135" t="e">
        <f>'[9]MA RN. APRN'!#REF!</f>
        <v>#REF!</v>
      </c>
      <c r="E23" s="127"/>
      <c r="F23" s="127"/>
      <c r="G23" s="291" t="s">
        <v>83</v>
      </c>
      <c r="H23" s="128">
        <f>H24/2080</f>
        <v>48.354326923076925</v>
      </c>
      <c r="J23" s="129" t="e">
        <f>D23-H23</f>
        <v>#REF!</v>
      </c>
    </row>
    <row r="24" spans="2:10" ht="21.6" thickBot="1">
      <c r="B24" s="136" t="s">
        <v>84</v>
      </c>
      <c r="C24" s="137">
        <f>C23*2080</f>
        <v>119412.79999999999</v>
      </c>
      <c r="D24" s="138" t="e">
        <f>D23*2080</f>
        <v>#REF!</v>
      </c>
      <c r="E24" s="139"/>
      <c r="F24" s="139"/>
      <c r="G24" s="292"/>
      <c r="H24" s="134">
        <v>100577</v>
      </c>
      <c r="J24" s="129"/>
    </row>
    <row r="25" spans="2:10" ht="21">
      <c r="B25" s="120"/>
      <c r="C25" s="120"/>
      <c r="D25" s="120"/>
      <c r="E25" s="120"/>
      <c r="F25" s="120"/>
      <c r="G25" s="121"/>
    </row>
    <row r="26" spans="2:10" ht="42">
      <c r="B26" s="146" t="s">
        <v>85</v>
      </c>
      <c r="C26" s="147">
        <v>32198</v>
      </c>
      <c r="D26" s="120"/>
      <c r="E26" s="120"/>
      <c r="F26" s="120"/>
      <c r="G26" s="121"/>
    </row>
    <row r="27" spans="2:10" ht="21">
      <c r="B27" s="120"/>
      <c r="C27" s="120"/>
      <c r="D27" s="120"/>
      <c r="E27" s="120"/>
      <c r="F27" s="120"/>
      <c r="G27" s="121"/>
    </row>
    <row r="28" spans="2:10" ht="42">
      <c r="B28" s="146" t="s">
        <v>86</v>
      </c>
      <c r="C28" s="147">
        <v>29640</v>
      </c>
      <c r="D28" s="120"/>
      <c r="E28" s="120"/>
      <c r="F28" s="120" t="s">
        <v>87</v>
      </c>
      <c r="G28" s="121"/>
    </row>
    <row r="29" spans="2:10" ht="21">
      <c r="B29" s="120"/>
      <c r="C29" s="120"/>
      <c r="D29" s="120"/>
      <c r="E29" s="120"/>
      <c r="F29" s="120"/>
      <c r="G29" s="121"/>
    </row>
    <row r="30" spans="2:10" ht="21">
      <c r="B30" s="148" t="s">
        <v>88</v>
      </c>
      <c r="C30" s="149">
        <v>0.22309999999999999</v>
      </c>
      <c r="D30" s="120"/>
      <c r="E30" s="120"/>
      <c r="F30" s="120" t="s">
        <v>89</v>
      </c>
      <c r="G30" s="121"/>
    </row>
    <row r="31" spans="2:10" ht="21">
      <c r="B31" s="148"/>
      <c r="C31" s="149"/>
      <c r="D31" s="120"/>
      <c r="E31" s="120"/>
      <c r="F31" s="120" t="s">
        <v>90</v>
      </c>
      <c r="G31" s="121"/>
    </row>
    <row r="32" spans="2:10" ht="21">
      <c r="B32" s="148"/>
      <c r="C32" s="149">
        <v>0.224</v>
      </c>
      <c r="D32" s="120"/>
      <c r="E32" s="120"/>
      <c r="F32" s="120" t="s">
        <v>91</v>
      </c>
      <c r="G32" s="121"/>
    </row>
    <row r="33" spans="2:7" ht="21">
      <c r="B33" s="150"/>
      <c r="C33" s="149"/>
      <c r="D33" s="120"/>
      <c r="E33" s="120"/>
      <c r="F33" s="120" t="s">
        <v>90</v>
      </c>
      <c r="G33" s="121"/>
    </row>
    <row r="34" spans="2:7" ht="21">
      <c r="B34" s="150"/>
      <c r="C34" s="149"/>
      <c r="D34" s="120"/>
      <c r="E34" s="120"/>
      <c r="F34" s="120"/>
      <c r="G34" s="121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H11:H12"/>
    <mergeCell ref="F5:F6"/>
    <mergeCell ref="G5:G6"/>
    <mergeCell ref="G7:G8"/>
    <mergeCell ref="G9:G10"/>
    <mergeCell ref="G11:G12"/>
  </mergeCells>
  <pageMargins left="0.25" right="0.25" top="0.25" bottom="0.25" header="0.05" footer="0.05"/>
  <pageSetup scale="6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tabSelected="1" zoomScale="80" zoomScaleNormal="80" zoomScaleSheetLayoutView="80" workbookViewId="0">
      <selection activeCell="H17" sqref="H17"/>
    </sheetView>
  </sheetViews>
  <sheetFormatPr defaultRowHeight="14.4"/>
  <cols>
    <col min="1" max="1" width="23.33203125" bestFit="1" customWidth="1"/>
    <col min="2" max="2" width="17.77734375" style="12" customWidth="1"/>
    <col min="3" max="3" width="27.6640625" customWidth="1"/>
    <col min="4" max="4" width="17.44140625" bestFit="1" customWidth="1"/>
    <col min="5" max="5" width="12" bestFit="1" customWidth="1"/>
    <col min="6" max="6" width="2.88671875" customWidth="1"/>
    <col min="7" max="7" width="11.21875" style="22" bestFit="1" customWidth="1"/>
    <col min="8" max="8" width="8.88671875" style="23"/>
  </cols>
  <sheetData>
    <row r="2" spans="1:6" ht="15" thickBot="1">
      <c r="A2" s="315" t="s">
        <v>35</v>
      </c>
      <c r="B2" s="315"/>
      <c r="C2" s="315"/>
      <c r="D2" s="315"/>
      <c r="E2" s="315"/>
    </row>
    <row r="3" spans="1:6" ht="31.5" customHeight="1" thickBot="1">
      <c r="A3" s="310" t="s">
        <v>0</v>
      </c>
      <c r="B3" s="311"/>
      <c r="C3" s="311"/>
      <c r="D3" s="311"/>
      <c r="E3" s="312"/>
    </row>
    <row r="4" spans="1:6">
      <c r="A4" s="54"/>
      <c r="B4" s="1"/>
      <c r="C4" s="2">
        <v>3.8461538461538463</v>
      </c>
      <c r="D4" s="3" t="s">
        <v>1</v>
      </c>
      <c r="E4" s="14">
        <v>1000</v>
      </c>
    </row>
    <row r="5" spans="1:6">
      <c r="A5" s="55"/>
      <c r="B5" s="4"/>
      <c r="C5" s="5" t="s">
        <v>2</v>
      </c>
      <c r="D5" s="6"/>
      <c r="E5" s="56"/>
    </row>
    <row r="6" spans="1:6">
      <c r="A6" s="57"/>
      <c r="B6" s="7"/>
      <c r="C6" s="8" t="s">
        <v>3</v>
      </c>
      <c r="D6" s="8" t="s">
        <v>4</v>
      </c>
      <c r="E6" s="58" t="s">
        <v>5</v>
      </c>
    </row>
    <row r="7" spans="1:6">
      <c r="A7" s="320" t="s">
        <v>7</v>
      </c>
      <c r="B7" s="321"/>
      <c r="C7" s="79">
        <v>60470</v>
      </c>
      <c r="D7" s="71">
        <v>1</v>
      </c>
      <c r="E7" s="72">
        <f>C7*D7</f>
        <v>60470</v>
      </c>
    </row>
    <row r="8" spans="1:6" ht="18.75" customHeight="1">
      <c r="A8" s="318" t="s">
        <v>6</v>
      </c>
      <c r="B8" s="319"/>
      <c r="C8" s="79">
        <f>52305*(2.05%+1)*(3.75%+1)*(0.58%+1)*(0.38%+1)*(2.35%+1)</f>
        <v>57225.683754777267</v>
      </c>
      <c r="D8" s="80">
        <v>1</v>
      </c>
      <c r="E8" s="72">
        <f t="shared" ref="E8:E11" si="0">C8*D8</f>
        <v>57225.683754777267</v>
      </c>
    </row>
    <row r="9" spans="1:6">
      <c r="A9" s="313" t="s">
        <v>228</v>
      </c>
      <c r="B9" s="314"/>
      <c r="C9" s="81">
        <f>Chart!C8</f>
        <v>41516.800000000003</v>
      </c>
      <c r="D9" s="71">
        <v>2</v>
      </c>
      <c r="E9" s="72">
        <f t="shared" si="0"/>
        <v>83033.600000000006</v>
      </c>
    </row>
    <row r="10" spans="1:6">
      <c r="A10" s="313" t="s">
        <v>229</v>
      </c>
      <c r="B10" s="314"/>
      <c r="C10" s="82">
        <f>Chart!C12</f>
        <v>43971.200000000004</v>
      </c>
      <c r="D10" s="83">
        <v>1</v>
      </c>
      <c r="E10" s="72">
        <f t="shared" si="0"/>
        <v>43971.200000000004</v>
      </c>
    </row>
    <row r="11" spans="1:6">
      <c r="A11" s="322" t="s">
        <v>9</v>
      </c>
      <c r="B11" s="323"/>
      <c r="C11" s="84">
        <f>Chart!C6</f>
        <v>32198.400000000001</v>
      </c>
      <c r="D11" s="85">
        <v>0.5</v>
      </c>
      <c r="E11" s="72">
        <f t="shared" si="0"/>
        <v>16099.2</v>
      </c>
    </row>
    <row r="12" spans="1:6">
      <c r="A12" s="284" t="s">
        <v>10</v>
      </c>
      <c r="B12" s="67"/>
      <c r="C12" s="67"/>
      <c r="D12" s="86">
        <v>5.5</v>
      </c>
      <c r="E12" s="69">
        <f>SUM(E7:E11)</f>
        <v>260799.6837547773</v>
      </c>
      <c r="F12" s="20"/>
    </row>
    <row r="13" spans="1:6">
      <c r="A13" s="285" t="s">
        <v>11</v>
      </c>
      <c r="B13" s="75"/>
      <c r="C13" s="233" t="s">
        <v>12</v>
      </c>
      <c r="D13" s="1"/>
      <c r="E13" s="88"/>
      <c r="F13" s="20"/>
    </row>
    <row r="14" spans="1:6">
      <c r="A14" s="286" t="s">
        <v>34</v>
      </c>
      <c r="B14" s="75"/>
      <c r="C14" s="89">
        <v>3.7000000000000002E-3</v>
      </c>
      <c r="D14" s="232"/>
      <c r="E14" s="90">
        <f>E12*C14</f>
        <v>964.95882989267602</v>
      </c>
      <c r="F14" s="20"/>
    </row>
    <row r="15" spans="1:6">
      <c r="A15" s="286" t="s">
        <v>13</v>
      </c>
      <c r="B15" s="75"/>
      <c r="C15" s="89">
        <v>0.224</v>
      </c>
      <c r="D15" s="75"/>
      <c r="E15" s="72">
        <f>E12*C15</f>
        <v>58419.129161070116</v>
      </c>
    </row>
    <row r="16" spans="1:6">
      <c r="A16" s="284" t="s">
        <v>14</v>
      </c>
      <c r="B16" s="67"/>
      <c r="C16" s="67"/>
      <c r="D16" s="68"/>
      <c r="E16" s="69">
        <f>E15+E12+E14</f>
        <v>320183.77174574009</v>
      </c>
    </row>
    <row r="17" spans="1:8">
      <c r="A17" s="298" t="s">
        <v>230</v>
      </c>
      <c r="B17" s="299"/>
      <c r="C17" s="70">
        <f>Chart!C16</f>
        <v>60923.199999999997</v>
      </c>
      <c r="D17" s="71">
        <v>0.5</v>
      </c>
      <c r="E17" s="72">
        <f>D17*C17</f>
        <v>30461.599999999999</v>
      </c>
      <c r="G17" s="234"/>
    </row>
    <row r="18" spans="1:8">
      <c r="A18" s="298" t="s">
        <v>231</v>
      </c>
      <c r="B18" s="299"/>
      <c r="C18" s="70">
        <f>Chart!C14</f>
        <v>52665.599999999999</v>
      </c>
      <c r="D18" s="71">
        <v>0.5</v>
      </c>
      <c r="E18" s="72">
        <f>D18*C18</f>
        <v>26332.799999999999</v>
      </c>
    </row>
    <row r="19" spans="1:8">
      <c r="A19" s="298" t="s">
        <v>15</v>
      </c>
      <c r="B19" s="299"/>
      <c r="C19" s="70">
        <f>Chart!C6</f>
        <v>32198.400000000001</v>
      </c>
      <c r="D19" s="71">
        <v>1</v>
      </c>
      <c r="E19" s="72">
        <f>D19*C19</f>
        <v>32198.400000000001</v>
      </c>
    </row>
    <row r="20" spans="1:8">
      <c r="A20" s="51" t="s">
        <v>16</v>
      </c>
      <c r="B20" s="50"/>
      <c r="C20" s="73">
        <v>0.35</v>
      </c>
      <c r="D20" s="70"/>
      <c r="E20" s="74">
        <f>(E17+E18+E19)*C20</f>
        <v>31147.479999999992</v>
      </c>
    </row>
    <row r="21" spans="1:8" ht="0.6" hidden="1" customHeight="1">
      <c r="A21" s="308"/>
      <c r="B21" s="309"/>
      <c r="C21" s="75"/>
      <c r="D21" s="70"/>
      <c r="E21" s="74"/>
    </row>
    <row r="22" spans="1:8">
      <c r="A22" s="308" t="s">
        <v>17</v>
      </c>
      <c r="B22" s="309"/>
      <c r="C22" s="75"/>
      <c r="D22" s="70">
        <v>35</v>
      </c>
      <c r="E22" s="74">
        <f>D22*E4</f>
        <v>35000</v>
      </c>
    </row>
    <row r="23" spans="1:8">
      <c r="A23" s="304" t="s">
        <v>18</v>
      </c>
      <c r="B23" s="305"/>
      <c r="C23" s="75"/>
      <c r="D23" s="70">
        <v>900</v>
      </c>
      <c r="E23" s="74">
        <f>D23*D12</f>
        <v>4950</v>
      </c>
    </row>
    <row r="24" spans="1:8">
      <c r="A24" s="308" t="s">
        <v>227</v>
      </c>
      <c r="B24" s="309"/>
      <c r="C24" s="75"/>
      <c r="D24" s="70">
        <v>2950</v>
      </c>
      <c r="E24" s="74">
        <f>D24*D12</f>
        <v>16225</v>
      </c>
    </row>
    <row r="25" spans="1:8">
      <c r="A25" s="306" t="s">
        <v>20</v>
      </c>
      <c r="B25" s="307"/>
      <c r="C25" s="77" t="s">
        <v>21</v>
      </c>
      <c r="D25" s="76">
        <v>19.23</v>
      </c>
      <c r="E25" s="78">
        <f>D25*2650</f>
        <v>50959.5</v>
      </c>
    </row>
    <row r="26" spans="1:8">
      <c r="A26" s="59" t="s">
        <v>22</v>
      </c>
      <c r="B26" s="9"/>
      <c r="C26" s="9"/>
      <c r="D26" s="9"/>
      <c r="E26" s="60">
        <f>SUM(E16:E25)</f>
        <v>547458.55174574</v>
      </c>
    </row>
    <row r="27" spans="1:8">
      <c r="A27" s="55" t="s">
        <v>226</v>
      </c>
      <c r="B27" s="3"/>
      <c r="C27" s="89">
        <f>'CAF Fall 2020'!BY24</f>
        <v>1.9959404600811814E-2</v>
      </c>
      <c r="D27" s="3"/>
      <c r="E27" s="62">
        <f>(E26-E12)*C27</f>
        <v>5721.540328642327</v>
      </c>
    </row>
    <row r="28" spans="1:8">
      <c r="A28" s="55" t="s">
        <v>23</v>
      </c>
      <c r="B28" s="6"/>
      <c r="C28" s="66">
        <v>0.12</v>
      </c>
      <c r="D28" s="6"/>
      <c r="E28" s="61">
        <f>(E16+E21+E22+E23+E24+E25)*C28</f>
        <v>51278.192609488811</v>
      </c>
    </row>
    <row r="29" spans="1:8" ht="15" thickBot="1">
      <c r="A29" s="63" t="s">
        <v>24</v>
      </c>
      <c r="B29" s="10"/>
      <c r="C29" s="10"/>
      <c r="D29" s="10"/>
      <c r="E29" s="64">
        <f>E26+E27+E28</f>
        <v>604458.2846838712</v>
      </c>
    </row>
    <row r="30" spans="1:8" ht="15.6" thickTop="1" thickBot="1">
      <c r="A30" s="324" t="s">
        <v>25</v>
      </c>
      <c r="B30" s="325"/>
      <c r="C30" s="326"/>
      <c r="D30" s="65"/>
      <c r="E30" s="91">
        <f>E29/12</f>
        <v>50371.523723655933</v>
      </c>
      <c r="F30" s="21"/>
      <c r="H30" s="21"/>
    </row>
    <row r="31" spans="1:8" ht="15" thickBot="1"/>
    <row r="32" spans="1:8" ht="18.600000000000001" thickBot="1">
      <c r="A32" s="310" t="s">
        <v>32</v>
      </c>
      <c r="B32" s="311"/>
      <c r="C32" s="311"/>
      <c r="D32" s="311"/>
      <c r="E32" s="312"/>
    </row>
    <row r="33" spans="1:5">
      <c r="A33" s="54"/>
      <c r="B33" s="1"/>
      <c r="C33" s="2">
        <v>0.76923076923076927</v>
      </c>
      <c r="D33" s="3" t="s">
        <v>26</v>
      </c>
      <c r="E33" s="14">
        <v>200</v>
      </c>
    </row>
    <row r="34" spans="1:5">
      <c r="A34" s="55"/>
      <c r="B34" s="4"/>
      <c r="C34" s="5" t="s">
        <v>2</v>
      </c>
      <c r="D34" s="6"/>
      <c r="E34" s="56"/>
    </row>
    <row r="35" spans="1:5">
      <c r="A35" s="57"/>
      <c r="B35" s="7"/>
      <c r="C35" s="97" t="s">
        <v>3</v>
      </c>
      <c r="D35" s="97" t="s">
        <v>4</v>
      </c>
      <c r="E35" s="98" t="s">
        <v>5</v>
      </c>
    </row>
    <row r="36" spans="1:5">
      <c r="A36" s="318" t="str">
        <f>A8</f>
        <v>Program Manager</v>
      </c>
      <c r="B36" s="319"/>
      <c r="C36" s="79">
        <f>C8</f>
        <v>57225.683754777267</v>
      </c>
      <c r="D36" s="80">
        <v>1</v>
      </c>
      <c r="E36" s="72">
        <f t="shared" ref="E36:E38" si="1">D36*C36</f>
        <v>57225.683754777267</v>
      </c>
    </row>
    <row r="37" spans="1:5">
      <c r="A37" s="316" t="str">
        <f>A9</f>
        <v>Family Support Worker (DC III BA Level or 5+ yrs exp)</v>
      </c>
      <c r="B37" s="317"/>
      <c r="C37" s="79">
        <f>C9</f>
        <v>41516.800000000003</v>
      </c>
      <c r="D37" s="71">
        <v>1</v>
      </c>
      <c r="E37" s="72">
        <f t="shared" si="1"/>
        <v>41516.800000000003</v>
      </c>
    </row>
    <row r="38" spans="1:5">
      <c r="A38" s="313" t="str">
        <f>A10</f>
        <v>School Liaison (BA Level Social worker)</v>
      </c>
      <c r="B38" s="314"/>
      <c r="C38" s="79">
        <f>C10</f>
        <v>43971.200000000004</v>
      </c>
      <c r="D38" s="83">
        <v>0.5</v>
      </c>
      <c r="E38" s="72">
        <f t="shared" si="1"/>
        <v>21985.600000000002</v>
      </c>
    </row>
    <row r="39" spans="1:5">
      <c r="A39" s="59" t="s">
        <v>10</v>
      </c>
      <c r="B39" s="9"/>
      <c r="C39" s="67"/>
      <c r="D39" s="86">
        <v>2.5</v>
      </c>
      <c r="E39" s="69">
        <f>SUM(E36:E38)</f>
        <v>120728.08375477727</v>
      </c>
    </row>
    <row r="40" spans="1:5">
      <c r="A40" s="92" t="s">
        <v>34</v>
      </c>
      <c r="B40" s="6"/>
      <c r="C40" s="89">
        <v>3.7000000000000002E-3</v>
      </c>
      <c r="D40" s="87"/>
      <c r="E40" s="74">
        <f>E39*C40</f>
        <v>446.69390989267589</v>
      </c>
    </row>
    <row r="41" spans="1:5">
      <c r="A41" s="55" t="s">
        <v>13</v>
      </c>
      <c r="B41" s="6"/>
      <c r="C41" s="89">
        <f>C15</f>
        <v>0.224</v>
      </c>
      <c r="D41" s="75"/>
      <c r="E41" s="72">
        <f>E39*C41</f>
        <v>27043.090761070107</v>
      </c>
    </row>
    <row r="42" spans="1:5">
      <c r="A42" s="59" t="s">
        <v>14</v>
      </c>
      <c r="B42" s="9"/>
      <c r="C42" s="67"/>
      <c r="D42" s="68"/>
      <c r="E42" s="69">
        <f>E39+E40+E41</f>
        <v>148217.86842574005</v>
      </c>
    </row>
    <row r="43" spans="1:5" ht="0.6" customHeight="1">
      <c r="A43" s="308"/>
      <c r="B43" s="309"/>
      <c r="C43" s="75"/>
      <c r="D43" s="70"/>
      <c r="E43" s="74"/>
    </row>
    <row r="44" spans="1:5">
      <c r="A44" s="308" t="s">
        <v>17</v>
      </c>
      <c r="B44" s="309"/>
      <c r="C44" s="75"/>
      <c r="D44" s="70">
        <f>D22</f>
        <v>35</v>
      </c>
      <c r="E44" s="74">
        <f>D44*E33</f>
        <v>7000</v>
      </c>
    </row>
    <row r="45" spans="1:5">
      <c r="A45" s="304" t="s">
        <v>18</v>
      </c>
      <c r="B45" s="305"/>
      <c r="C45" s="75"/>
      <c r="D45" s="70">
        <f>D23</f>
        <v>900</v>
      </c>
      <c r="E45" s="74">
        <f>D45*D39</f>
        <v>2250</v>
      </c>
    </row>
    <row r="46" spans="1:5">
      <c r="A46" s="304" t="s">
        <v>19</v>
      </c>
      <c r="B46" s="305"/>
      <c r="C46" s="75"/>
      <c r="D46" s="70">
        <f>D24</f>
        <v>2950</v>
      </c>
      <c r="E46" s="74">
        <f>D46*D39</f>
        <v>7375</v>
      </c>
    </row>
    <row r="47" spans="1:5">
      <c r="A47" s="306" t="s">
        <v>20</v>
      </c>
      <c r="B47" s="307"/>
      <c r="C47" s="77" t="s">
        <v>21</v>
      </c>
      <c r="D47" s="76">
        <v>19.2</v>
      </c>
      <c r="E47" s="78">
        <f>D47*2650</f>
        <v>50880</v>
      </c>
    </row>
    <row r="48" spans="1:5">
      <c r="A48" s="59" t="s">
        <v>27</v>
      </c>
      <c r="B48" s="9"/>
      <c r="C48" s="67"/>
      <c r="D48" s="67"/>
      <c r="E48" s="69">
        <f>SUM(E42:E47)</f>
        <v>215722.86842574005</v>
      </c>
    </row>
    <row r="49" spans="1:8">
      <c r="A49" s="55" t="str">
        <f>A27</f>
        <v>CAF : (rate review FY22 - FY23)</v>
      </c>
      <c r="B49" s="6"/>
      <c r="C49" s="89">
        <f>C27</f>
        <v>1.9959404600811814E-2</v>
      </c>
      <c r="D49" s="75"/>
      <c r="E49" s="99">
        <f>(E48-E39)*C49</f>
        <v>1896.039342214742</v>
      </c>
    </row>
    <row r="50" spans="1:8">
      <c r="A50" s="55" t="s">
        <v>23</v>
      </c>
      <c r="B50" s="6"/>
      <c r="C50" s="66">
        <v>0.12</v>
      </c>
      <c r="D50" s="75"/>
      <c r="E50" s="72">
        <f>(E48+E49)*C50</f>
        <v>26114.268932154573</v>
      </c>
    </row>
    <row r="51" spans="1:8" ht="15" thickBot="1">
      <c r="A51" s="63" t="s">
        <v>24</v>
      </c>
      <c r="B51" s="10"/>
      <c r="C51" s="10"/>
      <c r="D51" s="10"/>
      <c r="E51" s="64">
        <f>SUM(E48:E50)</f>
        <v>243733.17670010935</v>
      </c>
    </row>
    <row r="52" spans="1:8" s="13" customFormat="1" ht="15.6" thickTop="1" thickBot="1">
      <c r="A52" s="93"/>
      <c r="B52" s="94" t="s">
        <v>25</v>
      </c>
      <c r="C52" s="95"/>
      <c r="D52" s="95"/>
      <c r="E52" s="96">
        <f>E51/12</f>
        <v>20311.098058342446</v>
      </c>
      <c r="F52" s="19"/>
      <c r="G52" s="114"/>
      <c r="H52" s="151"/>
    </row>
    <row r="53" spans="1:8" ht="15" thickBot="1">
      <c r="B53"/>
    </row>
    <row r="54" spans="1:8" ht="18.600000000000001" thickBot="1">
      <c r="A54" s="310" t="s">
        <v>33</v>
      </c>
      <c r="B54" s="311"/>
      <c r="C54" s="311"/>
      <c r="D54" s="311"/>
      <c r="E54" s="312"/>
    </row>
    <row r="55" spans="1:8">
      <c r="A55" s="45"/>
      <c r="B55" s="29"/>
      <c r="C55" s="30" t="s">
        <v>28</v>
      </c>
      <c r="D55" s="28" t="s">
        <v>1</v>
      </c>
      <c r="E55" s="14" t="s">
        <v>28</v>
      </c>
    </row>
    <row r="56" spans="1:8">
      <c r="A56" s="46"/>
      <c r="B56" s="32"/>
      <c r="C56" s="33" t="s">
        <v>2</v>
      </c>
      <c r="D56" s="31"/>
      <c r="E56" s="36"/>
    </row>
    <row r="57" spans="1:8">
      <c r="A57" s="27"/>
      <c r="B57" s="18"/>
      <c r="C57" s="37" t="s">
        <v>3</v>
      </c>
      <c r="D57" s="37" t="s">
        <v>4</v>
      </c>
      <c r="E57" s="38" t="s">
        <v>5</v>
      </c>
    </row>
    <row r="58" spans="1:8">
      <c r="A58" s="302" t="s">
        <v>6</v>
      </c>
      <c r="B58" s="303"/>
      <c r="C58" s="81">
        <f>C8</f>
        <v>57225.683754777267</v>
      </c>
      <c r="D58" s="71">
        <v>0.1</v>
      </c>
      <c r="E58" s="25">
        <f>D58*C58</f>
        <v>5722.5683754777274</v>
      </c>
    </row>
    <row r="59" spans="1:8">
      <c r="A59" s="47" t="s">
        <v>10</v>
      </c>
      <c r="B59" s="39"/>
      <c r="C59" s="108"/>
      <c r="D59" s="111">
        <v>0.1</v>
      </c>
      <c r="E59" s="40">
        <f>E58</f>
        <v>5722.5683754777274</v>
      </c>
    </row>
    <row r="60" spans="1:8">
      <c r="A60" s="45" t="s">
        <v>11</v>
      </c>
      <c r="B60" s="31"/>
      <c r="C60" s="106"/>
      <c r="D60" s="112" t="s">
        <v>12</v>
      </c>
      <c r="E60" s="36"/>
    </row>
    <row r="61" spans="1:8">
      <c r="A61" s="46" t="str">
        <f>A40</f>
        <v>PFMLA Trust Contribution</v>
      </c>
      <c r="B61" s="31"/>
      <c r="C61" s="66">
        <f>C40</f>
        <v>3.7000000000000002E-3</v>
      </c>
      <c r="D61" s="112"/>
      <c r="E61" s="110">
        <f>E59*C61</f>
        <v>21.173502989267593</v>
      </c>
    </row>
    <row r="62" spans="1:8">
      <c r="A62" s="46" t="s">
        <v>13</v>
      </c>
      <c r="B62" s="31"/>
      <c r="C62" s="66">
        <f>C15</f>
        <v>0.224</v>
      </c>
      <c r="D62" s="106"/>
      <c r="E62" s="25">
        <f>E59*C62</f>
        <v>1281.855316107011</v>
      </c>
    </row>
    <row r="63" spans="1:8">
      <c r="A63" s="47" t="s">
        <v>14</v>
      </c>
      <c r="B63" s="39"/>
      <c r="C63" s="39"/>
      <c r="D63" s="41"/>
      <c r="E63" s="40">
        <f>E59+E61+E62</f>
        <v>7025.5971945740066</v>
      </c>
    </row>
    <row r="64" spans="1:8">
      <c r="A64" s="298" t="str">
        <f>A17</f>
        <v>Clinician (LICSW)</v>
      </c>
      <c r="B64" s="299"/>
      <c r="C64" s="103">
        <f>C17</f>
        <v>60923.199999999997</v>
      </c>
      <c r="D64" s="71">
        <v>0.25</v>
      </c>
      <c r="E64" s="25">
        <f>D64*C64</f>
        <v>15230.8</v>
      </c>
      <c r="G64" s="234"/>
    </row>
    <row r="65" spans="1:8">
      <c r="A65" s="52" t="str">
        <f>A18</f>
        <v>Clinician (LCSW)</v>
      </c>
      <c r="B65" s="53"/>
      <c r="C65" s="103">
        <f>C18</f>
        <v>52665.599999999999</v>
      </c>
      <c r="D65" s="71">
        <v>0.25</v>
      </c>
      <c r="E65" s="25">
        <f>D65*C65</f>
        <v>13166.4</v>
      </c>
    </row>
    <row r="66" spans="1:8">
      <c r="A66" s="298" t="s">
        <v>15</v>
      </c>
      <c r="B66" s="299"/>
      <c r="C66" s="103">
        <f>C19</f>
        <v>32198.400000000001</v>
      </c>
      <c r="D66" s="71">
        <v>0.5</v>
      </c>
      <c r="E66" s="25">
        <f>D66*C66</f>
        <v>16099.2</v>
      </c>
    </row>
    <row r="67" spans="1:8" ht="13.8" customHeight="1">
      <c r="A67" s="26" t="s">
        <v>16</v>
      </c>
      <c r="B67" s="24"/>
      <c r="C67" s="104">
        <v>0.35</v>
      </c>
      <c r="D67" s="105"/>
      <c r="E67" s="17">
        <f>(E64+E65+E66)*C67</f>
        <v>15573.739999999996</v>
      </c>
    </row>
    <row r="68" spans="1:8" hidden="1">
      <c r="A68" s="300"/>
      <c r="B68" s="301"/>
      <c r="C68" s="106"/>
      <c r="D68" s="82"/>
      <c r="E68" s="17"/>
    </row>
    <row r="69" spans="1:8">
      <c r="A69" s="296" t="s">
        <v>18</v>
      </c>
      <c r="B69" s="297"/>
      <c r="C69" s="106"/>
      <c r="D69" s="82">
        <f>D23</f>
        <v>900</v>
      </c>
      <c r="E69" s="17">
        <f>D69*D59</f>
        <v>90</v>
      </c>
    </row>
    <row r="70" spans="1:8">
      <c r="A70" s="296" t="s">
        <v>19</v>
      </c>
      <c r="B70" s="297"/>
      <c r="C70" s="106"/>
      <c r="D70" s="82">
        <f>D46</f>
        <v>2950</v>
      </c>
      <c r="E70" s="17">
        <f>D70*D59</f>
        <v>295</v>
      </c>
    </row>
    <row r="71" spans="1:8">
      <c r="A71" s="47" t="s">
        <v>27</v>
      </c>
      <c r="B71" s="39"/>
      <c r="C71" s="108"/>
      <c r="D71" s="108"/>
      <c r="E71" s="40">
        <f>SUM(E63:E70)</f>
        <v>67480.737194574001</v>
      </c>
    </row>
    <row r="72" spans="1:8">
      <c r="A72" s="46" t="str">
        <f>A49</f>
        <v>CAF : (rate review FY22 - FY23)</v>
      </c>
      <c r="B72" s="34"/>
      <c r="C72" s="66">
        <f>C49</f>
        <v>1.9959404600811814E-2</v>
      </c>
      <c r="D72" s="109"/>
      <c r="E72" s="113">
        <f>(E71-E59)*C72</f>
        <v>1232.6562788655829</v>
      </c>
    </row>
    <row r="73" spans="1:8">
      <c r="A73" s="46" t="s">
        <v>23</v>
      </c>
      <c r="B73" s="35"/>
      <c r="C73" s="66">
        <v>0.12</v>
      </c>
      <c r="D73" s="107"/>
      <c r="E73" s="17">
        <f>(E63+E68+E69+E70+E72)*C73</f>
        <v>1037.1904168127505</v>
      </c>
    </row>
    <row r="74" spans="1:8" ht="15" thickBot="1">
      <c r="A74" s="48" t="s">
        <v>24</v>
      </c>
      <c r="B74" s="42"/>
      <c r="C74" s="42"/>
      <c r="D74" s="42"/>
      <c r="E74" s="43">
        <f>SUM(E71:E73)</f>
        <v>69750.583890252339</v>
      </c>
    </row>
    <row r="75" spans="1:8" ht="15.6" thickTop="1" thickBot="1">
      <c r="A75" s="49" t="s">
        <v>25</v>
      </c>
      <c r="B75" s="100"/>
      <c r="C75" s="101"/>
      <c r="D75" s="102"/>
      <c r="E75" s="152">
        <f>E74/12</f>
        <v>5812.548657521028</v>
      </c>
      <c r="H75" s="21"/>
    </row>
    <row r="76" spans="1:8">
      <c r="A76" s="13"/>
      <c r="B76" s="44"/>
      <c r="C76" s="13"/>
      <c r="D76" s="13"/>
      <c r="E76" s="13"/>
    </row>
  </sheetData>
  <mergeCells count="32">
    <mergeCell ref="A24:B24"/>
    <mergeCell ref="A25:B25"/>
    <mergeCell ref="A18:B18"/>
    <mergeCell ref="A30:C30"/>
    <mergeCell ref="A32:E32"/>
    <mergeCell ref="A38:B38"/>
    <mergeCell ref="A2:E2"/>
    <mergeCell ref="A21:B21"/>
    <mergeCell ref="A22:B22"/>
    <mergeCell ref="A23:B23"/>
    <mergeCell ref="A37:B37"/>
    <mergeCell ref="A36:B36"/>
    <mergeCell ref="A3:E3"/>
    <mergeCell ref="A7:B7"/>
    <mergeCell ref="A8:B8"/>
    <mergeCell ref="A9:B9"/>
    <mergeCell ref="A10:B10"/>
    <mergeCell ref="A11:B11"/>
    <mergeCell ref="A17:B17"/>
    <mergeCell ref="A19:B19"/>
    <mergeCell ref="A45:B45"/>
    <mergeCell ref="A46:B46"/>
    <mergeCell ref="A47:B47"/>
    <mergeCell ref="A43:B43"/>
    <mergeCell ref="A69:B69"/>
    <mergeCell ref="A54:E54"/>
    <mergeCell ref="A44:B44"/>
    <mergeCell ref="A70:B70"/>
    <mergeCell ref="A64:B64"/>
    <mergeCell ref="A66:B66"/>
    <mergeCell ref="A68:B68"/>
    <mergeCell ref="A58:B58"/>
  </mergeCells>
  <printOptions horizontalCentered="1"/>
  <pageMargins left="0.25" right="0.25" top="0.25" bottom="0.25" header="0.3" footer="0.3"/>
  <pageSetup paperSize="5" scale="4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90" zoomScaleNormal="90" workbookViewId="0">
      <selection activeCell="J12" sqref="J12"/>
    </sheetView>
  </sheetViews>
  <sheetFormatPr defaultRowHeight="14.4"/>
  <cols>
    <col min="1" max="1" width="26.88671875" customWidth="1"/>
    <col min="2" max="2" width="16.33203125" style="11" customWidth="1"/>
    <col min="3" max="3" width="13.33203125" style="161" customWidth="1"/>
    <col min="4" max="4" width="15.109375" style="11" bestFit="1" customWidth="1"/>
    <col min="5" max="6" width="15.109375" style="11" customWidth="1"/>
    <col min="7" max="7" width="18.44140625" style="11" customWidth="1"/>
    <col min="8" max="8" width="2.88671875" style="11" customWidth="1"/>
    <col min="9" max="9" width="17.109375" style="11" customWidth="1"/>
    <col min="10" max="10" width="15.109375" style="11" customWidth="1"/>
    <col min="11" max="11" width="17.6640625" style="11" customWidth="1"/>
    <col min="12" max="12" width="15" style="11" bestFit="1" customWidth="1"/>
    <col min="13" max="13" width="22.5546875" style="11" customWidth="1"/>
    <col min="14" max="14" width="1" style="11" customWidth="1"/>
    <col min="15" max="15" width="28" customWidth="1"/>
    <col min="16" max="16" width="1.33203125" customWidth="1"/>
    <col min="17" max="17" width="14.6640625" customWidth="1"/>
    <col min="18" max="18" width="12" bestFit="1" customWidth="1"/>
    <col min="20" max="20" width="8.88671875" customWidth="1"/>
    <col min="23" max="24" width="10" bestFit="1" customWidth="1"/>
    <col min="257" max="257" width="38.44140625" customWidth="1"/>
    <col min="258" max="258" width="16.33203125" customWidth="1"/>
    <col min="259" max="259" width="13.33203125" customWidth="1"/>
    <col min="260" max="260" width="15.109375" bestFit="1" customWidth="1"/>
    <col min="261" max="263" width="15.109375" customWidth="1"/>
    <col min="264" max="264" width="17.6640625" customWidth="1"/>
    <col min="265" max="265" width="17.109375" customWidth="1"/>
    <col min="266" max="266" width="15.109375" customWidth="1"/>
    <col min="267" max="267" width="17.6640625" customWidth="1"/>
    <col min="268" max="268" width="15" bestFit="1" customWidth="1"/>
    <col min="269" max="269" width="22.5546875" customWidth="1"/>
    <col min="270" max="270" width="1" customWidth="1"/>
    <col min="271" max="271" width="28" customWidth="1"/>
    <col min="272" max="272" width="1.33203125" customWidth="1"/>
    <col min="273" max="273" width="14.6640625" customWidth="1"/>
    <col min="274" max="274" width="12" bestFit="1" customWidth="1"/>
    <col min="276" max="276" width="8.88671875" customWidth="1"/>
    <col min="279" max="280" width="10" bestFit="1" customWidth="1"/>
    <col min="513" max="513" width="38.44140625" customWidth="1"/>
    <col min="514" max="514" width="16.33203125" customWidth="1"/>
    <col min="515" max="515" width="13.33203125" customWidth="1"/>
    <col min="516" max="516" width="15.109375" bestFit="1" customWidth="1"/>
    <col min="517" max="519" width="15.109375" customWidth="1"/>
    <col min="520" max="520" width="17.6640625" customWidth="1"/>
    <col min="521" max="521" width="17.109375" customWidth="1"/>
    <col min="522" max="522" width="15.109375" customWidth="1"/>
    <col min="523" max="523" width="17.6640625" customWidth="1"/>
    <col min="524" max="524" width="15" bestFit="1" customWidth="1"/>
    <col min="525" max="525" width="22.5546875" customWidth="1"/>
    <col min="526" max="526" width="1" customWidth="1"/>
    <col min="527" max="527" width="28" customWidth="1"/>
    <col min="528" max="528" width="1.33203125" customWidth="1"/>
    <col min="529" max="529" width="14.6640625" customWidth="1"/>
    <col min="530" max="530" width="12" bestFit="1" customWidth="1"/>
    <col min="532" max="532" width="8.88671875" customWidth="1"/>
    <col min="535" max="536" width="10" bestFit="1" customWidth="1"/>
    <col min="769" max="769" width="38.44140625" customWidth="1"/>
    <col min="770" max="770" width="16.33203125" customWidth="1"/>
    <col min="771" max="771" width="13.33203125" customWidth="1"/>
    <col min="772" max="772" width="15.109375" bestFit="1" customWidth="1"/>
    <col min="773" max="775" width="15.109375" customWidth="1"/>
    <col min="776" max="776" width="17.6640625" customWidth="1"/>
    <col min="777" max="777" width="17.109375" customWidth="1"/>
    <col min="778" max="778" width="15.109375" customWidth="1"/>
    <col min="779" max="779" width="17.6640625" customWidth="1"/>
    <col min="780" max="780" width="15" bestFit="1" customWidth="1"/>
    <col min="781" max="781" width="22.5546875" customWidth="1"/>
    <col min="782" max="782" width="1" customWidth="1"/>
    <col min="783" max="783" width="28" customWidth="1"/>
    <col min="784" max="784" width="1.33203125" customWidth="1"/>
    <col min="785" max="785" width="14.6640625" customWidth="1"/>
    <col min="786" max="786" width="12" bestFit="1" customWidth="1"/>
    <col min="788" max="788" width="8.88671875" customWidth="1"/>
    <col min="791" max="792" width="10" bestFit="1" customWidth="1"/>
    <col min="1025" max="1025" width="38.44140625" customWidth="1"/>
    <col min="1026" max="1026" width="16.33203125" customWidth="1"/>
    <col min="1027" max="1027" width="13.33203125" customWidth="1"/>
    <col min="1028" max="1028" width="15.109375" bestFit="1" customWidth="1"/>
    <col min="1029" max="1031" width="15.109375" customWidth="1"/>
    <col min="1032" max="1032" width="17.6640625" customWidth="1"/>
    <col min="1033" max="1033" width="17.109375" customWidth="1"/>
    <col min="1034" max="1034" width="15.109375" customWidth="1"/>
    <col min="1035" max="1035" width="17.6640625" customWidth="1"/>
    <col min="1036" max="1036" width="15" bestFit="1" customWidth="1"/>
    <col min="1037" max="1037" width="22.5546875" customWidth="1"/>
    <col min="1038" max="1038" width="1" customWidth="1"/>
    <col min="1039" max="1039" width="28" customWidth="1"/>
    <col min="1040" max="1040" width="1.33203125" customWidth="1"/>
    <col min="1041" max="1041" width="14.6640625" customWidth="1"/>
    <col min="1042" max="1042" width="12" bestFit="1" customWidth="1"/>
    <col min="1044" max="1044" width="8.88671875" customWidth="1"/>
    <col min="1047" max="1048" width="10" bestFit="1" customWidth="1"/>
    <col min="1281" max="1281" width="38.44140625" customWidth="1"/>
    <col min="1282" max="1282" width="16.33203125" customWidth="1"/>
    <col min="1283" max="1283" width="13.33203125" customWidth="1"/>
    <col min="1284" max="1284" width="15.109375" bestFit="1" customWidth="1"/>
    <col min="1285" max="1287" width="15.109375" customWidth="1"/>
    <col min="1288" max="1288" width="17.6640625" customWidth="1"/>
    <col min="1289" max="1289" width="17.109375" customWidth="1"/>
    <col min="1290" max="1290" width="15.109375" customWidth="1"/>
    <col min="1291" max="1291" width="17.6640625" customWidth="1"/>
    <col min="1292" max="1292" width="15" bestFit="1" customWidth="1"/>
    <col min="1293" max="1293" width="22.5546875" customWidth="1"/>
    <col min="1294" max="1294" width="1" customWidth="1"/>
    <col min="1295" max="1295" width="28" customWidth="1"/>
    <col min="1296" max="1296" width="1.33203125" customWidth="1"/>
    <col min="1297" max="1297" width="14.6640625" customWidth="1"/>
    <col min="1298" max="1298" width="12" bestFit="1" customWidth="1"/>
    <col min="1300" max="1300" width="8.88671875" customWidth="1"/>
    <col min="1303" max="1304" width="10" bestFit="1" customWidth="1"/>
    <col min="1537" max="1537" width="38.44140625" customWidth="1"/>
    <col min="1538" max="1538" width="16.33203125" customWidth="1"/>
    <col min="1539" max="1539" width="13.33203125" customWidth="1"/>
    <col min="1540" max="1540" width="15.109375" bestFit="1" customWidth="1"/>
    <col min="1541" max="1543" width="15.109375" customWidth="1"/>
    <col min="1544" max="1544" width="17.6640625" customWidth="1"/>
    <col min="1545" max="1545" width="17.109375" customWidth="1"/>
    <col min="1546" max="1546" width="15.109375" customWidth="1"/>
    <col min="1547" max="1547" width="17.6640625" customWidth="1"/>
    <col min="1548" max="1548" width="15" bestFit="1" customWidth="1"/>
    <col min="1549" max="1549" width="22.5546875" customWidth="1"/>
    <col min="1550" max="1550" width="1" customWidth="1"/>
    <col min="1551" max="1551" width="28" customWidth="1"/>
    <col min="1552" max="1552" width="1.33203125" customWidth="1"/>
    <col min="1553" max="1553" width="14.6640625" customWidth="1"/>
    <col min="1554" max="1554" width="12" bestFit="1" customWidth="1"/>
    <col min="1556" max="1556" width="8.88671875" customWidth="1"/>
    <col min="1559" max="1560" width="10" bestFit="1" customWidth="1"/>
    <col min="1793" max="1793" width="38.44140625" customWidth="1"/>
    <col min="1794" max="1794" width="16.33203125" customWidth="1"/>
    <col min="1795" max="1795" width="13.33203125" customWidth="1"/>
    <col min="1796" max="1796" width="15.109375" bestFit="1" customWidth="1"/>
    <col min="1797" max="1799" width="15.109375" customWidth="1"/>
    <col min="1800" max="1800" width="17.6640625" customWidth="1"/>
    <col min="1801" max="1801" width="17.109375" customWidth="1"/>
    <col min="1802" max="1802" width="15.109375" customWidth="1"/>
    <col min="1803" max="1803" width="17.6640625" customWidth="1"/>
    <col min="1804" max="1804" width="15" bestFit="1" customWidth="1"/>
    <col min="1805" max="1805" width="22.5546875" customWidth="1"/>
    <col min="1806" max="1806" width="1" customWidth="1"/>
    <col min="1807" max="1807" width="28" customWidth="1"/>
    <col min="1808" max="1808" width="1.33203125" customWidth="1"/>
    <col min="1809" max="1809" width="14.6640625" customWidth="1"/>
    <col min="1810" max="1810" width="12" bestFit="1" customWidth="1"/>
    <col min="1812" max="1812" width="8.88671875" customWidth="1"/>
    <col min="1815" max="1816" width="10" bestFit="1" customWidth="1"/>
    <col min="2049" max="2049" width="38.44140625" customWidth="1"/>
    <col min="2050" max="2050" width="16.33203125" customWidth="1"/>
    <col min="2051" max="2051" width="13.33203125" customWidth="1"/>
    <col min="2052" max="2052" width="15.109375" bestFit="1" customWidth="1"/>
    <col min="2053" max="2055" width="15.109375" customWidth="1"/>
    <col min="2056" max="2056" width="17.6640625" customWidth="1"/>
    <col min="2057" max="2057" width="17.109375" customWidth="1"/>
    <col min="2058" max="2058" width="15.109375" customWidth="1"/>
    <col min="2059" max="2059" width="17.6640625" customWidth="1"/>
    <col min="2060" max="2060" width="15" bestFit="1" customWidth="1"/>
    <col min="2061" max="2061" width="22.5546875" customWidth="1"/>
    <col min="2062" max="2062" width="1" customWidth="1"/>
    <col min="2063" max="2063" width="28" customWidth="1"/>
    <col min="2064" max="2064" width="1.33203125" customWidth="1"/>
    <col min="2065" max="2065" width="14.6640625" customWidth="1"/>
    <col min="2066" max="2066" width="12" bestFit="1" customWidth="1"/>
    <col min="2068" max="2068" width="8.88671875" customWidth="1"/>
    <col min="2071" max="2072" width="10" bestFit="1" customWidth="1"/>
    <col min="2305" max="2305" width="38.44140625" customWidth="1"/>
    <col min="2306" max="2306" width="16.33203125" customWidth="1"/>
    <col min="2307" max="2307" width="13.33203125" customWidth="1"/>
    <col min="2308" max="2308" width="15.109375" bestFit="1" customWidth="1"/>
    <col min="2309" max="2311" width="15.109375" customWidth="1"/>
    <col min="2312" max="2312" width="17.6640625" customWidth="1"/>
    <col min="2313" max="2313" width="17.109375" customWidth="1"/>
    <col min="2314" max="2314" width="15.109375" customWidth="1"/>
    <col min="2315" max="2315" width="17.6640625" customWidth="1"/>
    <col min="2316" max="2316" width="15" bestFit="1" customWidth="1"/>
    <col min="2317" max="2317" width="22.5546875" customWidth="1"/>
    <col min="2318" max="2318" width="1" customWidth="1"/>
    <col min="2319" max="2319" width="28" customWidth="1"/>
    <col min="2320" max="2320" width="1.33203125" customWidth="1"/>
    <col min="2321" max="2321" width="14.6640625" customWidth="1"/>
    <col min="2322" max="2322" width="12" bestFit="1" customWidth="1"/>
    <col min="2324" max="2324" width="8.88671875" customWidth="1"/>
    <col min="2327" max="2328" width="10" bestFit="1" customWidth="1"/>
    <col min="2561" max="2561" width="38.44140625" customWidth="1"/>
    <col min="2562" max="2562" width="16.33203125" customWidth="1"/>
    <col min="2563" max="2563" width="13.33203125" customWidth="1"/>
    <col min="2564" max="2564" width="15.109375" bestFit="1" customWidth="1"/>
    <col min="2565" max="2567" width="15.109375" customWidth="1"/>
    <col min="2568" max="2568" width="17.6640625" customWidth="1"/>
    <col min="2569" max="2569" width="17.109375" customWidth="1"/>
    <col min="2570" max="2570" width="15.109375" customWidth="1"/>
    <col min="2571" max="2571" width="17.6640625" customWidth="1"/>
    <col min="2572" max="2572" width="15" bestFit="1" customWidth="1"/>
    <col min="2573" max="2573" width="22.5546875" customWidth="1"/>
    <col min="2574" max="2574" width="1" customWidth="1"/>
    <col min="2575" max="2575" width="28" customWidth="1"/>
    <col min="2576" max="2576" width="1.33203125" customWidth="1"/>
    <col min="2577" max="2577" width="14.6640625" customWidth="1"/>
    <col min="2578" max="2578" width="12" bestFit="1" customWidth="1"/>
    <col min="2580" max="2580" width="8.88671875" customWidth="1"/>
    <col min="2583" max="2584" width="10" bestFit="1" customWidth="1"/>
    <col min="2817" max="2817" width="38.44140625" customWidth="1"/>
    <col min="2818" max="2818" width="16.33203125" customWidth="1"/>
    <col min="2819" max="2819" width="13.33203125" customWidth="1"/>
    <col min="2820" max="2820" width="15.109375" bestFit="1" customWidth="1"/>
    <col min="2821" max="2823" width="15.109375" customWidth="1"/>
    <col min="2824" max="2824" width="17.6640625" customWidth="1"/>
    <col min="2825" max="2825" width="17.109375" customWidth="1"/>
    <col min="2826" max="2826" width="15.109375" customWidth="1"/>
    <col min="2827" max="2827" width="17.6640625" customWidth="1"/>
    <col min="2828" max="2828" width="15" bestFit="1" customWidth="1"/>
    <col min="2829" max="2829" width="22.5546875" customWidth="1"/>
    <col min="2830" max="2830" width="1" customWidth="1"/>
    <col min="2831" max="2831" width="28" customWidth="1"/>
    <col min="2832" max="2832" width="1.33203125" customWidth="1"/>
    <col min="2833" max="2833" width="14.6640625" customWidth="1"/>
    <col min="2834" max="2834" width="12" bestFit="1" customWidth="1"/>
    <col min="2836" max="2836" width="8.88671875" customWidth="1"/>
    <col min="2839" max="2840" width="10" bestFit="1" customWidth="1"/>
    <col min="3073" max="3073" width="38.44140625" customWidth="1"/>
    <col min="3074" max="3074" width="16.33203125" customWidth="1"/>
    <col min="3075" max="3075" width="13.33203125" customWidth="1"/>
    <col min="3076" max="3076" width="15.109375" bestFit="1" customWidth="1"/>
    <col min="3077" max="3079" width="15.109375" customWidth="1"/>
    <col min="3080" max="3080" width="17.6640625" customWidth="1"/>
    <col min="3081" max="3081" width="17.109375" customWidth="1"/>
    <col min="3082" max="3082" width="15.109375" customWidth="1"/>
    <col min="3083" max="3083" width="17.6640625" customWidth="1"/>
    <col min="3084" max="3084" width="15" bestFit="1" customWidth="1"/>
    <col min="3085" max="3085" width="22.5546875" customWidth="1"/>
    <col min="3086" max="3086" width="1" customWidth="1"/>
    <col min="3087" max="3087" width="28" customWidth="1"/>
    <col min="3088" max="3088" width="1.33203125" customWidth="1"/>
    <col min="3089" max="3089" width="14.6640625" customWidth="1"/>
    <col min="3090" max="3090" width="12" bestFit="1" customWidth="1"/>
    <col min="3092" max="3092" width="8.88671875" customWidth="1"/>
    <col min="3095" max="3096" width="10" bestFit="1" customWidth="1"/>
    <col min="3329" max="3329" width="38.44140625" customWidth="1"/>
    <col min="3330" max="3330" width="16.33203125" customWidth="1"/>
    <col min="3331" max="3331" width="13.33203125" customWidth="1"/>
    <col min="3332" max="3332" width="15.109375" bestFit="1" customWidth="1"/>
    <col min="3333" max="3335" width="15.109375" customWidth="1"/>
    <col min="3336" max="3336" width="17.6640625" customWidth="1"/>
    <col min="3337" max="3337" width="17.109375" customWidth="1"/>
    <col min="3338" max="3338" width="15.109375" customWidth="1"/>
    <col min="3339" max="3339" width="17.6640625" customWidth="1"/>
    <col min="3340" max="3340" width="15" bestFit="1" customWidth="1"/>
    <col min="3341" max="3341" width="22.5546875" customWidth="1"/>
    <col min="3342" max="3342" width="1" customWidth="1"/>
    <col min="3343" max="3343" width="28" customWidth="1"/>
    <col min="3344" max="3344" width="1.33203125" customWidth="1"/>
    <col min="3345" max="3345" width="14.6640625" customWidth="1"/>
    <col min="3346" max="3346" width="12" bestFit="1" customWidth="1"/>
    <col min="3348" max="3348" width="8.88671875" customWidth="1"/>
    <col min="3351" max="3352" width="10" bestFit="1" customWidth="1"/>
    <col min="3585" max="3585" width="38.44140625" customWidth="1"/>
    <col min="3586" max="3586" width="16.33203125" customWidth="1"/>
    <col min="3587" max="3587" width="13.33203125" customWidth="1"/>
    <col min="3588" max="3588" width="15.109375" bestFit="1" customWidth="1"/>
    <col min="3589" max="3591" width="15.109375" customWidth="1"/>
    <col min="3592" max="3592" width="17.6640625" customWidth="1"/>
    <col min="3593" max="3593" width="17.109375" customWidth="1"/>
    <col min="3594" max="3594" width="15.109375" customWidth="1"/>
    <col min="3595" max="3595" width="17.6640625" customWidth="1"/>
    <col min="3596" max="3596" width="15" bestFit="1" customWidth="1"/>
    <col min="3597" max="3597" width="22.5546875" customWidth="1"/>
    <col min="3598" max="3598" width="1" customWidth="1"/>
    <col min="3599" max="3599" width="28" customWidth="1"/>
    <col min="3600" max="3600" width="1.33203125" customWidth="1"/>
    <col min="3601" max="3601" width="14.6640625" customWidth="1"/>
    <col min="3602" max="3602" width="12" bestFit="1" customWidth="1"/>
    <col min="3604" max="3604" width="8.88671875" customWidth="1"/>
    <col min="3607" max="3608" width="10" bestFit="1" customWidth="1"/>
    <col min="3841" max="3841" width="38.44140625" customWidth="1"/>
    <col min="3842" max="3842" width="16.33203125" customWidth="1"/>
    <col min="3843" max="3843" width="13.33203125" customWidth="1"/>
    <col min="3844" max="3844" width="15.109375" bestFit="1" customWidth="1"/>
    <col min="3845" max="3847" width="15.109375" customWidth="1"/>
    <col min="3848" max="3848" width="17.6640625" customWidth="1"/>
    <col min="3849" max="3849" width="17.109375" customWidth="1"/>
    <col min="3850" max="3850" width="15.109375" customWidth="1"/>
    <col min="3851" max="3851" width="17.6640625" customWidth="1"/>
    <col min="3852" max="3852" width="15" bestFit="1" customWidth="1"/>
    <col min="3853" max="3853" width="22.5546875" customWidth="1"/>
    <col min="3854" max="3854" width="1" customWidth="1"/>
    <col min="3855" max="3855" width="28" customWidth="1"/>
    <col min="3856" max="3856" width="1.33203125" customWidth="1"/>
    <col min="3857" max="3857" width="14.6640625" customWidth="1"/>
    <col min="3858" max="3858" width="12" bestFit="1" customWidth="1"/>
    <col min="3860" max="3860" width="8.88671875" customWidth="1"/>
    <col min="3863" max="3864" width="10" bestFit="1" customWidth="1"/>
    <col min="4097" max="4097" width="38.44140625" customWidth="1"/>
    <col min="4098" max="4098" width="16.33203125" customWidth="1"/>
    <col min="4099" max="4099" width="13.33203125" customWidth="1"/>
    <col min="4100" max="4100" width="15.109375" bestFit="1" customWidth="1"/>
    <col min="4101" max="4103" width="15.109375" customWidth="1"/>
    <col min="4104" max="4104" width="17.6640625" customWidth="1"/>
    <col min="4105" max="4105" width="17.109375" customWidth="1"/>
    <col min="4106" max="4106" width="15.109375" customWidth="1"/>
    <col min="4107" max="4107" width="17.6640625" customWidth="1"/>
    <col min="4108" max="4108" width="15" bestFit="1" customWidth="1"/>
    <col min="4109" max="4109" width="22.5546875" customWidth="1"/>
    <col min="4110" max="4110" width="1" customWidth="1"/>
    <col min="4111" max="4111" width="28" customWidth="1"/>
    <col min="4112" max="4112" width="1.33203125" customWidth="1"/>
    <col min="4113" max="4113" width="14.6640625" customWidth="1"/>
    <col min="4114" max="4114" width="12" bestFit="1" customWidth="1"/>
    <col min="4116" max="4116" width="8.88671875" customWidth="1"/>
    <col min="4119" max="4120" width="10" bestFit="1" customWidth="1"/>
    <col min="4353" max="4353" width="38.44140625" customWidth="1"/>
    <col min="4354" max="4354" width="16.33203125" customWidth="1"/>
    <col min="4355" max="4355" width="13.33203125" customWidth="1"/>
    <col min="4356" max="4356" width="15.109375" bestFit="1" customWidth="1"/>
    <col min="4357" max="4359" width="15.109375" customWidth="1"/>
    <col min="4360" max="4360" width="17.6640625" customWidth="1"/>
    <col min="4361" max="4361" width="17.109375" customWidth="1"/>
    <col min="4362" max="4362" width="15.109375" customWidth="1"/>
    <col min="4363" max="4363" width="17.6640625" customWidth="1"/>
    <col min="4364" max="4364" width="15" bestFit="1" customWidth="1"/>
    <col min="4365" max="4365" width="22.5546875" customWidth="1"/>
    <col min="4366" max="4366" width="1" customWidth="1"/>
    <col min="4367" max="4367" width="28" customWidth="1"/>
    <col min="4368" max="4368" width="1.33203125" customWidth="1"/>
    <col min="4369" max="4369" width="14.6640625" customWidth="1"/>
    <col min="4370" max="4370" width="12" bestFit="1" customWidth="1"/>
    <col min="4372" max="4372" width="8.88671875" customWidth="1"/>
    <col min="4375" max="4376" width="10" bestFit="1" customWidth="1"/>
    <col min="4609" max="4609" width="38.44140625" customWidth="1"/>
    <col min="4610" max="4610" width="16.33203125" customWidth="1"/>
    <col min="4611" max="4611" width="13.33203125" customWidth="1"/>
    <col min="4612" max="4612" width="15.109375" bestFit="1" customWidth="1"/>
    <col min="4613" max="4615" width="15.109375" customWidth="1"/>
    <col min="4616" max="4616" width="17.6640625" customWidth="1"/>
    <col min="4617" max="4617" width="17.109375" customWidth="1"/>
    <col min="4618" max="4618" width="15.109375" customWidth="1"/>
    <col min="4619" max="4619" width="17.6640625" customWidth="1"/>
    <col min="4620" max="4620" width="15" bestFit="1" customWidth="1"/>
    <col min="4621" max="4621" width="22.5546875" customWidth="1"/>
    <col min="4622" max="4622" width="1" customWidth="1"/>
    <col min="4623" max="4623" width="28" customWidth="1"/>
    <col min="4624" max="4624" width="1.33203125" customWidth="1"/>
    <col min="4625" max="4625" width="14.6640625" customWidth="1"/>
    <col min="4626" max="4626" width="12" bestFit="1" customWidth="1"/>
    <col min="4628" max="4628" width="8.88671875" customWidth="1"/>
    <col min="4631" max="4632" width="10" bestFit="1" customWidth="1"/>
    <col min="4865" max="4865" width="38.44140625" customWidth="1"/>
    <col min="4866" max="4866" width="16.33203125" customWidth="1"/>
    <col min="4867" max="4867" width="13.33203125" customWidth="1"/>
    <col min="4868" max="4868" width="15.109375" bestFit="1" customWidth="1"/>
    <col min="4869" max="4871" width="15.109375" customWidth="1"/>
    <col min="4872" max="4872" width="17.6640625" customWidth="1"/>
    <col min="4873" max="4873" width="17.109375" customWidth="1"/>
    <col min="4874" max="4874" width="15.109375" customWidth="1"/>
    <col min="4875" max="4875" width="17.6640625" customWidth="1"/>
    <col min="4876" max="4876" width="15" bestFit="1" customWidth="1"/>
    <col min="4877" max="4877" width="22.5546875" customWidth="1"/>
    <col min="4878" max="4878" width="1" customWidth="1"/>
    <col min="4879" max="4879" width="28" customWidth="1"/>
    <col min="4880" max="4880" width="1.33203125" customWidth="1"/>
    <col min="4881" max="4881" width="14.6640625" customWidth="1"/>
    <col min="4882" max="4882" width="12" bestFit="1" customWidth="1"/>
    <col min="4884" max="4884" width="8.88671875" customWidth="1"/>
    <col min="4887" max="4888" width="10" bestFit="1" customWidth="1"/>
    <col min="5121" max="5121" width="38.44140625" customWidth="1"/>
    <col min="5122" max="5122" width="16.33203125" customWidth="1"/>
    <col min="5123" max="5123" width="13.33203125" customWidth="1"/>
    <col min="5124" max="5124" width="15.109375" bestFit="1" customWidth="1"/>
    <col min="5125" max="5127" width="15.109375" customWidth="1"/>
    <col min="5128" max="5128" width="17.6640625" customWidth="1"/>
    <col min="5129" max="5129" width="17.109375" customWidth="1"/>
    <col min="5130" max="5130" width="15.109375" customWidth="1"/>
    <col min="5131" max="5131" width="17.6640625" customWidth="1"/>
    <col min="5132" max="5132" width="15" bestFit="1" customWidth="1"/>
    <col min="5133" max="5133" width="22.5546875" customWidth="1"/>
    <col min="5134" max="5134" width="1" customWidth="1"/>
    <col min="5135" max="5135" width="28" customWidth="1"/>
    <col min="5136" max="5136" width="1.33203125" customWidth="1"/>
    <col min="5137" max="5137" width="14.6640625" customWidth="1"/>
    <col min="5138" max="5138" width="12" bestFit="1" customWidth="1"/>
    <col min="5140" max="5140" width="8.88671875" customWidth="1"/>
    <col min="5143" max="5144" width="10" bestFit="1" customWidth="1"/>
    <col min="5377" max="5377" width="38.44140625" customWidth="1"/>
    <col min="5378" max="5378" width="16.33203125" customWidth="1"/>
    <col min="5379" max="5379" width="13.33203125" customWidth="1"/>
    <col min="5380" max="5380" width="15.109375" bestFit="1" customWidth="1"/>
    <col min="5381" max="5383" width="15.109375" customWidth="1"/>
    <col min="5384" max="5384" width="17.6640625" customWidth="1"/>
    <col min="5385" max="5385" width="17.109375" customWidth="1"/>
    <col min="5386" max="5386" width="15.109375" customWidth="1"/>
    <col min="5387" max="5387" width="17.6640625" customWidth="1"/>
    <col min="5388" max="5388" width="15" bestFit="1" customWidth="1"/>
    <col min="5389" max="5389" width="22.5546875" customWidth="1"/>
    <col min="5390" max="5390" width="1" customWidth="1"/>
    <col min="5391" max="5391" width="28" customWidth="1"/>
    <col min="5392" max="5392" width="1.33203125" customWidth="1"/>
    <col min="5393" max="5393" width="14.6640625" customWidth="1"/>
    <col min="5394" max="5394" width="12" bestFit="1" customWidth="1"/>
    <col min="5396" max="5396" width="8.88671875" customWidth="1"/>
    <col min="5399" max="5400" width="10" bestFit="1" customWidth="1"/>
    <col min="5633" max="5633" width="38.44140625" customWidth="1"/>
    <col min="5634" max="5634" width="16.33203125" customWidth="1"/>
    <col min="5635" max="5635" width="13.33203125" customWidth="1"/>
    <col min="5636" max="5636" width="15.109375" bestFit="1" customWidth="1"/>
    <col min="5637" max="5639" width="15.109375" customWidth="1"/>
    <col min="5640" max="5640" width="17.6640625" customWidth="1"/>
    <col min="5641" max="5641" width="17.109375" customWidth="1"/>
    <col min="5642" max="5642" width="15.109375" customWidth="1"/>
    <col min="5643" max="5643" width="17.6640625" customWidth="1"/>
    <col min="5644" max="5644" width="15" bestFit="1" customWidth="1"/>
    <col min="5645" max="5645" width="22.5546875" customWidth="1"/>
    <col min="5646" max="5646" width="1" customWidth="1"/>
    <col min="5647" max="5647" width="28" customWidth="1"/>
    <col min="5648" max="5648" width="1.33203125" customWidth="1"/>
    <col min="5649" max="5649" width="14.6640625" customWidth="1"/>
    <col min="5650" max="5650" width="12" bestFit="1" customWidth="1"/>
    <col min="5652" max="5652" width="8.88671875" customWidth="1"/>
    <col min="5655" max="5656" width="10" bestFit="1" customWidth="1"/>
    <col min="5889" max="5889" width="38.44140625" customWidth="1"/>
    <col min="5890" max="5890" width="16.33203125" customWidth="1"/>
    <col min="5891" max="5891" width="13.33203125" customWidth="1"/>
    <col min="5892" max="5892" width="15.109375" bestFit="1" customWidth="1"/>
    <col min="5893" max="5895" width="15.109375" customWidth="1"/>
    <col min="5896" max="5896" width="17.6640625" customWidth="1"/>
    <col min="5897" max="5897" width="17.109375" customWidth="1"/>
    <col min="5898" max="5898" width="15.109375" customWidth="1"/>
    <col min="5899" max="5899" width="17.6640625" customWidth="1"/>
    <col min="5900" max="5900" width="15" bestFit="1" customWidth="1"/>
    <col min="5901" max="5901" width="22.5546875" customWidth="1"/>
    <col min="5902" max="5902" width="1" customWidth="1"/>
    <col min="5903" max="5903" width="28" customWidth="1"/>
    <col min="5904" max="5904" width="1.33203125" customWidth="1"/>
    <col min="5905" max="5905" width="14.6640625" customWidth="1"/>
    <col min="5906" max="5906" width="12" bestFit="1" customWidth="1"/>
    <col min="5908" max="5908" width="8.88671875" customWidth="1"/>
    <col min="5911" max="5912" width="10" bestFit="1" customWidth="1"/>
    <col min="6145" max="6145" width="38.44140625" customWidth="1"/>
    <col min="6146" max="6146" width="16.33203125" customWidth="1"/>
    <col min="6147" max="6147" width="13.33203125" customWidth="1"/>
    <col min="6148" max="6148" width="15.109375" bestFit="1" customWidth="1"/>
    <col min="6149" max="6151" width="15.109375" customWidth="1"/>
    <col min="6152" max="6152" width="17.6640625" customWidth="1"/>
    <col min="6153" max="6153" width="17.109375" customWidth="1"/>
    <col min="6154" max="6154" width="15.109375" customWidth="1"/>
    <col min="6155" max="6155" width="17.6640625" customWidth="1"/>
    <col min="6156" max="6156" width="15" bestFit="1" customWidth="1"/>
    <col min="6157" max="6157" width="22.5546875" customWidth="1"/>
    <col min="6158" max="6158" width="1" customWidth="1"/>
    <col min="6159" max="6159" width="28" customWidth="1"/>
    <col min="6160" max="6160" width="1.33203125" customWidth="1"/>
    <col min="6161" max="6161" width="14.6640625" customWidth="1"/>
    <col min="6162" max="6162" width="12" bestFit="1" customWidth="1"/>
    <col min="6164" max="6164" width="8.88671875" customWidth="1"/>
    <col min="6167" max="6168" width="10" bestFit="1" customWidth="1"/>
    <col min="6401" max="6401" width="38.44140625" customWidth="1"/>
    <col min="6402" max="6402" width="16.33203125" customWidth="1"/>
    <col min="6403" max="6403" width="13.33203125" customWidth="1"/>
    <col min="6404" max="6404" width="15.109375" bestFit="1" customWidth="1"/>
    <col min="6405" max="6407" width="15.109375" customWidth="1"/>
    <col min="6408" max="6408" width="17.6640625" customWidth="1"/>
    <col min="6409" max="6409" width="17.109375" customWidth="1"/>
    <col min="6410" max="6410" width="15.109375" customWidth="1"/>
    <col min="6411" max="6411" width="17.6640625" customWidth="1"/>
    <col min="6412" max="6412" width="15" bestFit="1" customWidth="1"/>
    <col min="6413" max="6413" width="22.5546875" customWidth="1"/>
    <col min="6414" max="6414" width="1" customWidth="1"/>
    <col min="6415" max="6415" width="28" customWidth="1"/>
    <col min="6416" max="6416" width="1.33203125" customWidth="1"/>
    <col min="6417" max="6417" width="14.6640625" customWidth="1"/>
    <col min="6418" max="6418" width="12" bestFit="1" customWidth="1"/>
    <col min="6420" max="6420" width="8.88671875" customWidth="1"/>
    <col min="6423" max="6424" width="10" bestFit="1" customWidth="1"/>
    <col min="6657" max="6657" width="38.44140625" customWidth="1"/>
    <col min="6658" max="6658" width="16.33203125" customWidth="1"/>
    <col min="6659" max="6659" width="13.33203125" customWidth="1"/>
    <col min="6660" max="6660" width="15.109375" bestFit="1" customWidth="1"/>
    <col min="6661" max="6663" width="15.109375" customWidth="1"/>
    <col min="6664" max="6664" width="17.6640625" customWidth="1"/>
    <col min="6665" max="6665" width="17.109375" customWidth="1"/>
    <col min="6666" max="6666" width="15.109375" customWidth="1"/>
    <col min="6667" max="6667" width="17.6640625" customWidth="1"/>
    <col min="6668" max="6668" width="15" bestFit="1" customWidth="1"/>
    <col min="6669" max="6669" width="22.5546875" customWidth="1"/>
    <col min="6670" max="6670" width="1" customWidth="1"/>
    <col min="6671" max="6671" width="28" customWidth="1"/>
    <col min="6672" max="6672" width="1.33203125" customWidth="1"/>
    <col min="6673" max="6673" width="14.6640625" customWidth="1"/>
    <col min="6674" max="6674" width="12" bestFit="1" customWidth="1"/>
    <col min="6676" max="6676" width="8.88671875" customWidth="1"/>
    <col min="6679" max="6680" width="10" bestFit="1" customWidth="1"/>
    <col min="6913" max="6913" width="38.44140625" customWidth="1"/>
    <col min="6914" max="6914" width="16.33203125" customWidth="1"/>
    <col min="6915" max="6915" width="13.33203125" customWidth="1"/>
    <col min="6916" max="6916" width="15.109375" bestFit="1" customWidth="1"/>
    <col min="6917" max="6919" width="15.109375" customWidth="1"/>
    <col min="6920" max="6920" width="17.6640625" customWidth="1"/>
    <col min="6921" max="6921" width="17.109375" customWidth="1"/>
    <col min="6922" max="6922" width="15.109375" customWidth="1"/>
    <col min="6923" max="6923" width="17.6640625" customWidth="1"/>
    <col min="6924" max="6924" width="15" bestFit="1" customWidth="1"/>
    <col min="6925" max="6925" width="22.5546875" customWidth="1"/>
    <col min="6926" max="6926" width="1" customWidth="1"/>
    <col min="6927" max="6927" width="28" customWidth="1"/>
    <col min="6928" max="6928" width="1.33203125" customWidth="1"/>
    <col min="6929" max="6929" width="14.6640625" customWidth="1"/>
    <col min="6930" max="6930" width="12" bestFit="1" customWidth="1"/>
    <col min="6932" max="6932" width="8.88671875" customWidth="1"/>
    <col min="6935" max="6936" width="10" bestFit="1" customWidth="1"/>
    <col min="7169" max="7169" width="38.44140625" customWidth="1"/>
    <col min="7170" max="7170" width="16.33203125" customWidth="1"/>
    <col min="7171" max="7171" width="13.33203125" customWidth="1"/>
    <col min="7172" max="7172" width="15.109375" bestFit="1" customWidth="1"/>
    <col min="7173" max="7175" width="15.109375" customWidth="1"/>
    <col min="7176" max="7176" width="17.6640625" customWidth="1"/>
    <col min="7177" max="7177" width="17.109375" customWidth="1"/>
    <col min="7178" max="7178" width="15.109375" customWidth="1"/>
    <col min="7179" max="7179" width="17.6640625" customWidth="1"/>
    <col min="7180" max="7180" width="15" bestFit="1" customWidth="1"/>
    <col min="7181" max="7181" width="22.5546875" customWidth="1"/>
    <col min="7182" max="7182" width="1" customWidth="1"/>
    <col min="7183" max="7183" width="28" customWidth="1"/>
    <col min="7184" max="7184" width="1.33203125" customWidth="1"/>
    <col min="7185" max="7185" width="14.6640625" customWidth="1"/>
    <col min="7186" max="7186" width="12" bestFit="1" customWidth="1"/>
    <col min="7188" max="7188" width="8.88671875" customWidth="1"/>
    <col min="7191" max="7192" width="10" bestFit="1" customWidth="1"/>
    <col min="7425" max="7425" width="38.44140625" customWidth="1"/>
    <col min="7426" max="7426" width="16.33203125" customWidth="1"/>
    <col min="7427" max="7427" width="13.33203125" customWidth="1"/>
    <col min="7428" max="7428" width="15.109375" bestFit="1" customWidth="1"/>
    <col min="7429" max="7431" width="15.109375" customWidth="1"/>
    <col min="7432" max="7432" width="17.6640625" customWidth="1"/>
    <col min="7433" max="7433" width="17.109375" customWidth="1"/>
    <col min="7434" max="7434" width="15.109375" customWidth="1"/>
    <col min="7435" max="7435" width="17.6640625" customWidth="1"/>
    <col min="7436" max="7436" width="15" bestFit="1" customWidth="1"/>
    <col min="7437" max="7437" width="22.5546875" customWidth="1"/>
    <col min="7438" max="7438" width="1" customWidth="1"/>
    <col min="7439" max="7439" width="28" customWidth="1"/>
    <col min="7440" max="7440" width="1.33203125" customWidth="1"/>
    <col min="7441" max="7441" width="14.6640625" customWidth="1"/>
    <col min="7442" max="7442" width="12" bestFit="1" customWidth="1"/>
    <col min="7444" max="7444" width="8.88671875" customWidth="1"/>
    <col min="7447" max="7448" width="10" bestFit="1" customWidth="1"/>
    <col min="7681" max="7681" width="38.44140625" customWidth="1"/>
    <col min="7682" max="7682" width="16.33203125" customWidth="1"/>
    <col min="7683" max="7683" width="13.33203125" customWidth="1"/>
    <col min="7684" max="7684" width="15.109375" bestFit="1" customWidth="1"/>
    <col min="7685" max="7687" width="15.109375" customWidth="1"/>
    <col min="7688" max="7688" width="17.6640625" customWidth="1"/>
    <col min="7689" max="7689" width="17.109375" customWidth="1"/>
    <col min="7690" max="7690" width="15.109375" customWidth="1"/>
    <col min="7691" max="7691" width="17.6640625" customWidth="1"/>
    <col min="7692" max="7692" width="15" bestFit="1" customWidth="1"/>
    <col min="7693" max="7693" width="22.5546875" customWidth="1"/>
    <col min="7694" max="7694" width="1" customWidth="1"/>
    <col min="7695" max="7695" width="28" customWidth="1"/>
    <col min="7696" max="7696" width="1.33203125" customWidth="1"/>
    <col min="7697" max="7697" width="14.6640625" customWidth="1"/>
    <col min="7698" max="7698" width="12" bestFit="1" customWidth="1"/>
    <col min="7700" max="7700" width="8.88671875" customWidth="1"/>
    <col min="7703" max="7704" width="10" bestFit="1" customWidth="1"/>
    <col min="7937" max="7937" width="38.44140625" customWidth="1"/>
    <col min="7938" max="7938" width="16.33203125" customWidth="1"/>
    <col min="7939" max="7939" width="13.33203125" customWidth="1"/>
    <col min="7940" max="7940" width="15.109375" bestFit="1" customWidth="1"/>
    <col min="7941" max="7943" width="15.109375" customWidth="1"/>
    <col min="7944" max="7944" width="17.6640625" customWidth="1"/>
    <col min="7945" max="7945" width="17.109375" customWidth="1"/>
    <col min="7946" max="7946" width="15.109375" customWidth="1"/>
    <col min="7947" max="7947" width="17.6640625" customWidth="1"/>
    <col min="7948" max="7948" width="15" bestFit="1" customWidth="1"/>
    <col min="7949" max="7949" width="22.5546875" customWidth="1"/>
    <col min="7950" max="7950" width="1" customWidth="1"/>
    <col min="7951" max="7951" width="28" customWidth="1"/>
    <col min="7952" max="7952" width="1.33203125" customWidth="1"/>
    <col min="7953" max="7953" width="14.6640625" customWidth="1"/>
    <col min="7954" max="7954" width="12" bestFit="1" customWidth="1"/>
    <col min="7956" max="7956" width="8.88671875" customWidth="1"/>
    <col min="7959" max="7960" width="10" bestFit="1" customWidth="1"/>
    <col min="8193" max="8193" width="38.44140625" customWidth="1"/>
    <col min="8194" max="8194" width="16.33203125" customWidth="1"/>
    <col min="8195" max="8195" width="13.33203125" customWidth="1"/>
    <col min="8196" max="8196" width="15.109375" bestFit="1" customWidth="1"/>
    <col min="8197" max="8199" width="15.109375" customWidth="1"/>
    <col min="8200" max="8200" width="17.6640625" customWidth="1"/>
    <col min="8201" max="8201" width="17.109375" customWidth="1"/>
    <col min="8202" max="8202" width="15.109375" customWidth="1"/>
    <col min="8203" max="8203" width="17.6640625" customWidth="1"/>
    <col min="8204" max="8204" width="15" bestFit="1" customWidth="1"/>
    <col min="8205" max="8205" width="22.5546875" customWidth="1"/>
    <col min="8206" max="8206" width="1" customWidth="1"/>
    <col min="8207" max="8207" width="28" customWidth="1"/>
    <col min="8208" max="8208" width="1.33203125" customWidth="1"/>
    <col min="8209" max="8209" width="14.6640625" customWidth="1"/>
    <col min="8210" max="8210" width="12" bestFit="1" customWidth="1"/>
    <col min="8212" max="8212" width="8.88671875" customWidth="1"/>
    <col min="8215" max="8216" width="10" bestFit="1" customWidth="1"/>
    <col min="8449" max="8449" width="38.44140625" customWidth="1"/>
    <col min="8450" max="8450" width="16.33203125" customWidth="1"/>
    <col min="8451" max="8451" width="13.33203125" customWidth="1"/>
    <col min="8452" max="8452" width="15.109375" bestFit="1" customWidth="1"/>
    <col min="8453" max="8455" width="15.109375" customWidth="1"/>
    <col min="8456" max="8456" width="17.6640625" customWidth="1"/>
    <col min="8457" max="8457" width="17.109375" customWidth="1"/>
    <col min="8458" max="8458" width="15.109375" customWidth="1"/>
    <col min="8459" max="8459" width="17.6640625" customWidth="1"/>
    <col min="8460" max="8460" width="15" bestFit="1" customWidth="1"/>
    <col min="8461" max="8461" width="22.5546875" customWidth="1"/>
    <col min="8462" max="8462" width="1" customWidth="1"/>
    <col min="8463" max="8463" width="28" customWidth="1"/>
    <col min="8464" max="8464" width="1.33203125" customWidth="1"/>
    <col min="8465" max="8465" width="14.6640625" customWidth="1"/>
    <col min="8466" max="8466" width="12" bestFit="1" customWidth="1"/>
    <col min="8468" max="8468" width="8.88671875" customWidth="1"/>
    <col min="8471" max="8472" width="10" bestFit="1" customWidth="1"/>
    <col min="8705" max="8705" width="38.44140625" customWidth="1"/>
    <col min="8706" max="8706" width="16.33203125" customWidth="1"/>
    <col min="8707" max="8707" width="13.33203125" customWidth="1"/>
    <col min="8708" max="8708" width="15.109375" bestFit="1" customWidth="1"/>
    <col min="8709" max="8711" width="15.109375" customWidth="1"/>
    <col min="8712" max="8712" width="17.6640625" customWidth="1"/>
    <col min="8713" max="8713" width="17.109375" customWidth="1"/>
    <col min="8714" max="8714" width="15.109375" customWidth="1"/>
    <col min="8715" max="8715" width="17.6640625" customWidth="1"/>
    <col min="8716" max="8716" width="15" bestFit="1" customWidth="1"/>
    <col min="8717" max="8717" width="22.5546875" customWidth="1"/>
    <col min="8718" max="8718" width="1" customWidth="1"/>
    <col min="8719" max="8719" width="28" customWidth="1"/>
    <col min="8720" max="8720" width="1.33203125" customWidth="1"/>
    <col min="8721" max="8721" width="14.6640625" customWidth="1"/>
    <col min="8722" max="8722" width="12" bestFit="1" customWidth="1"/>
    <col min="8724" max="8724" width="8.88671875" customWidth="1"/>
    <col min="8727" max="8728" width="10" bestFit="1" customWidth="1"/>
    <col min="8961" max="8961" width="38.44140625" customWidth="1"/>
    <col min="8962" max="8962" width="16.33203125" customWidth="1"/>
    <col min="8963" max="8963" width="13.33203125" customWidth="1"/>
    <col min="8964" max="8964" width="15.109375" bestFit="1" customWidth="1"/>
    <col min="8965" max="8967" width="15.109375" customWidth="1"/>
    <col min="8968" max="8968" width="17.6640625" customWidth="1"/>
    <col min="8969" max="8969" width="17.109375" customWidth="1"/>
    <col min="8970" max="8970" width="15.109375" customWidth="1"/>
    <col min="8971" max="8971" width="17.6640625" customWidth="1"/>
    <col min="8972" max="8972" width="15" bestFit="1" customWidth="1"/>
    <col min="8973" max="8973" width="22.5546875" customWidth="1"/>
    <col min="8974" max="8974" width="1" customWidth="1"/>
    <col min="8975" max="8975" width="28" customWidth="1"/>
    <col min="8976" max="8976" width="1.33203125" customWidth="1"/>
    <col min="8977" max="8977" width="14.6640625" customWidth="1"/>
    <col min="8978" max="8978" width="12" bestFit="1" customWidth="1"/>
    <col min="8980" max="8980" width="8.88671875" customWidth="1"/>
    <col min="8983" max="8984" width="10" bestFit="1" customWidth="1"/>
    <col min="9217" max="9217" width="38.44140625" customWidth="1"/>
    <col min="9218" max="9218" width="16.33203125" customWidth="1"/>
    <col min="9219" max="9219" width="13.33203125" customWidth="1"/>
    <col min="9220" max="9220" width="15.109375" bestFit="1" customWidth="1"/>
    <col min="9221" max="9223" width="15.109375" customWidth="1"/>
    <col min="9224" max="9224" width="17.6640625" customWidth="1"/>
    <col min="9225" max="9225" width="17.109375" customWidth="1"/>
    <col min="9226" max="9226" width="15.109375" customWidth="1"/>
    <col min="9227" max="9227" width="17.6640625" customWidth="1"/>
    <col min="9228" max="9228" width="15" bestFit="1" customWidth="1"/>
    <col min="9229" max="9229" width="22.5546875" customWidth="1"/>
    <col min="9230" max="9230" width="1" customWidth="1"/>
    <col min="9231" max="9231" width="28" customWidth="1"/>
    <col min="9232" max="9232" width="1.33203125" customWidth="1"/>
    <col min="9233" max="9233" width="14.6640625" customWidth="1"/>
    <col min="9234" max="9234" width="12" bestFit="1" customWidth="1"/>
    <col min="9236" max="9236" width="8.88671875" customWidth="1"/>
    <col min="9239" max="9240" width="10" bestFit="1" customWidth="1"/>
    <col min="9473" max="9473" width="38.44140625" customWidth="1"/>
    <col min="9474" max="9474" width="16.33203125" customWidth="1"/>
    <col min="9475" max="9475" width="13.33203125" customWidth="1"/>
    <col min="9476" max="9476" width="15.109375" bestFit="1" customWidth="1"/>
    <col min="9477" max="9479" width="15.109375" customWidth="1"/>
    <col min="9480" max="9480" width="17.6640625" customWidth="1"/>
    <col min="9481" max="9481" width="17.109375" customWidth="1"/>
    <col min="9482" max="9482" width="15.109375" customWidth="1"/>
    <col min="9483" max="9483" width="17.6640625" customWidth="1"/>
    <col min="9484" max="9484" width="15" bestFit="1" customWidth="1"/>
    <col min="9485" max="9485" width="22.5546875" customWidth="1"/>
    <col min="9486" max="9486" width="1" customWidth="1"/>
    <col min="9487" max="9487" width="28" customWidth="1"/>
    <col min="9488" max="9488" width="1.33203125" customWidth="1"/>
    <col min="9489" max="9489" width="14.6640625" customWidth="1"/>
    <col min="9490" max="9490" width="12" bestFit="1" customWidth="1"/>
    <col min="9492" max="9492" width="8.88671875" customWidth="1"/>
    <col min="9495" max="9496" width="10" bestFit="1" customWidth="1"/>
    <col min="9729" max="9729" width="38.44140625" customWidth="1"/>
    <col min="9730" max="9730" width="16.33203125" customWidth="1"/>
    <col min="9731" max="9731" width="13.33203125" customWidth="1"/>
    <col min="9732" max="9732" width="15.109375" bestFit="1" customWidth="1"/>
    <col min="9733" max="9735" width="15.109375" customWidth="1"/>
    <col min="9736" max="9736" width="17.6640625" customWidth="1"/>
    <col min="9737" max="9737" width="17.109375" customWidth="1"/>
    <col min="9738" max="9738" width="15.109375" customWidth="1"/>
    <col min="9739" max="9739" width="17.6640625" customWidth="1"/>
    <col min="9740" max="9740" width="15" bestFit="1" customWidth="1"/>
    <col min="9741" max="9741" width="22.5546875" customWidth="1"/>
    <col min="9742" max="9742" width="1" customWidth="1"/>
    <col min="9743" max="9743" width="28" customWidth="1"/>
    <col min="9744" max="9744" width="1.33203125" customWidth="1"/>
    <col min="9745" max="9745" width="14.6640625" customWidth="1"/>
    <col min="9746" max="9746" width="12" bestFit="1" customWidth="1"/>
    <col min="9748" max="9748" width="8.88671875" customWidth="1"/>
    <col min="9751" max="9752" width="10" bestFit="1" customWidth="1"/>
    <col min="9985" max="9985" width="38.44140625" customWidth="1"/>
    <col min="9986" max="9986" width="16.33203125" customWidth="1"/>
    <col min="9987" max="9987" width="13.33203125" customWidth="1"/>
    <col min="9988" max="9988" width="15.109375" bestFit="1" customWidth="1"/>
    <col min="9989" max="9991" width="15.109375" customWidth="1"/>
    <col min="9992" max="9992" width="17.6640625" customWidth="1"/>
    <col min="9993" max="9993" width="17.109375" customWidth="1"/>
    <col min="9994" max="9994" width="15.109375" customWidth="1"/>
    <col min="9995" max="9995" width="17.6640625" customWidth="1"/>
    <col min="9996" max="9996" width="15" bestFit="1" customWidth="1"/>
    <col min="9997" max="9997" width="22.5546875" customWidth="1"/>
    <col min="9998" max="9998" width="1" customWidth="1"/>
    <col min="9999" max="9999" width="28" customWidth="1"/>
    <col min="10000" max="10000" width="1.33203125" customWidth="1"/>
    <col min="10001" max="10001" width="14.6640625" customWidth="1"/>
    <col min="10002" max="10002" width="12" bestFit="1" customWidth="1"/>
    <col min="10004" max="10004" width="8.88671875" customWidth="1"/>
    <col min="10007" max="10008" width="10" bestFit="1" customWidth="1"/>
    <col min="10241" max="10241" width="38.44140625" customWidth="1"/>
    <col min="10242" max="10242" width="16.33203125" customWidth="1"/>
    <col min="10243" max="10243" width="13.33203125" customWidth="1"/>
    <col min="10244" max="10244" width="15.109375" bestFit="1" customWidth="1"/>
    <col min="10245" max="10247" width="15.109375" customWidth="1"/>
    <col min="10248" max="10248" width="17.6640625" customWidth="1"/>
    <col min="10249" max="10249" width="17.109375" customWidth="1"/>
    <col min="10250" max="10250" width="15.109375" customWidth="1"/>
    <col min="10251" max="10251" width="17.6640625" customWidth="1"/>
    <col min="10252" max="10252" width="15" bestFit="1" customWidth="1"/>
    <col min="10253" max="10253" width="22.5546875" customWidth="1"/>
    <col min="10254" max="10254" width="1" customWidth="1"/>
    <col min="10255" max="10255" width="28" customWidth="1"/>
    <col min="10256" max="10256" width="1.33203125" customWidth="1"/>
    <col min="10257" max="10257" width="14.6640625" customWidth="1"/>
    <col min="10258" max="10258" width="12" bestFit="1" customWidth="1"/>
    <col min="10260" max="10260" width="8.88671875" customWidth="1"/>
    <col min="10263" max="10264" width="10" bestFit="1" customWidth="1"/>
    <col min="10497" max="10497" width="38.44140625" customWidth="1"/>
    <col min="10498" max="10498" width="16.33203125" customWidth="1"/>
    <col min="10499" max="10499" width="13.33203125" customWidth="1"/>
    <col min="10500" max="10500" width="15.109375" bestFit="1" customWidth="1"/>
    <col min="10501" max="10503" width="15.109375" customWidth="1"/>
    <col min="10504" max="10504" width="17.6640625" customWidth="1"/>
    <col min="10505" max="10505" width="17.109375" customWidth="1"/>
    <col min="10506" max="10506" width="15.109375" customWidth="1"/>
    <col min="10507" max="10507" width="17.6640625" customWidth="1"/>
    <col min="10508" max="10508" width="15" bestFit="1" customWidth="1"/>
    <col min="10509" max="10509" width="22.5546875" customWidth="1"/>
    <col min="10510" max="10510" width="1" customWidth="1"/>
    <col min="10511" max="10511" width="28" customWidth="1"/>
    <col min="10512" max="10512" width="1.33203125" customWidth="1"/>
    <col min="10513" max="10513" width="14.6640625" customWidth="1"/>
    <col min="10514" max="10514" width="12" bestFit="1" customWidth="1"/>
    <col min="10516" max="10516" width="8.88671875" customWidth="1"/>
    <col min="10519" max="10520" width="10" bestFit="1" customWidth="1"/>
    <col min="10753" max="10753" width="38.44140625" customWidth="1"/>
    <col min="10754" max="10754" width="16.33203125" customWidth="1"/>
    <col min="10755" max="10755" width="13.33203125" customWidth="1"/>
    <col min="10756" max="10756" width="15.109375" bestFit="1" customWidth="1"/>
    <col min="10757" max="10759" width="15.109375" customWidth="1"/>
    <col min="10760" max="10760" width="17.6640625" customWidth="1"/>
    <col min="10761" max="10761" width="17.109375" customWidth="1"/>
    <col min="10762" max="10762" width="15.109375" customWidth="1"/>
    <col min="10763" max="10763" width="17.6640625" customWidth="1"/>
    <col min="10764" max="10764" width="15" bestFit="1" customWidth="1"/>
    <col min="10765" max="10765" width="22.5546875" customWidth="1"/>
    <col min="10766" max="10766" width="1" customWidth="1"/>
    <col min="10767" max="10767" width="28" customWidth="1"/>
    <col min="10768" max="10768" width="1.33203125" customWidth="1"/>
    <col min="10769" max="10769" width="14.6640625" customWidth="1"/>
    <col min="10770" max="10770" width="12" bestFit="1" customWidth="1"/>
    <col min="10772" max="10772" width="8.88671875" customWidth="1"/>
    <col min="10775" max="10776" width="10" bestFit="1" customWidth="1"/>
    <col min="11009" max="11009" width="38.44140625" customWidth="1"/>
    <col min="11010" max="11010" width="16.33203125" customWidth="1"/>
    <col min="11011" max="11011" width="13.33203125" customWidth="1"/>
    <col min="11012" max="11012" width="15.109375" bestFit="1" customWidth="1"/>
    <col min="11013" max="11015" width="15.109375" customWidth="1"/>
    <col min="11016" max="11016" width="17.6640625" customWidth="1"/>
    <col min="11017" max="11017" width="17.109375" customWidth="1"/>
    <col min="11018" max="11018" width="15.109375" customWidth="1"/>
    <col min="11019" max="11019" width="17.6640625" customWidth="1"/>
    <col min="11020" max="11020" width="15" bestFit="1" customWidth="1"/>
    <col min="11021" max="11021" width="22.5546875" customWidth="1"/>
    <col min="11022" max="11022" width="1" customWidth="1"/>
    <col min="11023" max="11023" width="28" customWidth="1"/>
    <col min="11024" max="11024" width="1.33203125" customWidth="1"/>
    <col min="11025" max="11025" width="14.6640625" customWidth="1"/>
    <col min="11026" max="11026" width="12" bestFit="1" customWidth="1"/>
    <col min="11028" max="11028" width="8.88671875" customWidth="1"/>
    <col min="11031" max="11032" width="10" bestFit="1" customWidth="1"/>
    <col min="11265" max="11265" width="38.44140625" customWidth="1"/>
    <col min="11266" max="11266" width="16.33203125" customWidth="1"/>
    <col min="11267" max="11267" width="13.33203125" customWidth="1"/>
    <col min="11268" max="11268" width="15.109375" bestFit="1" customWidth="1"/>
    <col min="11269" max="11271" width="15.109375" customWidth="1"/>
    <col min="11272" max="11272" width="17.6640625" customWidth="1"/>
    <col min="11273" max="11273" width="17.109375" customWidth="1"/>
    <col min="11274" max="11274" width="15.109375" customWidth="1"/>
    <col min="11275" max="11275" width="17.6640625" customWidth="1"/>
    <col min="11276" max="11276" width="15" bestFit="1" customWidth="1"/>
    <col min="11277" max="11277" width="22.5546875" customWidth="1"/>
    <col min="11278" max="11278" width="1" customWidth="1"/>
    <col min="11279" max="11279" width="28" customWidth="1"/>
    <col min="11280" max="11280" width="1.33203125" customWidth="1"/>
    <col min="11281" max="11281" width="14.6640625" customWidth="1"/>
    <col min="11282" max="11282" width="12" bestFit="1" customWidth="1"/>
    <col min="11284" max="11284" width="8.88671875" customWidth="1"/>
    <col min="11287" max="11288" width="10" bestFit="1" customWidth="1"/>
    <col min="11521" max="11521" width="38.44140625" customWidth="1"/>
    <col min="11522" max="11522" width="16.33203125" customWidth="1"/>
    <col min="11523" max="11523" width="13.33203125" customWidth="1"/>
    <col min="11524" max="11524" width="15.109375" bestFit="1" customWidth="1"/>
    <col min="11525" max="11527" width="15.109375" customWidth="1"/>
    <col min="11528" max="11528" width="17.6640625" customWidth="1"/>
    <col min="11529" max="11529" width="17.109375" customWidth="1"/>
    <col min="11530" max="11530" width="15.109375" customWidth="1"/>
    <col min="11531" max="11531" width="17.6640625" customWidth="1"/>
    <col min="11532" max="11532" width="15" bestFit="1" customWidth="1"/>
    <col min="11533" max="11533" width="22.5546875" customWidth="1"/>
    <col min="11534" max="11534" width="1" customWidth="1"/>
    <col min="11535" max="11535" width="28" customWidth="1"/>
    <col min="11536" max="11536" width="1.33203125" customWidth="1"/>
    <col min="11537" max="11537" width="14.6640625" customWidth="1"/>
    <col min="11538" max="11538" width="12" bestFit="1" customWidth="1"/>
    <col min="11540" max="11540" width="8.88671875" customWidth="1"/>
    <col min="11543" max="11544" width="10" bestFit="1" customWidth="1"/>
    <col min="11777" max="11777" width="38.44140625" customWidth="1"/>
    <col min="11778" max="11778" width="16.33203125" customWidth="1"/>
    <col min="11779" max="11779" width="13.33203125" customWidth="1"/>
    <col min="11780" max="11780" width="15.109375" bestFit="1" customWidth="1"/>
    <col min="11781" max="11783" width="15.109375" customWidth="1"/>
    <col min="11784" max="11784" width="17.6640625" customWidth="1"/>
    <col min="11785" max="11785" width="17.109375" customWidth="1"/>
    <col min="11786" max="11786" width="15.109375" customWidth="1"/>
    <col min="11787" max="11787" width="17.6640625" customWidth="1"/>
    <col min="11788" max="11788" width="15" bestFit="1" customWidth="1"/>
    <col min="11789" max="11789" width="22.5546875" customWidth="1"/>
    <col min="11790" max="11790" width="1" customWidth="1"/>
    <col min="11791" max="11791" width="28" customWidth="1"/>
    <col min="11792" max="11792" width="1.33203125" customWidth="1"/>
    <col min="11793" max="11793" width="14.6640625" customWidth="1"/>
    <col min="11794" max="11794" width="12" bestFit="1" customWidth="1"/>
    <col min="11796" max="11796" width="8.88671875" customWidth="1"/>
    <col min="11799" max="11800" width="10" bestFit="1" customWidth="1"/>
    <col min="12033" max="12033" width="38.44140625" customWidth="1"/>
    <col min="12034" max="12034" width="16.33203125" customWidth="1"/>
    <col min="12035" max="12035" width="13.33203125" customWidth="1"/>
    <col min="12036" max="12036" width="15.109375" bestFit="1" customWidth="1"/>
    <col min="12037" max="12039" width="15.109375" customWidth="1"/>
    <col min="12040" max="12040" width="17.6640625" customWidth="1"/>
    <col min="12041" max="12041" width="17.109375" customWidth="1"/>
    <col min="12042" max="12042" width="15.109375" customWidth="1"/>
    <col min="12043" max="12043" width="17.6640625" customWidth="1"/>
    <col min="12044" max="12044" width="15" bestFit="1" customWidth="1"/>
    <col min="12045" max="12045" width="22.5546875" customWidth="1"/>
    <col min="12046" max="12046" width="1" customWidth="1"/>
    <col min="12047" max="12047" width="28" customWidth="1"/>
    <col min="12048" max="12048" width="1.33203125" customWidth="1"/>
    <col min="12049" max="12049" width="14.6640625" customWidth="1"/>
    <col min="12050" max="12050" width="12" bestFit="1" customWidth="1"/>
    <col min="12052" max="12052" width="8.88671875" customWidth="1"/>
    <col min="12055" max="12056" width="10" bestFit="1" customWidth="1"/>
    <col min="12289" max="12289" width="38.44140625" customWidth="1"/>
    <col min="12290" max="12290" width="16.33203125" customWidth="1"/>
    <col min="12291" max="12291" width="13.33203125" customWidth="1"/>
    <col min="12292" max="12292" width="15.109375" bestFit="1" customWidth="1"/>
    <col min="12293" max="12295" width="15.109375" customWidth="1"/>
    <col min="12296" max="12296" width="17.6640625" customWidth="1"/>
    <col min="12297" max="12297" width="17.109375" customWidth="1"/>
    <col min="12298" max="12298" width="15.109375" customWidth="1"/>
    <col min="12299" max="12299" width="17.6640625" customWidth="1"/>
    <col min="12300" max="12300" width="15" bestFit="1" customWidth="1"/>
    <col min="12301" max="12301" width="22.5546875" customWidth="1"/>
    <col min="12302" max="12302" width="1" customWidth="1"/>
    <col min="12303" max="12303" width="28" customWidth="1"/>
    <col min="12304" max="12304" width="1.33203125" customWidth="1"/>
    <col min="12305" max="12305" width="14.6640625" customWidth="1"/>
    <col min="12306" max="12306" width="12" bestFit="1" customWidth="1"/>
    <col min="12308" max="12308" width="8.88671875" customWidth="1"/>
    <col min="12311" max="12312" width="10" bestFit="1" customWidth="1"/>
    <col min="12545" max="12545" width="38.44140625" customWidth="1"/>
    <col min="12546" max="12546" width="16.33203125" customWidth="1"/>
    <col min="12547" max="12547" width="13.33203125" customWidth="1"/>
    <col min="12548" max="12548" width="15.109375" bestFit="1" customWidth="1"/>
    <col min="12549" max="12551" width="15.109375" customWidth="1"/>
    <col min="12552" max="12552" width="17.6640625" customWidth="1"/>
    <col min="12553" max="12553" width="17.109375" customWidth="1"/>
    <col min="12554" max="12554" width="15.109375" customWidth="1"/>
    <col min="12555" max="12555" width="17.6640625" customWidth="1"/>
    <col min="12556" max="12556" width="15" bestFit="1" customWidth="1"/>
    <col min="12557" max="12557" width="22.5546875" customWidth="1"/>
    <col min="12558" max="12558" width="1" customWidth="1"/>
    <col min="12559" max="12559" width="28" customWidth="1"/>
    <col min="12560" max="12560" width="1.33203125" customWidth="1"/>
    <col min="12561" max="12561" width="14.6640625" customWidth="1"/>
    <col min="12562" max="12562" width="12" bestFit="1" customWidth="1"/>
    <col min="12564" max="12564" width="8.88671875" customWidth="1"/>
    <col min="12567" max="12568" width="10" bestFit="1" customWidth="1"/>
    <col min="12801" max="12801" width="38.44140625" customWidth="1"/>
    <col min="12802" max="12802" width="16.33203125" customWidth="1"/>
    <col min="12803" max="12803" width="13.33203125" customWidth="1"/>
    <col min="12804" max="12804" width="15.109375" bestFit="1" customWidth="1"/>
    <col min="12805" max="12807" width="15.109375" customWidth="1"/>
    <col min="12808" max="12808" width="17.6640625" customWidth="1"/>
    <col min="12809" max="12809" width="17.109375" customWidth="1"/>
    <col min="12810" max="12810" width="15.109375" customWidth="1"/>
    <col min="12811" max="12811" width="17.6640625" customWidth="1"/>
    <col min="12812" max="12812" width="15" bestFit="1" customWidth="1"/>
    <col min="12813" max="12813" width="22.5546875" customWidth="1"/>
    <col min="12814" max="12814" width="1" customWidth="1"/>
    <col min="12815" max="12815" width="28" customWidth="1"/>
    <col min="12816" max="12816" width="1.33203125" customWidth="1"/>
    <col min="12817" max="12817" width="14.6640625" customWidth="1"/>
    <col min="12818" max="12818" width="12" bestFit="1" customWidth="1"/>
    <col min="12820" max="12820" width="8.88671875" customWidth="1"/>
    <col min="12823" max="12824" width="10" bestFit="1" customWidth="1"/>
    <col min="13057" max="13057" width="38.44140625" customWidth="1"/>
    <col min="13058" max="13058" width="16.33203125" customWidth="1"/>
    <col min="13059" max="13059" width="13.33203125" customWidth="1"/>
    <col min="13060" max="13060" width="15.109375" bestFit="1" customWidth="1"/>
    <col min="13061" max="13063" width="15.109375" customWidth="1"/>
    <col min="13064" max="13064" width="17.6640625" customWidth="1"/>
    <col min="13065" max="13065" width="17.109375" customWidth="1"/>
    <col min="13066" max="13066" width="15.109375" customWidth="1"/>
    <col min="13067" max="13067" width="17.6640625" customWidth="1"/>
    <col min="13068" max="13068" width="15" bestFit="1" customWidth="1"/>
    <col min="13069" max="13069" width="22.5546875" customWidth="1"/>
    <col min="13070" max="13070" width="1" customWidth="1"/>
    <col min="13071" max="13071" width="28" customWidth="1"/>
    <col min="13072" max="13072" width="1.33203125" customWidth="1"/>
    <col min="13073" max="13073" width="14.6640625" customWidth="1"/>
    <col min="13074" max="13074" width="12" bestFit="1" customWidth="1"/>
    <col min="13076" max="13076" width="8.88671875" customWidth="1"/>
    <col min="13079" max="13080" width="10" bestFit="1" customWidth="1"/>
    <col min="13313" max="13313" width="38.44140625" customWidth="1"/>
    <col min="13314" max="13314" width="16.33203125" customWidth="1"/>
    <col min="13315" max="13315" width="13.33203125" customWidth="1"/>
    <col min="13316" max="13316" width="15.109375" bestFit="1" customWidth="1"/>
    <col min="13317" max="13319" width="15.109375" customWidth="1"/>
    <col min="13320" max="13320" width="17.6640625" customWidth="1"/>
    <col min="13321" max="13321" width="17.109375" customWidth="1"/>
    <col min="13322" max="13322" width="15.109375" customWidth="1"/>
    <col min="13323" max="13323" width="17.6640625" customWidth="1"/>
    <col min="13324" max="13324" width="15" bestFit="1" customWidth="1"/>
    <col min="13325" max="13325" width="22.5546875" customWidth="1"/>
    <col min="13326" max="13326" width="1" customWidth="1"/>
    <col min="13327" max="13327" width="28" customWidth="1"/>
    <col min="13328" max="13328" width="1.33203125" customWidth="1"/>
    <col min="13329" max="13329" width="14.6640625" customWidth="1"/>
    <col min="13330" max="13330" width="12" bestFit="1" customWidth="1"/>
    <col min="13332" max="13332" width="8.88671875" customWidth="1"/>
    <col min="13335" max="13336" width="10" bestFit="1" customWidth="1"/>
    <col min="13569" max="13569" width="38.44140625" customWidth="1"/>
    <col min="13570" max="13570" width="16.33203125" customWidth="1"/>
    <col min="13571" max="13571" width="13.33203125" customWidth="1"/>
    <col min="13572" max="13572" width="15.109375" bestFit="1" customWidth="1"/>
    <col min="13573" max="13575" width="15.109375" customWidth="1"/>
    <col min="13576" max="13576" width="17.6640625" customWidth="1"/>
    <col min="13577" max="13577" width="17.109375" customWidth="1"/>
    <col min="13578" max="13578" width="15.109375" customWidth="1"/>
    <col min="13579" max="13579" width="17.6640625" customWidth="1"/>
    <col min="13580" max="13580" width="15" bestFit="1" customWidth="1"/>
    <col min="13581" max="13581" width="22.5546875" customWidth="1"/>
    <col min="13582" max="13582" width="1" customWidth="1"/>
    <col min="13583" max="13583" width="28" customWidth="1"/>
    <col min="13584" max="13584" width="1.33203125" customWidth="1"/>
    <col min="13585" max="13585" width="14.6640625" customWidth="1"/>
    <col min="13586" max="13586" width="12" bestFit="1" customWidth="1"/>
    <col min="13588" max="13588" width="8.88671875" customWidth="1"/>
    <col min="13591" max="13592" width="10" bestFit="1" customWidth="1"/>
    <col min="13825" max="13825" width="38.44140625" customWidth="1"/>
    <col min="13826" max="13826" width="16.33203125" customWidth="1"/>
    <col min="13827" max="13827" width="13.33203125" customWidth="1"/>
    <col min="13828" max="13828" width="15.109375" bestFit="1" customWidth="1"/>
    <col min="13829" max="13831" width="15.109375" customWidth="1"/>
    <col min="13832" max="13832" width="17.6640625" customWidth="1"/>
    <col min="13833" max="13833" width="17.109375" customWidth="1"/>
    <col min="13834" max="13834" width="15.109375" customWidth="1"/>
    <col min="13835" max="13835" width="17.6640625" customWidth="1"/>
    <col min="13836" max="13836" width="15" bestFit="1" customWidth="1"/>
    <col min="13837" max="13837" width="22.5546875" customWidth="1"/>
    <col min="13838" max="13838" width="1" customWidth="1"/>
    <col min="13839" max="13839" width="28" customWidth="1"/>
    <col min="13840" max="13840" width="1.33203125" customWidth="1"/>
    <col min="13841" max="13841" width="14.6640625" customWidth="1"/>
    <col min="13842" max="13842" width="12" bestFit="1" customWidth="1"/>
    <col min="13844" max="13844" width="8.88671875" customWidth="1"/>
    <col min="13847" max="13848" width="10" bestFit="1" customWidth="1"/>
    <col min="14081" max="14081" width="38.44140625" customWidth="1"/>
    <col min="14082" max="14082" width="16.33203125" customWidth="1"/>
    <col min="14083" max="14083" width="13.33203125" customWidth="1"/>
    <col min="14084" max="14084" width="15.109375" bestFit="1" customWidth="1"/>
    <col min="14085" max="14087" width="15.109375" customWidth="1"/>
    <col min="14088" max="14088" width="17.6640625" customWidth="1"/>
    <col min="14089" max="14089" width="17.109375" customWidth="1"/>
    <col min="14090" max="14090" width="15.109375" customWidth="1"/>
    <col min="14091" max="14091" width="17.6640625" customWidth="1"/>
    <col min="14092" max="14092" width="15" bestFit="1" customWidth="1"/>
    <col min="14093" max="14093" width="22.5546875" customWidth="1"/>
    <col min="14094" max="14094" width="1" customWidth="1"/>
    <col min="14095" max="14095" width="28" customWidth="1"/>
    <col min="14096" max="14096" width="1.33203125" customWidth="1"/>
    <col min="14097" max="14097" width="14.6640625" customWidth="1"/>
    <col min="14098" max="14098" width="12" bestFit="1" customWidth="1"/>
    <col min="14100" max="14100" width="8.88671875" customWidth="1"/>
    <col min="14103" max="14104" width="10" bestFit="1" customWidth="1"/>
    <col min="14337" max="14337" width="38.44140625" customWidth="1"/>
    <col min="14338" max="14338" width="16.33203125" customWidth="1"/>
    <col min="14339" max="14339" width="13.33203125" customWidth="1"/>
    <col min="14340" max="14340" width="15.109375" bestFit="1" customWidth="1"/>
    <col min="14341" max="14343" width="15.109375" customWidth="1"/>
    <col min="14344" max="14344" width="17.6640625" customWidth="1"/>
    <col min="14345" max="14345" width="17.109375" customWidth="1"/>
    <col min="14346" max="14346" width="15.109375" customWidth="1"/>
    <col min="14347" max="14347" width="17.6640625" customWidth="1"/>
    <col min="14348" max="14348" width="15" bestFit="1" customWidth="1"/>
    <col min="14349" max="14349" width="22.5546875" customWidth="1"/>
    <col min="14350" max="14350" width="1" customWidth="1"/>
    <col min="14351" max="14351" width="28" customWidth="1"/>
    <col min="14352" max="14352" width="1.33203125" customWidth="1"/>
    <col min="14353" max="14353" width="14.6640625" customWidth="1"/>
    <col min="14354" max="14354" width="12" bestFit="1" customWidth="1"/>
    <col min="14356" max="14356" width="8.88671875" customWidth="1"/>
    <col min="14359" max="14360" width="10" bestFit="1" customWidth="1"/>
    <col min="14593" max="14593" width="38.44140625" customWidth="1"/>
    <col min="14594" max="14594" width="16.33203125" customWidth="1"/>
    <col min="14595" max="14595" width="13.33203125" customWidth="1"/>
    <col min="14596" max="14596" width="15.109375" bestFit="1" customWidth="1"/>
    <col min="14597" max="14599" width="15.109375" customWidth="1"/>
    <col min="14600" max="14600" width="17.6640625" customWidth="1"/>
    <col min="14601" max="14601" width="17.109375" customWidth="1"/>
    <col min="14602" max="14602" width="15.109375" customWidth="1"/>
    <col min="14603" max="14603" width="17.6640625" customWidth="1"/>
    <col min="14604" max="14604" width="15" bestFit="1" customWidth="1"/>
    <col min="14605" max="14605" width="22.5546875" customWidth="1"/>
    <col min="14606" max="14606" width="1" customWidth="1"/>
    <col min="14607" max="14607" width="28" customWidth="1"/>
    <col min="14608" max="14608" width="1.33203125" customWidth="1"/>
    <col min="14609" max="14609" width="14.6640625" customWidth="1"/>
    <col min="14610" max="14610" width="12" bestFit="1" customWidth="1"/>
    <col min="14612" max="14612" width="8.88671875" customWidth="1"/>
    <col min="14615" max="14616" width="10" bestFit="1" customWidth="1"/>
    <col min="14849" max="14849" width="38.44140625" customWidth="1"/>
    <col min="14850" max="14850" width="16.33203125" customWidth="1"/>
    <col min="14851" max="14851" width="13.33203125" customWidth="1"/>
    <col min="14852" max="14852" width="15.109375" bestFit="1" customWidth="1"/>
    <col min="14853" max="14855" width="15.109375" customWidth="1"/>
    <col min="14856" max="14856" width="17.6640625" customWidth="1"/>
    <col min="14857" max="14857" width="17.109375" customWidth="1"/>
    <col min="14858" max="14858" width="15.109375" customWidth="1"/>
    <col min="14859" max="14859" width="17.6640625" customWidth="1"/>
    <col min="14860" max="14860" width="15" bestFit="1" customWidth="1"/>
    <col min="14861" max="14861" width="22.5546875" customWidth="1"/>
    <col min="14862" max="14862" width="1" customWidth="1"/>
    <col min="14863" max="14863" width="28" customWidth="1"/>
    <col min="14864" max="14864" width="1.33203125" customWidth="1"/>
    <col min="14865" max="14865" width="14.6640625" customWidth="1"/>
    <col min="14866" max="14866" width="12" bestFit="1" customWidth="1"/>
    <col min="14868" max="14868" width="8.88671875" customWidth="1"/>
    <col min="14871" max="14872" width="10" bestFit="1" customWidth="1"/>
    <col min="15105" max="15105" width="38.44140625" customWidth="1"/>
    <col min="15106" max="15106" width="16.33203125" customWidth="1"/>
    <col min="15107" max="15107" width="13.33203125" customWidth="1"/>
    <col min="15108" max="15108" width="15.109375" bestFit="1" customWidth="1"/>
    <col min="15109" max="15111" width="15.109375" customWidth="1"/>
    <col min="15112" max="15112" width="17.6640625" customWidth="1"/>
    <col min="15113" max="15113" width="17.109375" customWidth="1"/>
    <col min="15114" max="15114" width="15.109375" customWidth="1"/>
    <col min="15115" max="15115" width="17.6640625" customWidth="1"/>
    <col min="15116" max="15116" width="15" bestFit="1" customWidth="1"/>
    <col min="15117" max="15117" width="22.5546875" customWidth="1"/>
    <col min="15118" max="15118" width="1" customWidth="1"/>
    <col min="15119" max="15119" width="28" customWidth="1"/>
    <col min="15120" max="15120" width="1.33203125" customWidth="1"/>
    <col min="15121" max="15121" width="14.6640625" customWidth="1"/>
    <col min="15122" max="15122" width="12" bestFit="1" customWidth="1"/>
    <col min="15124" max="15124" width="8.88671875" customWidth="1"/>
    <col min="15127" max="15128" width="10" bestFit="1" customWidth="1"/>
    <col min="15361" max="15361" width="38.44140625" customWidth="1"/>
    <col min="15362" max="15362" width="16.33203125" customWidth="1"/>
    <col min="15363" max="15363" width="13.33203125" customWidth="1"/>
    <col min="15364" max="15364" width="15.109375" bestFit="1" customWidth="1"/>
    <col min="15365" max="15367" width="15.109375" customWidth="1"/>
    <col min="15368" max="15368" width="17.6640625" customWidth="1"/>
    <col min="15369" max="15369" width="17.109375" customWidth="1"/>
    <col min="15370" max="15370" width="15.109375" customWidth="1"/>
    <col min="15371" max="15371" width="17.6640625" customWidth="1"/>
    <col min="15372" max="15372" width="15" bestFit="1" customWidth="1"/>
    <col min="15373" max="15373" width="22.5546875" customWidth="1"/>
    <col min="15374" max="15374" width="1" customWidth="1"/>
    <col min="15375" max="15375" width="28" customWidth="1"/>
    <col min="15376" max="15376" width="1.33203125" customWidth="1"/>
    <col min="15377" max="15377" width="14.6640625" customWidth="1"/>
    <col min="15378" max="15378" width="12" bestFit="1" customWidth="1"/>
    <col min="15380" max="15380" width="8.88671875" customWidth="1"/>
    <col min="15383" max="15384" width="10" bestFit="1" customWidth="1"/>
    <col min="15617" max="15617" width="38.44140625" customWidth="1"/>
    <col min="15618" max="15618" width="16.33203125" customWidth="1"/>
    <col min="15619" max="15619" width="13.33203125" customWidth="1"/>
    <col min="15620" max="15620" width="15.109375" bestFit="1" customWidth="1"/>
    <col min="15621" max="15623" width="15.109375" customWidth="1"/>
    <col min="15624" max="15624" width="17.6640625" customWidth="1"/>
    <col min="15625" max="15625" width="17.109375" customWidth="1"/>
    <col min="15626" max="15626" width="15.109375" customWidth="1"/>
    <col min="15627" max="15627" width="17.6640625" customWidth="1"/>
    <col min="15628" max="15628" width="15" bestFit="1" customWidth="1"/>
    <col min="15629" max="15629" width="22.5546875" customWidth="1"/>
    <col min="15630" max="15630" width="1" customWidth="1"/>
    <col min="15631" max="15631" width="28" customWidth="1"/>
    <col min="15632" max="15632" width="1.33203125" customWidth="1"/>
    <col min="15633" max="15633" width="14.6640625" customWidth="1"/>
    <col min="15634" max="15634" width="12" bestFit="1" customWidth="1"/>
    <col min="15636" max="15636" width="8.88671875" customWidth="1"/>
    <col min="15639" max="15640" width="10" bestFit="1" customWidth="1"/>
    <col min="15873" max="15873" width="38.44140625" customWidth="1"/>
    <col min="15874" max="15874" width="16.33203125" customWidth="1"/>
    <col min="15875" max="15875" width="13.33203125" customWidth="1"/>
    <col min="15876" max="15876" width="15.109375" bestFit="1" customWidth="1"/>
    <col min="15877" max="15879" width="15.109375" customWidth="1"/>
    <col min="15880" max="15880" width="17.6640625" customWidth="1"/>
    <col min="15881" max="15881" width="17.109375" customWidth="1"/>
    <col min="15882" max="15882" width="15.109375" customWidth="1"/>
    <col min="15883" max="15883" width="17.6640625" customWidth="1"/>
    <col min="15884" max="15884" width="15" bestFit="1" customWidth="1"/>
    <col min="15885" max="15885" width="22.5546875" customWidth="1"/>
    <col min="15886" max="15886" width="1" customWidth="1"/>
    <col min="15887" max="15887" width="28" customWidth="1"/>
    <col min="15888" max="15888" width="1.33203125" customWidth="1"/>
    <col min="15889" max="15889" width="14.6640625" customWidth="1"/>
    <col min="15890" max="15890" width="12" bestFit="1" customWidth="1"/>
    <col min="15892" max="15892" width="8.88671875" customWidth="1"/>
    <col min="15895" max="15896" width="10" bestFit="1" customWidth="1"/>
    <col min="16129" max="16129" width="38.44140625" customWidth="1"/>
    <col min="16130" max="16130" width="16.33203125" customWidth="1"/>
    <col min="16131" max="16131" width="13.33203125" customWidth="1"/>
    <col min="16132" max="16132" width="15.109375" bestFit="1" customWidth="1"/>
    <col min="16133" max="16135" width="15.109375" customWidth="1"/>
    <col min="16136" max="16136" width="17.6640625" customWidth="1"/>
    <col min="16137" max="16137" width="17.109375" customWidth="1"/>
    <col min="16138" max="16138" width="15.109375" customWidth="1"/>
    <col min="16139" max="16139" width="17.6640625" customWidth="1"/>
    <col min="16140" max="16140" width="15" bestFit="1" customWidth="1"/>
    <col min="16141" max="16141" width="22.5546875" customWidth="1"/>
    <col min="16142" max="16142" width="1" customWidth="1"/>
    <col min="16143" max="16143" width="28" customWidth="1"/>
    <col min="16144" max="16144" width="1.33203125" customWidth="1"/>
    <col min="16145" max="16145" width="14.6640625" customWidth="1"/>
    <col min="16146" max="16146" width="12" bestFit="1" customWidth="1"/>
    <col min="16148" max="16148" width="8.88671875" customWidth="1"/>
    <col min="16151" max="16152" width="10" bestFit="1" customWidth="1"/>
  </cols>
  <sheetData>
    <row r="1" spans="1:18">
      <c r="A1" s="327" t="s">
        <v>111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166"/>
      <c r="O1" s="166"/>
      <c r="P1" s="166"/>
      <c r="Q1" s="162"/>
    </row>
    <row r="2" spans="1:18" ht="15" customHeight="1" thickBot="1">
      <c r="A2" s="163"/>
      <c r="B2" s="167"/>
      <c r="C2" s="164"/>
      <c r="D2" s="164"/>
      <c r="E2" s="164"/>
      <c r="F2" s="164"/>
      <c r="G2" s="164"/>
      <c r="H2" s="164"/>
      <c r="I2" s="328"/>
      <c r="J2" s="328"/>
      <c r="K2" s="165"/>
      <c r="L2" s="165"/>
      <c r="M2"/>
      <c r="N2"/>
      <c r="O2" s="162"/>
      <c r="P2" s="162"/>
    </row>
    <row r="3" spans="1:18" ht="43.8" thickBot="1">
      <c r="A3" s="217"/>
      <c r="B3" s="341" t="s">
        <v>15</v>
      </c>
      <c r="C3" s="168" t="s">
        <v>8</v>
      </c>
      <c r="D3" s="168" t="s">
        <v>92</v>
      </c>
      <c r="E3" s="168" t="s">
        <v>115</v>
      </c>
      <c r="F3" s="168" t="s">
        <v>99</v>
      </c>
      <c r="G3" s="342" t="s">
        <v>93</v>
      </c>
      <c r="H3" s="343"/>
      <c r="I3"/>
      <c r="J3"/>
      <c r="K3" s="162"/>
      <c r="L3" s="162"/>
      <c r="M3"/>
      <c r="N3"/>
    </row>
    <row r="4" spans="1:18">
      <c r="A4" s="153" t="s">
        <v>3</v>
      </c>
      <c r="B4" s="204">
        <f>[10]Chart!C4</f>
        <v>32198.400000000001</v>
      </c>
      <c r="C4" s="205">
        <v>41517</v>
      </c>
      <c r="D4" s="205">
        <f>'[11]Salary Bench Chart'!C10</f>
        <v>43971.200000000004</v>
      </c>
      <c r="E4" s="205">
        <f>Chart!C14</f>
        <v>52665.599999999999</v>
      </c>
      <c r="F4" s="205">
        <v>60923</v>
      </c>
      <c r="G4" s="329" t="s">
        <v>94</v>
      </c>
      <c r="H4" s="330"/>
      <c r="I4"/>
      <c r="J4"/>
      <c r="K4" s="162"/>
      <c r="L4" s="162"/>
      <c r="M4"/>
      <c r="N4"/>
    </row>
    <row r="5" spans="1:18">
      <c r="A5" s="153" t="s">
        <v>31</v>
      </c>
      <c r="B5" s="154">
        <f>'[11]Salary Bench Chart'!$C$30</f>
        <v>0.224</v>
      </c>
      <c r="C5" s="154">
        <f>'[11]Salary Bench Chart'!$C$30</f>
        <v>0.224</v>
      </c>
      <c r="D5" s="154">
        <f>'[11]Salary Bench Chart'!$C$30</f>
        <v>0.224</v>
      </c>
      <c r="E5" s="154">
        <f>'[11]Salary Bench Chart'!$C$30</f>
        <v>0.224</v>
      </c>
      <c r="F5" s="154">
        <f>'[11]Salary Bench Chart'!$C$30</f>
        <v>0.224</v>
      </c>
      <c r="G5" s="329" t="s">
        <v>225</v>
      </c>
      <c r="H5" s="330"/>
      <c r="I5"/>
      <c r="J5"/>
      <c r="K5" s="162"/>
      <c r="L5" s="162"/>
      <c r="M5"/>
      <c r="N5"/>
    </row>
    <row r="6" spans="1:18">
      <c r="A6" s="153" t="s">
        <v>95</v>
      </c>
      <c r="B6" s="155">
        <f t="shared" ref="B6:F6" si="0">B4*B5</f>
        <v>7212.4416000000001</v>
      </c>
      <c r="C6" s="156">
        <f t="shared" si="0"/>
        <v>9299.8080000000009</v>
      </c>
      <c r="D6" s="156">
        <f>D4*D5</f>
        <v>9849.5488000000005</v>
      </c>
      <c r="E6" s="156">
        <f t="shared" ref="E6" si="1">E4*E5</f>
        <v>11797.0944</v>
      </c>
      <c r="F6" s="156">
        <f t="shared" si="0"/>
        <v>13646.752</v>
      </c>
      <c r="G6" s="331"/>
      <c r="H6" s="332"/>
      <c r="I6"/>
      <c r="J6"/>
      <c r="K6" s="162"/>
      <c r="L6" s="169"/>
      <c r="M6"/>
      <c r="N6"/>
    </row>
    <row r="7" spans="1:18">
      <c r="A7" s="153" t="s">
        <v>96</v>
      </c>
      <c r="B7" s="155">
        <f>B4+B6</f>
        <v>39410.8416</v>
      </c>
      <c r="C7" s="156">
        <f t="shared" ref="C7:F7" si="2">C4+C6</f>
        <v>50816.808000000005</v>
      </c>
      <c r="D7" s="156">
        <f>D4+D6</f>
        <v>53820.748800000001</v>
      </c>
      <c r="E7" s="156">
        <f t="shared" ref="E7" si="3">E4+E6</f>
        <v>64462.6944</v>
      </c>
      <c r="F7" s="156">
        <f t="shared" si="2"/>
        <v>74569.752000000008</v>
      </c>
      <c r="G7" s="331"/>
      <c r="H7" s="332"/>
      <c r="I7"/>
      <c r="J7"/>
      <c r="K7" s="162"/>
      <c r="L7" s="162"/>
      <c r="M7"/>
      <c r="N7"/>
    </row>
    <row r="8" spans="1:18">
      <c r="A8" s="157" t="s">
        <v>97</v>
      </c>
      <c r="B8" s="158">
        <f>B4*G8</f>
        <v>119.13408000000001</v>
      </c>
      <c r="C8" s="158">
        <f>C4*$G$8</f>
        <v>153.6129</v>
      </c>
      <c r="D8" s="158">
        <f>D4*G8</f>
        <v>162.69344000000001</v>
      </c>
      <c r="E8" s="158">
        <f>E4*G8</f>
        <v>194.86272</v>
      </c>
      <c r="F8" s="158">
        <f>F4*G8</f>
        <v>225.41510000000002</v>
      </c>
      <c r="G8" s="333">
        <v>3.7000000000000002E-3</v>
      </c>
      <c r="H8" s="334"/>
      <c r="I8"/>
      <c r="J8"/>
      <c r="K8" s="162"/>
      <c r="L8" s="162"/>
      <c r="M8"/>
      <c r="N8"/>
    </row>
    <row r="9" spans="1:18">
      <c r="A9" s="153" t="s">
        <v>98</v>
      </c>
      <c r="B9" s="155">
        <f>B8+B7</f>
        <v>39529.975680000003</v>
      </c>
      <c r="C9" s="156">
        <f t="shared" ref="C9:F9" si="4">C8+C7</f>
        <v>50970.420900000005</v>
      </c>
      <c r="D9" s="156">
        <f>D8+D7</f>
        <v>53983.442240000004</v>
      </c>
      <c r="E9" s="156">
        <f t="shared" ref="E9" si="5">E8+E7</f>
        <v>64657.557119999998</v>
      </c>
      <c r="F9" s="156">
        <f t="shared" si="4"/>
        <v>74795.167100000006</v>
      </c>
      <c r="G9" s="159"/>
      <c r="H9" s="160"/>
      <c r="I9"/>
      <c r="J9"/>
      <c r="K9" s="162"/>
      <c r="L9" s="162"/>
      <c r="M9"/>
      <c r="N9"/>
    </row>
    <row r="10" spans="1:18">
      <c r="A10" s="153" t="s">
        <v>30</v>
      </c>
      <c r="B10" s="155">
        <f>(B9*$G$10)-(B4*$G$10)</f>
        <v>146.33388535859206</v>
      </c>
      <c r="C10" s="156">
        <f>(C9*$G$10)-(C4*$G$10)</f>
        <v>188.68465260487062</v>
      </c>
      <c r="D10" s="156">
        <f>(D9*$G$10)-(D4*$G$10)</f>
        <v>199.83839382949827</v>
      </c>
      <c r="E10" s="156">
        <f>(E9*$G$10)-(E4*$G$10)</f>
        <v>239.35232411366587</v>
      </c>
      <c r="F10" s="156">
        <f>(F9*$G$10)-(F4*$G$10)</f>
        <v>276.88019583897039</v>
      </c>
      <c r="G10" s="339">
        <f>'CAF Fall 2020'!BY24</f>
        <v>1.9959404600811814E-2</v>
      </c>
      <c r="H10" s="340"/>
      <c r="I10"/>
      <c r="J10"/>
      <c r="K10" s="162"/>
      <c r="L10" s="162"/>
      <c r="M10"/>
      <c r="N10"/>
    </row>
    <row r="11" spans="1:18">
      <c r="A11" s="153" t="s">
        <v>100</v>
      </c>
      <c r="B11" s="206">
        <f>D30</f>
        <v>1952</v>
      </c>
      <c r="C11" s="207">
        <f>$D$30</f>
        <v>1952</v>
      </c>
      <c r="D11" s="207">
        <f>$J$30</f>
        <v>1760</v>
      </c>
      <c r="E11" s="207">
        <f>J30</f>
        <v>1760</v>
      </c>
      <c r="F11" s="207">
        <f>$J$30</f>
        <v>1760</v>
      </c>
      <c r="G11" s="170"/>
      <c r="H11" s="171"/>
      <c r="I11"/>
      <c r="J11"/>
      <c r="K11" s="162"/>
      <c r="L11" s="162"/>
      <c r="M11"/>
      <c r="N11"/>
    </row>
    <row r="12" spans="1:18" s="13" customFormat="1" ht="15" thickBot="1">
      <c r="A12" s="218" t="s">
        <v>112</v>
      </c>
      <c r="B12" s="215">
        <f>(B9+B10)/B11-0.01</f>
        <v>20.315978260941904</v>
      </c>
      <c r="C12" s="215">
        <f>(C9+C10)/C11-0.01</f>
        <v>26.198558172441018</v>
      </c>
      <c r="D12" s="215">
        <f>(D9+D10)/D11-0.03</f>
        <v>30.755954905584947</v>
      </c>
      <c r="E12" s="227">
        <f>(E9+E10)/E11+0.01</f>
        <v>36.883244002337307</v>
      </c>
      <c r="F12" s="215">
        <f>(F9+F10)/F11-0.01</f>
        <v>42.644572327181237</v>
      </c>
      <c r="G12" s="216"/>
      <c r="H12" s="219"/>
      <c r="K12" s="15"/>
      <c r="L12" s="15"/>
    </row>
    <row r="13" spans="1:18" hidden="1">
      <c r="A13" s="220" t="s">
        <v>101</v>
      </c>
      <c r="B13" s="172">
        <f>(B9+B10)/12</f>
        <v>3306.3591304465499</v>
      </c>
      <c r="C13" s="172"/>
      <c r="D13" s="172"/>
      <c r="E13" s="172"/>
      <c r="F13" s="172"/>
      <c r="G13" s="172"/>
      <c r="H13" s="221"/>
      <c r="I13" s="16"/>
      <c r="J13" s="16"/>
      <c r="K13" s="16"/>
      <c r="L13" s="16"/>
      <c r="M13" s="16"/>
      <c r="N13" s="16"/>
      <c r="O13" s="16"/>
      <c r="P13" s="162"/>
      <c r="Q13" s="162"/>
      <c r="R13" s="162"/>
    </row>
    <row r="14" spans="1:18" hidden="1">
      <c r="A14" s="220" t="s">
        <v>102</v>
      </c>
      <c r="B14" s="172">
        <f>B13*0.75</f>
        <v>2479.7693478349124</v>
      </c>
      <c r="C14" s="172"/>
      <c r="D14" s="172"/>
      <c r="E14" s="172"/>
      <c r="F14" s="172"/>
      <c r="G14" s="172"/>
      <c r="H14" s="221"/>
      <c r="I14" s="16"/>
      <c r="J14" s="16"/>
      <c r="K14" s="16"/>
      <c r="L14" s="16"/>
      <c r="M14" s="16"/>
      <c r="N14" s="16"/>
      <c r="O14" s="16"/>
      <c r="P14" s="162"/>
      <c r="Q14" s="162"/>
      <c r="R14" s="162"/>
    </row>
    <row r="15" spans="1:18" hidden="1">
      <c r="A15" s="220" t="s">
        <v>103</v>
      </c>
      <c r="B15" s="172">
        <f>B13*0.5</f>
        <v>1653.1795652232749</v>
      </c>
      <c r="C15" s="172"/>
      <c r="D15" s="172"/>
      <c r="E15" s="172"/>
      <c r="F15" s="172"/>
      <c r="G15" s="172"/>
      <c r="H15" s="221"/>
      <c r="I15" s="16"/>
      <c r="J15" s="16"/>
      <c r="K15" s="16"/>
      <c r="L15" s="16"/>
      <c r="M15" s="16"/>
      <c r="N15" s="16"/>
      <c r="O15" s="16"/>
      <c r="P15" s="162"/>
      <c r="Q15" s="162"/>
      <c r="R15" s="162"/>
    </row>
    <row r="16" spans="1:18" hidden="1">
      <c r="A16" s="220" t="s">
        <v>104</v>
      </c>
      <c r="B16" s="172">
        <f>B13*0.25</f>
        <v>826.58978261163747</v>
      </c>
      <c r="C16" s="172"/>
      <c r="D16" s="172"/>
      <c r="E16" s="172"/>
      <c r="F16" s="172"/>
      <c r="G16" s="172"/>
      <c r="H16" s="221"/>
      <c r="I16" s="16"/>
      <c r="J16" s="16"/>
      <c r="K16" s="16"/>
      <c r="L16" s="16"/>
      <c r="M16" s="16"/>
      <c r="N16" s="16"/>
      <c r="O16" s="16"/>
      <c r="P16" s="162"/>
      <c r="Q16" s="162"/>
      <c r="R16" s="162"/>
    </row>
    <row r="17" spans="1:15" hidden="1">
      <c r="A17" s="222"/>
      <c r="B17" s="223">
        <f>20.32*0.25</f>
        <v>5.08</v>
      </c>
      <c r="C17" s="224">
        <f>20.4*0.25</f>
        <v>5.0999999999999996</v>
      </c>
      <c r="D17" s="225">
        <f>26.2*0.25</f>
        <v>6.55</v>
      </c>
      <c r="E17" s="225"/>
      <c r="F17" s="225">
        <f>55.04*0.25</f>
        <v>13.76</v>
      </c>
      <c r="G17" s="225"/>
      <c r="H17" s="226">
        <f>36.88*0.25</f>
        <v>9.2200000000000006</v>
      </c>
      <c r="I17" s="174">
        <f>40.2*0.25</f>
        <v>10.050000000000001</v>
      </c>
      <c r="J17" s="174">
        <f>60.8*0.25</f>
        <v>15.2</v>
      </c>
      <c r="K17" s="175">
        <f>42.64*0.25</f>
        <v>10.66</v>
      </c>
      <c r="L17" s="175">
        <f>30.76*0.25</f>
        <v>7.69</v>
      </c>
      <c r="M17" s="174">
        <f>83.56*0.25</f>
        <v>20.89</v>
      </c>
      <c r="N17"/>
    </row>
    <row r="18" spans="1:15" ht="15" thickBot="1">
      <c r="A18" s="228" t="s">
        <v>114</v>
      </c>
      <c r="B18" s="229">
        <f>B12*8</f>
        <v>162.52782608753523</v>
      </c>
      <c r="C18" s="229">
        <f t="shared" ref="C18:F18" si="6">C12*8</f>
        <v>209.58846537952815</v>
      </c>
      <c r="D18" s="229">
        <f t="shared" si="6"/>
        <v>246.04763924467957</v>
      </c>
      <c r="E18" s="229">
        <f>E12*8</f>
        <v>295.06595201869845</v>
      </c>
      <c r="F18" s="229">
        <f t="shared" si="6"/>
        <v>341.1565786174499</v>
      </c>
      <c r="G18" s="230"/>
      <c r="H18" s="231"/>
      <c r="I18" s="174"/>
      <c r="J18" s="174"/>
      <c r="K18" s="175"/>
      <c r="L18" s="175"/>
      <c r="M18" s="174"/>
      <c r="N18"/>
    </row>
    <row r="19" spans="1:15">
      <c r="A19" s="208"/>
      <c r="B19" s="173"/>
      <c r="C19" s="173"/>
      <c r="D19" s="173"/>
      <c r="E19" s="173"/>
      <c r="F19" s="173"/>
      <c r="G19" s="174"/>
      <c r="H19" s="174"/>
      <c r="I19" s="174"/>
      <c r="J19" s="174"/>
      <c r="K19" s="175"/>
      <c r="L19" s="175"/>
      <c r="M19" s="174"/>
      <c r="N19"/>
    </row>
    <row r="20" spans="1:15">
      <c r="B20" s="213"/>
      <c r="C20" s="213"/>
      <c r="D20" s="213"/>
      <c r="E20" s="213"/>
      <c r="F20" s="213"/>
      <c r="G20" s="174"/>
      <c r="H20" s="174"/>
      <c r="I20" s="174"/>
      <c r="J20" s="174"/>
      <c r="K20" s="175"/>
      <c r="L20" s="175"/>
      <c r="M20" s="174"/>
      <c r="N20"/>
    </row>
    <row r="21" spans="1:15">
      <c r="B21" s="214"/>
      <c r="C21" s="214"/>
      <c r="D21" s="214"/>
      <c r="E21" s="214"/>
      <c r="F21" s="214"/>
      <c r="O21" s="11"/>
    </row>
    <row r="25" spans="1:15" s="13" customFormat="1" ht="15" thickBot="1">
      <c r="A25" s="211" t="s">
        <v>113</v>
      </c>
      <c r="B25" s="176"/>
      <c r="C25" s="212"/>
      <c r="D25" s="176"/>
      <c r="E25" s="176"/>
      <c r="F25" s="13" t="s">
        <v>116</v>
      </c>
      <c r="G25" s="176"/>
      <c r="H25" s="176"/>
      <c r="I25" s="176"/>
      <c r="J25" s="176"/>
    </row>
    <row r="26" spans="1:15">
      <c r="A26" s="177"/>
      <c r="B26" s="178"/>
      <c r="C26" s="179" t="s">
        <v>105</v>
      </c>
      <c r="D26" s="180" t="s">
        <v>106</v>
      </c>
      <c r="E26" s="181"/>
      <c r="F26" s="177"/>
      <c r="G26" s="178"/>
      <c r="H26" s="178"/>
      <c r="I26" s="179" t="s">
        <v>105</v>
      </c>
      <c r="J26" s="180" t="s">
        <v>106</v>
      </c>
      <c r="K26"/>
      <c r="L26"/>
      <c r="M26"/>
      <c r="N26"/>
    </row>
    <row r="27" spans="1:15">
      <c r="A27" s="182"/>
      <c r="B27" s="183" t="s">
        <v>107</v>
      </c>
      <c r="C27" s="209">
        <v>15</v>
      </c>
      <c r="D27" s="184">
        <f>C27*8</f>
        <v>120</v>
      </c>
      <c r="E27" s="185"/>
      <c r="F27" s="182"/>
      <c r="G27" s="183" t="s">
        <v>107</v>
      </c>
      <c r="H27" s="183"/>
      <c r="I27" s="209">
        <v>15</v>
      </c>
      <c r="J27" s="184">
        <f>I27*8</f>
        <v>120</v>
      </c>
      <c r="K27" s="186"/>
      <c r="L27" s="162"/>
      <c r="M27"/>
      <c r="N27"/>
    </row>
    <row r="28" spans="1:15">
      <c r="A28" s="187"/>
      <c r="B28" s="188" t="s">
        <v>108</v>
      </c>
      <c r="C28" s="210">
        <v>1</v>
      </c>
      <c r="D28" s="189">
        <f>C28*8</f>
        <v>8</v>
      </c>
      <c r="E28" s="190"/>
      <c r="F28" s="191"/>
      <c r="G28" s="192" t="s">
        <v>109</v>
      </c>
      <c r="H28" s="192"/>
      <c r="I28" s="210">
        <v>25</v>
      </c>
      <c r="J28" s="193">
        <f>I28*8</f>
        <v>200</v>
      </c>
      <c r="K28" s="186"/>
      <c r="L28"/>
      <c r="M28"/>
      <c r="N28"/>
    </row>
    <row r="29" spans="1:15">
      <c r="A29" s="182"/>
      <c r="B29" s="194"/>
      <c r="C29" s="183" t="s">
        <v>110</v>
      </c>
      <c r="D29" s="195">
        <f>SUM(D27:D28)</f>
        <v>128</v>
      </c>
      <c r="E29" s="190"/>
      <c r="F29" s="182"/>
      <c r="G29" s="194"/>
      <c r="H29" s="194"/>
      <c r="I29" s="183" t="s">
        <v>110</v>
      </c>
      <c r="J29" s="184">
        <f>SUM(J27:J28)</f>
        <v>320</v>
      </c>
      <c r="K29"/>
      <c r="L29"/>
      <c r="M29"/>
      <c r="N29"/>
    </row>
    <row r="30" spans="1:15" ht="15" thickBot="1">
      <c r="A30" s="196"/>
      <c r="B30" s="197"/>
      <c r="C30" s="198" t="s">
        <v>100</v>
      </c>
      <c r="D30" s="199">
        <f>2080-D29</f>
        <v>1952</v>
      </c>
      <c r="E30" s="190"/>
      <c r="F30" s="196"/>
      <c r="G30" s="197"/>
      <c r="H30" s="197"/>
      <c r="I30" s="198" t="s">
        <v>100</v>
      </c>
      <c r="J30" s="200">
        <f>2080-J29</f>
        <v>1760</v>
      </c>
      <c r="K30"/>
      <c r="L30"/>
      <c r="M30"/>
      <c r="N30"/>
    </row>
    <row r="32" spans="1:15">
      <c r="J32" s="176"/>
      <c r="K32" s="176"/>
      <c r="L32" s="176"/>
      <c r="M32" s="176"/>
    </row>
    <row r="33" spans="1:13">
      <c r="A33" s="33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1:13">
      <c r="J34" s="201"/>
      <c r="K34" s="202"/>
      <c r="L34" s="201"/>
      <c r="M34" s="203"/>
    </row>
    <row r="37" spans="1:13">
      <c r="C37" s="336"/>
      <c r="D37" s="336"/>
      <c r="E37" s="336"/>
      <c r="F37" s="336"/>
      <c r="G37" s="336"/>
      <c r="H37" s="336"/>
      <c r="I37" s="336"/>
    </row>
  </sheetData>
  <mergeCells count="10">
    <mergeCell ref="G6:H7"/>
    <mergeCell ref="G8:H8"/>
    <mergeCell ref="G10:H10"/>
    <mergeCell ref="A33:M33"/>
    <mergeCell ref="C37:I37"/>
    <mergeCell ref="A1:M1"/>
    <mergeCell ref="I2:J2"/>
    <mergeCell ref="G3:H3"/>
    <mergeCell ref="G4:H4"/>
    <mergeCell ref="G5:H5"/>
  </mergeCells>
  <pageMargins left="0.25" right="0.25" top="0.75" bottom="0.75" header="0.3" footer="0.3"/>
  <pageSetup scale="76" orientation="landscape" r:id="rId1"/>
  <ignoredErrors>
    <ignoredError sqref="E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opLeftCell="BL1" workbookViewId="0">
      <selection activeCell="CA39" sqref="CA39"/>
    </sheetView>
  </sheetViews>
  <sheetFormatPr defaultRowHeight="13.2"/>
  <cols>
    <col min="1" max="1" width="38.44140625" style="237" customWidth="1"/>
    <col min="2" max="2" width="12.88671875" style="242" customWidth="1"/>
    <col min="3" max="67" width="7.6640625" style="237" customWidth="1"/>
    <col min="68" max="68" width="8.109375" style="237" bestFit="1" customWidth="1"/>
    <col min="69" max="82" width="7.6640625" style="237" customWidth="1"/>
    <col min="83" max="256" width="8.88671875" style="237"/>
    <col min="257" max="257" width="38.44140625" style="237" customWidth="1"/>
    <col min="258" max="258" width="12.88671875" style="237" customWidth="1"/>
    <col min="259" max="323" width="7.6640625" style="237" customWidth="1"/>
    <col min="324" max="324" width="8.109375" style="237" bestFit="1" customWidth="1"/>
    <col min="325" max="338" width="7.6640625" style="237" customWidth="1"/>
    <col min="339" max="512" width="8.88671875" style="237"/>
    <col min="513" max="513" width="38.44140625" style="237" customWidth="1"/>
    <col min="514" max="514" width="12.88671875" style="237" customWidth="1"/>
    <col min="515" max="579" width="7.6640625" style="237" customWidth="1"/>
    <col min="580" max="580" width="8.109375" style="237" bestFit="1" customWidth="1"/>
    <col min="581" max="594" width="7.6640625" style="237" customWidth="1"/>
    <col min="595" max="768" width="8.88671875" style="237"/>
    <col min="769" max="769" width="38.44140625" style="237" customWidth="1"/>
    <col min="770" max="770" width="12.88671875" style="237" customWidth="1"/>
    <col min="771" max="835" width="7.6640625" style="237" customWidth="1"/>
    <col min="836" max="836" width="8.109375" style="237" bestFit="1" customWidth="1"/>
    <col min="837" max="850" width="7.6640625" style="237" customWidth="1"/>
    <col min="851" max="1024" width="8.88671875" style="237"/>
    <col min="1025" max="1025" width="38.44140625" style="237" customWidth="1"/>
    <col min="1026" max="1026" width="12.88671875" style="237" customWidth="1"/>
    <col min="1027" max="1091" width="7.6640625" style="237" customWidth="1"/>
    <col min="1092" max="1092" width="8.109375" style="237" bestFit="1" customWidth="1"/>
    <col min="1093" max="1106" width="7.6640625" style="237" customWidth="1"/>
    <col min="1107" max="1280" width="8.88671875" style="237"/>
    <col min="1281" max="1281" width="38.44140625" style="237" customWidth="1"/>
    <col min="1282" max="1282" width="12.88671875" style="237" customWidth="1"/>
    <col min="1283" max="1347" width="7.6640625" style="237" customWidth="1"/>
    <col min="1348" max="1348" width="8.109375" style="237" bestFit="1" customWidth="1"/>
    <col min="1349" max="1362" width="7.6640625" style="237" customWidth="1"/>
    <col min="1363" max="1536" width="8.88671875" style="237"/>
    <col min="1537" max="1537" width="38.44140625" style="237" customWidth="1"/>
    <col min="1538" max="1538" width="12.88671875" style="237" customWidth="1"/>
    <col min="1539" max="1603" width="7.6640625" style="237" customWidth="1"/>
    <col min="1604" max="1604" width="8.109375" style="237" bestFit="1" customWidth="1"/>
    <col min="1605" max="1618" width="7.6640625" style="237" customWidth="1"/>
    <col min="1619" max="1792" width="8.88671875" style="237"/>
    <col min="1793" max="1793" width="38.44140625" style="237" customWidth="1"/>
    <col min="1794" max="1794" width="12.88671875" style="237" customWidth="1"/>
    <col min="1795" max="1859" width="7.6640625" style="237" customWidth="1"/>
    <col min="1860" max="1860" width="8.109375" style="237" bestFit="1" customWidth="1"/>
    <col min="1861" max="1874" width="7.6640625" style="237" customWidth="1"/>
    <col min="1875" max="2048" width="8.88671875" style="237"/>
    <col min="2049" max="2049" width="38.44140625" style="237" customWidth="1"/>
    <col min="2050" max="2050" width="12.88671875" style="237" customWidth="1"/>
    <col min="2051" max="2115" width="7.6640625" style="237" customWidth="1"/>
    <col min="2116" max="2116" width="8.109375" style="237" bestFit="1" customWidth="1"/>
    <col min="2117" max="2130" width="7.6640625" style="237" customWidth="1"/>
    <col min="2131" max="2304" width="8.88671875" style="237"/>
    <col min="2305" max="2305" width="38.44140625" style="237" customWidth="1"/>
    <col min="2306" max="2306" width="12.88671875" style="237" customWidth="1"/>
    <col min="2307" max="2371" width="7.6640625" style="237" customWidth="1"/>
    <col min="2372" max="2372" width="8.109375" style="237" bestFit="1" customWidth="1"/>
    <col min="2373" max="2386" width="7.6640625" style="237" customWidth="1"/>
    <col min="2387" max="2560" width="8.88671875" style="237"/>
    <col min="2561" max="2561" width="38.44140625" style="237" customWidth="1"/>
    <col min="2562" max="2562" width="12.88671875" style="237" customWidth="1"/>
    <col min="2563" max="2627" width="7.6640625" style="237" customWidth="1"/>
    <col min="2628" max="2628" width="8.109375" style="237" bestFit="1" customWidth="1"/>
    <col min="2629" max="2642" width="7.6640625" style="237" customWidth="1"/>
    <col min="2643" max="2816" width="8.88671875" style="237"/>
    <col min="2817" max="2817" width="38.44140625" style="237" customWidth="1"/>
    <col min="2818" max="2818" width="12.88671875" style="237" customWidth="1"/>
    <col min="2819" max="2883" width="7.6640625" style="237" customWidth="1"/>
    <col min="2884" max="2884" width="8.109375" style="237" bestFit="1" customWidth="1"/>
    <col min="2885" max="2898" width="7.6640625" style="237" customWidth="1"/>
    <col min="2899" max="3072" width="8.88671875" style="237"/>
    <col min="3073" max="3073" width="38.44140625" style="237" customWidth="1"/>
    <col min="3074" max="3074" width="12.88671875" style="237" customWidth="1"/>
    <col min="3075" max="3139" width="7.6640625" style="237" customWidth="1"/>
    <col min="3140" max="3140" width="8.109375" style="237" bestFit="1" customWidth="1"/>
    <col min="3141" max="3154" width="7.6640625" style="237" customWidth="1"/>
    <col min="3155" max="3328" width="8.88671875" style="237"/>
    <col min="3329" max="3329" width="38.44140625" style="237" customWidth="1"/>
    <col min="3330" max="3330" width="12.88671875" style="237" customWidth="1"/>
    <col min="3331" max="3395" width="7.6640625" style="237" customWidth="1"/>
    <col min="3396" max="3396" width="8.109375" style="237" bestFit="1" customWidth="1"/>
    <col min="3397" max="3410" width="7.6640625" style="237" customWidth="1"/>
    <col min="3411" max="3584" width="8.88671875" style="237"/>
    <col min="3585" max="3585" width="38.44140625" style="237" customWidth="1"/>
    <col min="3586" max="3586" width="12.88671875" style="237" customWidth="1"/>
    <col min="3587" max="3651" width="7.6640625" style="237" customWidth="1"/>
    <col min="3652" max="3652" width="8.109375" style="237" bestFit="1" customWidth="1"/>
    <col min="3653" max="3666" width="7.6640625" style="237" customWidth="1"/>
    <col min="3667" max="3840" width="8.88671875" style="237"/>
    <col min="3841" max="3841" width="38.44140625" style="237" customWidth="1"/>
    <col min="3842" max="3842" width="12.88671875" style="237" customWidth="1"/>
    <col min="3843" max="3907" width="7.6640625" style="237" customWidth="1"/>
    <col min="3908" max="3908" width="8.109375" style="237" bestFit="1" customWidth="1"/>
    <col min="3909" max="3922" width="7.6640625" style="237" customWidth="1"/>
    <col min="3923" max="4096" width="8.88671875" style="237"/>
    <col min="4097" max="4097" width="38.44140625" style="237" customWidth="1"/>
    <col min="4098" max="4098" width="12.88671875" style="237" customWidth="1"/>
    <col min="4099" max="4163" width="7.6640625" style="237" customWidth="1"/>
    <col min="4164" max="4164" width="8.109375" style="237" bestFit="1" customWidth="1"/>
    <col min="4165" max="4178" width="7.6640625" style="237" customWidth="1"/>
    <col min="4179" max="4352" width="8.88671875" style="237"/>
    <col min="4353" max="4353" width="38.44140625" style="237" customWidth="1"/>
    <col min="4354" max="4354" width="12.88671875" style="237" customWidth="1"/>
    <col min="4355" max="4419" width="7.6640625" style="237" customWidth="1"/>
    <col min="4420" max="4420" width="8.109375" style="237" bestFit="1" customWidth="1"/>
    <col min="4421" max="4434" width="7.6640625" style="237" customWidth="1"/>
    <col min="4435" max="4608" width="8.88671875" style="237"/>
    <col min="4609" max="4609" width="38.44140625" style="237" customWidth="1"/>
    <col min="4610" max="4610" width="12.88671875" style="237" customWidth="1"/>
    <col min="4611" max="4675" width="7.6640625" style="237" customWidth="1"/>
    <col min="4676" max="4676" width="8.109375" style="237" bestFit="1" customWidth="1"/>
    <col min="4677" max="4690" width="7.6640625" style="237" customWidth="1"/>
    <col min="4691" max="4864" width="8.88671875" style="237"/>
    <col min="4865" max="4865" width="38.44140625" style="237" customWidth="1"/>
    <col min="4866" max="4866" width="12.88671875" style="237" customWidth="1"/>
    <col min="4867" max="4931" width="7.6640625" style="237" customWidth="1"/>
    <col min="4932" max="4932" width="8.109375" style="237" bestFit="1" customWidth="1"/>
    <col min="4933" max="4946" width="7.6640625" style="237" customWidth="1"/>
    <col min="4947" max="5120" width="8.88671875" style="237"/>
    <col min="5121" max="5121" width="38.44140625" style="237" customWidth="1"/>
    <col min="5122" max="5122" width="12.88671875" style="237" customWidth="1"/>
    <col min="5123" max="5187" width="7.6640625" style="237" customWidth="1"/>
    <col min="5188" max="5188" width="8.109375" style="237" bestFit="1" customWidth="1"/>
    <col min="5189" max="5202" width="7.6640625" style="237" customWidth="1"/>
    <col min="5203" max="5376" width="8.88671875" style="237"/>
    <col min="5377" max="5377" width="38.44140625" style="237" customWidth="1"/>
    <col min="5378" max="5378" width="12.88671875" style="237" customWidth="1"/>
    <col min="5379" max="5443" width="7.6640625" style="237" customWidth="1"/>
    <col min="5444" max="5444" width="8.109375" style="237" bestFit="1" customWidth="1"/>
    <col min="5445" max="5458" width="7.6640625" style="237" customWidth="1"/>
    <col min="5459" max="5632" width="8.88671875" style="237"/>
    <col min="5633" max="5633" width="38.44140625" style="237" customWidth="1"/>
    <col min="5634" max="5634" width="12.88671875" style="237" customWidth="1"/>
    <col min="5635" max="5699" width="7.6640625" style="237" customWidth="1"/>
    <col min="5700" max="5700" width="8.109375" style="237" bestFit="1" customWidth="1"/>
    <col min="5701" max="5714" width="7.6640625" style="237" customWidth="1"/>
    <col min="5715" max="5888" width="8.88671875" style="237"/>
    <col min="5889" max="5889" width="38.44140625" style="237" customWidth="1"/>
    <col min="5890" max="5890" width="12.88671875" style="237" customWidth="1"/>
    <col min="5891" max="5955" width="7.6640625" style="237" customWidth="1"/>
    <col min="5956" max="5956" width="8.109375" style="237" bestFit="1" customWidth="1"/>
    <col min="5957" max="5970" width="7.6640625" style="237" customWidth="1"/>
    <col min="5971" max="6144" width="8.88671875" style="237"/>
    <col min="6145" max="6145" width="38.44140625" style="237" customWidth="1"/>
    <col min="6146" max="6146" width="12.88671875" style="237" customWidth="1"/>
    <col min="6147" max="6211" width="7.6640625" style="237" customWidth="1"/>
    <col min="6212" max="6212" width="8.109375" style="237" bestFit="1" customWidth="1"/>
    <col min="6213" max="6226" width="7.6640625" style="237" customWidth="1"/>
    <col min="6227" max="6400" width="8.88671875" style="237"/>
    <col min="6401" max="6401" width="38.44140625" style="237" customWidth="1"/>
    <col min="6402" max="6402" width="12.88671875" style="237" customWidth="1"/>
    <col min="6403" max="6467" width="7.6640625" style="237" customWidth="1"/>
    <col min="6468" max="6468" width="8.109375" style="237" bestFit="1" customWidth="1"/>
    <col min="6469" max="6482" width="7.6640625" style="237" customWidth="1"/>
    <col min="6483" max="6656" width="8.88671875" style="237"/>
    <col min="6657" max="6657" width="38.44140625" style="237" customWidth="1"/>
    <col min="6658" max="6658" width="12.88671875" style="237" customWidth="1"/>
    <col min="6659" max="6723" width="7.6640625" style="237" customWidth="1"/>
    <col min="6724" max="6724" width="8.109375" style="237" bestFit="1" customWidth="1"/>
    <col min="6725" max="6738" width="7.6640625" style="237" customWidth="1"/>
    <col min="6739" max="6912" width="8.88671875" style="237"/>
    <col min="6913" max="6913" width="38.44140625" style="237" customWidth="1"/>
    <col min="6914" max="6914" width="12.88671875" style="237" customWidth="1"/>
    <col min="6915" max="6979" width="7.6640625" style="237" customWidth="1"/>
    <col min="6980" max="6980" width="8.109375" style="237" bestFit="1" customWidth="1"/>
    <col min="6981" max="6994" width="7.6640625" style="237" customWidth="1"/>
    <col min="6995" max="7168" width="8.88671875" style="237"/>
    <col min="7169" max="7169" width="38.44140625" style="237" customWidth="1"/>
    <col min="7170" max="7170" width="12.88671875" style="237" customWidth="1"/>
    <col min="7171" max="7235" width="7.6640625" style="237" customWidth="1"/>
    <col min="7236" max="7236" width="8.109375" style="237" bestFit="1" customWidth="1"/>
    <col min="7237" max="7250" width="7.6640625" style="237" customWidth="1"/>
    <col min="7251" max="7424" width="8.88671875" style="237"/>
    <col min="7425" max="7425" width="38.44140625" style="237" customWidth="1"/>
    <col min="7426" max="7426" width="12.88671875" style="237" customWidth="1"/>
    <col min="7427" max="7491" width="7.6640625" style="237" customWidth="1"/>
    <col min="7492" max="7492" width="8.109375" style="237" bestFit="1" customWidth="1"/>
    <col min="7493" max="7506" width="7.6640625" style="237" customWidth="1"/>
    <col min="7507" max="7680" width="8.88671875" style="237"/>
    <col min="7681" max="7681" width="38.44140625" style="237" customWidth="1"/>
    <col min="7682" max="7682" width="12.88671875" style="237" customWidth="1"/>
    <col min="7683" max="7747" width="7.6640625" style="237" customWidth="1"/>
    <col min="7748" max="7748" width="8.109375" style="237" bestFit="1" customWidth="1"/>
    <col min="7749" max="7762" width="7.6640625" style="237" customWidth="1"/>
    <col min="7763" max="7936" width="8.88671875" style="237"/>
    <col min="7937" max="7937" width="38.44140625" style="237" customWidth="1"/>
    <col min="7938" max="7938" width="12.88671875" style="237" customWidth="1"/>
    <col min="7939" max="8003" width="7.6640625" style="237" customWidth="1"/>
    <col min="8004" max="8004" width="8.109375" style="237" bestFit="1" customWidth="1"/>
    <col min="8005" max="8018" width="7.6640625" style="237" customWidth="1"/>
    <col min="8019" max="8192" width="8.88671875" style="237"/>
    <col min="8193" max="8193" width="38.44140625" style="237" customWidth="1"/>
    <col min="8194" max="8194" width="12.88671875" style="237" customWidth="1"/>
    <col min="8195" max="8259" width="7.6640625" style="237" customWidth="1"/>
    <col min="8260" max="8260" width="8.109375" style="237" bestFit="1" customWidth="1"/>
    <col min="8261" max="8274" width="7.6640625" style="237" customWidth="1"/>
    <col min="8275" max="8448" width="8.88671875" style="237"/>
    <col min="8449" max="8449" width="38.44140625" style="237" customWidth="1"/>
    <col min="8450" max="8450" width="12.88671875" style="237" customWidth="1"/>
    <col min="8451" max="8515" width="7.6640625" style="237" customWidth="1"/>
    <col min="8516" max="8516" width="8.109375" style="237" bestFit="1" customWidth="1"/>
    <col min="8517" max="8530" width="7.6640625" style="237" customWidth="1"/>
    <col min="8531" max="8704" width="8.88671875" style="237"/>
    <col min="8705" max="8705" width="38.44140625" style="237" customWidth="1"/>
    <col min="8706" max="8706" width="12.88671875" style="237" customWidth="1"/>
    <col min="8707" max="8771" width="7.6640625" style="237" customWidth="1"/>
    <col min="8772" max="8772" width="8.109375" style="237" bestFit="1" customWidth="1"/>
    <col min="8773" max="8786" width="7.6640625" style="237" customWidth="1"/>
    <col min="8787" max="8960" width="8.88671875" style="237"/>
    <col min="8961" max="8961" width="38.44140625" style="237" customWidth="1"/>
    <col min="8962" max="8962" width="12.88671875" style="237" customWidth="1"/>
    <col min="8963" max="9027" width="7.6640625" style="237" customWidth="1"/>
    <col min="9028" max="9028" width="8.109375" style="237" bestFit="1" customWidth="1"/>
    <col min="9029" max="9042" width="7.6640625" style="237" customWidth="1"/>
    <col min="9043" max="9216" width="8.88671875" style="237"/>
    <col min="9217" max="9217" width="38.44140625" style="237" customWidth="1"/>
    <col min="9218" max="9218" width="12.88671875" style="237" customWidth="1"/>
    <col min="9219" max="9283" width="7.6640625" style="237" customWidth="1"/>
    <col min="9284" max="9284" width="8.109375" style="237" bestFit="1" customWidth="1"/>
    <col min="9285" max="9298" width="7.6640625" style="237" customWidth="1"/>
    <col min="9299" max="9472" width="8.88671875" style="237"/>
    <col min="9473" max="9473" width="38.44140625" style="237" customWidth="1"/>
    <col min="9474" max="9474" width="12.88671875" style="237" customWidth="1"/>
    <col min="9475" max="9539" width="7.6640625" style="237" customWidth="1"/>
    <col min="9540" max="9540" width="8.109375" style="237" bestFit="1" customWidth="1"/>
    <col min="9541" max="9554" width="7.6640625" style="237" customWidth="1"/>
    <col min="9555" max="9728" width="8.88671875" style="237"/>
    <col min="9729" max="9729" width="38.44140625" style="237" customWidth="1"/>
    <col min="9730" max="9730" width="12.88671875" style="237" customWidth="1"/>
    <col min="9731" max="9795" width="7.6640625" style="237" customWidth="1"/>
    <col min="9796" max="9796" width="8.109375" style="237" bestFit="1" customWidth="1"/>
    <col min="9797" max="9810" width="7.6640625" style="237" customWidth="1"/>
    <col min="9811" max="9984" width="8.88671875" style="237"/>
    <col min="9985" max="9985" width="38.44140625" style="237" customWidth="1"/>
    <col min="9986" max="9986" width="12.88671875" style="237" customWidth="1"/>
    <col min="9987" max="10051" width="7.6640625" style="237" customWidth="1"/>
    <col min="10052" max="10052" width="8.109375" style="237" bestFit="1" customWidth="1"/>
    <col min="10053" max="10066" width="7.6640625" style="237" customWidth="1"/>
    <col min="10067" max="10240" width="8.88671875" style="237"/>
    <col min="10241" max="10241" width="38.44140625" style="237" customWidth="1"/>
    <col min="10242" max="10242" width="12.88671875" style="237" customWidth="1"/>
    <col min="10243" max="10307" width="7.6640625" style="237" customWidth="1"/>
    <col min="10308" max="10308" width="8.109375" style="237" bestFit="1" customWidth="1"/>
    <col min="10309" max="10322" width="7.6640625" style="237" customWidth="1"/>
    <col min="10323" max="10496" width="8.88671875" style="237"/>
    <col min="10497" max="10497" width="38.44140625" style="237" customWidth="1"/>
    <col min="10498" max="10498" width="12.88671875" style="237" customWidth="1"/>
    <col min="10499" max="10563" width="7.6640625" style="237" customWidth="1"/>
    <col min="10564" max="10564" width="8.109375" style="237" bestFit="1" customWidth="1"/>
    <col min="10565" max="10578" width="7.6640625" style="237" customWidth="1"/>
    <col min="10579" max="10752" width="8.88671875" style="237"/>
    <col min="10753" max="10753" width="38.44140625" style="237" customWidth="1"/>
    <col min="10754" max="10754" width="12.88671875" style="237" customWidth="1"/>
    <col min="10755" max="10819" width="7.6640625" style="237" customWidth="1"/>
    <col min="10820" max="10820" width="8.109375" style="237" bestFit="1" customWidth="1"/>
    <col min="10821" max="10834" width="7.6640625" style="237" customWidth="1"/>
    <col min="10835" max="11008" width="8.88671875" style="237"/>
    <col min="11009" max="11009" width="38.44140625" style="237" customWidth="1"/>
    <col min="11010" max="11010" width="12.88671875" style="237" customWidth="1"/>
    <col min="11011" max="11075" width="7.6640625" style="237" customWidth="1"/>
    <col min="11076" max="11076" width="8.109375" style="237" bestFit="1" customWidth="1"/>
    <col min="11077" max="11090" width="7.6640625" style="237" customWidth="1"/>
    <col min="11091" max="11264" width="8.88671875" style="237"/>
    <col min="11265" max="11265" width="38.44140625" style="237" customWidth="1"/>
    <col min="11266" max="11266" width="12.88671875" style="237" customWidth="1"/>
    <col min="11267" max="11331" width="7.6640625" style="237" customWidth="1"/>
    <col min="11332" max="11332" width="8.109375" style="237" bestFit="1" customWidth="1"/>
    <col min="11333" max="11346" width="7.6640625" style="237" customWidth="1"/>
    <col min="11347" max="11520" width="8.88671875" style="237"/>
    <col min="11521" max="11521" width="38.44140625" style="237" customWidth="1"/>
    <col min="11522" max="11522" width="12.88671875" style="237" customWidth="1"/>
    <col min="11523" max="11587" width="7.6640625" style="237" customWidth="1"/>
    <col min="11588" max="11588" width="8.109375" style="237" bestFit="1" customWidth="1"/>
    <col min="11589" max="11602" width="7.6640625" style="237" customWidth="1"/>
    <col min="11603" max="11776" width="8.88671875" style="237"/>
    <col min="11777" max="11777" width="38.44140625" style="237" customWidth="1"/>
    <col min="11778" max="11778" width="12.88671875" style="237" customWidth="1"/>
    <col min="11779" max="11843" width="7.6640625" style="237" customWidth="1"/>
    <col min="11844" max="11844" width="8.109375" style="237" bestFit="1" customWidth="1"/>
    <col min="11845" max="11858" width="7.6640625" style="237" customWidth="1"/>
    <col min="11859" max="12032" width="8.88671875" style="237"/>
    <col min="12033" max="12033" width="38.44140625" style="237" customWidth="1"/>
    <col min="12034" max="12034" width="12.88671875" style="237" customWidth="1"/>
    <col min="12035" max="12099" width="7.6640625" style="237" customWidth="1"/>
    <col min="12100" max="12100" width="8.109375" style="237" bestFit="1" customWidth="1"/>
    <col min="12101" max="12114" width="7.6640625" style="237" customWidth="1"/>
    <col min="12115" max="12288" width="8.88671875" style="237"/>
    <col min="12289" max="12289" width="38.44140625" style="237" customWidth="1"/>
    <col min="12290" max="12290" width="12.88671875" style="237" customWidth="1"/>
    <col min="12291" max="12355" width="7.6640625" style="237" customWidth="1"/>
    <col min="12356" max="12356" width="8.109375" style="237" bestFit="1" customWidth="1"/>
    <col min="12357" max="12370" width="7.6640625" style="237" customWidth="1"/>
    <col min="12371" max="12544" width="8.88671875" style="237"/>
    <col min="12545" max="12545" width="38.44140625" style="237" customWidth="1"/>
    <col min="12546" max="12546" width="12.88671875" style="237" customWidth="1"/>
    <col min="12547" max="12611" width="7.6640625" style="237" customWidth="1"/>
    <col min="12612" max="12612" width="8.109375" style="237" bestFit="1" customWidth="1"/>
    <col min="12613" max="12626" width="7.6640625" style="237" customWidth="1"/>
    <col min="12627" max="12800" width="8.88671875" style="237"/>
    <col min="12801" max="12801" width="38.44140625" style="237" customWidth="1"/>
    <col min="12802" max="12802" width="12.88671875" style="237" customWidth="1"/>
    <col min="12803" max="12867" width="7.6640625" style="237" customWidth="1"/>
    <col min="12868" max="12868" width="8.109375" style="237" bestFit="1" customWidth="1"/>
    <col min="12869" max="12882" width="7.6640625" style="237" customWidth="1"/>
    <col min="12883" max="13056" width="8.88671875" style="237"/>
    <col min="13057" max="13057" width="38.44140625" style="237" customWidth="1"/>
    <col min="13058" max="13058" width="12.88671875" style="237" customWidth="1"/>
    <col min="13059" max="13123" width="7.6640625" style="237" customWidth="1"/>
    <col min="13124" max="13124" width="8.109375" style="237" bestFit="1" customWidth="1"/>
    <col min="13125" max="13138" width="7.6640625" style="237" customWidth="1"/>
    <col min="13139" max="13312" width="8.88671875" style="237"/>
    <col min="13313" max="13313" width="38.44140625" style="237" customWidth="1"/>
    <col min="13314" max="13314" width="12.88671875" style="237" customWidth="1"/>
    <col min="13315" max="13379" width="7.6640625" style="237" customWidth="1"/>
    <col min="13380" max="13380" width="8.109375" style="237" bestFit="1" customWidth="1"/>
    <col min="13381" max="13394" width="7.6640625" style="237" customWidth="1"/>
    <col min="13395" max="13568" width="8.88671875" style="237"/>
    <col min="13569" max="13569" width="38.44140625" style="237" customWidth="1"/>
    <col min="13570" max="13570" width="12.88671875" style="237" customWidth="1"/>
    <col min="13571" max="13635" width="7.6640625" style="237" customWidth="1"/>
    <col min="13636" max="13636" width="8.109375" style="237" bestFit="1" customWidth="1"/>
    <col min="13637" max="13650" width="7.6640625" style="237" customWidth="1"/>
    <col min="13651" max="13824" width="8.88671875" style="237"/>
    <col min="13825" max="13825" width="38.44140625" style="237" customWidth="1"/>
    <col min="13826" max="13826" width="12.88671875" style="237" customWidth="1"/>
    <col min="13827" max="13891" width="7.6640625" style="237" customWidth="1"/>
    <col min="13892" max="13892" width="8.109375" style="237" bestFit="1" customWidth="1"/>
    <col min="13893" max="13906" width="7.6640625" style="237" customWidth="1"/>
    <col min="13907" max="14080" width="8.88671875" style="237"/>
    <col min="14081" max="14081" width="38.44140625" style="237" customWidth="1"/>
    <col min="14082" max="14082" width="12.88671875" style="237" customWidth="1"/>
    <col min="14083" max="14147" width="7.6640625" style="237" customWidth="1"/>
    <col min="14148" max="14148" width="8.109375" style="237" bestFit="1" customWidth="1"/>
    <col min="14149" max="14162" width="7.6640625" style="237" customWidth="1"/>
    <col min="14163" max="14336" width="8.88671875" style="237"/>
    <col min="14337" max="14337" width="38.44140625" style="237" customWidth="1"/>
    <col min="14338" max="14338" width="12.88671875" style="237" customWidth="1"/>
    <col min="14339" max="14403" width="7.6640625" style="237" customWidth="1"/>
    <col min="14404" max="14404" width="8.109375" style="237" bestFit="1" customWidth="1"/>
    <col min="14405" max="14418" width="7.6640625" style="237" customWidth="1"/>
    <col min="14419" max="14592" width="8.88671875" style="237"/>
    <col min="14593" max="14593" width="38.44140625" style="237" customWidth="1"/>
    <col min="14594" max="14594" width="12.88671875" style="237" customWidth="1"/>
    <col min="14595" max="14659" width="7.6640625" style="237" customWidth="1"/>
    <col min="14660" max="14660" width="8.109375" style="237" bestFit="1" customWidth="1"/>
    <col min="14661" max="14674" width="7.6640625" style="237" customWidth="1"/>
    <col min="14675" max="14848" width="8.88671875" style="237"/>
    <col min="14849" max="14849" width="38.44140625" style="237" customWidth="1"/>
    <col min="14850" max="14850" width="12.88671875" style="237" customWidth="1"/>
    <col min="14851" max="14915" width="7.6640625" style="237" customWidth="1"/>
    <col min="14916" max="14916" width="8.109375" style="237" bestFit="1" customWidth="1"/>
    <col min="14917" max="14930" width="7.6640625" style="237" customWidth="1"/>
    <col min="14931" max="15104" width="8.88671875" style="237"/>
    <col min="15105" max="15105" width="38.44140625" style="237" customWidth="1"/>
    <col min="15106" max="15106" width="12.88671875" style="237" customWidth="1"/>
    <col min="15107" max="15171" width="7.6640625" style="237" customWidth="1"/>
    <col min="15172" max="15172" width="8.109375" style="237" bestFit="1" customWidth="1"/>
    <col min="15173" max="15186" width="7.6640625" style="237" customWidth="1"/>
    <col min="15187" max="15360" width="8.88671875" style="237"/>
    <col min="15361" max="15361" width="38.44140625" style="237" customWidth="1"/>
    <col min="15362" max="15362" width="12.88671875" style="237" customWidth="1"/>
    <col min="15363" max="15427" width="7.6640625" style="237" customWidth="1"/>
    <col min="15428" max="15428" width="8.109375" style="237" bestFit="1" customWidth="1"/>
    <col min="15429" max="15442" width="7.6640625" style="237" customWidth="1"/>
    <col min="15443" max="15616" width="8.88671875" style="237"/>
    <col min="15617" max="15617" width="38.44140625" style="237" customWidth="1"/>
    <col min="15618" max="15618" width="12.88671875" style="237" customWidth="1"/>
    <col min="15619" max="15683" width="7.6640625" style="237" customWidth="1"/>
    <col min="15684" max="15684" width="8.109375" style="237" bestFit="1" customWidth="1"/>
    <col min="15685" max="15698" width="7.6640625" style="237" customWidth="1"/>
    <col min="15699" max="15872" width="8.88671875" style="237"/>
    <col min="15873" max="15873" width="38.44140625" style="237" customWidth="1"/>
    <col min="15874" max="15874" width="12.88671875" style="237" customWidth="1"/>
    <col min="15875" max="15939" width="7.6640625" style="237" customWidth="1"/>
    <col min="15940" max="15940" width="8.109375" style="237" bestFit="1" customWidth="1"/>
    <col min="15941" max="15954" width="7.6640625" style="237" customWidth="1"/>
    <col min="15955" max="16128" width="8.88671875" style="237"/>
    <col min="16129" max="16129" width="38.44140625" style="237" customWidth="1"/>
    <col min="16130" max="16130" width="12.88671875" style="237" customWidth="1"/>
    <col min="16131" max="16195" width="7.6640625" style="237" customWidth="1"/>
    <col min="16196" max="16196" width="8.109375" style="237" bestFit="1" customWidth="1"/>
    <col min="16197" max="16210" width="7.6640625" style="237" customWidth="1"/>
    <col min="16211" max="16384" width="8.88671875" style="237"/>
  </cols>
  <sheetData>
    <row r="1" spans="1:87" ht="17.399999999999999">
      <c r="A1" s="235" t="s">
        <v>117</v>
      </c>
      <c r="B1" s="236"/>
    </row>
    <row r="2" spans="1:87" ht="15.6">
      <c r="A2" s="238" t="s">
        <v>118</v>
      </c>
      <c r="B2" s="239"/>
    </row>
    <row r="3" spans="1:87" ht="14.4" thickBot="1">
      <c r="A3" s="240" t="s">
        <v>119</v>
      </c>
      <c r="B3" s="241"/>
    </row>
    <row r="6" spans="1:87">
      <c r="BM6" s="243" t="s">
        <v>120</v>
      </c>
      <c r="BN6" s="243" t="s">
        <v>120</v>
      </c>
      <c r="BO6" s="243" t="s">
        <v>120</v>
      </c>
      <c r="BP6" s="243" t="s">
        <v>120</v>
      </c>
      <c r="BQ6" s="244" t="s">
        <v>121</v>
      </c>
      <c r="BR6" s="244" t="s">
        <v>121</v>
      </c>
      <c r="BS6" s="244" t="s">
        <v>121</v>
      </c>
      <c r="BT6" s="244" t="s">
        <v>121</v>
      </c>
      <c r="BU6" s="245" t="s">
        <v>122</v>
      </c>
      <c r="BV6" s="245" t="s">
        <v>122</v>
      </c>
      <c r="BW6" s="245" t="s">
        <v>122</v>
      </c>
      <c r="BX6" s="245" t="s">
        <v>122</v>
      </c>
      <c r="BY6" s="246" t="s">
        <v>123</v>
      </c>
      <c r="BZ6" s="246" t="s">
        <v>123</v>
      </c>
      <c r="CA6" s="246" t="s">
        <v>123</v>
      </c>
      <c r="CB6" s="246" t="s">
        <v>123</v>
      </c>
    </row>
    <row r="7" spans="1:87" s="242" customFormat="1">
      <c r="B7" s="242" t="s">
        <v>124</v>
      </c>
      <c r="C7" s="247" t="s">
        <v>125</v>
      </c>
      <c r="D7" s="247" t="s">
        <v>126</v>
      </c>
      <c r="E7" s="247" t="s">
        <v>127</v>
      </c>
      <c r="F7" s="247" t="s">
        <v>128</v>
      </c>
      <c r="G7" s="247" t="s">
        <v>129</v>
      </c>
      <c r="H7" s="247" t="s">
        <v>130</v>
      </c>
      <c r="I7" s="247" t="s">
        <v>131</v>
      </c>
      <c r="J7" s="247" t="s">
        <v>132</v>
      </c>
      <c r="K7" s="247" t="s">
        <v>133</v>
      </c>
      <c r="L7" s="247" t="s">
        <v>134</v>
      </c>
      <c r="M7" s="247" t="s">
        <v>135</v>
      </c>
      <c r="N7" s="247" t="s">
        <v>136</v>
      </c>
      <c r="O7" s="247" t="s">
        <v>137</v>
      </c>
      <c r="P7" s="247" t="s">
        <v>138</v>
      </c>
      <c r="Q7" s="247" t="s">
        <v>139</v>
      </c>
      <c r="R7" s="247" t="s">
        <v>140</v>
      </c>
      <c r="S7" s="247" t="s">
        <v>141</v>
      </c>
      <c r="T7" s="247" t="s">
        <v>142</v>
      </c>
      <c r="U7" s="247" t="s">
        <v>143</v>
      </c>
      <c r="V7" s="247" t="s">
        <v>144</v>
      </c>
      <c r="W7" s="247" t="s">
        <v>145</v>
      </c>
      <c r="X7" s="247" t="s">
        <v>146</v>
      </c>
      <c r="Y7" s="247" t="s">
        <v>147</v>
      </c>
      <c r="Z7" s="247" t="s">
        <v>148</v>
      </c>
      <c r="AA7" s="247" t="s">
        <v>149</v>
      </c>
      <c r="AB7" s="247" t="s">
        <v>150</v>
      </c>
      <c r="AC7" s="247" t="s">
        <v>151</v>
      </c>
      <c r="AD7" s="247" t="s">
        <v>152</v>
      </c>
      <c r="AE7" s="247" t="s">
        <v>153</v>
      </c>
      <c r="AF7" s="247" t="s">
        <v>154</v>
      </c>
      <c r="AG7" s="247" t="s">
        <v>155</v>
      </c>
      <c r="AH7" s="247" t="s">
        <v>156</v>
      </c>
      <c r="AI7" s="247" t="s">
        <v>157</v>
      </c>
      <c r="AJ7" s="247" t="s">
        <v>158</v>
      </c>
      <c r="AK7" s="247" t="s">
        <v>159</v>
      </c>
      <c r="AL7" s="247" t="s">
        <v>160</v>
      </c>
      <c r="AM7" s="247" t="s">
        <v>161</v>
      </c>
      <c r="AN7" s="247" t="s">
        <v>162</v>
      </c>
      <c r="AO7" s="247" t="s">
        <v>163</v>
      </c>
      <c r="AP7" s="247" t="s">
        <v>164</v>
      </c>
      <c r="AQ7" s="247" t="s">
        <v>165</v>
      </c>
      <c r="AR7" s="247" t="s">
        <v>166</v>
      </c>
      <c r="AS7" s="247" t="s">
        <v>167</v>
      </c>
      <c r="AT7" s="247" t="s">
        <v>168</v>
      </c>
      <c r="AU7" s="242" t="s">
        <v>169</v>
      </c>
      <c r="AV7" s="242" t="s">
        <v>170</v>
      </c>
      <c r="AW7" s="242" t="s">
        <v>171</v>
      </c>
      <c r="AX7" s="242" t="s">
        <v>172</v>
      </c>
      <c r="AY7" s="242" t="s">
        <v>173</v>
      </c>
      <c r="AZ7" s="242" t="s">
        <v>174</v>
      </c>
      <c r="BA7" s="242" t="s">
        <v>175</v>
      </c>
      <c r="BB7" s="242" t="s">
        <v>176</v>
      </c>
      <c r="BC7" s="242" t="s">
        <v>177</v>
      </c>
      <c r="BD7" s="242" t="s">
        <v>178</v>
      </c>
      <c r="BE7" s="242" t="s">
        <v>179</v>
      </c>
      <c r="BF7" s="242" t="s">
        <v>180</v>
      </c>
      <c r="BG7" s="242" t="s">
        <v>181</v>
      </c>
      <c r="BH7" s="242" t="s">
        <v>182</v>
      </c>
      <c r="BI7" s="242" t="s">
        <v>183</v>
      </c>
      <c r="BJ7" s="242" t="s">
        <v>184</v>
      </c>
      <c r="BK7" s="242" t="s">
        <v>185</v>
      </c>
      <c r="BL7" s="242" t="s">
        <v>186</v>
      </c>
      <c r="BM7" s="242" t="s">
        <v>187</v>
      </c>
      <c r="BN7" s="242" t="s">
        <v>188</v>
      </c>
      <c r="BO7" s="242" t="s">
        <v>189</v>
      </c>
      <c r="BP7" s="242" t="s">
        <v>190</v>
      </c>
      <c r="BQ7" s="242" t="s">
        <v>191</v>
      </c>
      <c r="BR7" s="242" t="s">
        <v>192</v>
      </c>
      <c r="BS7" s="242" t="s">
        <v>193</v>
      </c>
      <c r="BT7" s="242" t="s">
        <v>194</v>
      </c>
      <c r="BU7" s="242" t="s">
        <v>195</v>
      </c>
      <c r="BV7" s="242" t="s">
        <v>196</v>
      </c>
      <c r="BW7" s="242" t="s">
        <v>197</v>
      </c>
      <c r="BX7" s="242" t="s">
        <v>198</v>
      </c>
      <c r="BY7" s="242" t="s">
        <v>199</v>
      </c>
      <c r="BZ7" s="242" t="s">
        <v>200</v>
      </c>
      <c r="CA7" s="242" t="s">
        <v>201</v>
      </c>
      <c r="CB7" s="242" t="s">
        <v>202</v>
      </c>
      <c r="CC7" s="242" t="s">
        <v>203</v>
      </c>
      <c r="CD7" s="242" t="s">
        <v>204</v>
      </c>
      <c r="CE7" s="242" t="s">
        <v>205</v>
      </c>
      <c r="CF7" s="242" t="s">
        <v>206</v>
      </c>
      <c r="CG7" s="242" t="s">
        <v>207</v>
      </c>
      <c r="CH7" s="242" t="s">
        <v>208</v>
      </c>
      <c r="CI7" s="242" t="s">
        <v>209</v>
      </c>
    </row>
    <row r="8" spans="1:87">
      <c r="A8" s="242" t="s">
        <v>210</v>
      </c>
      <c r="B8" s="242" t="s">
        <v>211</v>
      </c>
      <c r="C8" s="248">
        <v>2.0350000000000001</v>
      </c>
      <c r="D8" s="248">
        <v>2.06</v>
      </c>
      <c r="E8" s="248">
        <v>2.0649999999999999</v>
      </c>
      <c r="F8" s="248">
        <v>2.0870000000000002</v>
      </c>
      <c r="G8" s="248">
        <v>2.1040000000000001</v>
      </c>
      <c r="H8" s="248">
        <v>2.1150000000000002</v>
      </c>
      <c r="I8" s="248">
        <v>2.1509999999999998</v>
      </c>
      <c r="J8" s="248">
        <v>2.17</v>
      </c>
      <c r="K8" s="248">
        <v>2.1869999999999998</v>
      </c>
      <c r="L8" s="248">
        <v>2.2130000000000001</v>
      </c>
      <c r="M8" s="248">
        <v>2.2349999999999999</v>
      </c>
      <c r="N8" s="248">
        <v>2.2200000000000002</v>
      </c>
      <c r="O8" s="248">
        <v>2.2320000000000002</v>
      </c>
      <c r="P8" s="248">
        <v>2.258</v>
      </c>
      <c r="Q8" s="248">
        <v>2.2759999999999998</v>
      </c>
      <c r="R8" s="248">
        <v>2.302</v>
      </c>
      <c r="S8" s="248">
        <v>2.319</v>
      </c>
      <c r="T8" s="248">
        <v>2.363</v>
      </c>
      <c r="U8" s="248">
        <v>2.4039999999999999</v>
      </c>
      <c r="V8" s="248">
        <v>2.351</v>
      </c>
      <c r="W8" s="248">
        <v>2.34</v>
      </c>
      <c r="X8" s="248">
        <v>2.3460000000000001</v>
      </c>
      <c r="Y8" s="248">
        <v>2.3660000000000001</v>
      </c>
      <c r="Z8" s="248">
        <v>2.3809999999999998</v>
      </c>
      <c r="AA8" s="248">
        <v>2.379</v>
      </c>
      <c r="AB8" s="248">
        <v>2.383</v>
      </c>
      <c r="AC8" s="248">
        <v>2.3980000000000001</v>
      </c>
      <c r="AD8" s="248">
        <v>2.4220000000000002</v>
      </c>
      <c r="AE8" s="248">
        <v>2.4319999999999999</v>
      </c>
      <c r="AF8" s="248">
        <v>2.4769999999999999</v>
      </c>
      <c r="AG8" s="248">
        <v>2.4889999999999999</v>
      </c>
      <c r="AH8" s="248">
        <v>2.4969999999999999</v>
      </c>
      <c r="AI8" s="248">
        <v>2.5129999999999999</v>
      </c>
      <c r="AJ8" s="248">
        <v>2.5190000000000001</v>
      </c>
      <c r="AK8" s="248">
        <v>2.5299999999999998</v>
      </c>
      <c r="AL8" s="248">
        <v>2.5499999999999998</v>
      </c>
      <c r="AM8" s="248">
        <v>2.5569999999999999</v>
      </c>
      <c r="AN8" s="248">
        <v>2.5550000000000002</v>
      </c>
      <c r="AO8" s="248">
        <v>2.5739999999999998</v>
      </c>
      <c r="AP8" s="248">
        <v>2.5880000000000001</v>
      </c>
      <c r="AQ8" s="248">
        <v>2.597</v>
      </c>
      <c r="AR8" s="248">
        <v>2.6080000000000001</v>
      </c>
      <c r="AS8" s="248">
        <v>2.6139999999999999</v>
      </c>
      <c r="AT8" s="248">
        <v>2.617</v>
      </c>
      <c r="AU8" s="237">
        <v>2.6120000000000001</v>
      </c>
      <c r="AV8" s="237">
        <v>2.6230000000000002</v>
      </c>
      <c r="AW8" s="237">
        <v>2.6190000000000002</v>
      </c>
      <c r="AX8" s="237">
        <v>2.6259999999999999</v>
      </c>
      <c r="AY8" s="237">
        <v>2.6190000000000002</v>
      </c>
      <c r="AZ8" s="237">
        <v>2.6419999999999999</v>
      </c>
      <c r="BA8" s="237">
        <v>2.6619999999999999</v>
      </c>
      <c r="BB8" s="237">
        <v>2.677</v>
      </c>
      <c r="BC8" s="237">
        <v>2.6909999999999998</v>
      </c>
      <c r="BD8" s="237">
        <v>2.6949999999999998</v>
      </c>
      <c r="BE8" s="237">
        <v>2.7069999999999999</v>
      </c>
      <c r="BF8" s="237">
        <v>2.7210000000000001</v>
      </c>
      <c r="BG8" s="237">
        <v>2.7570000000000001</v>
      </c>
      <c r="BH8" s="237">
        <v>2.77</v>
      </c>
      <c r="BI8" s="237">
        <v>2.7759999999999998</v>
      </c>
      <c r="BJ8" s="237">
        <v>2.7890000000000001</v>
      </c>
      <c r="BK8" s="237">
        <v>2.802</v>
      </c>
      <c r="BL8" s="237">
        <v>2.8149999999999999</v>
      </c>
      <c r="BM8" s="237">
        <v>2.8279999999999998</v>
      </c>
      <c r="BN8" s="237">
        <v>2.8439999999999999</v>
      </c>
      <c r="BO8" s="237">
        <v>2.8610000000000002</v>
      </c>
      <c r="BP8" s="237">
        <v>2.8660000000000001</v>
      </c>
      <c r="BQ8" s="237">
        <v>2.9039999999999999</v>
      </c>
      <c r="BR8" s="237">
        <v>2.92</v>
      </c>
      <c r="BS8" s="237">
        <v>2.944</v>
      </c>
      <c r="BT8" s="237">
        <v>2.964</v>
      </c>
      <c r="BU8" s="249">
        <v>2.9849999999999999</v>
      </c>
      <c r="BV8" s="249">
        <v>3.0049999999999999</v>
      </c>
      <c r="BW8" s="237">
        <v>3.0219999999999998</v>
      </c>
      <c r="BX8" s="237">
        <v>3.0379999999999998</v>
      </c>
      <c r="BY8" s="237">
        <v>3.052</v>
      </c>
      <c r="BZ8" s="237">
        <v>3.069</v>
      </c>
      <c r="CA8" s="237">
        <v>3.081</v>
      </c>
      <c r="CB8" s="237">
        <v>3.0939999999999999</v>
      </c>
      <c r="CC8" s="237">
        <v>3.1080000000000001</v>
      </c>
      <c r="CD8" s="237">
        <v>3.1230000000000002</v>
      </c>
      <c r="CE8" s="237">
        <v>3.1379999999999999</v>
      </c>
      <c r="CF8" s="237">
        <v>3.1539999999999999</v>
      </c>
      <c r="CG8" s="237">
        <v>3.1709999999999998</v>
      </c>
      <c r="CH8" s="237">
        <v>3.1880000000000002</v>
      </c>
    </row>
    <row r="9" spans="1:87">
      <c r="A9" s="242" t="s">
        <v>212</v>
      </c>
      <c r="B9" s="242" t="s">
        <v>213</v>
      </c>
      <c r="C9" s="248">
        <v>2.0350000000000001</v>
      </c>
      <c r="D9" s="248">
        <v>2.06</v>
      </c>
      <c r="E9" s="248">
        <v>2.0649999999999999</v>
      </c>
      <c r="F9" s="248">
        <v>2.0870000000000002</v>
      </c>
      <c r="G9" s="248">
        <v>2.1040000000000001</v>
      </c>
      <c r="H9" s="248">
        <v>2.1150000000000002</v>
      </c>
      <c r="I9" s="248">
        <v>2.1509999999999998</v>
      </c>
      <c r="J9" s="248">
        <v>2.17</v>
      </c>
      <c r="K9" s="248">
        <v>2.1869999999999998</v>
      </c>
      <c r="L9" s="248">
        <v>2.2130000000000001</v>
      </c>
      <c r="M9" s="248">
        <v>2.2349999999999999</v>
      </c>
      <c r="N9" s="248">
        <v>2.2200000000000002</v>
      </c>
      <c r="O9" s="248">
        <v>2.2320000000000002</v>
      </c>
      <c r="P9" s="248">
        <v>2.258</v>
      </c>
      <c r="Q9" s="248">
        <v>2.2759999999999998</v>
      </c>
      <c r="R9" s="248">
        <v>2.302</v>
      </c>
      <c r="S9" s="248">
        <v>2.319</v>
      </c>
      <c r="T9" s="248">
        <v>2.363</v>
      </c>
      <c r="U9" s="248">
        <v>2.4039999999999999</v>
      </c>
      <c r="V9" s="248">
        <v>2.351</v>
      </c>
      <c r="W9" s="248">
        <v>2.34</v>
      </c>
      <c r="X9" s="248">
        <v>2.3460000000000001</v>
      </c>
      <c r="Y9" s="248">
        <v>2.3660000000000001</v>
      </c>
      <c r="Z9" s="248">
        <v>2.3809999999999998</v>
      </c>
      <c r="AA9" s="248">
        <v>2.379</v>
      </c>
      <c r="AB9" s="248">
        <v>2.383</v>
      </c>
      <c r="AC9" s="248">
        <v>2.3980000000000001</v>
      </c>
      <c r="AD9" s="248">
        <v>2.4220000000000002</v>
      </c>
      <c r="AE9" s="248">
        <v>2.4319999999999999</v>
      </c>
      <c r="AF9" s="248">
        <v>2.4769999999999999</v>
      </c>
      <c r="AG9" s="248">
        <v>2.4889999999999999</v>
      </c>
      <c r="AH9" s="248">
        <v>2.4969999999999999</v>
      </c>
      <c r="AI9" s="248">
        <v>2.5129999999999999</v>
      </c>
      <c r="AJ9" s="248">
        <v>2.5190000000000001</v>
      </c>
      <c r="AK9" s="248">
        <v>2.5299999999999998</v>
      </c>
      <c r="AL9" s="248">
        <v>2.5499999999999998</v>
      </c>
      <c r="AM9" s="248">
        <v>2.5569999999999999</v>
      </c>
      <c r="AN9" s="248">
        <v>2.5550000000000002</v>
      </c>
      <c r="AO9" s="248">
        <v>2.5739999999999998</v>
      </c>
      <c r="AP9" s="248">
        <v>2.5880000000000001</v>
      </c>
      <c r="AQ9" s="248">
        <v>2.597</v>
      </c>
      <c r="AR9" s="248">
        <v>2.6080000000000001</v>
      </c>
      <c r="AS9" s="248">
        <v>2.6139999999999999</v>
      </c>
      <c r="AT9" s="248">
        <v>2.617</v>
      </c>
      <c r="AU9" s="237">
        <v>2.6120000000000001</v>
      </c>
      <c r="AV9" s="237">
        <v>2.6230000000000002</v>
      </c>
      <c r="AW9" s="237">
        <v>2.6190000000000002</v>
      </c>
      <c r="AX9" s="237">
        <v>2.6259999999999999</v>
      </c>
      <c r="AY9" s="237">
        <v>2.6190000000000002</v>
      </c>
      <c r="AZ9" s="237">
        <v>2.6419999999999999</v>
      </c>
      <c r="BA9" s="237">
        <v>2.6619999999999999</v>
      </c>
      <c r="BB9" s="237">
        <v>2.677</v>
      </c>
      <c r="BC9" s="237">
        <v>2.6909999999999998</v>
      </c>
      <c r="BD9" s="237">
        <v>2.6949999999999998</v>
      </c>
      <c r="BE9" s="237">
        <v>2.7069999999999999</v>
      </c>
      <c r="BF9" s="237">
        <v>2.7210000000000001</v>
      </c>
      <c r="BG9" s="237">
        <v>2.7570000000000001</v>
      </c>
      <c r="BH9" s="237">
        <v>2.77</v>
      </c>
      <c r="BI9" s="237">
        <v>2.7759999999999998</v>
      </c>
      <c r="BJ9" s="237">
        <v>2.7890000000000001</v>
      </c>
      <c r="BK9" s="237">
        <v>2.802</v>
      </c>
      <c r="BL9" s="237">
        <v>2.8149999999999999</v>
      </c>
      <c r="BM9" s="237">
        <v>2.8279999999999998</v>
      </c>
      <c r="BN9" s="237">
        <v>2.8439999999999999</v>
      </c>
      <c r="BO9" s="237">
        <v>2.8610000000000002</v>
      </c>
      <c r="BP9" s="237">
        <v>2.8660000000000001</v>
      </c>
      <c r="BQ9" s="237">
        <v>2.9039999999999999</v>
      </c>
      <c r="BR9" s="237">
        <v>2.9180000000000001</v>
      </c>
      <c r="BS9" s="237">
        <v>2.94</v>
      </c>
      <c r="BT9" s="250">
        <v>2.956</v>
      </c>
      <c r="BU9" s="251">
        <v>2.9729999999999999</v>
      </c>
      <c r="BV9" s="252">
        <v>2.9889999999999999</v>
      </c>
      <c r="BW9" s="251">
        <v>3.0009999999999999</v>
      </c>
      <c r="BX9" s="252">
        <v>3.0129999999999999</v>
      </c>
      <c r="BY9" s="252">
        <v>3.0219999999999998</v>
      </c>
      <c r="BZ9" s="252">
        <v>3.0329999999999999</v>
      </c>
      <c r="CA9" s="252">
        <v>3.04</v>
      </c>
      <c r="CB9" s="253">
        <v>3.0489999999999999</v>
      </c>
      <c r="CC9" s="237">
        <v>3.0590000000000002</v>
      </c>
      <c r="CD9" s="237">
        <v>3.0710000000000002</v>
      </c>
      <c r="CE9" s="237">
        <v>3.0819999999999999</v>
      </c>
      <c r="CF9" s="237">
        <v>3.0950000000000002</v>
      </c>
      <c r="CG9" s="237">
        <v>3.1080000000000001</v>
      </c>
      <c r="CH9" s="237">
        <v>3.121</v>
      </c>
    </row>
    <row r="10" spans="1:87">
      <c r="A10" s="242" t="s">
        <v>214</v>
      </c>
      <c r="B10" s="242" t="s">
        <v>215</v>
      </c>
      <c r="C10" s="248">
        <v>2.0350000000000001</v>
      </c>
      <c r="D10" s="248">
        <v>2.06</v>
      </c>
      <c r="E10" s="248">
        <v>2.0649999999999999</v>
      </c>
      <c r="F10" s="248">
        <v>2.0870000000000002</v>
      </c>
      <c r="G10" s="248">
        <v>2.1040000000000001</v>
      </c>
      <c r="H10" s="248">
        <v>2.1150000000000002</v>
      </c>
      <c r="I10" s="248">
        <v>2.1509999999999998</v>
      </c>
      <c r="J10" s="248">
        <v>2.17</v>
      </c>
      <c r="K10" s="248">
        <v>2.1869999999999998</v>
      </c>
      <c r="L10" s="248">
        <v>2.2130000000000001</v>
      </c>
      <c r="M10" s="248">
        <v>2.2349999999999999</v>
      </c>
      <c r="N10" s="248">
        <v>2.2200000000000002</v>
      </c>
      <c r="O10" s="248">
        <v>2.2320000000000002</v>
      </c>
      <c r="P10" s="248">
        <v>2.258</v>
      </c>
      <c r="Q10" s="248">
        <v>2.2759999999999998</v>
      </c>
      <c r="R10" s="248">
        <v>2.302</v>
      </c>
      <c r="S10" s="248">
        <v>2.319</v>
      </c>
      <c r="T10" s="248">
        <v>2.363</v>
      </c>
      <c r="U10" s="248">
        <v>2.4039999999999999</v>
      </c>
      <c r="V10" s="248">
        <v>2.351</v>
      </c>
      <c r="W10" s="248">
        <v>2.34</v>
      </c>
      <c r="X10" s="248">
        <v>2.3460000000000001</v>
      </c>
      <c r="Y10" s="248">
        <v>2.3660000000000001</v>
      </c>
      <c r="Z10" s="248">
        <v>2.3809999999999998</v>
      </c>
      <c r="AA10" s="248">
        <v>2.379</v>
      </c>
      <c r="AB10" s="248">
        <v>2.383</v>
      </c>
      <c r="AC10" s="248">
        <v>2.3980000000000001</v>
      </c>
      <c r="AD10" s="248">
        <v>2.4220000000000002</v>
      </c>
      <c r="AE10" s="248">
        <v>2.4319999999999999</v>
      </c>
      <c r="AF10" s="248">
        <v>2.4769999999999999</v>
      </c>
      <c r="AG10" s="248">
        <v>2.4889999999999999</v>
      </c>
      <c r="AH10" s="248">
        <v>2.4969999999999999</v>
      </c>
      <c r="AI10" s="248">
        <v>2.5129999999999999</v>
      </c>
      <c r="AJ10" s="248">
        <v>2.5190000000000001</v>
      </c>
      <c r="AK10" s="248">
        <v>2.5299999999999998</v>
      </c>
      <c r="AL10" s="248">
        <v>2.5499999999999998</v>
      </c>
      <c r="AM10" s="248">
        <v>2.5569999999999999</v>
      </c>
      <c r="AN10" s="248">
        <v>2.5550000000000002</v>
      </c>
      <c r="AO10" s="248">
        <v>2.5739999999999998</v>
      </c>
      <c r="AP10" s="248">
        <v>2.5880000000000001</v>
      </c>
      <c r="AQ10" s="248">
        <v>2.597</v>
      </c>
      <c r="AR10" s="248">
        <v>2.6080000000000001</v>
      </c>
      <c r="AS10" s="248">
        <v>2.6139999999999999</v>
      </c>
      <c r="AT10" s="248">
        <v>2.617</v>
      </c>
      <c r="AU10" s="237">
        <v>2.6120000000000001</v>
      </c>
      <c r="AV10" s="237">
        <v>2.6230000000000002</v>
      </c>
      <c r="AW10" s="237">
        <v>2.6190000000000002</v>
      </c>
      <c r="AX10" s="237">
        <v>2.6259999999999999</v>
      </c>
      <c r="AY10" s="237">
        <v>2.6190000000000002</v>
      </c>
      <c r="AZ10" s="237">
        <v>2.6419999999999999</v>
      </c>
      <c r="BA10" s="237">
        <v>2.6619999999999999</v>
      </c>
      <c r="BB10" s="237">
        <v>2.677</v>
      </c>
      <c r="BC10" s="237">
        <v>2.6909999999999998</v>
      </c>
      <c r="BD10" s="237">
        <v>2.6949999999999998</v>
      </c>
      <c r="BE10" s="237">
        <v>2.7069999999999999</v>
      </c>
      <c r="BF10" s="237">
        <v>2.7210000000000001</v>
      </c>
      <c r="BG10" s="237">
        <v>2.7570000000000001</v>
      </c>
      <c r="BH10" s="237">
        <v>2.77</v>
      </c>
      <c r="BI10" s="237">
        <v>2.7759999999999998</v>
      </c>
      <c r="BJ10" s="237">
        <v>2.7890000000000001</v>
      </c>
      <c r="BK10" s="237">
        <v>2.802</v>
      </c>
      <c r="BL10" s="237">
        <v>2.8149999999999999</v>
      </c>
      <c r="BM10" s="237">
        <v>2.8279999999999998</v>
      </c>
      <c r="BN10" s="237">
        <v>2.8439999999999999</v>
      </c>
      <c r="BO10" s="237">
        <v>2.8610000000000002</v>
      </c>
      <c r="BP10" s="237">
        <v>2.8660000000000001</v>
      </c>
      <c r="BQ10" s="237">
        <v>2.9039999999999999</v>
      </c>
      <c r="BR10" s="237">
        <v>2.923</v>
      </c>
      <c r="BS10" s="237">
        <v>2.95</v>
      </c>
      <c r="BT10" s="254">
        <v>2.9729999999999999</v>
      </c>
      <c r="BU10" s="255">
        <v>2.9990000000000001</v>
      </c>
      <c r="BV10" s="237">
        <v>3.0249999999999999</v>
      </c>
      <c r="BW10" s="237">
        <v>3.0470000000000002</v>
      </c>
      <c r="BX10" s="237">
        <v>3.069</v>
      </c>
      <c r="BY10" s="237">
        <v>3.09</v>
      </c>
      <c r="BZ10" s="237">
        <v>3.113</v>
      </c>
      <c r="CA10" s="237">
        <v>3.133</v>
      </c>
      <c r="CB10" s="237">
        <v>3.1539999999999999</v>
      </c>
      <c r="CC10" s="237">
        <v>3.1760000000000002</v>
      </c>
      <c r="CD10" s="237">
        <v>3.198</v>
      </c>
      <c r="CE10" s="237">
        <v>3.22</v>
      </c>
      <c r="CF10" s="237">
        <v>3.2440000000000002</v>
      </c>
      <c r="CG10" s="237">
        <v>3.2690000000000001</v>
      </c>
      <c r="CH10" s="237">
        <v>3.2949999999999999</v>
      </c>
    </row>
    <row r="11" spans="1:87">
      <c r="BT11" s="256"/>
    </row>
    <row r="12" spans="1:87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</row>
    <row r="13" spans="1:87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</row>
    <row r="14" spans="1:87"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BN14" s="258" t="s">
        <v>216</v>
      </c>
      <c r="BO14" s="259"/>
      <c r="BP14" s="259"/>
      <c r="BQ14" s="260" t="s">
        <v>217</v>
      </c>
      <c r="BR14" s="261"/>
      <c r="BS14" s="261"/>
      <c r="BT14" s="261"/>
      <c r="BU14" s="261"/>
      <c r="BV14" s="261"/>
      <c r="BW14" s="259"/>
      <c r="BX14" s="259"/>
      <c r="BY14" s="259"/>
    </row>
    <row r="15" spans="1:87"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BN15" s="262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4"/>
    </row>
    <row r="16" spans="1:87"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BN16" s="265"/>
      <c r="BO16" s="266" t="s">
        <v>218</v>
      </c>
      <c r="BP16" s="267" t="s">
        <v>219</v>
      </c>
      <c r="BQ16" s="267"/>
      <c r="BR16" s="267"/>
      <c r="BS16" s="267"/>
      <c r="BT16" s="267"/>
      <c r="BU16" s="267"/>
      <c r="BV16" s="267"/>
      <c r="BW16" s="267"/>
      <c r="BX16" s="267"/>
      <c r="BY16" s="268"/>
    </row>
    <row r="17" spans="3:79"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BN17" s="265"/>
      <c r="BO17" s="267"/>
      <c r="BP17" s="247" t="str">
        <f>BT7</f>
        <v>2021Q2</v>
      </c>
      <c r="BQ17" s="267"/>
      <c r="BR17" s="267"/>
      <c r="BS17" s="267"/>
      <c r="BT17" s="267"/>
      <c r="BU17" s="267"/>
      <c r="BV17" s="267"/>
      <c r="BW17" s="267"/>
      <c r="BX17" s="267"/>
      <c r="BY17" s="270" t="s">
        <v>220</v>
      </c>
    </row>
    <row r="18" spans="3:79">
      <c r="BN18" s="265"/>
      <c r="BO18" s="267"/>
      <c r="BP18" s="271">
        <f>BT9</f>
        <v>2.956</v>
      </c>
      <c r="BQ18" s="272"/>
      <c r="BR18" s="267"/>
      <c r="BS18" s="267"/>
      <c r="BT18" s="267"/>
      <c r="BU18" s="267"/>
      <c r="BV18" s="267"/>
      <c r="BW18" s="267"/>
      <c r="BX18" s="267"/>
      <c r="BY18" s="273">
        <f>BP18</f>
        <v>2.956</v>
      </c>
    </row>
    <row r="19" spans="3:79">
      <c r="BN19" s="265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  <c r="BY19" s="274"/>
      <c r="CA19" s="275"/>
    </row>
    <row r="20" spans="3:79">
      <c r="BN20" s="337" t="s">
        <v>221</v>
      </c>
      <c r="BO20" s="338"/>
      <c r="BP20" s="338"/>
      <c r="BQ20" s="267" t="s">
        <v>222</v>
      </c>
      <c r="BR20" s="267"/>
      <c r="BS20" s="267" t="s">
        <v>223</v>
      </c>
      <c r="BT20" s="267"/>
      <c r="BU20" s="267"/>
      <c r="BV20" s="267"/>
      <c r="BW20" s="267"/>
      <c r="BX20" s="267"/>
      <c r="BY20" s="274"/>
    </row>
    <row r="21" spans="3:79">
      <c r="BN21" s="265"/>
      <c r="BO21" s="267"/>
      <c r="BP21" s="242" t="str">
        <f>BU7</f>
        <v>2021Q3</v>
      </c>
      <c r="BQ21" s="242" t="str">
        <f t="shared" ref="BQ21:BW21" si="0">BV7</f>
        <v>2021Q4</v>
      </c>
      <c r="BR21" s="242" t="str">
        <f t="shared" si="0"/>
        <v>2022Q1</v>
      </c>
      <c r="BS21" s="242" t="str">
        <f t="shared" si="0"/>
        <v>2022Q2</v>
      </c>
      <c r="BT21" s="242" t="str">
        <f t="shared" si="0"/>
        <v>2022Q3</v>
      </c>
      <c r="BU21" s="242" t="str">
        <f t="shared" si="0"/>
        <v>2022Q4</v>
      </c>
      <c r="BV21" s="242" t="str">
        <f t="shared" si="0"/>
        <v>2023Q1</v>
      </c>
      <c r="BW21" s="242" t="str">
        <f t="shared" si="0"/>
        <v>2023Q2</v>
      </c>
      <c r="BX21" s="267"/>
      <c r="BY21" s="274"/>
    </row>
    <row r="22" spans="3:79">
      <c r="BN22" s="265"/>
      <c r="BO22" s="267"/>
      <c r="BP22" s="276">
        <f>BU9</f>
        <v>2.9729999999999999</v>
      </c>
      <c r="BQ22" s="277">
        <f t="shared" ref="BQ22:BW22" si="1">BV9</f>
        <v>2.9889999999999999</v>
      </c>
      <c r="BR22" s="277">
        <f t="shared" si="1"/>
        <v>3.0009999999999999</v>
      </c>
      <c r="BS22" s="277">
        <f t="shared" si="1"/>
        <v>3.0129999999999999</v>
      </c>
      <c r="BT22" s="277">
        <f t="shared" si="1"/>
        <v>3.0219999999999998</v>
      </c>
      <c r="BU22" s="277">
        <f t="shared" si="1"/>
        <v>3.0329999999999999</v>
      </c>
      <c r="BV22" s="277">
        <f t="shared" si="1"/>
        <v>3.04</v>
      </c>
      <c r="BW22" s="278">
        <f t="shared" si="1"/>
        <v>3.0489999999999999</v>
      </c>
      <c r="BX22" s="267"/>
      <c r="BY22" s="273">
        <f>AVERAGE(BP22:BW22)</f>
        <v>3.0149999999999997</v>
      </c>
    </row>
    <row r="23" spans="3:79">
      <c r="BN23" s="265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74"/>
    </row>
    <row r="24" spans="3:79">
      <c r="BN24" s="265"/>
      <c r="BO24" s="267"/>
      <c r="BP24" s="267"/>
      <c r="BQ24" s="267"/>
      <c r="BR24" s="267"/>
      <c r="BS24" s="267"/>
      <c r="BT24" s="267"/>
      <c r="BU24" s="267"/>
      <c r="BV24" s="267"/>
      <c r="BW24" s="267"/>
      <c r="BX24" s="279" t="s">
        <v>224</v>
      </c>
      <c r="BY24" s="280">
        <f>(BY22-BY18)/BY18</f>
        <v>1.9959404600811814E-2</v>
      </c>
    </row>
    <row r="25" spans="3:79">
      <c r="BN25" s="281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3"/>
    </row>
  </sheetData>
  <mergeCells count="1">
    <mergeCell ref="BN20:BP20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Chart</vt:lpstr>
      <vt:lpstr>FY22 Models </vt:lpstr>
      <vt:lpstr>Per Diem Rates </vt:lpstr>
      <vt:lpstr>CAF Fall 2020</vt:lpstr>
      <vt:lpstr>Chart!Print_Area</vt:lpstr>
      <vt:lpstr>'FY22 Models '!Print_Area</vt:lpstr>
      <vt:lpstr>'Per Diem Rates 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cp:lastPrinted>2020-12-16T12:55:49Z</cp:lastPrinted>
  <dcterms:created xsi:type="dcterms:W3CDTF">2018-07-10T11:22:30Z</dcterms:created>
  <dcterms:modified xsi:type="dcterms:W3CDTF">2021-03-31T16:06:11Z</dcterms:modified>
</cp:coreProperties>
</file>