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" yWindow="-48" windowWidth="19416" windowHeight="10956" tabRatio="773" firstSheet="1" activeTab="1"/>
  </bookViews>
  <sheets>
    <sheet name="Fall 2018" sheetId="15" state="hidden" r:id="rId1"/>
    <sheet name="CBDS" sheetId="7" r:id="rId2"/>
    <sheet name="DDS Active Treatment" sheetId="9" r:id="rId3"/>
    <sheet name="Transportation Model" sheetId="3" r:id="rId4"/>
    <sheet name="Fall 2020 CAF" sheetId="17" r:id="rId5"/>
    <sheet name="Chart" sheetId="19" r:id="rId6"/>
    <sheet name="FY19 CBDS UFR Units" sheetId="22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6" hidden="1">'FY19 CBDS UFR Units'!$A$1:$D$146</definedName>
    <definedName name="asdfasdf" localSheetId="5">#REF!</definedName>
    <definedName name="asdfasdf">#REF!</definedName>
    <definedName name="Average">#REF!</definedName>
    <definedName name="CAF_NEW">[1]RawDataCalcs!$L$70:$DB$70</definedName>
    <definedName name="Cap">[2]RawDataCalcs!$L$13:$DB$13</definedName>
    <definedName name="Data">#REF!</definedName>
    <definedName name="Floor">[2]RawDataCalcs!$L$12:$DB$12</definedName>
    <definedName name="Funds">'[3]RawDataCalcs3386&amp;3401'!$L$68:$DB$68</definedName>
    <definedName name="gk">#REF!</definedName>
    <definedName name="hhh">#REF!</definedName>
    <definedName name="JailDAverage">#REF!</definedName>
    <definedName name="JailDCap">[4]ALLRawDataCalcs!$L$80:$DB$80</definedName>
    <definedName name="JailDFloor">[4]ALLRawDataCalcs!$L$79:$DB$79</definedName>
    <definedName name="JailDgk">#REF!</definedName>
    <definedName name="JailDMax">#REF!</definedName>
    <definedName name="JailDMedian">#REF!</definedName>
    <definedName name="kls">#REF!</definedName>
    <definedName name="ListProviders">'[5]List of Programs'!$A$24:$A$29</definedName>
    <definedName name="Max">#REF!</definedName>
    <definedName name="Median">#REF!</definedName>
    <definedName name="Min">#REF!</definedName>
    <definedName name="MT">#REF!</definedName>
    <definedName name="new">#REF!</definedName>
    <definedName name="ok">#REF!</definedName>
    <definedName name="_xlnm.Print_Area" localSheetId="1">CBDS!$B$3:$W$56</definedName>
    <definedName name="_xlnm.Print_Area" localSheetId="5">Chart!$A$3:$G$33</definedName>
    <definedName name="_xlnm.Print_Area" localSheetId="2">'DDS Active Treatment'!$B$3:$L$86</definedName>
    <definedName name="_xlnm.Print_Area" localSheetId="3">'Transportation Model'!$A$2:$H$37</definedName>
    <definedName name="_xlnm.Print_Titles" localSheetId="0">'Fall 2018'!$A:$A</definedName>
    <definedName name="_xlnm.Print_Titles" localSheetId="4">'Fall 2020 CAF'!$A:$A</definedName>
    <definedName name="Program_File">#REF!</definedName>
    <definedName name="Programs">'[5]List of Programs'!$B$3:$B$19</definedName>
    <definedName name="ProvFTE">'[6]FTE Data'!$A$3:$AW$56</definedName>
    <definedName name="PurchasedBy">'[6]FTE Data'!$C$263:$AZ$657</definedName>
    <definedName name="resmay2007">#REF!</definedName>
    <definedName name="Site_list">[6]Lists!$A$2:$A$53</definedName>
    <definedName name="Source">#REF!</definedName>
    <definedName name="Source_2">#REF!</definedName>
    <definedName name="SourcePathAndFileName">#REF!</definedName>
    <definedName name="Total_UFR">#REF!</definedName>
    <definedName name="Total_UFRs">#REF!</definedName>
    <definedName name="Total_UFRs_">#REF!</definedName>
    <definedName name="UFR">'[7]Complete UFR List'!#REF!</definedName>
    <definedName name="UFRS">'[7]Complete UFR List'!#REF!</definedName>
  </definedNames>
  <calcPr calcId="145621"/>
</workbook>
</file>

<file path=xl/calcChain.xml><?xml version="1.0" encoding="utf-8"?>
<calcChain xmlns="http://schemas.openxmlformats.org/spreadsheetml/2006/main">
  <c r="J41" i="9" l="1"/>
  <c r="M40" i="9"/>
  <c r="L40" i="9"/>
  <c r="J40" i="9"/>
  <c r="L16" i="9"/>
  <c r="M16" i="9" s="1"/>
  <c r="C41" i="9"/>
  <c r="B41" i="9"/>
  <c r="B39" i="9"/>
  <c r="B15" i="9"/>
  <c r="B14" i="9"/>
  <c r="L15" i="9"/>
  <c r="M15" i="9" s="1"/>
  <c r="C5" i="9"/>
  <c r="L41" i="9" l="1"/>
  <c r="M41" i="9" s="1"/>
  <c r="C66" i="9"/>
  <c r="L66" i="9" s="1"/>
  <c r="Q36" i="7" l="1"/>
  <c r="Q35" i="7"/>
  <c r="Q34" i="7"/>
  <c r="L36" i="7"/>
  <c r="L35" i="7"/>
  <c r="L34" i="7"/>
  <c r="L9" i="7"/>
  <c r="L8" i="7"/>
  <c r="L7" i="7"/>
  <c r="L6" i="7"/>
  <c r="E148" i="22" l="1"/>
  <c r="F148" i="22"/>
  <c r="G148" i="22"/>
  <c r="H148" i="22"/>
  <c r="H153" i="22" s="1"/>
  <c r="H154" i="22" s="1"/>
  <c r="I148" i="22"/>
  <c r="I153" i="22" s="1"/>
  <c r="I154" i="22" s="1"/>
  <c r="J148" i="22"/>
  <c r="K148" i="22"/>
  <c r="L148" i="22"/>
  <c r="M148" i="22"/>
  <c r="N148" i="22"/>
  <c r="D148" i="22"/>
  <c r="K153" i="22" s="1"/>
  <c r="O148" i="22"/>
  <c r="O149" i="22" s="1"/>
  <c r="O150" i="22" s="1"/>
  <c r="K154" i="22" l="1"/>
  <c r="K155" i="22" s="1"/>
  <c r="L17" i="7" s="1"/>
  <c r="L16" i="7"/>
  <c r="L44" i="7" l="1"/>
  <c r="Q44" i="7" s="1"/>
  <c r="Q17" i="7"/>
  <c r="V17" i="7" s="1"/>
  <c r="L43" i="7"/>
  <c r="Q43" i="7" s="1"/>
  <c r="Q16" i="7"/>
  <c r="V16" i="7" s="1"/>
  <c r="Q42" i="7" l="1"/>
  <c r="L15" i="7"/>
  <c r="Q15" i="7"/>
  <c r="V15" i="7"/>
  <c r="L42" i="7"/>
  <c r="L65" i="9" l="1"/>
  <c r="J57" i="9" l="1"/>
  <c r="J33" i="9"/>
  <c r="C6" i="9"/>
  <c r="K33" i="9" s="1"/>
  <c r="D19" i="7"/>
  <c r="C31" i="9" l="1"/>
  <c r="C55" i="9"/>
  <c r="K57" i="9"/>
  <c r="D20" i="7"/>
  <c r="D18" i="7"/>
  <c r="C24" i="19"/>
  <c r="H23" i="19"/>
  <c r="D23" i="19"/>
  <c r="D24" i="19" s="1"/>
  <c r="C22" i="19"/>
  <c r="H21" i="19"/>
  <c r="D21" i="19"/>
  <c r="D22" i="19" s="1"/>
  <c r="C20" i="19"/>
  <c r="H19" i="19"/>
  <c r="D19" i="19"/>
  <c r="D20" i="19" s="1"/>
  <c r="C18" i="19"/>
  <c r="H17" i="19"/>
  <c r="D17" i="19"/>
  <c r="D18" i="19" s="1"/>
  <c r="C16" i="19"/>
  <c r="H15" i="19"/>
  <c r="D15" i="19"/>
  <c r="D16" i="19" s="1"/>
  <c r="C14" i="19"/>
  <c r="H13" i="19"/>
  <c r="D13" i="19"/>
  <c r="D14" i="19" s="1"/>
  <c r="D12" i="19"/>
  <c r="C12" i="19"/>
  <c r="D11" i="19"/>
  <c r="C10" i="19"/>
  <c r="H9" i="19"/>
  <c r="D9" i="19"/>
  <c r="D10" i="19" s="1"/>
  <c r="C8" i="19"/>
  <c r="H7" i="19"/>
  <c r="D7" i="19"/>
  <c r="D8" i="19" s="1"/>
  <c r="C6" i="19"/>
  <c r="H5" i="19"/>
  <c r="D5" i="19"/>
  <c r="D6" i="19" s="1"/>
  <c r="J7" i="19" l="1"/>
  <c r="J15" i="19"/>
  <c r="J19" i="19"/>
  <c r="J23" i="19"/>
  <c r="J5" i="19"/>
  <c r="J9" i="19"/>
  <c r="J13" i="19"/>
  <c r="J17" i="19"/>
  <c r="J21" i="19"/>
  <c r="K68" i="9" l="1"/>
  <c r="K43" i="9"/>
  <c r="V8" i="7"/>
  <c r="V7" i="7"/>
  <c r="V6" i="7"/>
  <c r="Q7" i="7"/>
  <c r="C19" i="9" l="1"/>
  <c r="K20" i="9" s="1"/>
  <c r="C69" i="9"/>
  <c r="K70" i="9" s="1"/>
  <c r="C43" i="9"/>
  <c r="K45" i="9" s="1"/>
  <c r="C39" i="7"/>
  <c r="BO20" i="17"/>
  <c r="BX20" i="17" s="1"/>
  <c r="BP24" i="17"/>
  <c r="BQ24" i="17"/>
  <c r="BR24" i="17"/>
  <c r="BS24" i="17"/>
  <c r="BT24" i="17"/>
  <c r="BU24" i="17"/>
  <c r="BV24" i="17"/>
  <c r="BO24" i="17"/>
  <c r="BP23" i="17"/>
  <c r="BQ23" i="17"/>
  <c r="BR23" i="17"/>
  <c r="BS23" i="17"/>
  <c r="BT23" i="17"/>
  <c r="BU23" i="17"/>
  <c r="BV23" i="17"/>
  <c r="BO23" i="17"/>
  <c r="K51" i="7" l="1"/>
  <c r="K24" i="7"/>
  <c r="P51" i="7"/>
  <c r="U24" i="7" s="1"/>
  <c r="P24" i="7"/>
  <c r="BX24" i="17"/>
  <c r="BX26" i="17" s="1"/>
  <c r="K62" i="9" l="1"/>
  <c r="K37" i="9"/>
  <c r="K18" i="9"/>
  <c r="K12" i="9"/>
  <c r="K50" i="7"/>
  <c r="K39" i="7" l="1"/>
  <c r="G26" i="7" l="1"/>
  <c r="BO24" i="15" l="1"/>
  <c r="BN24" i="15"/>
  <c r="BM24" i="15"/>
  <c r="BL24" i="15"/>
  <c r="BK24" i="15"/>
  <c r="BJ24" i="15"/>
  <c r="BI24" i="15"/>
  <c r="BH24" i="15"/>
  <c r="BO23" i="15"/>
  <c r="BN23" i="15"/>
  <c r="BM23" i="15"/>
  <c r="BL23" i="15"/>
  <c r="BK23" i="15"/>
  <c r="BJ23" i="15"/>
  <c r="BI23" i="15"/>
  <c r="BH23" i="15"/>
  <c r="BH20" i="15"/>
  <c r="BQ20" i="15" s="1"/>
  <c r="BQ24" i="15" l="1"/>
  <c r="BQ26" i="15" s="1"/>
  <c r="B151" i="9" l="1"/>
  <c r="K9" i="7"/>
  <c r="K22" i="7"/>
  <c r="K49" i="7" l="1"/>
  <c r="P49" i="7" s="1"/>
  <c r="U22" i="7"/>
  <c r="P22" i="7"/>
  <c r="J22" i="7"/>
  <c r="J49" i="7" s="1"/>
  <c r="O49" i="7" s="1"/>
  <c r="K19" i="9"/>
  <c r="C42" i="9"/>
  <c r="B42" i="9"/>
  <c r="B68" i="9" l="1"/>
  <c r="C68" i="9"/>
  <c r="K69" i="9" s="1"/>
  <c r="K44" i="9"/>
  <c r="O22" i="7"/>
  <c r="T22" i="7"/>
  <c r="K8" i="9" l="1"/>
  <c r="J66" i="9"/>
  <c r="J65" i="9"/>
  <c r="L59" i="9"/>
  <c r="J59" i="9"/>
  <c r="L58" i="9"/>
  <c r="J58" i="9"/>
  <c r="L56" i="9"/>
  <c r="J56" i="9"/>
  <c r="M53" i="9"/>
  <c r="J37" i="9"/>
  <c r="L34" i="9"/>
  <c r="J34" i="9"/>
  <c r="L33" i="9"/>
  <c r="L32" i="9"/>
  <c r="J32" i="9"/>
  <c r="M29" i="9"/>
  <c r="J16" i="9"/>
  <c r="J15" i="9"/>
  <c r="L9" i="9"/>
  <c r="J9" i="9"/>
  <c r="L8" i="9"/>
  <c r="J8" i="9"/>
  <c r="J7" i="9"/>
  <c r="M4" i="9"/>
  <c r="L10" i="9" l="1"/>
  <c r="M8" i="9"/>
  <c r="L35" i="9"/>
  <c r="L60" i="9"/>
  <c r="M66" i="9" l="1"/>
  <c r="M65" i="9"/>
  <c r="T8" i="7"/>
  <c r="J36" i="7"/>
  <c r="O9" i="7"/>
  <c r="V10" i="7"/>
  <c r="O50" i="7" l="1"/>
  <c r="O39" i="7"/>
  <c r="O36" i="7"/>
  <c r="O35" i="7"/>
  <c r="O34" i="7"/>
  <c r="G29" i="7"/>
  <c r="W4" i="7" s="1"/>
  <c r="W15" i="7" s="1"/>
  <c r="C28" i="7"/>
  <c r="K23" i="7"/>
  <c r="J23" i="7"/>
  <c r="D24" i="7"/>
  <c r="C26" i="7"/>
  <c r="C7" i="9"/>
  <c r="K12" i="7"/>
  <c r="J12" i="7"/>
  <c r="P12" i="7"/>
  <c r="M9" i="7"/>
  <c r="J9" i="7"/>
  <c r="L10" i="7"/>
  <c r="J8" i="7"/>
  <c r="J7" i="7"/>
  <c r="J6" i="7"/>
  <c r="W17" i="7" l="1"/>
  <c r="W16" i="7"/>
  <c r="D26" i="7"/>
  <c r="Q8" i="7"/>
  <c r="Q10" i="7" s="1"/>
  <c r="C32" i="9"/>
  <c r="K9" i="9"/>
  <c r="M9" i="9" s="1"/>
  <c r="R4" i="7"/>
  <c r="R15" i="7" s="1"/>
  <c r="U7" i="7"/>
  <c r="W7" i="7" s="1"/>
  <c r="P35" i="7"/>
  <c r="R35" i="7" s="1"/>
  <c r="P8" i="7"/>
  <c r="K7" i="7"/>
  <c r="M7" i="7" s="1"/>
  <c r="K35" i="7"/>
  <c r="P23" i="7"/>
  <c r="Q37" i="7"/>
  <c r="U12" i="7"/>
  <c r="P39" i="7"/>
  <c r="F26" i="7"/>
  <c r="M32" i="7"/>
  <c r="M42" i="7" s="1"/>
  <c r="R32" i="7"/>
  <c r="M4" i="7"/>
  <c r="L37" i="7"/>
  <c r="E26" i="7"/>
  <c r="P50" i="7"/>
  <c r="U23" i="7"/>
  <c r="M17" i="7" l="1"/>
  <c r="M16" i="7"/>
  <c r="M15" i="7"/>
  <c r="R44" i="7"/>
  <c r="R42" i="7"/>
  <c r="R43" i="7"/>
  <c r="M43" i="7"/>
  <c r="M44" i="7"/>
  <c r="R16" i="7"/>
  <c r="R17" i="7"/>
  <c r="C56" i="9"/>
  <c r="C57" i="9"/>
  <c r="C30" i="9"/>
  <c r="K7" i="9"/>
  <c r="M7" i="9" s="1"/>
  <c r="M10" i="9" s="1"/>
  <c r="R8" i="7"/>
  <c r="U8" i="7"/>
  <c r="W8" i="7" s="1"/>
  <c r="P9" i="7"/>
  <c r="R9" i="7" s="1"/>
  <c r="K8" i="7"/>
  <c r="M8" i="7" s="1"/>
  <c r="K36" i="7"/>
  <c r="M36" i="7" s="1"/>
  <c r="P36" i="7"/>
  <c r="R36" i="7" s="1"/>
  <c r="K34" i="7"/>
  <c r="M34" i="7" s="1"/>
  <c r="K6" i="7"/>
  <c r="M6" i="7" s="1"/>
  <c r="M10" i="7" s="1"/>
  <c r="M22" i="7" s="1"/>
  <c r="U6" i="7"/>
  <c r="W6" i="7" s="1"/>
  <c r="P7" i="7"/>
  <c r="R7" i="7" s="1"/>
  <c r="P34" i="7"/>
  <c r="R34" i="7" s="1"/>
  <c r="B152" i="9"/>
  <c r="M35" i="7"/>
  <c r="W10" i="7" l="1"/>
  <c r="W22" i="7" s="1"/>
  <c r="R10" i="7"/>
  <c r="M12" i="9"/>
  <c r="M13" i="9" s="1"/>
  <c r="M17" i="9" s="1"/>
  <c r="M19" i="9"/>
  <c r="R37" i="7"/>
  <c r="K34" i="9"/>
  <c r="M34" i="9" s="1"/>
  <c r="M44" i="9" s="1"/>
  <c r="M33" i="9"/>
  <c r="K32" i="9"/>
  <c r="M32" i="9" s="1"/>
  <c r="B153" i="9"/>
  <c r="M37" i="7"/>
  <c r="R22" i="7" l="1"/>
  <c r="R12" i="7"/>
  <c r="W12" i="7"/>
  <c r="W13" i="7" s="1"/>
  <c r="R49" i="7"/>
  <c r="R39" i="7"/>
  <c r="R40" i="7" s="1"/>
  <c r="M49" i="7"/>
  <c r="M39" i="7"/>
  <c r="M40" i="7" s="1"/>
  <c r="R13" i="7"/>
  <c r="M35" i="9"/>
  <c r="M37" i="9" s="1"/>
  <c r="M18" i="9"/>
  <c r="M20" i="9" s="1"/>
  <c r="M12" i="7"/>
  <c r="M13" i="7" s="1"/>
  <c r="K58" i="9"/>
  <c r="M58" i="9" s="1"/>
  <c r="K59" i="9"/>
  <c r="M59" i="9" s="1"/>
  <c r="K56" i="9"/>
  <c r="M56" i="9" s="1"/>
  <c r="M57" i="9"/>
  <c r="M21" i="9" l="1"/>
  <c r="M38" i="9"/>
  <c r="M42" i="9" s="1"/>
  <c r="M60" i="9"/>
  <c r="M69" i="9" s="1"/>
  <c r="M22" i="9" l="1"/>
  <c r="M23" i="9" s="1"/>
  <c r="M43" i="9"/>
  <c r="M45" i="9" s="1"/>
  <c r="M46" i="9" s="1"/>
  <c r="M47" i="9" s="1"/>
  <c r="M62" i="9"/>
  <c r="M63" i="9" s="1"/>
  <c r="M67" i="9" s="1"/>
  <c r="F37" i="3"/>
  <c r="E37" i="3"/>
  <c r="D37" i="3"/>
  <c r="F35" i="3"/>
  <c r="C35" i="3"/>
  <c r="B35" i="3"/>
  <c r="E35" i="3" s="1"/>
  <c r="F34" i="3"/>
  <c r="E34" i="3"/>
  <c r="D34" i="3"/>
  <c r="F33" i="3"/>
  <c r="E33" i="3"/>
  <c r="D33" i="3"/>
  <c r="F32" i="3"/>
  <c r="E32" i="3"/>
  <c r="D32" i="3"/>
  <c r="F31" i="3"/>
  <c r="E31" i="3"/>
  <c r="D31" i="3"/>
  <c r="C28" i="3"/>
  <c r="F28" i="3" s="1"/>
  <c r="B28" i="3"/>
  <c r="E28" i="3" s="1"/>
  <c r="F27" i="3"/>
  <c r="E27" i="3"/>
  <c r="D27" i="3"/>
  <c r="F26" i="3"/>
  <c r="E26" i="3"/>
  <c r="D26" i="3"/>
  <c r="F25" i="3"/>
  <c r="E25" i="3"/>
  <c r="D25" i="3"/>
  <c r="F24" i="3"/>
  <c r="E24" i="3"/>
  <c r="D24" i="3"/>
  <c r="C21" i="3"/>
  <c r="F21" i="3" s="1"/>
  <c r="B21" i="3"/>
  <c r="E21" i="3" s="1"/>
  <c r="F20" i="3"/>
  <c r="E20" i="3"/>
  <c r="D20" i="3"/>
  <c r="F19" i="3"/>
  <c r="E19" i="3"/>
  <c r="D19" i="3"/>
  <c r="F18" i="3"/>
  <c r="E18" i="3"/>
  <c r="D18" i="3"/>
  <c r="F17" i="3"/>
  <c r="E17" i="3"/>
  <c r="D17" i="3"/>
  <c r="B13" i="3"/>
  <c r="M48" i="9" l="1"/>
  <c r="M68" i="9"/>
  <c r="M70" i="9" s="1"/>
  <c r="H34" i="3"/>
  <c r="H24" i="3"/>
  <c r="H20" i="3"/>
  <c r="H32" i="3"/>
  <c r="H27" i="3"/>
  <c r="H25" i="3"/>
  <c r="H17" i="3"/>
  <c r="H18" i="3"/>
  <c r="H26" i="3"/>
  <c r="H37" i="3"/>
  <c r="C12" i="3" s="1"/>
  <c r="H33" i="3"/>
  <c r="H19" i="3"/>
  <c r="H31" i="3"/>
  <c r="D21" i="3"/>
  <c r="H21" i="3" s="1"/>
  <c r="C9" i="3" s="1"/>
  <c r="D35" i="3"/>
  <c r="H35" i="3" s="1"/>
  <c r="C11" i="3" s="1"/>
  <c r="D28" i="3"/>
  <c r="H28" i="3" s="1"/>
  <c r="C10" i="3" s="1"/>
  <c r="M71" i="9" l="1"/>
  <c r="C13" i="3"/>
  <c r="C14" i="3" s="1"/>
  <c r="M73" i="9" l="1"/>
  <c r="M72" i="9"/>
  <c r="Q45" i="7" l="1"/>
  <c r="Q18" i="7"/>
  <c r="L45" i="7"/>
  <c r="V18" i="7"/>
  <c r="L18" i="7"/>
  <c r="M18" i="7" s="1"/>
  <c r="M19" i="7" s="1"/>
  <c r="M21" i="7" s="1"/>
  <c r="M23" i="7" s="1"/>
  <c r="V19" i="7" l="1"/>
  <c r="M45" i="7"/>
  <c r="M46" i="7" s="1"/>
  <c r="M48" i="7" s="1"/>
  <c r="M50" i="7" s="1"/>
  <c r="L46" i="7" l="1"/>
  <c r="R45" i="7"/>
  <c r="R46" i="7" s="1"/>
  <c r="R48" i="7" s="1"/>
  <c r="R50" i="7" s="1"/>
  <c r="Q46" i="7"/>
  <c r="W18" i="7"/>
  <c r="W19" i="7" s="1"/>
  <c r="W21" i="7" s="1"/>
  <c r="W23" i="7" s="1"/>
  <c r="W24" i="7" s="1"/>
  <c r="R18" i="7"/>
  <c r="Q19" i="7"/>
  <c r="L19" i="7"/>
  <c r="M51" i="7"/>
  <c r="M52" i="7" s="1"/>
  <c r="M53" i="7" s="1"/>
  <c r="M54" i="7" s="1"/>
  <c r="M55" i="7" s="1"/>
  <c r="M56" i="7" s="1"/>
  <c r="R19" i="7" l="1"/>
  <c r="R21" i="7" s="1"/>
  <c r="R23" i="7" s="1"/>
  <c r="R24" i="7" s="1"/>
  <c r="R51" i="7"/>
  <c r="W25" i="7"/>
  <c r="M24" i="7"/>
  <c r="M25" i="7" s="1"/>
  <c r="D11" i="7"/>
  <c r="R25" i="7" l="1"/>
  <c r="R26" i="7" s="1"/>
  <c r="R27" i="7" s="1"/>
  <c r="R28" i="7" s="1"/>
  <c r="R29" i="7" s="1"/>
  <c r="D10" i="7" s="1"/>
  <c r="W26" i="7"/>
  <c r="W27" i="7" s="1"/>
  <c r="W28" i="7" s="1"/>
  <c r="W29" i="7" s="1"/>
  <c r="D9" i="7" s="1"/>
  <c r="R52" i="7"/>
  <c r="R53" i="7" s="1"/>
  <c r="R54" i="7" s="1"/>
  <c r="R55" i="7" s="1"/>
  <c r="R56" i="7" s="1"/>
  <c r="D12" i="7" s="1"/>
  <c r="M26" i="7"/>
  <c r="M27" i="7" s="1"/>
  <c r="M28" i="7" l="1"/>
  <c r="M29" i="7" s="1"/>
  <c r="D8" i="7" s="1"/>
</calcChain>
</file>

<file path=xl/comments1.xml><?xml version="1.0" encoding="utf-8"?>
<comments xmlns="http://schemas.openxmlformats.org/spreadsheetml/2006/main">
  <authors>
    <author>EHS</author>
  </authors>
  <commentList>
    <comment ref="M4" authorId="0">
      <text>
        <r>
          <rPr>
            <b/>
            <sz val="8"/>
            <color indexed="81"/>
            <rFont val="Tahoma"/>
            <family val="2"/>
          </rPr>
          <t>EHS:</t>
        </r>
        <r>
          <rPr>
            <sz val="8"/>
            <color indexed="81"/>
            <rFont val="Tahoma"/>
            <family val="2"/>
          </rPr>
          <t xml:space="preserve">
UNIT = Cost per Client per day (6 hour days / 250 open days) </t>
        </r>
      </text>
    </comment>
  </commentList>
</comments>
</file>

<file path=xl/sharedStrings.xml><?xml version="1.0" encoding="utf-8"?>
<sst xmlns="http://schemas.openxmlformats.org/spreadsheetml/2006/main" count="693" uniqueCount="349">
  <si>
    <t>Transportation</t>
  </si>
  <si>
    <t>Training</t>
  </si>
  <si>
    <t>Capacity</t>
  </si>
  <si>
    <t>Days</t>
  </si>
  <si>
    <t>TOTAL UNITS</t>
  </si>
  <si>
    <t>A</t>
  </si>
  <si>
    <t>B</t>
  </si>
  <si>
    <t>C</t>
  </si>
  <si>
    <t>D</t>
  </si>
  <si>
    <t>Service Unit: Per Client Per Day</t>
  </si>
  <si>
    <t>Total Units:</t>
  </si>
  <si>
    <t>LEVEL</t>
  </si>
  <si>
    <t>Salary</t>
  </si>
  <si>
    <t>FTE</t>
  </si>
  <si>
    <t>Expense</t>
  </si>
  <si>
    <t>Direct Mgmt Staffing</t>
  </si>
  <si>
    <t>Direct Care Staffing</t>
  </si>
  <si>
    <t>Level A</t>
  </si>
  <si>
    <t>Level B</t>
  </si>
  <si>
    <t>Total Staffing</t>
  </si>
  <si>
    <t>Level C</t>
  </si>
  <si>
    <t>Level D</t>
  </si>
  <si>
    <t>Taxes &amp; Fringe</t>
  </si>
  <si>
    <t>Total Compensation</t>
  </si>
  <si>
    <t>Unit Cost</t>
  </si>
  <si>
    <t>MASTER DATA LOOK-UP TABLE</t>
  </si>
  <si>
    <t>Benchmark Salaries</t>
  </si>
  <si>
    <t>Source</t>
  </si>
  <si>
    <t>Management</t>
  </si>
  <si>
    <t>Direct Care</t>
  </si>
  <si>
    <t>Clinical, Med, Specialized</t>
  </si>
  <si>
    <t xml:space="preserve">                FTEs                                    Level</t>
  </si>
  <si>
    <t>Total reimb excl M&amp;G</t>
  </si>
  <si>
    <t xml:space="preserve">Admin. Alloc. </t>
  </si>
  <si>
    <t>TOTAL</t>
  </si>
  <si>
    <t>TOTAL FTEs</t>
  </si>
  <si>
    <t>RATE:</t>
  </si>
  <si>
    <t>Transportation Ratio</t>
  </si>
  <si>
    <t>Hourly Rate</t>
  </si>
  <si>
    <t>Per 15 min</t>
  </si>
  <si>
    <t>Benchmark Expenses</t>
  </si>
  <si>
    <t>Tax &amp; Fringe</t>
  </si>
  <si>
    <t>Intensity Level C</t>
  </si>
  <si>
    <t>Intensity Level D</t>
  </si>
  <si>
    <t>Admin Allocation</t>
  </si>
  <si>
    <t>CAF</t>
  </si>
  <si>
    <t>Gas Price</t>
  </si>
  <si>
    <t>Mileage Assumption</t>
  </si>
  <si>
    <t>Depreciable Life</t>
  </si>
  <si>
    <t>Maintanence Factor</t>
  </si>
  <si>
    <t>Useage Adjustment</t>
  </si>
  <si>
    <t>Vehicle Mix</t>
  </si>
  <si>
    <t>Annual Cost</t>
  </si>
  <si>
    <t>Sedan</t>
  </si>
  <si>
    <t>Minivan</t>
  </si>
  <si>
    <t>Van</t>
  </si>
  <si>
    <t>WC Van</t>
  </si>
  <si>
    <t>Total</t>
  </si>
  <si>
    <t>Per Unit</t>
  </si>
  <si>
    <t>Sedans</t>
  </si>
  <si>
    <t>2018 MSRP</t>
  </si>
  <si>
    <t>MPG (City)</t>
  </si>
  <si>
    <t>Maint</t>
  </si>
  <si>
    <t>Depreciation</t>
  </si>
  <si>
    <t>Gas</t>
  </si>
  <si>
    <t>Insurance</t>
  </si>
  <si>
    <t>Total Annual</t>
  </si>
  <si>
    <t>Honda Civic</t>
  </si>
  <si>
    <t>Toyota Corolla</t>
  </si>
  <si>
    <t>Nissan Altima</t>
  </si>
  <si>
    <t>Chevy Cruze</t>
  </si>
  <si>
    <t>Average</t>
  </si>
  <si>
    <t>Minivans</t>
  </si>
  <si>
    <t>Toyota Sienna</t>
  </si>
  <si>
    <t>Honda Odyssey</t>
  </si>
  <si>
    <t>Dodge Grand Caravan</t>
  </si>
  <si>
    <t>Kia Sedona</t>
  </si>
  <si>
    <t>Vans</t>
  </si>
  <si>
    <t>Chevy Express</t>
  </si>
  <si>
    <t>Ford Transit Wagon</t>
  </si>
  <si>
    <t>Nissan NV Passenger</t>
  </si>
  <si>
    <t>GMC Savana</t>
  </si>
  <si>
    <t>Wheelchair Van</t>
  </si>
  <si>
    <t>Hours</t>
  </si>
  <si>
    <t>Proposed Rate PER 1/4 HOUR</t>
  </si>
  <si>
    <t>Support Staff</t>
  </si>
  <si>
    <t>Master Data Look-Up Data</t>
  </si>
  <si>
    <t xml:space="preserve">Level III - Pediatric Nursing Facility Active Treatment 3777 - Community Integration Model </t>
  </si>
  <si>
    <t xml:space="preserve"> Benchmark Salaries</t>
  </si>
  <si>
    <t>Service Unit - Hour</t>
  </si>
  <si>
    <t>Total Hours</t>
  </si>
  <si>
    <t>Medical</t>
  </si>
  <si>
    <t>Position</t>
  </si>
  <si>
    <t>Direct Care Blend</t>
  </si>
  <si>
    <t>Benchmark FTEs</t>
  </si>
  <si>
    <t>Total Program Staff</t>
  </si>
  <si>
    <t>Tax and Fringe</t>
  </si>
  <si>
    <t>Admin. Allocation</t>
  </si>
  <si>
    <t>CAF Rate</t>
  </si>
  <si>
    <t>Total Reimb excl M&amp;G</t>
  </si>
  <si>
    <t>Total Service Units</t>
  </si>
  <si>
    <t>CAF:</t>
  </si>
  <si>
    <t xml:space="preserve">Level II - Pediatric Nursing Facility Active Treatment 3777 - Facility Based Model </t>
  </si>
  <si>
    <t>Level I - Nursing Facility Active Treatment 3777</t>
  </si>
  <si>
    <t>Support</t>
  </si>
  <si>
    <t>Occupancy (Per FTE)</t>
  </si>
  <si>
    <t>Billable Hours</t>
  </si>
  <si>
    <t>Maximum Available DC Hours</t>
  </si>
  <si>
    <t>Non-direct service hours</t>
  </si>
  <si>
    <t>Vacation/Sick/Personal</t>
  </si>
  <si>
    <t>Holidays (10 Days)</t>
  </si>
  <si>
    <t>Admin/Supervision/Misc</t>
  </si>
  <si>
    <t>Travel</t>
  </si>
  <si>
    <t>Subtotal non-direct hours</t>
  </si>
  <si>
    <t>Total Available Hours per DC FTE</t>
  </si>
  <si>
    <t>Total DC FTEs</t>
  </si>
  <si>
    <t>TOTAL PRODUCTIVE HOURS</t>
  </si>
  <si>
    <t>PFMLA Contribution to Trust Fund</t>
  </si>
  <si>
    <t>Effective 7/1/19</t>
  </si>
  <si>
    <t>PFMLA Trust Contribution</t>
  </si>
  <si>
    <t>FY20</t>
  </si>
  <si>
    <t>Massachusetts Economic Indicators</t>
  </si>
  <si>
    <t>IHS Markit, Fall 2018 Forecast</t>
  </si>
  <si>
    <t>Prepared by Michael Lynch, 781-301-9129</t>
  </si>
  <si>
    <t>FY19</t>
  </si>
  <si>
    <t>FY21</t>
  </si>
  <si>
    <t>FY22</t>
  </si>
  <si>
    <t>FY23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</si>
  <si>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</si>
  <si>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</si>
  <si>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</si>
  <si>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</si>
  <si>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</si>
  <si>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</si>
  <si>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</si>
  <si>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</si>
  <si>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</si>
  <si>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</si>
  <si>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</si>
  <si>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</si>
  <si>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</si>
  <si>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</si>
  <si>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</si>
  <si>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</si>
  <si>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</si>
  <si>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</si>
  <si>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</si>
  <si>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</si>
  <si>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</si>
  <si>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</si>
  <si>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</si>
  <si>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</si>
  <si>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</si>
  <si>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</si>
  <si>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</si>
  <si>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</si>
  <si>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</si>
  <si>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</si>
  <si>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</si>
  <si>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</si>
  <si>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</si>
  <si>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</si>
  <si>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</si>
  <si>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</si>
  <si>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</si>
  <si>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</si>
  <si>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</si>
  <si>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</si>
  <si>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</si>
  <si>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</si>
  <si>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</si>
  <si>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</si>
  <si>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</si>
  <si>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</si>
  <si>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</si>
  <si>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</si>
  <si>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</si>
  <si>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</si>
  <si>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</si>
  <si>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</si>
  <si>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</si>
  <si>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</si>
  <si>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</si>
  <si>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</si>
  <si>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</si>
  <si>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</si>
  <si>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</si>
  <si>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</si>
  <si>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</si>
  <si>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</si>
  <si>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</si>
  <si>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</si>
  <si>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</si>
  <si>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</si>
  <si>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</si>
  <si>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</si>
  <si>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</si>
  <si>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</si>
  <si>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</si>
  <si>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</si>
  <si>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</si>
  <si>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</si>
  <si>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</si>
  <si>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</si>
  <si>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</si>
  <si>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</si>
  <si>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</si>
  <si>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</si>
  <si>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</si>
  <si>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</si>
  <si>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</si>
  <si>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</si>
  <si>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</si>
  <si>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</si>
  <si>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</si>
  <si>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</si>
  <si>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</si>
  <si>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 xml:space="preserve">Base period: </t>
  </si>
  <si>
    <t xml:space="preserve">Prospective rate period: </t>
  </si>
  <si>
    <t>FY20 &amp; FY21</t>
  </si>
  <si>
    <t>FY20Q2</t>
  </si>
  <si>
    <t>CBDS &amp; SE Rate Reviews that are to be promulgated July 1, 2019</t>
  </si>
  <si>
    <t>Base 2019Q4 - Prospective FY20 &amp; FY21</t>
  </si>
  <si>
    <t>Level I</t>
  </si>
  <si>
    <t xml:space="preserve">Level C </t>
  </si>
  <si>
    <t xml:space="preserve">Level D </t>
  </si>
  <si>
    <t>RATE Chart</t>
  </si>
  <si>
    <t>Level  A</t>
  </si>
  <si>
    <t>I</t>
  </si>
  <si>
    <t>FY21 Commonwealth (office of the Comptroller)</t>
  </si>
  <si>
    <t>101 CMR 414.00: Rates for Family Stabilization Services</t>
  </si>
  <si>
    <t>CAF FY21 Placeholder</t>
  </si>
  <si>
    <t>OCCUPANCY</t>
  </si>
  <si>
    <t>STAFF MILEAGE</t>
  </si>
  <si>
    <t>STAFF TRAINING</t>
  </si>
  <si>
    <t>SUP &amp; MAT</t>
  </si>
  <si>
    <t>Rebased with current (2020) vehicle costs etc.</t>
  </si>
  <si>
    <t>IHS Markit, Fall 2020 Forecast</t>
  </si>
  <si>
    <t>2024Q1</t>
  </si>
  <si>
    <t>2024Q2</t>
  </si>
  <si>
    <t>2024Q3</t>
  </si>
  <si>
    <t>2024Q4</t>
  </si>
  <si>
    <t>FY21 &amp; FY22</t>
  </si>
  <si>
    <t>FY21Q1</t>
  </si>
  <si>
    <t>FY21Q2</t>
  </si>
  <si>
    <t>FY21Q3</t>
  </si>
  <si>
    <t>FY21Q4</t>
  </si>
  <si>
    <t>FY22Q1</t>
  </si>
  <si>
    <t>FY22Q2</t>
  </si>
  <si>
    <t>FY22Q3</t>
  </si>
  <si>
    <t>FY22Q4</t>
  </si>
  <si>
    <t>CBDS &amp; SE Rate Reviews that are to be promulgated July 1, 2021</t>
  </si>
  <si>
    <t>FY20Q4</t>
  </si>
  <si>
    <t>FY20Q1</t>
  </si>
  <si>
    <t>FY20Q3</t>
  </si>
  <si>
    <t>8/7/18 Weekly MA Average - No Change for FY22 review</t>
  </si>
  <si>
    <t>EHS &amp; DDS Recommended</t>
  </si>
  <si>
    <t>Base FY20 Q4 - Prospective FY21 &amp; FY22</t>
  </si>
  <si>
    <t xml:space="preserve">CAF </t>
  </si>
  <si>
    <t>2020 MSRP</t>
  </si>
  <si>
    <t>Median</t>
  </si>
  <si>
    <t>Avg</t>
  </si>
  <si>
    <t>High School diploma / GED / State Training</t>
  </si>
  <si>
    <t>Direct Care III (hourly)</t>
  </si>
  <si>
    <t>Direct Care Supervisor, Direct Care Bachelors</t>
  </si>
  <si>
    <t>Bachelors Level or 5+ years related experience</t>
  </si>
  <si>
    <t>Direct Care III (annual)</t>
  </si>
  <si>
    <t>Certified Nursing Assistant  (hourly)</t>
  </si>
  <si>
    <t>Completed a state-approved education program and must pass their state’s competency exam. 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</si>
  <si>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</si>
  <si>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</si>
  <si>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</si>
  <si>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</si>
  <si>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Case / Social Worker (annual)</t>
  </si>
  <si>
    <t>Case Manager / Social Worker / Clinical w/o independent License (hourly)</t>
  </si>
  <si>
    <t>Masters Level</t>
  </si>
  <si>
    <t>Case Manager / Social Worker / Clinical w/o independent License</t>
  </si>
  <si>
    <t>Clinical without Independent Licensure</t>
  </si>
  <si>
    <t>Clinical w/ Independent licensure (hourly)</t>
  </si>
  <si>
    <t>LPHA, LICSW, LMHC, LBHA, BCBA</t>
  </si>
  <si>
    <t xml:space="preserve">Masters with Licensure in Related Discipline </t>
  </si>
  <si>
    <t>Clinical w/ Independent licensure (annual)</t>
  </si>
  <si>
    <t>Clinical Manager (hourly)</t>
  </si>
  <si>
    <t>Masters with Licensure in Related Discipline and supervising/managerial related experience</t>
  </si>
  <si>
    <t>Clinical Manager (annual)</t>
  </si>
  <si>
    <t>LPN (hourly)</t>
  </si>
  <si>
    <t>Complete a state approved nurse education program for licensed practical or licensed vocation nurse</t>
  </si>
  <si>
    <t>LPN (annual)</t>
  </si>
  <si>
    <t>Registerd Nurse (BA) (hourly)</t>
  </si>
  <si>
    <t>Minimum of an associates degree in nursing, a diploma from an approved nursing program, or a Bachelors of Science in Nursing</t>
  </si>
  <si>
    <t>Registered Nurse (BA) (annual)</t>
  </si>
  <si>
    <t>Registerd Nurse (MA / APRN) (hourly)</t>
  </si>
  <si>
    <t>Minimum of a Masters of Science in one of the APRN roles. Must be licensed</t>
  </si>
  <si>
    <t>Registered Nurse (MA / APRN) (annual)</t>
  </si>
  <si>
    <t>C. 257 Benchmark</t>
  </si>
  <si>
    <t>BLS Benchmark</t>
  </si>
  <si>
    <t>FY22 Rate</t>
  </si>
  <si>
    <t>c. 257 Benchmark</t>
  </si>
  <si>
    <t>Rate</t>
  </si>
  <si>
    <t>15 min Rate</t>
  </si>
  <si>
    <t>PFMLA</t>
  </si>
  <si>
    <t>FY19 UFR Wt Avg</t>
  </si>
  <si>
    <t>FY19 UFR Avg</t>
  </si>
  <si>
    <t>FY22 &amp; FY23</t>
  </si>
  <si>
    <t>Source:</t>
  </si>
  <si>
    <t>2017 / 2018</t>
  </si>
  <si>
    <t>BLS / OES</t>
  </si>
  <si>
    <t>BLS MA</t>
  </si>
  <si>
    <t>Common model titles (not all inclusive)</t>
  </si>
  <si>
    <t>Minimum Education and/or certification/Training/Experience</t>
  </si>
  <si>
    <t>C.257 Average</t>
  </si>
  <si>
    <t>Hourly Difference b/w Avg &amp; C.257</t>
  </si>
  <si>
    <t>Direct Care (hourly)</t>
  </si>
  <si>
    <t>Direct Care, Direct Care Blend, Non Specialized DC, Peer mentor, Family Specialist/ Partner</t>
  </si>
  <si>
    <t>Direct Care  (annual)</t>
  </si>
  <si>
    <t>N/A</t>
  </si>
  <si>
    <t>LDAC1</t>
  </si>
  <si>
    <t>LDAC2,  LMSW, LCSW</t>
  </si>
  <si>
    <t>Clinical Manager, Clinical Director</t>
  </si>
  <si>
    <t>Support &amp; Direct Care Relief Staff are benched to Direct Care</t>
  </si>
  <si>
    <t xml:space="preserve">Overnight staff (asleep or awake) benchmarked to $14.25 / hr </t>
  </si>
  <si>
    <t>CY21 min. wage = $13.50 and CY22 min. wage = $14.25</t>
  </si>
  <si>
    <t xml:space="preserve">Tax and Fringe  =  </t>
  </si>
  <si>
    <t>Benchmarked to FY21 Commonwealth (office of the Comptroller) T&amp;F rate, less terminal</t>
  </si>
  <si>
    <t xml:space="preserve"> leave, retirement and Paid Family Medical Leave tax</t>
  </si>
  <si>
    <t xml:space="preserve">Benchmarked to FY21 Commonwealth (office of the Comptroller) T&amp;F rate, less </t>
  </si>
  <si>
    <t>Clinical (MA Level)</t>
  </si>
  <si>
    <t>Clinical (LICSW)</t>
  </si>
  <si>
    <t>TRAINING &amp; MILEAGE</t>
  </si>
  <si>
    <t>FY19 Wt. AVG per unit</t>
  </si>
  <si>
    <t>Activity Code</t>
  </si>
  <si>
    <t>Total Occupancy Expense</t>
  </si>
  <si>
    <t># Service Units Delivered</t>
  </si>
  <si>
    <t>Direct Care Consultant 201</t>
  </si>
  <si>
    <t>Temporary Help 202</t>
  </si>
  <si>
    <t>Clients and Caregivers Reimb./Stipends 203</t>
  </si>
  <si>
    <t>Subcontracted Direct Care 206</t>
  </si>
  <si>
    <t>Staff Training 204</t>
  </si>
  <si>
    <t>Staff Mileage / Travel 205</t>
  </si>
  <si>
    <t>Incidental Medical /Medicine/Pharmacy 209</t>
  </si>
  <si>
    <t>Client Personal Allowances 211</t>
  </si>
  <si>
    <t>Provision Material Goods/Svs./Benefits 212</t>
  </si>
  <si>
    <t>Program Supplies &amp; Materials 215</t>
  </si>
  <si>
    <t>Other Expense</t>
  </si>
  <si>
    <t>Total Other Program Expense</t>
  </si>
  <si>
    <t>Clinicial</t>
  </si>
  <si>
    <t>Other Program Expense (Per FTE)</t>
  </si>
  <si>
    <t>Clinical</t>
  </si>
  <si>
    <t>FY19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</si>
</sst>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\$#,##0"/>
    <numFmt numFmtId="166" formatCode="_(&quot;$&quot;* #,##0_);_(&quot;$&quot;* \(#,##0\);_(&quot;$&quot;* &quot;-&quot;??_);_(@_)"/>
    <numFmt numFmtId="167" formatCode="&quot;$&quot;#,##0.00"/>
    <numFmt numFmtId="168" formatCode="0.0"/>
    <numFmt numFmtId="169" formatCode="\$#,##0.00"/>
    <numFmt numFmtId="171" formatCode="&quot;$&quot;#,##0"/>
    <numFmt numFmtId="172" formatCode="0.0000"/>
    <numFmt numFmtId="173" formatCode="0.000"/>
    <numFmt numFmtId="174" formatCode="_(&quot;$&quot;* #,##0.00_);_(&quot;$&quot;* \(#,##0.00\);_(&quot;$&quot;* &quot;-&quot;_);_(@_)"/>
    <numFmt numFmtId="175" formatCode="_(&quot;$&quot;* #,##0.0000_);_(&quot;$&quot;* \(#,##0.0000\);_(&quot;$&quot;* &quot;-&quot;??_);_(@_)"/>
    <numFmt numFmtId="176" formatCode="&quot;$&quot;#,##0.0000"/>
    <numFmt numFmtId="177" formatCode="[$-409]mmmm\ d\,\ yyyy;@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theme="1"/>
      <name val="Tahoma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theme="1"/>
      <name val="Calibri"/>
      <family val="2"/>
      <charset val="129"/>
      <scheme val="min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rgb="FF9C0006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u/>
      <sz val="11"/>
      <color indexed="12"/>
      <name val="Calibri"/>
      <family val="2"/>
      <charset val="1"/>
    </font>
    <font>
      <b/>
      <sz val="12"/>
      <color indexed="3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79DEE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58"/>
      </top>
      <bottom style="thin">
        <color indexed="58"/>
      </bottom>
      <diagonal/>
    </border>
    <border>
      <left/>
      <right/>
      <top style="thin">
        <color indexed="58"/>
      </top>
      <bottom style="thin">
        <color indexed="58"/>
      </bottom>
      <diagonal/>
    </border>
    <border>
      <left/>
      <right style="medium">
        <color indexed="64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8"/>
      </top>
      <bottom style="double">
        <color indexed="58"/>
      </bottom>
      <diagonal/>
    </border>
    <border>
      <left/>
      <right/>
      <top style="thin">
        <color indexed="58"/>
      </top>
      <bottom style="double">
        <color indexed="58"/>
      </bottom>
      <diagonal/>
    </border>
    <border>
      <left/>
      <right style="medium">
        <color indexed="64"/>
      </right>
      <top style="thin">
        <color indexed="58"/>
      </top>
      <bottom style="double">
        <color indexed="5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ashed">
        <color rgb="FFBFBFBF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n">
        <color rgb="FFBFBFB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5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3" applyNumberFormat="0" applyAlignment="0" applyProtection="0"/>
    <xf numFmtId="0" fontId="10" fillId="21" borderId="4" applyNumberFormat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3" applyNumberFormat="0" applyAlignment="0" applyProtection="0"/>
    <xf numFmtId="0" fontId="19" fillId="0" borderId="8" applyNumberFormat="0" applyFill="0" applyAlignment="0" applyProtection="0"/>
    <xf numFmtId="0" fontId="20" fillId="22" borderId="0" applyNumberFormat="0" applyBorder="0" applyAlignment="0" applyProtection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2" fillId="0" borderId="0"/>
    <xf numFmtId="0" fontId="1" fillId="0" borderId="0"/>
    <xf numFmtId="0" fontId="1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23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3" borderId="9" applyNumberFormat="0" applyFont="0" applyAlignment="0" applyProtection="0"/>
    <xf numFmtId="0" fontId="24" fillId="20" borderId="10" applyNumberFormat="0" applyAlignment="0" applyProtection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47" fillId="0" borderId="85" applyNumberFormat="0" applyFill="0" applyAlignment="0" applyProtection="0"/>
    <xf numFmtId="0" fontId="48" fillId="0" borderId="86" applyNumberFormat="0" applyFill="0" applyAlignment="0" applyProtection="0"/>
    <xf numFmtId="0" fontId="49" fillId="0" borderId="87" applyNumberFormat="0" applyFill="0" applyAlignment="0" applyProtection="0"/>
    <xf numFmtId="0" fontId="49" fillId="0" borderId="0" applyNumberFormat="0" applyFill="0" applyBorder="0" applyAlignment="0" applyProtection="0"/>
    <xf numFmtId="0" fontId="50" fillId="35" borderId="0" applyNumberFormat="0" applyBorder="0" applyAlignment="0" applyProtection="0"/>
    <xf numFmtId="0" fontId="51" fillId="36" borderId="0" applyNumberFormat="0" applyBorder="0" applyAlignment="0" applyProtection="0"/>
    <xf numFmtId="0" fontId="52" fillId="38" borderId="88" applyNumberFormat="0" applyAlignment="0" applyProtection="0"/>
    <xf numFmtId="0" fontId="53" fillId="39" borderId="89" applyNumberFormat="0" applyAlignment="0" applyProtection="0"/>
    <xf numFmtId="0" fontId="54" fillId="39" borderId="88" applyNumberFormat="0" applyAlignment="0" applyProtection="0"/>
    <xf numFmtId="0" fontId="55" fillId="0" borderId="90" applyNumberFormat="0" applyFill="0" applyAlignment="0" applyProtection="0"/>
    <xf numFmtId="0" fontId="2" fillId="40" borderId="91" applyNumberFormat="0" applyAlignment="0" applyProtection="0"/>
    <xf numFmtId="0" fontId="38" fillId="0" borderId="0" applyNumberFormat="0" applyFill="0" applyBorder="0" applyAlignment="0" applyProtection="0"/>
    <xf numFmtId="0" fontId="1" fillId="41" borderId="92" applyNumberFormat="0" applyFont="0" applyAlignment="0" applyProtection="0"/>
    <xf numFmtId="0" fontId="56" fillId="0" borderId="0" applyNumberFormat="0" applyFill="0" applyBorder="0" applyAlignment="0" applyProtection="0"/>
    <xf numFmtId="0" fontId="3" fillId="0" borderId="93" applyNumberFormat="0" applyFill="0" applyAlignment="0" applyProtection="0"/>
    <xf numFmtId="0" fontId="4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4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4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4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57" fillId="0" borderId="0" applyNumberFormat="0" applyFill="0" applyBorder="0" applyAlignment="0" applyProtection="0"/>
    <xf numFmtId="0" fontId="58" fillId="37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61" borderId="0" applyNumberFormat="0" applyBorder="0" applyAlignment="0" applyProtection="0"/>
    <xf numFmtId="0" fontId="4" fillId="65" borderId="0" applyNumberFormat="0" applyBorder="0" applyAlignment="0" applyProtection="0"/>
    <xf numFmtId="0" fontId="59" fillId="0" borderId="0"/>
    <xf numFmtId="0" fontId="1" fillId="0" borderId="0"/>
    <xf numFmtId="0" fontId="1" fillId="41" borderId="92" applyNumberFormat="0" applyFont="0" applyAlignment="0" applyProtection="0"/>
    <xf numFmtId="0" fontId="59" fillId="0" borderId="0"/>
    <xf numFmtId="0" fontId="11" fillId="0" borderId="0"/>
    <xf numFmtId="0" fontId="11" fillId="0" borderId="0"/>
    <xf numFmtId="0" fontId="60" fillId="0" borderId="0"/>
    <xf numFmtId="0" fontId="62" fillId="36" borderId="0" applyNumberFormat="0" applyBorder="0" applyAlignment="0" applyProtection="0"/>
    <xf numFmtId="0" fontId="63" fillId="0" borderId="94" applyNumberFormat="0" applyFont="0" applyProtection="0">
      <alignment wrapText="1"/>
    </xf>
    <xf numFmtId="0" fontId="9" fillId="20" borderId="3" applyNumberFormat="0" applyAlignment="0" applyProtection="0"/>
    <xf numFmtId="0" fontId="9" fillId="20" borderId="3" applyNumberFormat="0" applyAlignment="0" applyProtection="0"/>
    <xf numFmtId="41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95" applyNumberFormat="0" applyProtection="0">
      <alignment wrapText="1"/>
    </xf>
    <xf numFmtId="0" fontId="64" fillId="0" borderId="96" applyNumberFormat="0" applyProtection="0">
      <alignment wrapText="1"/>
    </xf>
    <xf numFmtId="0" fontId="47" fillId="0" borderId="85" applyNumberFormat="0" applyFill="0" applyAlignment="0" applyProtection="0"/>
    <xf numFmtId="0" fontId="15" fillId="0" borderId="5" applyNumberFormat="0" applyFill="0" applyAlignment="0" applyProtection="0"/>
    <xf numFmtId="0" fontId="48" fillId="0" borderId="86" applyNumberFormat="0" applyFill="0" applyAlignment="0" applyProtection="0"/>
    <xf numFmtId="0" fontId="16" fillId="0" borderId="6" applyNumberFormat="0" applyFill="0" applyAlignment="0" applyProtection="0"/>
    <xf numFmtId="0" fontId="49" fillId="0" borderId="87" applyNumberFormat="0" applyFill="0" applyAlignment="0" applyProtection="0"/>
    <xf numFmtId="0" fontId="17" fillId="0" borderId="7" applyNumberFormat="0" applyFill="0" applyAlignment="0" applyProtection="0"/>
    <xf numFmtId="0" fontId="4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8" fillId="7" borderId="3" applyNumberFormat="0" applyAlignment="0" applyProtection="0"/>
    <xf numFmtId="0" fontId="18" fillId="7" borderId="3" applyNumberFormat="0" applyAlignment="0" applyProtection="0"/>
    <xf numFmtId="0" fontId="55" fillId="0" borderId="90" applyNumberFormat="0" applyFill="0" applyAlignment="0" applyProtection="0"/>
    <xf numFmtId="0" fontId="19" fillId="0" borderId="8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11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22" fillId="0" borderId="0"/>
    <xf numFmtId="0" fontId="1" fillId="0" borderId="0"/>
    <xf numFmtId="0" fontId="1" fillId="0" borderId="0"/>
    <xf numFmtId="0" fontId="21" fillId="0" borderId="0">
      <alignment vertical="top"/>
    </xf>
    <xf numFmtId="0" fontId="1" fillId="0" borderId="0"/>
    <xf numFmtId="0" fontId="11" fillId="0" borderId="0"/>
    <xf numFmtId="0" fontId="1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23" borderId="9" applyNumberFormat="0" applyFont="0" applyAlignment="0" applyProtection="0"/>
    <xf numFmtId="0" fontId="24" fillId="20" borderId="10" applyNumberFormat="0" applyAlignment="0" applyProtection="0"/>
    <xf numFmtId="0" fontId="24" fillId="20" borderId="10" applyNumberFormat="0" applyAlignment="0" applyProtection="0"/>
    <xf numFmtId="0" fontId="64" fillId="0" borderId="97" applyNumberFormat="0" applyProtection="0">
      <alignment wrapText="1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6" fillId="0" borderId="0" applyNumberFormat="0" applyProtection="0">
      <alignment horizontal="left"/>
    </xf>
    <xf numFmtId="0" fontId="5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93" applyNumberFormat="0" applyFill="0" applyAlignment="0" applyProtection="0"/>
    <xf numFmtId="0" fontId="2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37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61" borderId="0" applyNumberFormat="0" applyBorder="0" applyAlignment="0" applyProtection="0"/>
    <xf numFmtId="0" fontId="4" fillId="65" borderId="0" applyNumberFormat="0" applyBorder="0" applyAlignment="0" applyProtection="0"/>
  </cellStyleXfs>
  <cellXfs count="601">
    <xf numFmtId="0" fontId="0" fillId="0" borderId="0" xfId="0"/>
    <xf numFmtId="44" fontId="0" fillId="0" borderId="0" xfId="2" applyFont="1"/>
    <xf numFmtId="44" fontId="0" fillId="0" borderId="0" xfId="0" applyNumberFormat="1"/>
    <xf numFmtId="164" fontId="0" fillId="0" borderId="0" xfId="1" applyNumberFormat="1" applyFont="1"/>
    <xf numFmtId="0" fontId="29" fillId="0" borderId="0" xfId="4" applyFont="1"/>
    <xf numFmtId="0" fontId="30" fillId="0" borderId="0" xfId="4" applyFont="1"/>
    <xf numFmtId="0" fontId="29" fillId="0" borderId="0" xfId="4" applyFont="1" applyAlignment="1">
      <alignment horizontal="center"/>
    </xf>
    <xf numFmtId="165" fontId="29" fillId="0" borderId="0" xfId="4" applyNumberFormat="1" applyFont="1"/>
    <xf numFmtId="1" fontId="29" fillId="0" borderId="0" xfId="4" applyNumberFormat="1" applyFont="1"/>
    <xf numFmtId="165" fontId="29" fillId="0" borderId="0" xfId="4" applyNumberFormat="1" applyFont="1" applyBorder="1"/>
    <xf numFmtId="165" fontId="29" fillId="0" borderId="0" xfId="4" applyNumberFormat="1" applyFont="1" applyFill="1"/>
    <xf numFmtId="14" fontId="32" fillId="0" borderId="0" xfId="4" applyNumberFormat="1" applyFont="1" applyAlignment="1">
      <alignment horizontal="left"/>
    </xf>
    <xf numFmtId="165" fontId="30" fillId="0" borderId="0" xfId="4" applyNumberFormat="1" applyFont="1" applyBorder="1"/>
    <xf numFmtId="165" fontId="30" fillId="0" borderId="0" xfId="4" applyNumberFormat="1" applyFont="1" applyFill="1" applyBorder="1" applyAlignment="1">
      <alignment vertical="center"/>
    </xf>
    <xf numFmtId="165" fontId="29" fillId="0" borderId="23" xfId="4" applyNumberFormat="1" applyFont="1" applyBorder="1"/>
    <xf numFmtId="2" fontId="29" fillId="0" borderId="0" xfId="4" applyNumberFormat="1" applyFont="1" applyFill="1" applyBorder="1" applyAlignment="1">
      <alignment horizontal="center"/>
    </xf>
    <xf numFmtId="165" fontId="29" fillId="0" borderId="21" xfId="4" applyNumberFormat="1" applyFont="1" applyBorder="1"/>
    <xf numFmtId="0" fontId="30" fillId="0" borderId="0" xfId="4" applyFont="1" applyBorder="1"/>
    <xf numFmtId="168" fontId="29" fillId="0" borderId="0" xfId="4" applyNumberFormat="1" applyFont="1"/>
    <xf numFmtId="0" fontId="29" fillId="0" borderId="26" xfId="4" applyFont="1" applyBorder="1" applyAlignment="1">
      <alignment horizontal="center"/>
    </xf>
    <xf numFmtId="167" fontId="29" fillId="0" borderId="24" xfId="4" applyNumberFormat="1" applyFont="1" applyBorder="1" applyAlignment="1">
      <alignment horizontal="center"/>
    </xf>
    <xf numFmtId="168" fontId="29" fillId="0" borderId="0" xfId="4" applyNumberFormat="1" applyFont="1" applyBorder="1"/>
    <xf numFmtId="0" fontId="29" fillId="0" borderId="28" xfId="4" applyFont="1" applyBorder="1" applyAlignment="1">
      <alignment horizontal="center"/>
    </xf>
    <xf numFmtId="167" fontId="29" fillId="0" borderId="1" xfId="4" applyNumberFormat="1" applyFont="1" applyBorder="1" applyAlignment="1">
      <alignment horizontal="center"/>
    </xf>
    <xf numFmtId="165" fontId="29" fillId="0" borderId="23" xfId="4" applyNumberFormat="1" applyFont="1" applyFill="1" applyBorder="1"/>
    <xf numFmtId="0" fontId="29" fillId="0" borderId="23" xfId="4" applyFont="1" applyBorder="1"/>
    <xf numFmtId="165" fontId="29" fillId="0" borderId="0" xfId="4" applyNumberFormat="1" applyFont="1" applyBorder="1" applyAlignment="1">
      <alignment horizontal="center"/>
    </xf>
    <xf numFmtId="0" fontId="30" fillId="0" borderId="0" xfId="4" applyFont="1" applyAlignment="1">
      <alignment horizontal="center"/>
    </xf>
    <xf numFmtId="169" fontId="29" fillId="0" borderId="0" xfId="4" applyNumberFormat="1" applyFont="1" applyBorder="1" applyAlignment="1">
      <alignment horizontal="center"/>
    </xf>
    <xf numFmtId="169" fontId="30" fillId="0" borderId="0" xfId="4" applyNumberFormat="1" applyFont="1" applyBorder="1"/>
    <xf numFmtId="0" fontId="30" fillId="0" borderId="0" xfId="4" applyFont="1" applyBorder="1" applyAlignment="1">
      <alignment horizontal="center"/>
    </xf>
    <xf numFmtId="0" fontId="29" fillId="0" borderId="12" xfId="4" applyFont="1" applyFill="1" applyBorder="1"/>
    <xf numFmtId="0" fontId="29" fillId="0" borderId="41" xfId="4" applyFont="1" applyFill="1" applyBorder="1"/>
    <xf numFmtId="0" fontId="30" fillId="0" borderId="0" xfId="4" applyFont="1" applyFill="1" applyBorder="1"/>
    <xf numFmtId="0" fontId="29" fillId="0" borderId="0" xfId="4" applyFont="1" applyBorder="1"/>
    <xf numFmtId="0" fontId="29" fillId="0" borderId="21" xfId="4" applyFont="1" applyBorder="1"/>
    <xf numFmtId="40" fontId="30" fillId="0" borderId="0" xfId="4" applyNumberFormat="1" applyFont="1"/>
    <xf numFmtId="0" fontId="29" fillId="0" borderId="42" xfId="4" applyFont="1" applyFill="1" applyBorder="1"/>
    <xf numFmtId="6" fontId="30" fillId="0" borderId="0" xfId="4" applyNumberFormat="1" applyFont="1"/>
    <xf numFmtId="165" fontId="29" fillId="0" borderId="44" xfId="4" applyNumberFormat="1" applyFont="1" applyFill="1" applyBorder="1"/>
    <xf numFmtId="0" fontId="29" fillId="0" borderId="2" xfId="4" applyFont="1" applyBorder="1"/>
    <xf numFmtId="0" fontId="29" fillId="0" borderId="23" xfId="4" applyFont="1" applyFill="1" applyBorder="1"/>
    <xf numFmtId="4" fontId="29" fillId="0" borderId="46" xfId="4" applyNumberFormat="1" applyFont="1" applyFill="1" applyBorder="1" applyAlignment="1">
      <alignment horizontal="center"/>
    </xf>
    <xf numFmtId="4" fontId="29" fillId="0" borderId="47" xfId="4" applyNumberFormat="1" applyFont="1" applyFill="1" applyBorder="1" applyAlignment="1">
      <alignment horizontal="center"/>
    </xf>
    <xf numFmtId="169" fontId="30" fillId="0" borderId="0" xfId="4" applyNumberFormat="1" applyFont="1"/>
    <xf numFmtId="4" fontId="29" fillId="0" borderId="48" xfId="4" applyNumberFormat="1" applyFont="1" applyFill="1" applyBorder="1" applyAlignment="1">
      <alignment horizontal="center"/>
    </xf>
    <xf numFmtId="4" fontId="29" fillId="0" borderId="49" xfId="4" applyNumberFormat="1" applyFont="1" applyFill="1" applyBorder="1" applyAlignment="1">
      <alignment horizontal="center"/>
    </xf>
    <xf numFmtId="2" fontId="29" fillId="0" borderId="0" xfId="4" applyNumberFormat="1" applyFont="1" applyBorder="1" applyAlignment="1">
      <alignment horizontal="center"/>
    </xf>
    <xf numFmtId="4" fontId="29" fillId="0" borderId="38" xfId="4" applyNumberFormat="1" applyFont="1" applyFill="1" applyBorder="1" applyAlignment="1">
      <alignment horizontal="center"/>
    </xf>
    <xf numFmtId="4" fontId="29" fillId="0" borderId="53" xfId="4" applyNumberFormat="1" applyFont="1" applyFill="1" applyBorder="1" applyAlignment="1">
      <alignment horizontal="center"/>
    </xf>
    <xf numFmtId="10" fontId="29" fillId="0" borderId="0" xfId="4" applyNumberFormat="1" applyFont="1" applyBorder="1" applyAlignment="1">
      <alignment horizontal="center"/>
    </xf>
    <xf numFmtId="0" fontId="29" fillId="0" borderId="0" xfId="4" applyFont="1" applyBorder="1" applyAlignment="1">
      <alignment horizontal="center"/>
    </xf>
    <xf numFmtId="167" fontId="29" fillId="0" borderId="21" xfId="4" applyNumberFormat="1" applyFont="1" applyBorder="1"/>
    <xf numFmtId="1" fontId="29" fillId="0" borderId="0" xfId="4" applyNumberFormat="1" applyFont="1" applyBorder="1"/>
    <xf numFmtId="167" fontId="30" fillId="0" borderId="0" xfId="4" applyNumberFormat="1" applyFont="1" applyBorder="1"/>
    <xf numFmtId="167" fontId="29" fillId="0" borderId="21" xfId="4" applyNumberFormat="1" applyFont="1" applyFill="1" applyBorder="1"/>
    <xf numFmtId="165" fontId="30" fillId="0" borderId="0" xfId="4" applyNumberFormat="1" applyFont="1"/>
    <xf numFmtId="167" fontId="30" fillId="0" borderId="0" xfId="4" applyNumberFormat="1" applyFont="1" applyFill="1" applyBorder="1"/>
    <xf numFmtId="10" fontId="29" fillId="0" borderId="17" xfId="4" applyNumberFormat="1" applyFont="1" applyBorder="1" applyAlignment="1">
      <alignment horizontal="center"/>
    </xf>
    <xf numFmtId="167" fontId="30" fillId="26" borderId="18" xfId="4" applyNumberFormat="1" applyFont="1" applyFill="1" applyBorder="1"/>
    <xf numFmtId="167" fontId="29" fillId="0" borderId="0" xfId="4" applyNumberFormat="1" applyFont="1"/>
    <xf numFmtId="10" fontId="29" fillId="0" borderId="0" xfId="4" applyNumberFormat="1" applyFont="1" applyFill="1" applyBorder="1" applyAlignment="1">
      <alignment horizontal="center"/>
    </xf>
    <xf numFmtId="169" fontId="29" fillId="0" borderId="0" xfId="4" applyNumberFormat="1" applyFont="1" applyFill="1" applyBorder="1" applyAlignment="1">
      <alignment horizontal="center"/>
    </xf>
    <xf numFmtId="165" fontId="29" fillId="0" borderId="42" xfId="4" applyNumberFormat="1" applyFont="1" applyFill="1" applyBorder="1"/>
    <xf numFmtId="0" fontId="29" fillId="0" borderId="0" xfId="4" applyFont="1" applyFill="1" applyBorder="1"/>
    <xf numFmtId="168" fontId="29" fillId="0" borderId="23" xfId="4" applyNumberFormat="1" applyFont="1" applyBorder="1"/>
    <xf numFmtId="165" fontId="29" fillId="0" borderId="0" xfId="4" applyNumberFormat="1" applyFont="1" applyFill="1" applyBorder="1" applyAlignment="1">
      <alignment horizontal="center"/>
    </xf>
    <xf numFmtId="0" fontId="29" fillId="0" borderId="43" xfId="4" applyFont="1" applyBorder="1"/>
    <xf numFmtId="165" fontId="30" fillId="0" borderId="0" xfId="4" applyNumberFormat="1" applyFont="1" applyFill="1" applyBorder="1"/>
    <xf numFmtId="0" fontId="29" fillId="0" borderId="20" xfId="4" applyFont="1" applyBorder="1"/>
    <xf numFmtId="8" fontId="30" fillId="0" borderId="0" xfId="4" applyNumberFormat="1" applyFont="1" applyFill="1" applyBorder="1"/>
    <xf numFmtId="169" fontId="30" fillId="0" borderId="0" xfId="4" applyNumberFormat="1" applyFont="1" applyFill="1" applyBorder="1"/>
    <xf numFmtId="165" fontId="29" fillId="0" borderId="0" xfId="4" applyNumberFormat="1" applyFont="1" applyFill="1" applyBorder="1"/>
    <xf numFmtId="1" fontId="29" fillId="0" borderId="0" xfId="4" applyNumberFormat="1" applyFont="1" applyFill="1" applyBorder="1"/>
    <xf numFmtId="0" fontId="29" fillId="0" borderId="0" xfId="4" applyFont="1" applyFill="1" applyBorder="1" applyAlignment="1">
      <alignment horizontal="center"/>
    </xf>
    <xf numFmtId="9" fontId="0" fillId="0" borderId="0" xfId="3" applyFont="1"/>
    <xf numFmtId="0" fontId="0" fillId="0" borderId="1" xfId="0" applyBorder="1"/>
    <xf numFmtId="0" fontId="0" fillId="0" borderId="46" xfId="0" applyBorder="1"/>
    <xf numFmtId="0" fontId="0" fillId="0" borderId="69" xfId="0" applyBorder="1" applyAlignment="1">
      <alignment horizontal="center"/>
    </xf>
    <xf numFmtId="44" fontId="0" fillId="0" borderId="48" xfId="0" applyNumberFormat="1" applyBorder="1"/>
    <xf numFmtId="0" fontId="0" fillId="0" borderId="48" xfId="0" applyBorder="1"/>
    <xf numFmtId="0" fontId="0" fillId="0" borderId="68" xfId="0" applyBorder="1" applyAlignment="1">
      <alignment horizontal="center"/>
    </xf>
    <xf numFmtId="44" fontId="0" fillId="0" borderId="1" xfId="0" applyNumberFormat="1" applyBorder="1"/>
    <xf numFmtId="44" fontId="0" fillId="26" borderId="1" xfId="0" applyNumberFormat="1" applyFill="1" applyBorder="1"/>
    <xf numFmtId="0" fontId="3" fillId="27" borderId="0" xfId="0" applyFont="1" applyFill="1"/>
    <xf numFmtId="0" fontId="3" fillId="0" borderId="0" xfId="0" applyFont="1"/>
    <xf numFmtId="0" fontId="0" fillId="27" borderId="0" xfId="0" applyFill="1"/>
    <xf numFmtId="44" fontId="0" fillId="27" borderId="0" xfId="45" applyFont="1" applyFill="1"/>
    <xf numFmtId="44" fontId="0" fillId="27" borderId="0" xfId="0" applyNumberFormat="1" applyFill="1"/>
    <xf numFmtId="44" fontId="0" fillId="27" borderId="0" xfId="2" applyFont="1" applyFill="1"/>
    <xf numFmtId="44" fontId="3" fillId="27" borderId="0" xfId="45" applyFont="1" applyFill="1"/>
    <xf numFmtId="2" fontId="3" fillId="27" borderId="0" xfId="37" applyNumberFormat="1" applyFont="1" applyFill="1"/>
    <xf numFmtId="44" fontId="3" fillId="27" borderId="0" xfId="0" applyNumberFormat="1" applyFont="1" applyFill="1"/>
    <xf numFmtId="44" fontId="3" fillId="27" borderId="0" xfId="2" applyFont="1" applyFill="1"/>
    <xf numFmtId="44" fontId="0" fillId="0" borderId="0" xfId="45" applyFont="1"/>
    <xf numFmtId="44" fontId="3" fillId="0" borderId="0" xfId="45" applyFont="1"/>
    <xf numFmtId="44" fontId="3" fillId="0" borderId="0" xfId="0" applyNumberFormat="1" applyFont="1"/>
    <xf numFmtId="44" fontId="3" fillId="0" borderId="0" xfId="2" applyFont="1"/>
    <xf numFmtId="6" fontId="29" fillId="0" borderId="13" xfId="4" applyNumberFormat="1" applyFont="1" applyFill="1" applyBorder="1"/>
    <xf numFmtId="6" fontId="29" fillId="0" borderId="0" xfId="4" applyNumberFormat="1" applyFont="1" applyFill="1" applyBorder="1"/>
    <xf numFmtId="6" fontId="29" fillId="0" borderId="2" xfId="4" applyNumberFormat="1" applyFont="1" applyFill="1" applyBorder="1"/>
    <xf numFmtId="2" fontId="29" fillId="0" borderId="0" xfId="4" applyNumberFormat="1" applyFont="1" applyFill="1" applyBorder="1"/>
    <xf numFmtId="0" fontId="30" fillId="0" borderId="0" xfId="4" applyFont="1" applyFill="1" applyBorder="1" applyAlignment="1">
      <alignment horizontal="center"/>
    </xf>
    <xf numFmtId="0" fontId="29" fillId="0" borderId="76" xfId="4" applyFont="1" applyFill="1" applyBorder="1"/>
    <xf numFmtId="10" fontId="29" fillId="0" borderId="0" xfId="3" applyNumberFormat="1" applyFont="1"/>
    <xf numFmtId="0" fontId="29" fillId="0" borderId="0" xfId="79" applyFont="1"/>
    <xf numFmtId="0" fontId="29" fillId="0" borderId="23" xfId="90" applyFont="1" applyBorder="1" applyAlignment="1">
      <alignment horizontal="left"/>
    </xf>
    <xf numFmtId="0" fontId="29" fillId="0" borderId="23" xfId="90" applyFont="1" applyFill="1" applyBorder="1" applyAlignment="1">
      <alignment horizontal="left"/>
    </xf>
    <xf numFmtId="0" fontId="29" fillId="0" borderId="44" xfId="90" applyFont="1" applyBorder="1" applyAlignment="1">
      <alignment horizontal="left"/>
    </xf>
    <xf numFmtId="0" fontId="29" fillId="0" borderId="23" xfId="90" applyFont="1" applyBorder="1" applyAlignment="1"/>
    <xf numFmtId="0" fontId="29" fillId="0" borderId="23" xfId="90" applyFont="1" applyFill="1" applyBorder="1" applyAlignment="1"/>
    <xf numFmtId="0" fontId="29" fillId="0" borderId="23" xfId="79" applyFont="1" applyBorder="1" applyAlignment="1">
      <alignment horizontal="left"/>
    </xf>
    <xf numFmtId="0" fontId="5" fillId="0" borderId="0" xfId="71" applyFont="1"/>
    <xf numFmtId="0" fontId="29" fillId="0" borderId="23" xfId="90" applyFont="1" applyBorder="1" applyAlignment="1">
      <alignment horizontal="left" vertical="top"/>
    </xf>
    <xf numFmtId="168" fontId="29" fillId="0" borderId="23" xfId="79" applyNumberFormat="1" applyFont="1" applyBorder="1"/>
    <xf numFmtId="0" fontId="29" fillId="0" borderId="19" xfId="79" applyFont="1" applyBorder="1"/>
    <xf numFmtId="0" fontId="30" fillId="0" borderId="0" xfId="79" applyFont="1" applyBorder="1"/>
    <xf numFmtId="0" fontId="30" fillId="0" borderId="0" xfId="79" applyFont="1" applyFill="1" applyBorder="1"/>
    <xf numFmtId="44" fontId="30" fillId="0" borderId="0" xfId="79" applyNumberFormat="1" applyFont="1" applyBorder="1"/>
    <xf numFmtId="44" fontId="30" fillId="0" borderId="0" xfId="79" applyNumberFormat="1" applyFont="1" applyFill="1" applyBorder="1"/>
    <xf numFmtId="0" fontId="33" fillId="0" borderId="0" xfId="79" applyFont="1" applyBorder="1"/>
    <xf numFmtId="0" fontId="33" fillId="0" borderId="0" xfId="79" applyFont="1" applyFill="1" applyBorder="1"/>
    <xf numFmtId="166" fontId="30" fillId="0" borderId="0" xfId="51" applyNumberFormat="1" applyFont="1" applyFill="1" applyBorder="1"/>
    <xf numFmtId="0" fontId="29" fillId="0" borderId="65" xfId="79" applyFont="1" applyBorder="1"/>
    <xf numFmtId="0" fontId="29" fillId="0" borderId="72" xfId="79" applyFont="1" applyBorder="1"/>
    <xf numFmtId="0" fontId="29" fillId="0" borderId="66" xfId="79" applyFont="1" applyFill="1" applyBorder="1"/>
    <xf numFmtId="0" fontId="29" fillId="0" borderId="82" xfId="79" applyFont="1" applyFill="1" applyBorder="1"/>
    <xf numFmtId="0" fontId="29" fillId="0" borderId="44" xfId="90" applyFont="1" applyBorder="1" applyAlignment="1">
      <alignment horizontal="left" vertical="top"/>
    </xf>
    <xf numFmtId="0" fontId="30" fillId="28" borderId="70" xfId="79" applyFont="1" applyFill="1" applyBorder="1" applyAlignment="1">
      <alignment vertical="center"/>
    </xf>
    <xf numFmtId="0" fontId="30" fillId="28" borderId="83" xfId="79" applyFont="1" applyFill="1" applyBorder="1" applyAlignment="1">
      <alignment horizontal="right" vertical="center"/>
    </xf>
    <xf numFmtId="2" fontId="30" fillId="28" borderId="14" xfId="79" applyNumberFormat="1" applyFont="1" applyFill="1" applyBorder="1" applyAlignment="1">
      <alignment horizontal="right" vertical="center"/>
    </xf>
    <xf numFmtId="0" fontId="30" fillId="25" borderId="60" xfId="79" applyFont="1" applyFill="1" applyBorder="1" applyAlignment="1">
      <alignment vertical="center"/>
    </xf>
    <xf numFmtId="3" fontId="30" fillId="25" borderId="46" xfId="79" applyNumberFormat="1" applyFont="1" applyFill="1" applyBorder="1" applyAlignment="1">
      <alignment vertical="center"/>
    </xf>
    <xf numFmtId="3" fontId="30" fillId="25" borderId="47" xfId="79" applyNumberFormat="1" applyFont="1" applyFill="1" applyBorder="1" applyAlignment="1">
      <alignment vertical="center"/>
    </xf>
    <xf numFmtId="0" fontId="29" fillId="25" borderId="60" xfId="79" applyFont="1" applyFill="1" applyBorder="1" applyAlignment="1">
      <alignment vertical="center"/>
    </xf>
    <xf numFmtId="3" fontId="29" fillId="25" borderId="46" xfId="79" applyNumberFormat="1" applyFont="1" applyFill="1" applyBorder="1" applyAlignment="1">
      <alignment vertical="center"/>
    </xf>
    <xf numFmtId="3" fontId="29" fillId="25" borderId="63" xfId="79" applyNumberFormat="1" applyFont="1" applyFill="1" applyBorder="1" applyAlignment="1">
      <alignment vertical="center"/>
    </xf>
    <xf numFmtId="0" fontId="29" fillId="25" borderId="23" xfId="79" applyFont="1" applyFill="1" applyBorder="1" applyAlignment="1">
      <alignment horizontal="right" vertical="center"/>
    </xf>
    <xf numFmtId="3" fontId="29" fillId="25" borderId="48" xfId="79" applyNumberFormat="1" applyFont="1" applyFill="1" applyBorder="1" applyAlignment="1">
      <alignment vertical="center"/>
    </xf>
    <xf numFmtId="3" fontId="29" fillId="25" borderId="21" xfId="79" applyNumberFormat="1" applyFont="1" applyFill="1" applyBorder="1" applyAlignment="1">
      <alignment vertical="center"/>
    </xf>
    <xf numFmtId="0" fontId="29" fillId="25" borderId="23" xfId="79" applyFont="1" applyFill="1" applyBorder="1" applyAlignment="1">
      <alignment horizontal="right" vertical="center" wrapText="1"/>
    </xf>
    <xf numFmtId="3" fontId="29" fillId="25" borderId="21" xfId="79" applyNumberFormat="1" applyFont="1" applyFill="1" applyBorder="1" applyAlignment="1">
      <alignment vertical="center" wrapText="1"/>
    </xf>
    <xf numFmtId="0" fontId="36" fillId="25" borderId="44" xfId="79" applyFont="1" applyFill="1" applyBorder="1" applyAlignment="1">
      <alignment horizontal="right" vertical="center"/>
    </xf>
    <xf numFmtId="3" fontId="36" fillId="25" borderId="24" xfId="79" applyNumberFormat="1" applyFont="1" applyFill="1" applyBorder="1" applyAlignment="1">
      <alignment vertical="center"/>
    </xf>
    <xf numFmtId="3" fontId="36" fillId="25" borderId="43" xfId="79" applyNumberFormat="1" applyFont="1" applyFill="1" applyBorder="1" applyAlignment="1">
      <alignment vertical="center"/>
    </xf>
    <xf numFmtId="0" fontId="37" fillId="25" borderId="23" xfId="79" applyFont="1" applyFill="1" applyBorder="1" applyAlignment="1">
      <alignment horizontal="left" vertical="center"/>
    </xf>
    <xf numFmtId="3" fontId="37" fillId="25" borderId="0" xfId="79" applyNumberFormat="1" applyFont="1" applyFill="1" applyBorder="1" applyAlignment="1">
      <alignment vertical="center"/>
    </xf>
    <xf numFmtId="3" fontId="37" fillId="25" borderId="21" xfId="79" applyNumberFormat="1" applyFont="1" applyFill="1" applyBorder="1" applyAlignment="1">
      <alignment vertical="center"/>
    </xf>
    <xf numFmtId="0" fontId="37" fillId="25" borderId="44" xfId="79" applyFont="1" applyFill="1" applyBorder="1" applyAlignment="1">
      <alignment vertical="center"/>
    </xf>
    <xf numFmtId="3" fontId="36" fillId="25" borderId="2" xfId="79" applyNumberFormat="1" applyFont="1" applyFill="1" applyBorder="1" applyAlignment="1">
      <alignment vertical="center"/>
    </xf>
    <xf numFmtId="0" fontId="37" fillId="25" borderId="23" xfId="79" applyFont="1" applyFill="1" applyBorder="1" applyAlignment="1">
      <alignment vertical="center"/>
    </xf>
    <xf numFmtId="4" fontId="37" fillId="25" borderId="0" xfId="33" applyNumberFormat="1" applyFont="1" applyFill="1" applyBorder="1" applyAlignment="1">
      <alignment vertical="center"/>
    </xf>
    <xf numFmtId="4" fontId="37" fillId="25" borderId="21" xfId="33" applyNumberFormat="1" applyFont="1" applyFill="1" applyBorder="1" applyAlignment="1">
      <alignment vertical="center"/>
    </xf>
    <xf numFmtId="0" fontId="37" fillId="25" borderId="16" xfId="79" applyFont="1" applyFill="1" applyBorder="1" applyAlignment="1">
      <alignment vertical="center"/>
    </xf>
    <xf numFmtId="0" fontId="37" fillId="25" borderId="17" xfId="79" applyFont="1" applyFill="1" applyBorder="1" applyAlignment="1">
      <alignment vertical="center"/>
    </xf>
    <xf numFmtId="3" fontId="37" fillId="25" borderId="18" xfId="79" applyNumberFormat="1" applyFont="1" applyFill="1" applyBorder="1" applyAlignment="1">
      <alignment vertical="center"/>
    </xf>
    <xf numFmtId="0" fontId="29" fillId="0" borderId="2" xfId="4" applyFont="1" applyFill="1" applyBorder="1"/>
    <xf numFmtId="0" fontId="39" fillId="29" borderId="13" xfId="71" applyFont="1" applyFill="1" applyBorder="1"/>
    <xf numFmtId="0" fontId="40" fillId="29" borderId="14" xfId="71" applyFont="1" applyFill="1" applyBorder="1"/>
    <xf numFmtId="0" fontId="5" fillId="0" borderId="0" xfId="71"/>
    <xf numFmtId="0" fontId="40" fillId="29" borderId="0" xfId="71" applyFont="1" applyFill="1" applyBorder="1"/>
    <xf numFmtId="0" fontId="41" fillId="29" borderId="21" xfId="71" applyFont="1" applyFill="1" applyBorder="1"/>
    <xf numFmtId="0" fontId="42" fillId="29" borderId="20" xfId="71" applyFont="1" applyFill="1" applyBorder="1"/>
    <xf numFmtId="0" fontId="41" fillId="29" borderId="40" xfId="71" applyFont="1" applyFill="1" applyBorder="1"/>
    <xf numFmtId="0" fontId="41" fillId="0" borderId="0" xfId="71" applyFont="1"/>
    <xf numFmtId="0" fontId="43" fillId="30" borderId="0" xfId="92" applyFont="1" applyFill="1"/>
    <xf numFmtId="0" fontId="43" fillId="31" borderId="0" xfId="92" applyFont="1" applyFill="1"/>
    <xf numFmtId="0" fontId="43" fillId="32" borderId="0" xfId="92" applyFont="1" applyFill="1"/>
    <xf numFmtId="0" fontId="43" fillId="33" borderId="0" xfId="92" applyFont="1" applyFill="1"/>
    <xf numFmtId="0" fontId="43" fillId="34" borderId="0" xfId="92" applyFont="1" applyFill="1"/>
    <xf numFmtId="14" fontId="41" fillId="0" borderId="0" xfId="71" applyNumberFormat="1" applyFont="1"/>
    <xf numFmtId="173" fontId="5" fillId="0" borderId="0" xfId="71" applyNumberFormat="1"/>
    <xf numFmtId="0" fontId="41" fillId="0" borderId="0" xfId="87" applyFont="1"/>
    <xf numFmtId="0" fontId="5" fillId="0" borderId="0" xfId="87"/>
    <xf numFmtId="0" fontId="44" fillId="0" borderId="0" xfId="87" applyFont="1"/>
    <xf numFmtId="0" fontId="45" fillId="0" borderId="0" xfId="87" applyFont="1"/>
    <xf numFmtId="0" fontId="5" fillId="0" borderId="62" xfId="87" applyBorder="1"/>
    <xf numFmtId="0" fontId="5" fillId="0" borderId="61" xfId="87" applyBorder="1"/>
    <xf numFmtId="0" fontId="5" fillId="0" borderId="75" xfId="87" applyBorder="1"/>
    <xf numFmtId="0" fontId="5" fillId="0" borderId="42" xfId="87" applyBorder="1"/>
    <xf numFmtId="0" fontId="5" fillId="0" borderId="0" xfId="87" applyBorder="1" applyAlignment="1">
      <alignment horizontal="right"/>
    </xf>
    <xf numFmtId="0" fontId="5" fillId="0" borderId="0" xfId="87" applyBorder="1"/>
    <xf numFmtId="0" fontId="5" fillId="0" borderId="69" xfId="87" applyBorder="1"/>
    <xf numFmtId="0" fontId="46" fillId="0" borderId="69" xfId="87" applyFont="1" applyBorder="1" applyAlignment="1">
      <alignment horizontal="center"/>
    </xf>
    <xf numFmtId="173" fontId="5" fillId="0" borderId="0" xfId="71" applyNumberFormat="1" applyAlignment="1">
      <alignment horizontal="left"/>
    </xf>
    <xf numFmtId="173" fontId="5" fillId="0" borderId="69" xfId="87" applyNumberFormat="1" applyBorder="1" applyAlignment="1">
      <alignment horizontal="center"/>
    </xf>
    <xf numFmtId="0" fontId="5" fillId="0" borderId="69" xfId="87" applyBorder="1" applyAlignment="1">
      <alignment horizontal="center"/>
    </xf>
    <xf numFmtId="14" fontId="41" fillId="0" borderId="0" xfId="71" applyNumberFormat="1" applyFont="1" applyAlignment="1">
      <alignment horizontal="right"/>
    </xf>
    <xf numFmtId="0" fontId="41" fillId="26" borderId="0" xfId="87" applyFont="1" applyFill="1" applyBorder="1" applyAlignment="1">
      <alignment horizontal="right"/>
    </xf>
    <xf numFmtId="10" fontId="41" fillId="26" borderId="69" xfId="101" applyNumberFormat="1" applyFont="1" applyFill="1" applyBorder="1" applyAlignment="1">
      <alignment horizontal="center"/>
    </xf>
    <xf numFmtId="0" fontId="5" fillId="0" borderId="41" xfId="87" applyBorder="1"/>
    <xf numFmtId="0" fontId="5" fillId="0" borderId="2" xfId="87" applyBorder="1"/>
    <xf numFmtId="0" fontId="5" fillId="0" borderId="64" xfId="87" applyBorder="1"/>
    <xf numFmtId="2" fontId="29" fillId="0" borderId="0" xfId="4" applyNumberFormat="1" applyFont="1"/>
    <xf numFmtId="167" fontId="29" fillId="0" borderId="0" xfId="4" applyNumberFormat="1" applyFont="1" applyBorder="1"/>
    <xf numFmtId="167" fontId="29" fillId="0" borderId="39" xfId="4" applyNumberFormat="1" applyFont="1" applyFill="1" applyBorder="1" applyAlignment="1">
      <alignment horizontal="center"/>
    </xf>
    <xf numFmtId="0" fontId="29" fillId="0" borderId="36" xfId="4" applyFont="1" applyFill="1" applyBorder="1" applyAlignment="1">
      <alignment horizontal="center"/>
    </xf>
    <xf numFmtId="167" fontId="29" fillId="0" borderId="37" xfId="4" applyNumberFormat="1" applyFont="1" applyFill="1" applyBorder="1" applyAlignment="1">
      <alignment horizontal="center"/>
    </xf>
    <xf numFmtId="167" fontId="29" fillId="0" borderId="38" xfId="4" applyNumberFormat="1" applyFont="1" applyFill="1" applyBorder="1" applyAlignment="1">
      <alignment horizontal="center"/>
    </xf>
    <xf numFmtId="0" fontId="29" fillId="0" borderId="21" xfId="4" applyFont="1" applyFill="1" applyBorder="1"/>
    <xf numFmtId="0" fontId="29" fillId="0" borderId="0" xfId="4" applyFont="1" applyFill="1"/>
    <xf numFmtId="165" fontId="29" fillId="0" borderId="84" xfId="4" applyNumberFormat="1" applyFont="1" applyFill="1" applyBorder="1"/>
    <xf numFmtId="165" fontId="29" fillId="0" borderId="48" xfId="4" applyNumberFormat="1" applyFont="1" applyFill="1" applyBorder="1"/>
    <xf numFmtId="165" fontId="29" fillId="0" borderId="24" xfId="4" applyNumberFormat="1" applyFont="1" applyFill="1" applyBorder="1"/>
    <xf numFmtId="0" fontId="29" fillId="0" borderId="17" xfId="4" applyFont="1" applyBorder="1"/>
    <xf numFmtId="165" fontId="29" fillId="0" borderId="17" xfId="4" applyNumberFormat="1" applyFont="1" applyBorder="1"/>
    <xf numFmtId="0" fontId="29" fillId="0" borderId="18" xfId="4" applyFont="1" applyBorder="1"/>
    <xf numFmtId="165" fontId="30" fillId="0" borderId="84" xfId="90" applyNumberFormat="1" applyFont="1" applyBorder="1" applyAlignment="1">
      <alignment horizontal="center"/>
    </xf>
    <xf numFmtId="42" fontId="29" fillId="0" borderId="48" xfId="90" applyNumberFormat="1" applyFont="1" applyBorder="1"/>
    <xf numFmtId="49" fontId="29" fillId="0" borderId="62" xfId="79" applyNumberFormat="1" applyFont="1" applyBorder="1" applyAlignment="1"/>
    <xf numFmtId="49" fontId="29" fillId="0" borderId="0" xfId="79" applyNumberFormat="1" applyFont="1" applyFill="1" applyBorder="1" applyAlignment="1"/>
    <xf numFmtId="49" fontId="29" fillId="0" borderId="21" xfId="79" applyNumberFormat="1" applyFont="1" applyFill="1" applyBorder="1" applyAlignment="1"/>
    <xf numFmtId="49" fontId="29" fillId="0" borderId="42" xfId="79" applyNumberFormat="1" applyFont="1" applyBorder="1" applyAlignment="1"/>
    <xf numFmtId="49" fontId="29" fillId="0" borderId="2" xfId="79" applyNumberFormat="1" applyFont="1" applyFill="1" applyBorder="1" applyAlignment="1"/>
    <xf numFmtId="49" fontId="29" fillId="0" borderId="43" xfId="79" applyNumberFormat="1" applyFont="1" applyFill="1" applyBorder="1" applyAlignment="1"/>
    <xf numFmtId="2" fontId="29" fillId="0" borderId="0" xfId="90" applyNumberFormat="1" applyFont="1" applyFill="1" applyBorder="1" applyAlignment="1">
      <alignment horizontal="center"/>
    </xf>
    <xf numFmtId="2" fontId="29" fillId="0" borderId="48" xfId="90" applyNumberFormat="1" applyFont="1" applyFill="1" applyBorder="1" applyAlignment="1">
      <alignment horizontal="center"/>
    </xf>
    <xf numFmtId="10" fontId="29" fillId="0" borderId="48" xfId="109" applyNumberFormat="1" applyFont="1" applyBorder="1" applyAlignment="1">
      <alignment horizontal="center"/>
    </xf>
    <xf numFmtId="171" fontId="29" fillId="0" borderId="48" xfId="47" applyNumberFormat="1" applyFont="1" applyBorder="1" applyAlignment="1">
      <alignment horizontal="center"/>
    </xf>
    <xf numFmtId="10" fontId="29" fillId="0" borderId="48" xfId="109" applyNumberFormat="1" applyFont="1" applyBorder="1" applyAlignment="1">
      <alignment horizontal="center" vertical="top"/>
    </xf>
    <xf numFmtId="42" fontId="29" fillId="0" borderId="46" xfId="90" applyNumberFormat="1" applyFont="1" applyBorder="1"/>
    <xf numFmtId="166" fontId="29" fillId="0" borderId="0" xfId="47" applyNumberFormat="1" applyFont="1" applyBorder="1"/>
    <xf numFmtId="10" fontId="29" fillId="0" borderId="80" xfId="3" applyNumberFormat="1" applyFont="1" applyBorder="1"/>
    <xf numFmtId="0" fontId="29" fillId="0" borderId="80" xfId="79" applyFont="1" applyFill="1" applyBorder="1"/>
    <xf numFmtId="0" fontId="30" fillId="0" borderId="20" xfId="90" applyFont="1" applyFill="1" applyBorder="1" applyAlignment="1">
      <alignment horizontal="center"/>
    </xf>
    <xf numFmtId="0" fontId="30" fillId="0" borderId="40" xfId="90" applyFont="1" applyFill="1" applyBorder="1" applyAlignment="1">
      <alignment horizontal="center"/>
    </xf>
    <xf numFmtId="0" fontId="29" fillId="0" borderId="71" xfId="79" applyFont="1" applyBorder="1"/>
    <xf numFmtId="0" fontId="29" fillId="0" borderId="81" xfId="79" applyFont="1" applyBorder="1"/>
    <xf numFmtId="49" fontId="29" fillId="0" borderId="0" xfId="79" applyNumberFormat="1" applyFont="1" applyBorder="1" applyAlignment="1"/>
    <xf numFmtId="164" fontId="29" fillId="0" borderId="66" xfId="33" applyNumberFormat="1" applyFont="1" applyFill="1" applyBorder="1"/>
    <xf numFmtId="0" fontId="30" fillId="0" borderId="71" xfId="84" applyFont="1" applyBorder="1"/>
    <xf numFmtId="0" fontId="30" fillId="0" borderId="80" xfId="84" applyFont="1" applyBorder="1" applyAlignment="1">
      <alignment horizontal="center"/>
    </xf>
    <xf numFmtId="0" fontId="30" fillId="0" borderId="81" xfId="84" applyFont="1" applyBorder="1" applyAlignment="1">
      <alignment horizontal="center"/>
    </xf>
    <xf numFmtId="42" fontId="29" fillId="0" borderId="0" xfId="84" applyNumberFormat="1" applyFont="1" applyBorder="1"/>
    <xf numFmtId="4" fontId="29" fillId="0" borderId="0" xfId="84" applyNumberFormat="1" applyFont="1" applyBorder="1"/>
    <xf numFmtId="42" fontId="29" fillId="0" borderId="21" xfId="84" applyNumberFormat="1" applyFont="1" applyBorder="1"/>
    <xf numFmtId="0" fontId="30" fillId="0" borderId="80" xfId="84" applyFont="1" applyBorder="1"/>
    <xf numFmtId="4" fontId="30" fillId="0" borderId="80" xfId="84" applyNumberFormat="1" applyFont="1" applyFill="1" applyBorder="1"/>
    <xf numFmtId="3" fontId="30" fillId="0" borderId="81" xfId="84" applyNumberFormat="1" applyFont="1" applyFill="1" applyBorder="1"/>
    <xf numFmtId="0" fontId="30" fillId="0" borderId="23" xfId="84" applyFont="1" applyBorder="1"/>
    <xf numFmtId="0" fontId="29" fillId="0" borderId="0" xfId="84" applyFont="1" applyBorder="1"/>
    <xf numFmtId="0" fontId="30" fillId="0" borderId="0" xfId="84" applyFont="1" applyBorder="1"/>
    <xf numFmtId="0" fontId="29" fillId="0" borderId="21" xfId="84" applyFont="1" applyBorder="1"/>
    <xf numFmtId="0" fontId="29" fillId="0" borderId="23" xfId="84" applyFont="1" applyBorder="1"/>
    <xf numFmtId="10" fontId="29" fillId="0" borderId="0" xfId="84" applyNumberFormat="1" applyFont="1" applyBorder="1"/>
    <xf numFmtId="0" fontId="30" fillId="0" borderId="33" xfId="84" applyFont="1" applyBorder="1"/>
    <xf numFmtId="0" fontId="30" fillId="0" borderId="34" xfId="84" applyFont="1" applyBorder="1"/>
    <xf numFmtId="44" fontId="30" fillId="0" borderId="34" xfId="84" applyNumberFormat="1" applyFont="1" applyBorder="1"/>
    <xf numFmtId="42" fontId="30" fillId="0" borderId="35" xfId="84" applyNumberFormat="1" applyFont="1" applyBorder="1"/>
    <xf numFmtId="44" fontId="30" fillId="0" borderId="0" xfId="84" applyNumberFormat="1" applyFont="1" applyBorder="1"/>
    <xf numFmtId="42" fontId="30" fillId="0" borderId="21" xfId="84" applyNumberFormat="1" applyFont="1" applyBorder="1"/>
    <xf numFmtId="166" fontId="29" fillId="0" borderId="21" xfId="84" applyNumberFormat="1" applyFont="1" applyBorder="1" applyAlignment="1">
      <alignment horizontal="center"/>
    </xf>
    <xf numFmtId="0" fontId="30" fillId="0" borderId="54" xfId="84" applyFont="1" applyBorder="1"/>
    <xf numFmtId="0" fontId="29" fillId="0" borderId="74" xfId="84" applyFont="1" applyBorder="1"/>
    <xf numFmtId="42" fontId="30" fillId="0" borderId="73" xfId="84" applyNumberFormat="1" applyFont="1" applyBorder="1"/>
    <xf numFmtId="10" fontId="29" fillId="0" borderId="0" xfId="84" applyNumberFormat="1" applyFont="1" applyFill="1" applyBorder="1"/>
    <xf numFmtId="0" fontId="29" fillId="0" borderId="0" xfId="84" applyFont="1" applyFill="1" applyBorder="1"/>
    <xf numFmtId="166" fontId="30" fillId="0" borderId="35" xfId="84" applyNumberFormat="1" applyFont="1" applyBorder="1"/>
    <xf numFmtId="166" fontId="30" fillId="0" borderId="21" xfId="84" applyNumberFormat="1" applyFont="1" applyBorder="1"/>
    <xf numFmtId="42" fontId="29" fillId="0" borderId="35" xfId="84" applyNumberFormat="1" applyFont="1" applyBorder="1"/>
    <xf numFmtId="0" fontId="38" fillId="0" borderId="0" xfId="0" applyFont="1"/>
    <xf numFmtId="0" fontId="0" fillId="0" borderId="0" xfId="0"/>
    <xf numFmtId="44" fontId="0" fillId="0" borderId="0" xfId="0" applyNumberFormat="1"/>
    <xf numFmtId="10" fontId="0" fillId="0" borderId="0" xfId="3" applyNumberFormat="1" applyFont="1"/>
    <xf numFmtId="0" fontId="39" fillId="29" borderId="13" xfId="165" applyFont="1" applyFill="1" applyBorder="1"/>
    <xf numFmtId="0" fontId="40" fillId="29" borderId="14" xfId="165" applyFont="1" applyFill="1" applyBorder="1"/>
    <xf numFmtId="0" fontId="60" fillId="0" borderId="0" xfId="165"/>
    <xf numFmtId="0" fontId="40" fillId="29" borderId="0" xfId="165" applyFont="1" applyFill="1"/>
    <xf numFmtId="0" fontId="41" fillId="29" borderId="21" xfId="165" applyFont="1" applyFill="1" applyBorder="1"/>
    <xf numFmtId="0" fontId="42" fillId="29" borderId="20" xfId="165" applyFont="1" applyFill="1" applyBorder="1"/>
    <xf numFmtId="0" fontId="41" fillId="29" borderId="40" xfId="165" applyFont="1" applyFill="1" applyBorder="1"/>
    <xf numFmtId="0" fontId="41" fillId="0" borderId="0" xfId="165" applyFont="1"/>
    <xf numFmtId="14" fontId="41" fillId="0" borderId="0" xfId="165" applyNumberFormat="1" applyFont="1"/>
    <xf numFmtId="173" fontId="60" fillId="0" borderId="0" xfId="165" applyNumberFormat="1"/>
    <xf numFmtId="2" fontId="60" fillId="0" borderId="0" xfId="165" applyNumberFormat="1"/>
    <xf numFmtId="168" fontId="60" fillId="0" borderId="0" xfId="165" applyNumberFormat="1"/>
    <xf numFmtId="165" fontId="30" fillId="0" borderId="70" xfId="90" applyNumberFormat="1" applyFont="1" applyBorder="1" applyAlignment="1">
      <alignment horizontal="center"/>
    </xf>
    <xf numFmtId="0" fontId="29" fillId="66" borderId="44" xfId="90" applyFont="1" applyFill="1" applyBorder="1" applyAlignment="1">
      <alignment horizontal="left"/>
    </xf>
    <xf numFmtId="10" fontId="29" fillId="66" borderId="2" xfId="103" applyNumberFormat="1" applyFont="1" applyFill="1" applyBorder="1" applyAlignment="1">
      <alignment horizontal="center"/>
    </xf>
    <xf numFmtId="0" fontId="29" fillId="66" borderId="59" xfId="4" applyFont="1" applyFill="1" applyBorder="1"/>
    <xf numFmtId="49" fontId="29" fillId="66" borderId="2" xfId="79" applyNumberFormat="1" applyFont="1" applyFill="1" applyBorder="1" applyAlignment="1"/>
    <xf numFmtId="49" fontId="29" fillId="66" borderId="43" xfId="79" applyNumberFormat="1" applyFont="1" applyFill="1" applyBorder="1" applyAlignment="1"/>
    <xf numFmtId="0" fontId="29" fillId="66" borderId="41" xfId="4" applyFont="1" applyFill="1" applyBorder="1"/>
    <xf numFmtId="0" fontId="29" fillId="66" borderId="2" xfId="79" applyFont="1" applyFill="1" applyBorder="1"/>
    <xf numFmtId="0" fontId="29" fillId="66" borderId="43" xfId="79" applyFont="1" applyFill="1" applyBorder="1"/>
    <xf numFmtId="10" fontId="29" fillId="66" borderId="2" xfId="103" applyNumberFormat="1" applyFont="1" applyFill="1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9" fillId="0" borderId="23" xfId="4" applyFont="1" applyBorder="1" applyAlignment="1">
      <alignment horizontal="left" vertical="center"/>
    </xf>
    <xf numFmtId="165" fontId="29" fillId="0" borderId="0" xfId="4" applyNumberFormat="1" applyFont="1" applyBorder="1" applyAlignment="1">
      <alignment horizontal="right"/>
    </xf>
    <xf numFmtId="0" fontId="29" fillId="0" borderId="30" xfId="4" applyFont="1" applyBorder="1"/>
    <xf numFmtId="165" fontId="29" fillId="0" borderId="31" xfId="4" applyNumberFormat="1" applyFont="1" applyBorder="1" applyAlignment="1">
      <alignment horizontal="center"/>
    </xf>
    <xf numFmtId="2" fontId="29" fillId="0" borderId="31" xfId="4" applyNumberFormat="1" applyFont="1" applyFill="1" applyBorder="1" applyAlignment="1">
      <alignment horizontal="center"/>
    </xf>
    <xf numFmtId="165" fontId="29" fillId="0" borderId="32" xfId="4" applyNumberFormat="1" applyFont="1" applyBorder="1"/>
    <xf numFmtId="2" fontId="29" fillId="0" borderId="31" xfId="4" applyNumberFormat="1" applyFont="1" applyBorder="1" applyAlignment="1">
      <alignment horizontal="center"/>
    </xf>
    <xf numFmtId="0" fontId="29" fillId="0" borderId="33" xfId="4" applyFont="1" applyBorder="1"/>
    <xf numFmtId="165" fontId="29" fillId="0" borderId="34" xfId="4" applyNumberFormat="1" applyFont="1" applyBorder="1" applyAlignment="1">
      <alignment horizontal="center"/>
    </xf>
    <xf numFmtId="2" fontId="29" fillId="0" borderId="34" xfId="4" applyNumberFormat="1" applyFont="1" applyFill="1" applyBorder="1" applyAlignment="1">
      <alignment horizontal="center"/>
    </xf>
    <xf numFmtId="165" fontId="29" fillId="24" borderId="16" xfId="4" applyNumberFormat="1" applyFont="1" applyFill="1" applyBorder="1" applyAlignment="1">
      <alignment vertical="center"/>
    </xf>
    <xf numFmtId="165" fontId="29" fillId="24" borderId="17" xfId="4" applyNumberFormat="1" applyFont="1" applyFill="1" applyBorder="1" applyAlignment="1">
      <alignment vertical="center"/>
    </xf>
    <xf numFmtId="165" fontId="29" fillId="24" borderId="18" xfId="4" applyNumberFormat="1" applyFont="1" applyFill="1" applyBorder="1" applyAlignment="1">
      <alignment vertical="center"/>
    </xf>
    <xf numFmtId="6" fontId="29" fillId="0" borderId="28" xfId="4" applyNumberFormat="1" applyFont="1" applyFill="1" applyBorder="1" applyAlignment="1">
      <alignment horizontal="left"/>
    </xf>
    <xf numFmtId="6" fontId="29" fillId="0" borderId="1" xfId="4" applyNumberFormat="1" applyFont="1" applyFill="1" applyBorder="1" applyAlignment="1">
      <alignment horizontal="center"/>
    </xf>
    <xf numFmtId="6" fontId="29" fillId="0" borderId="24" xfId="4" applyNumberFormat="1" applyFont="1" applyFill="1" applyBorder="1" applyAlignment="1">
      <alignment horizontal="center"/>
    </xf>
    <xf numFmtId="6" fontId="29" fillId="0" borderId="29" xfId="4" applyNumberFormat="1" applyFont="1" applyFill="1" applyBorder="1" applyAlignment="1">
      <alignment horizontal="center"/>
    </xf>
    <xf numFmtId="165" fontId="29" fillId="0" borderId="54" xfId="4" applyNumberFormat="1" applyFont="1" applyFill="1" applyBorder="1" applyAlignment="1">
      <alignment horizontal="right"/>
    </xf>
    <xf numFmtId="4" fontId="29" fillId="0" borderId="55" xfId="4" applyNumberFormat="1" applyFont="1" applyFill="1" applyBorder="1" applyAlignment="1">
      <alignment horizontal="center"/>
    </xf>
    <xf numFmtId="4" fontId="29" fillId="0" borderId="56" xfId="4" applyNumberFormat="1" applyFont="1" applyFill="1" applyBorder="1" applyAlignment="1">
      <alignment horizontal="center"/>
    </xf>
    <xf numFmtId="165" fontId="29" fillId="0" borderId="52" xfId="4" applyNumberFormat="1" applyFont="1" applyBorder="1"/>
    <xf numFmtId="169" fontId="29" fillId="0" borderId="0" xfId="4" applyNumberFormat="1" applyFont="1"/>
    <xf numFmtId="169" fontId="29" fillId="0" borderId="21" xfId="4" applyNumberFormat="1" applyFont="1" applyBorder="1"/>
    <xf numFmtId="0" fontId="29" fillId="0" borderId="62" xfId="4" applyFont="1" applyFill="1" applyBorder="1" applyAlignment="1"/>
    <xf numFmtId="0" fontId="29" fillId="0" borderId="61" xfId="4" applyFont="1" applyFill="1" applyBorder="1" applyAlignment="1"/>
    <xf numFmtId="0" fontId="29" fillId="0" borderId="63" xfId="4" applyFont="1" applyFill="1" applyBorder="1" applyAlignment="1"/>
    <xf numFmtId="0" fontId="29" fillId="0" borderId="16" xfId="4" applyFont="1" applyBorder="1"/>
    <xf numFmtId="10" fontId="29" fillId="0" borderId="0" xfId="3" applyNumberFormat="1" applyFont="1" applyBorder="1" applyAlignment="1">
      <alignment horizontal="center"/>
    </xf>
    <xf numFmtId="169" fontId="29" fillId="0" borderId="23" xfId="4" applyNumberFormat="1" applyFont="1" applyBorder="1"/>
    <xf numFmtId="169" fontId="29" fillId="0" borderId="0" xfId="4" applyNumberFormat="1" applyFont="1" applyBorder="1"/>
    <xf numFmtId="42" fontId="29" fillId="0" borderId="42" xfId="90" applyNumberFormat="1" applyFont="1" applyBorder="1"/>
    <xf numFmtId="44" fontId="30" fillId="0" borderId="21" xfId="51" applyNumberFormat="1" applyFont="1" applyBorder="1"/>
    <xf numFmtId="0" fontId="30" fillId="0" borderId="20" xfId="84" applyFont="1" applyFill="1" applyBorder="1"/>
    <xf numFmtId="44" fontId="30" fillId="26" borderId="40" xfId="51" applyNumberFormat="1" applyFont="1" applyFill="1" applyBorder="1"/>
    <xf numFmtId="44" fontId="30" fillId="0" borderId="21" xfId="84" applyNumberFormat="1" applyFont="1" applyBorder="1"/>
    <xf numFmtId="0" fontId="30" fillId="0" borderId="19" xfId="84" applyFont="1" applyBorder="1"/>
    <xf numFmtId="0" fontId="29" fillId="0" borderId="20" xfId="84" applyFont="1" applyBorder="1"/>
    <xf numFmtId="174" fontId="30" fillId="26" borderId="40" xfId="84" applyNumberFormat="1" applyFont="1" applyFill="1" applyBorder="1"/>
    <xf numFmtId="0" fontId="32" fillId="0" borderId="0" xfId="4" applyFont="1" applyBorder="1"/>
    <xf numFmtId="10" fontId="29" fillId="0" borderId="0" xfId="4" applyNumberFormat="1" applyFont="1" applyBorder="1"/>
    <xf numFmtId="6" fontId="32" fillId="0" borderId="0" xfId="0" applyNumberFormat="1" applyFont="1" applyBorder="1"/>
    <xf numFmtId="165" fontId="30" fillId="0" borderId="0" xfId="4" applyNumberFormat="1" applyFont="1" applyFill="1" applyBorder="1" applyAlignment="1">
      <alignment vertical="top" wrapText="1"/>
    </xf>
    <xf numFmtId="2" fontId="30" fillId="0" borderId="0" xfId="4" applyNumberFormat="1" applyFont="1" applyFill="1" applyBorder="1"/>
    <xf numFmtId="165" fontId="30" fillId="0" borderId="0" xfId="4" applyNumberFormat="1" applyFont="1" applyFill="1" applyBorder="1" applyAlignment="1">
      <alignment horizontal="center" vertical="center"/>
    </xf>
    <xf numFmtId="0" fontId="29" fillId="0" borderId="17" xfId="4" applyFont="1" applyBorder="1" applyAlignment="1">
      <alignment horizontal="center"/>
    </xf>
    <xf numFmtId="0" fontId="29" fillId="0" borderId="0" xfId="0" applyFont="1"/>
    <xf numFmtId="1" fontId="29" fillId="0" borderId="0" xfId="4" applyNumberFormat="1" applyFont="1" applyFill="1" applyBorder="1" applyAlignment="1">
      <alignment horizontal="right"/>
    </xf>
    <xf numFmtId="3" fontId="29" fillId="0" borderId="21" xfId="4" applyNumberFormat="1" applyFont="1" applyBorder="1" applyAlignment="1">
      <alignment horizontal="center"/>
    </xf>
    <xf numFmtId="1" fontId="29" fillId="0" borderId="0" xfId="4" applyNumberFormat="1" applyFont="1" applyBorder="1" applyAlignment="1">
      <alignment horizontal="center"/>
    </xf>
    <xf numFmtId="165" fontId="29" fillId="0" borderId="21" xfId="4" applyNumberFormat="1" applyFont="1" applyBorder="1" applyAlignment="1">
      <alignment horizontal="right"/>
    </xf>
    <xf numFmtId="10" fontId="29" fillId="0" borderId="0" xfId="3" applyNumberFormat="1" applyFont="1" applyBorder="1"/>
    <xf numFmtId="8" fontId="29" fillId="0" borderId="0" xfId="4" applyNumberFormat="1" applyFont="1" applyFill="1" applyBorder="1" applyAlignment="1">
      <alignment horizontal="center"/>
    </xf>
    <xf numFmtId="10" fontId="29" fillId="0" borderId="0" xfId="3" applyNumberFormat="1" applyFont="1" applyFill="1" applyBorder="1"/>
    <xf numFmtId="165" fontId="29" fillId="0" borderId="35" xfId="4" applyNumberFormat="1" applyFont="1" applyBorder="1"/>
    <xf numFmtId="0" fontId="29" fillId="0" borderId="23" xfId="0" applyFont="1" applyBorder="1"/>
    <xf numFmtId="6" fontId="29" fillId="0" borderId="0" xfId="0" applyNumberFormat="1" applyFont="1"/>
    <xf numFmtId="2" fontId="29" fillId="0" borderId="45" xfId="4" applyNumberFormat="1" applyFont="1" applyFill="1" applyBorder="1" applyAlignment="1">
      <alignment horizontal="center"/>
    </xf>
    <xf numFmtId="6" fontId="29" fillId="0" borderId="0" xfId="0" applyNumberFormat="1" applyFont="1" applyAlignment="1">
      <alignment horizontal="center"/>
    </xf>
    <xf numFmtId="0" fontId="29" fillId="0" borderId="50" xfId="4" applyFont="1" applyBorder="1"/>
    <xf numFmtId="165" fontId="29" fillId="0" borderId="51" xfId="4" applyNumberFormat="1" applyFont="1" applyBorder="1" applyAlignment="1">
      <alignment horizontal="center"/>
    </xf>
    <xf numFmtId="2" fontId="29" fillId="0" borderId="51" xfId="4" applyNumberFormat="1" applyFont="1" applyBorder="1" applyAlignment="1">
      <alignment horizontal="center"/>
    </xf>
    <xf numFmtId="9" fontId="29" fillId="0" borderId="37" xfId="3" applyFont="1" applyFill="1" applyBorder="1" applyAlignment="1">
      <alignment horizontal="center"/>
    </xf>
    <xf numFmtId="9" fontId="29" fillId="0" borderId="59" xfId="3" applyNumberFormat="1" applyFont="1" applyFill="1" applyBorder="1" applyAlignment="1">
      <alignment horizontal="center"/>
    </xf>
    <xf numFmtId="9" fontId="29" fillId="0" borderId="53" xfId="3" applyNumberFormat="1" applyFont="1" applyFill="1" applyBorder="1" applyAlignment="1">
      <alignment horizontal="center"/>
    </xf>
    <xf numFmtId="3" fontId="30" fillId="0" borderId="0" xfId="4" applyNumberFormat="1" applyFont="1" applyFill="1" applyBorder="1"/>
    <xf numFmtId="3" fontId="30" fillId="0" borderId="0" xfId="4" applyNumberFormat="1" applyFont="1" applyFill="1" applyBorder="1" applyAlignment="1">
      <alignment horizontal="center"/>
    </xf>
    <xf numFmtId="0" fontId="29" fillId="0" borderId="2" xfId="4" applyFont="1" applyBorder="1" applyAlignment="1">
      <alignment horizontal="center"/>
    </xf>
    <xf numFmtId="165" fontId="32" fillId="0" borderId="0" xfId="4" applyNumberFormat="1" applyFont="1" applyFill="1" applyBorder="1"/>
    <xf numFmtId="0" fontId="29" fillId="0" borderId="0" xfId="0" applyFont="1" applyFill="1" applyBorder="1"/>
    <xf numFmtId="0" fontId="29" fillId="0" borderId="0" xfId="0" applyFont="1" applyFill="1" applyBorder="1" applyAlignment="1">
      <alignment horizontal="center"/>
    </xf>
    <xf numFmtId="44" fontId="29" fillId="0" borderId="0" xfId="2" applyFont="1" applyFill="1" applyBorder="1"/>
    <xf numFmtId="2" fontId="29" fillId="0" borderId="0" xfId="0" applyNumberFormat="1" applyFont="1" applyFill="1" applyBorder="1"/>
    <xf numFmtId="3" fontId="29" fillId="0" borderId="0" xfId="98" applyNumberFormat="1" applyFont="1" applyFill="1" applyBorder="1"/>
    <xf numFmtId="4" fontId="29" fillId="0" borderId="0" xfId="98" applyNumberFormat="1" applyFont="1" applyFill="1" applyBorder="1"/>
    <xf numFmtId="172" fontId="29" fillId="0" borderId="0" xfId="4" applyNumberFormat="1" applyFont="1"/>
    <xf numFmtId="175" fontId="29" fillId="0" borderId="0" xfId="2" applyNumberFormat="1" applyFont="1"/>
    <xf numFmtId="176" fontId="29" fillId="0" borderId="0" xfId="4" applyNumberFormat="1" applyFont="1" applyBorder="1"/>
    <xf numFmtId="0" fontId="29" fillId="0" borderId="12" xfId="4" applyFont="1" applyBorder="1" applyAlignment="1">
      <alignment horizontal="left" vertical="center"/>
    </xf>
    <xf numFmtId="165" fontId="29" fillId="0" borderId="13" xfId="4" applyNumberFormat="1" applyFont="1" applyBorder="1" applyAlignment="1">
      <alignment horizontal="right"/>
    </xf>
    <xf numFmtId="1" fontId="29" fillId="0" borderId="13" xfId="4" applyNumberFormat="1" applyFont="1" applyFill="1" applyBorder="1" applyAlignment="1">
      <alignment horizontal="right"/>
    </xf>
    <xf numFmtId="3" fontId="29" fillId="0" borderId="14" xfId="4" applyNumberFormat="1" applyFont="1" applyBorder="1" applyAlignment="1">
      <alignment horizontal="center"/>
    </xf>
    <xf numFmtId="0" fontId="29" fillId="0" borderId="16" xfId="4" applyFont="1" applyBorder="1" applyAlignment="1"/>
    <xf numFmtId="0" fontId="29" fillId="0" borderId="18" xfId="4" applyFont="1" applyBorder="1" applyAlignment="1"/>
    <xf numFmtId="0" fontId="29" fillId="0" borderId="17" xfId="4" applyFont="1" applyBorder="1" applyAlignment="1"/>
    <xf numFmtId="0" fontId="29" fillId="0" borderId="18" xfId="4" applyFont="1" applyBorder="1" applyAlignment="1">
      <alignment horizontal="right"/>
    </xf>
    <xf numFmtId="0" fontId="30" fillId="0" borderId="16" xfId="4" applyFont="1" applyBorder="1" applyAlignment="1"/>
    <xf numFmtId="165" fontId="29" fillId="0" borderId="12" xfId="4" applyNumberFormat="1" applyFont="1" applyFill="1" applyBorder="1" applyAlignment="1">
      <alignment horizontal="center"/>
    </xf>
    <xf numFmtId="3" fontId="29" fillId="0" borderId="13" xfId="4" applyNumberFormat="1" applyFont="1" applyFill="1" applyBorder="1" applyAlignment="1">
      <alignment horizontal="center"/>
    </xf>
    <xf numFmtId="4" fontId="29" fillId="0" borderId="77" xfId="4" applyNumberFormat="1" applyFont="1" applyFill="1" applyBorder="1" applyAlignment="1">
      <alignment horizontal="center"/>
    </xf>
    <xf numFmtId="3" fontId="29" fillId="0" borderId="78" xfId="4" applyNumberFormat="1" applyFont="1" applyFill="1" applyBorder="1" applyAlignment="1">
      <alignment horizontal="center"/>
    </xf>
    <xf numFmtId="4" fontId="29" fillId="0" borderId="78" xfId="4" applyNumberFormat="1" applyFont="1" applyFill="1" applyBorder="1" applyAlignment="1">
      <alignment horizontal="center"/>
    </xf>
    <xf numFmtId="4" fontId="29" fillId="0" borderId="79" xfId="4" applyNumberFormat="1" applyFont="1" applyFill="1" applyBorder="1" applyAlignment="1">
      <alignment horizontal="center"/>
    </xf>
    <xf numFmtId="0" fontId="29" fillId="0" borderId="0" xfId="4" applyFont="1" applyAlignment="1">
      <alignment horizontal="right"/>
    </xf>
    <xf numFmtId="0" fontId="29" fillId="0" borderId="16" xfId="79" applyFont="1" applyBorder="1"/>
    <xf numFmtId="0" fontId="29" fillId="0" borderId="17" xfId="79" applyFont="1" applyFill="1" applyBorder="1"/>
    <xf numFmtId="0" fontId="29" fillId="0" borderId="18" xfId="79" applyFont="1" applyBorder="1"/>
    <xf numFmtId="49" fontId="29" fillId="0" borderId="13" xfId="79" applyNumberFormat="1" applyFont="1" applyFill="1" applyBorder="1" applyAlignment="1"/>
    <xf numFmtId="49" fontId="29" fillId="0" borderId="14" xfId="79" applyNumberFormat="1" applyFont="1" applyFill="1" applyBorder="1" applyAlignment="1"/>
    <xf numFmtId="0" fontId="29" fillId="0" borderId="19" xfId="90" applyFont="1" applyBorder="1" applyAlignment="1">
      <alignment horizontal="left"/>
    </xf>
    <xf numFmtId="2" fontId="29" fillId="0" borderId="38" xfId="90" applyNumberFormat="1" applyFont="1" applyFill="1" applyBorder="1" applyAlignment="1">
      <alignment horizontal="center"/>
    </xf>
    <xf numFmtId="49" fontId="29" fillId="0" borderId="20" xfId="79" applyNumberFormat="1" applyFont="1" applyBorder="1" applyAlignment="1"/>
    <xf numFmtId="49" fontId="29" fillId="0" borderId="20" xfId="79" applyNumberFormat="1" applyFont="1" applyFill="1" applyBorder="1" applyAlignment="1"/>
    <xf numFmtId="49" fontId="29" fillId="0" borderId="40" xfId="79" applyNumberFormat="1" applyFont="1" applyFill="1" applyBorder="1" applyAlignment="1"/>
    <xf numFmtId="165" fontId="30" fillId="0" borderId="12" xfId="90" applyNumberFormat="1" applyFont="1" applyBorder="1" applyAlignment="1">
      <alignment horizontal="center"/>
    </xf>
    <xf numFmtId="0" fontId="29" fillId="0" borderId="12" xfId="90" applyFont="1" applyBorder="1" applyAlignment="1">
      <alignment horizontal="left"/>
    </xf>
    <xf numFmtId="42" fontId="29" fillId="0" borderId="76" xfId="90" applyNumberFormat="1" applyFont="1" applyBorder="1"/>
    <xf numFmtId="49" fontId="29" fillId="0" borderId="76" xfId="79" applyNumberFormat="1" applyFont="1" applyBorder="1" applyAlignment="1"/>
    <xf numFmtId="42" fontId="29" fillId="0" borderId="59" xfId="90" applyNumberFormat="1" applyFont="1" applyBorder="1"/>
    <xf numFmtId="49" fontId="29" fillId="0" borderId="59" xfId="79" applyNumberFormat="1" applyFont="1" applyBorder="1" applyAlignment="1"/>
    <xf numFmtId="0" fontId="29" fillId="0" borderId="23" xfId="79" applyFont="1" applyBorder="1"/>
    <xf numFmtId="0" fontId="29" fillId="0" borderId="48" xfId="79" applyFont="1" applyBorder="1"/>
    <xf numFmtId="0" fontId="29" fillId="0" borderId="0" xfId="79" applyFont="1" applyFill="1" applyBorder="1"/>
    <xf numFmtId="0" fontId="29" fillId="0" borderId="0" xfId="79" applyFont="1" applyFill="1"/>
    <xf numFmtId="0" fontId="30" fillId="0" borderId="12" xfId="84" applyFont="1" applyBorder="1" applyAlignment="1">
      <alignment horizontal="left"/>
    </xf>
    <xf numFmtId="0" fontId="30" fillId="0" borderId="13" xfId="84" applyFont="1" applyBorder="1" applyAlignment="1">
      <alignment horizontal="right"/>
    </xf>
    <xf numFmtId="3" fontId="30" fillId="0" borderId="14" xfId="84" applyNumberFormat="1" applyFont="1" applyBorder="1" applyAlignment="1">
      <alignment horizontal="center"/>
    </xf>
    <xf numFmtId="0" fontId="30" fillId="0" borderId="23" xfId="84" applyFont="1" applyBorder="1" applyAlignment="1">
      <alignment horizontal="center"/>
    </xf>
    <xf numFmtId="37" fontId="30" fillId="0" borderId="0" xfId="33" applyNumberFormat="1" applyFont="1" applyBorder="1" applyAlignment="1">
      <alignment horizontal="center" vertical="center"/>
    </xf>
    <xf numFmtId="0" fontId="30" fillId="0" borderId="0" xfId="84" applyFont="1" applyBorder="1" applyAlignment="1">
      <alignment horizontal="right"/>
    </xf>
    <xf numFmtId="3" fontId="30" fillId="0" borderId="21" xfId="84" applyNumberFormat="1" applyFont="1" applyBorder="1"/>
    <xf numFmtId="166" fontId="29" fillId="0" borderId="0" xfId="2" applyNumberFormat="1" applyFont="1"/>
    <xf numFmtId="44" fontId="29" fillId="0" borderId="0" xfId="79" applyNumberFormat="1" applyFont="1"/>
    <xf numFmtId="0" fontId="29" fillId="0" borderId="21" xfId="79" applyFont="1" applyBorder="1"/>
    <xf numFmtId="0" fontId="29" fillId="0" borderId="20" xfId="79" applyFont="1" applyBorder="1"/>
    <xf numFmtId="172" fontId="29" fillId="0" borderId="0" xfId="79" applyNumberFormat="1" applyFont="1"/>
    <xf numFmtId="44" fontId="30" fillId="0" borderId="0" xfId="51" applyNumberFormat="1" applyFont="1" applyFill="1" applyBorder="1"/>
    <xf numFmtId="165" fontId="30" fillId="0" borderId="13" xfId="90" applyNumberFormat="1" applyFont="1" applyBorder="1" applyAlignment="1">
      <alignment horizontal="center"/>
    </xf>
    <xf numFmtId="10" fontId="29" fillId="0" borderId="0" xfId="109" applyNumberFormat="1" applyFont="1" applyBorder="1" applyAlignment="1">
      <alignment horizontal="center" vertical="top"/>
    </xf>
    <xf numFmtId="0" fontId="29" fillId="0" borderId="0" xfId="79" applyFont="1" applyAlignment="1">
      <alignment vertical="center"/>
    </xf>
    <xf numFmtId="44" fontId="30" fillId="0" borderId="0" xfId="51" applyFont="1" applyFill="1" applyBorder="1"/>
    <xf numFmtId="0" fontId="29" fillId="0" borderId="71" xfId="90" applyFont="1" applyBorder="1" applyAlignment="1">
      <alignment horizontal="left" vertical="top"/>
    </xf>
    <xf numFmtId="10" fontId="29" fillId="0" borderId="80" xfId="109" applyNumberFormat="1" applyFont="1" applyBorder="1" applyAlignment="1">
      <alignment horizontal="center" vertical="top"/>
    </xf>
    <xf numFmtId="49" fontId="29" fillId="0" borderId="67" xfId="79" applyNumberFormat="1" applyFont="1" applyBorder="1" applyAlignment="1"/>
    <xf numFmtId="49" fontId="29" fillId="0" borderId="80" xfId="79" applyNumberFormat="1" applyFont="1" applyFill="1" applyBorder="1" applyAlignment="1"/>
    <xf numFmtId="49" fontId="29" fillId="0" borderId="81" xfId="79" applyNumberFormat="1" applyFont="1" applyFill="1" applyBorder="1" applyAlignment="1"/>
    <xf numFmtId="0" fontId="36" fillId="0" borderId="0" xfId="79" applyFont="1"/>
    <xf numFmtId="0" fontId="29" fillId="0" borderId="0" xfId="79" applyFont="1" applyAlignment="1">
      <alignment horizontal="center"/>
    </xf>
    <xf numFmtId="5" fontId="29" fillId="0" borderId="0" xfId="2" applyNumberFormat="1" applyFont="1" applyAlignment="1">
      <alignment horizontal="center"/>
    </xf>
    <xf numFmtId="0" fontId="37" fillId="0" borderId="0" xfId="79" applyFont="1" applyFill="1" applyBorder="1" applyAlignment="1">
      <alignment horizontal="center"/>
    </xf>
    <xf numFmtId="0" fontId="36" fillId="0" borderId="0" xfId="79" applyFont="1" applyFill="1" applyBorder="1"/>
    <xf numFmtId="10" fontId="36" fillId="0" borderId="0" xfId="79" applyNumberFormat="1" applyFont="1"/>
    <xf numFmtId="5" fontId="36" fillId="0" borderId="0" xfId="2" applyNumberFormat="1" applyFont="1"/>
    <xf numFmtId="0" fontId="36" fillId="0" borderId="0" xfId="79" applyFont="1" applyFill="1"/>
    <xf numFmtId="0" fontId="36" fillId="0" borderId="0" xfId="79" applyFont="1" applyFill="1" applyBorder="1" applyAlignment="1">
      <alignment horizontal="center"/>
    </xf>
    <xf numFmtId="3" fontId="36" fillId="0" borderId="0" xfId="79" applyNumberFormat="1" applyFont="1" applyFill="1" applyBorder="1" applyAlignment="1">
      <alignment horizontal="center"/>
    </xf>
    <xf numFmtId="171" fontId="36" fillId="0" borderId="0" xfId="79" applyNumberFormat="1" applyFont="1" applyFill="1" applyBorder="1"/>
    <xf numFmtId="166" fontId="36" fillId="0" borderId="0" xfId="79" applyNumberFormat="1" applyFont="1" applyFill="1" applyBorder="1"/>
    <xf numFmtId="0" fontId="67" fillId="0" borderId="0" xfId="0" applyFont="1" applyFill="1" applyBorder="1" applyAlignment="1">
      <alignment horizontal="left"/>
    </xf>
    <xf numFmtId="0" fontId="68" fillId="0" borderId="0" xfId="0" applyFont="1" applyFill="1" applyBorder="1"/>
    <xf numFmtId="44" fontId="67" fillId="0" borderId="0" xfId="0" applyNumberFormat="1" applyFont="1" applyFill="1" applyBorder="1"/>
    <xf numFmtId="44" fontId="68" fillId="0" borderId="0" xfId="0" applyNumberFormat="1" applyFont="1" applyFill="1" applyBorder="1"/>
    <xf numFmtId="10" fontId="29" fillId="0" borderId="17" xfId="3" applyNumberFormat="1" applyFont="1" applyBorder="1" applyAlignment="1">
      <alignment horizontal="center"/>
    </xf>
    <xf numFmtId="164" fontId="29" fillId="25" borderId="20" xfId="33" applyNumberFormat="1" applyFont="1" applyFill="1" applyBorder="1" applyAlignment="1">
      <alignment horizontal="center"/>
    </xf>
    <xf numFmtId="42" fontId="29" fillId="0" borderId="84" xfId="90" applyNumberFormat="1" applyFont="1" applyBorder="1"/>
    <xf numFmtId="42" fontId="29" fillId="0" borderId="38" xfId="90" applyNumberFormat="1" applyFont="1" applyBorder="1"/>
    <xf numFmtId="2" fontId="29" fillId="0" borderId="20" xfId="90" applyNumberFormat="1" applyFont="1" applyFill="1" applyBorder="1" applyAlignment="1">
      <alignment horizontal="center"/>
    </xf>
    <xf numFmtId="0" fontId="30" fillId="0" borderId="16" xfId="79" applyFont="1" applyBorder="1" applyAlignment="1">
      <alignment horizontal="center"/>
    </xf>
    <xf numFmtId="0" fontId="30" fillId="0" borderId="99" xfId="79" applyFont="1" applyBorder="1" applyAlignment="1">
      <alignment horizontal="center"/>
    </xf>
    <xf numFmtId="49" fontId="29" fillId="0" borderId="100" xfId="79" applyNumberFormat="1" applyFont="1" applyFill="1" applyBorder="1" applyAlignment="1"/>
    <xf numFmtId="49" fontId="29" fillId="0" borderId="17" xfId="79" applyNumberFormat="1" applyFont="1" applyFill="1" applyBorder="1" applyAlignment="1"/>
    <xf numFmtId="49" fontId="29" fillId="0" borderId="18" xfId="79" applyNumberFormat="1" applyFont="1" applyFill="1" applyBorder="1" applyAlignment="1"/>
    <xf numFmtId="0" fontId="29" fillId="0" borderId="98" xfId="79" applyFont="1" applyBorder="1"/>
    <xf numFmtId="10" fontId="29" fillId="0" borderId="20" xfId="3" applyNumberFormat="1" applyFont="1" applyBorder="1"/>
    <xf numFmtId="0" fontId="29" fillId="0" borderId="20" xfId="79" applyFont="1" applyFill="1" applyBorder="1"/>
    <xf numFmtId="0" fontId="29" fillId="0" borderId="40" xfId="79" applyFont="1" applyBorder="1"/>
    <xf numFmtId="49" fontId="29" fillId="0" borderId="100" xfId="79" applyNumberFormat="1" applyFont="1" applyBorder="1" applyAlignment="1"/>
    <xf numFmtId="49" fontId="29" fillId="0" borderId="17" xfId="79" applyNumberFormat="1" applyFont="1" applyBorder="1" applyAlignment="1"/>
    <xf numFmtId="0" fontId="29" fillId="0" borderId="23" xfId="79" applyFont="1" applyBorder="1" applyAlignment="1">
      <alignment horizontal="center"/>
    </xf>
    <xf numFmtId="0" fontId="29" fillId="0" borderId="48" xfId="79" applyFont="1" applyBorder="1" applyAlignment="1">
      <alignment horizontal="center"/>
    </xf>
    <xf numFmtId="165" fontId="30" fillId="67" borderId="16" xfId="90" applyNumberFormat="1" applyFont="1" applyFill="1" applyBorder="1" applyAlignment="1">
      <alignment vertical="center"/>
    </xf>
    <xf numFmtId="165" fontId="30" fillId="67" borderId="17" xfId="90" applyNumberFormat="1" applyFont="1" applyFill="1" applyBorder="1" applyAlignment="1">
      <alignment vertical="center"/>
    </xf>
    <xf numFmtId="165" fontId="30" fillId="67" borderId="18" xfId="90" applyNumberFormat="1" applyFont="1" applyFill="1" applyBorder="1" applyAlignment="1">
      <alignment vertical="center"/>
    </xf>
    <xf numFmtId="0" fontId="30" fillId="0" borderId="0" xfId="0" applyFont="1" applyAlignment="1">
      <alignment horizontal="center"/>
    </xf>
    <xf numFmtId="177" fontId="69" fillId="0" borderId="0" xfId="0" applyNumberFormat="1" applyFont="1" applyAlignment="1">
      <alignment horizontal="left" vertical="top"/>
    </xf>
    <xf numFmtId="0" fontId="69" fillId="0" borderId="0" xfId="0" applyFont="1" applyAlignment="1">
      <alignment horizontal="center"/>
    </xf>
    <xf numFmtId="0" fontId="70" fillId="0" borderId="0" xfId="0" applyFont="1"/>
    <xf numFmtId="0" fontId="70" fillId="0" borderId="0" xfId="0" applyFont="1" applyAlignment="1">
      <alignment wrapText="1"/>
    </xf>
    <xf numFmtId="0" fontId="69" fillId="0" borderId="0" xfId="0" applyFont="1"/>
    <xf numFmtId="9" fontId="69" fillId="0" borderId="0" xfId="0" applyNumberFormat="1" applyFont="1" applyAlignment="1">
      <alignment horizontal="center"/>
    </xf>
    <xf numFmtId="0" fontId="69" fillId="0" borderId="0" xfId="0" applyFont="1" applyAlignment="1">
      <alignment horizontal="left" wrapText="1"/>
    </xf>
    <xf numFmtId="0" fontId="70" fillId="0" borderId="12" xfId="0" applyFont="1" applyBorder="1"/>
    <xf numFmtId="167" fontId="70" fillId="0" borderId="78" xfId="0" applyNumberFormat="1" applyFont="1" applyBorder="1" applyAlignment="1">
      <alignment horizontal="center"/>
    </xf>
    <xf numFmtId="0" fontId="70" fillId="0" borderId="13" xfId="0" applyFont="1" applyBorder="1"/>
    <xf numFmtId="167" fontId="0" fillId="0" borderId="15" xfId="0" applyNumberFormat="1" applyBorder="1"/>
    <xf numFmtId="167" fontId="0" fillId="0" borderId="0" xfId="0" applyNumberFormat="1"/>
    <xf numFmtId="0" fontId="70" fillId="0" borderId="23" xfId="0" applyFont="1" applyBorder="1"/>
    <xf numFmtId="171" fontId="70" fillId="0" borderId="0" xfId="0" applyNumberFormat="1" applyFont="1" applyBorder="1" applyAlignment="1">
      <alignment horizontal="center"/>
    </xf>
    <xf numFmtId="171" fontId="70" fillId="0" borderId="0" xfId="0" applyNumberFormat="1" applyFont="1" applyFill="1" applyBorder="1" applyAlignment="1">
      <alignment horizontal="center"/>
    </xf>
    <xf numFmtId="0" fontId="70" fillId="0" borderId="0" xfId="0" applyFont="1" applyBorder="1"/>
    <xf numFmtId="171" fontId="0" fillId="0" borderId="22" xfId="0" applyNumberFormat="1" applyBorder="1"/>
    <xf numFmtId="167" fontId="70" fillId="0" borderId="78" xfId="0" applyNumberFormat="1" applyFont="1" applyFill="1" applyBorder="1" applyAlignment="1">
      <alignment horizontal="center"/>
    </xf>
    <xf numFmtId="0" fontId="70" fillId="0" borderId="19" xfId="0" applyFont="1" applyBorder="1"/>
    <xf numFmtId="171" fontId="70" fillId="0" borderId="20" xfId="0" applyNumberFormat="1" applyFont="1" applyBorder="1" applyAlignment="1">
      <alignment horizontal="center"/>
    </xf>
    <xf numFmtId="171" fontId="70" fillId="0" borderId="20" xfId="0" applyNumberFormat="1" applyFont="1" applyFill="1" applyBorder="1" applyAlignment="1">
      <alignment horizontal="center"/>
    </xf>
    <xf numFmtId="0" fontId="70" fillId="0" borderId="20" xfId="0" applyFont="1" applyBorder="1"/>
    <xf numFmtId="0" fontId="70" fillId="0" borderId="13" xfId="0" applyFont="1" applyFill="1" applyBorder="1"/>
    <xf numFmtId="167" fontId="38" fillId="0" borderId="0" xfId="0" applyNumberFormat="1" applyFont="1"/>
    <xf numFmtId="0" fontId="70" fillId="0" borderId="23" xfId="0" applyFont="1" applyBorder="1" applyAlignment="1">
      <alignment wrapText="1"/>
    </xf>
    <xf numFmtId="167" fontId="70" fillId="0" borderId="2" xfId="0" applyNumberFormat="1" applyFont="1" applyBorder="1" applyAlignment="1">
      <alignment horizontal="center"/>
    </xf>
    <xf numFmtId="167" fontId="70" fillId="0" borderId="2" xfId="0" applyNumberFormat="1" applyFont="1" applyFill="1" applyBorder="1" applyAlignment="1">
      <alignment horizontal="center"/>
    </xf>
    <xf numFmtId="167" fontId="0" fillId="0" borderId="25" xfId="0" applyNumberFormat="1" applyBorder="1"/>
    <xf numFmtId="0" fontId="70" fillId="0" borderId="0" xfId="0" applyFont="1" applyAlignment="1">
      <alignment horizontal="right" wrapText="1"/>
    </xf>
    <xf numFmtId="171" fontId="70" fillId="0" borderId="0" xfId="0" applyNumberFormat="1" applyFont="1" applyAlignment="1">
      <alignment horizontal="center"/>
    </xf>
    <xf numFmtId="0" fontId="70" fillId="0" borderId="0" xfId="0" applyFont="1" applyAlignment="1">
      <alignment horizontal="right"/>
    </xf>
    <xf numFmtId="10" fontId="70" fillId="0" borderId="0" xfId="0" applyNumberFormat="1" applyFont="1" applyAlignment="1">
      <alignment horizontal="center"/>
    </xf>
    <xf numFmtId="0" fontId="70" fillId="0" borderId="0" xfId="0" applyFont="1" applyFill="1" applyAlignment="1">
      <alignment horizontal="right"/>
    </xf>
    <xf numFmtId="169" fontId="29" fillId="0" borderId="20" xfId="4" applyNumberFormat="1" applyFont="1" applyBorder="1" applyAlignment="1">
      <alignment horizontal="center"/>
    </xf>
    <xf numFmtId="165" fontId="29" fillId="0" borderId="40" xfId="4" applyNumberFormat="1" applyFont="1" applyBorder="1"/>
    <xf numFmtId="167" fontId="29" fillId="0" borderId="0" xfId="84" applyNumberFormat="1" applyFont="1" applyBorder="1"/>
    <xf numFmtId="167" fontId="29" fillId="0" borderId="0" xfId="79" applyNumberFormat="1" applyFont="1"/>
    <xf numFmtId="44" fontId="29" fillId="0" borderId="21" xfId="84" applyNumberFormat="1" applyFont="1" applyBorder="1"/>
    <xf numFmtId="42" fontId="29" fillId="0" borderId="0" xfId="79" applyNumberFormat="1" applyFont="1"/>
    <xf numFmtId="166" fontId="29" fillId="0" borderId="0" xfId="79" applyNumberFormat="1" applyFont="1"/>
    <xf numFmtId="0" fontId="0" fillId="0" borderId="0" xfId="0"/>
    <xf numFmtId="0" fontId="3" fillId="0" borderId="0" xfId="0" applyFont="1" applyAlignment="1">
      <alignment wrapText="1"/>
    </xf>
    <xf numFmtId="43" fontId="3" fillId="0" borderId="0" xfId="1" applyFont="1" applyAlignment="1">
      <alignment vertical="center" wrapText="1"/>
    </xf>
    <xf numFmtId="0" fontId="0" fillId="69" borderId="1" xfId="0" applyFill="1" applyBorder="1"/>
    <xf numFmtId="44" fontId="0" fillId="69" borderId="1" xfId="0" applyNumberFormat="1" applyFill="1" applyBorder="1"/>
    <xf numFmtId="0" fontId="0" fillId="70" borderId="1" xfId="0" applyFill="1" applyBorder="1"/>
    <xf numFmtId="44" fontId="0" fillId="70" borderId="1" xfId="0" applyNumberFormat="1" applyFill="1" applyBorder="1"/>
    <xf numFmtId="0" fontId="0" fillId="71" borderId="1" xfId="0" applyFill="1" applyBorder="1"/>
    <xf numFmtId="44" fontId="0" fillId="71" borderId="1" xfId="0" applyNumberFormat="1" applyFill="1" applyBorder="1"/>
    <xf numFmtId="0" fontId="0" fillId="72" borderId="1" xfId="0" applyFill="1" applyBorder="1"/>
    <xf numFmtId="44" fontId="0" fillId="72" borderId="1" xfId="0" applyNumberFormat="1" applyFill="1" applyBorder="1"/>
    <xf numFmtId="43" fontId="0" fillId="0" borderId="0" xfId="1" applyFont="1"/>
    <xf numFmtId="43" fontId="0" fillId="0" borderId="67" xfId="1" applyFont="1" applyBorder="1"/>
    <xf numFmtId="0" fontId="0" fillId="0" borderId="1" xfId="0" applyBorder="1" applyAlignment="1">
      <alignment wrapText="1"/>
    </xf>
    <xf numFmtId="43" fontId="0" fillId="0" borderId="67" xfId="1" applyFont="1" applyFill="1" applyBorder="1"/>
    <xf numFmtId="0" fontId="0" fillId="72" borderId="1" xfId="0" applyFill="1" applyBorder="1" applyAlignment="1">
      <alignment wrapText="1"/>
    </xf>
    <xf numFmtId="44" fontId="0" fillId="72" borderId="0" xfId="0" applyNumberFormat="1" applyFill="1"/>
    <xf numFmtId="0" fontId="0" fillId="72" borderId="0" xfId="0" applyFill="1"/>
    <xf numFmtId="0" fontId="0" fillId="68" borderId="1" xfId="0" applyFill="1" applyBorder="1" applyAlignment="1">
      <alignment wrapText="1"/>
    </xf>
    <xf numFmtId="44" fontId="0" fillId="68" borderId="1" xfId="0" applyNumberFormat="1" applyFill="1" applyBorder="1"/>
    <xf numFmtId="44" fontId="0" fillId="68" borderId="0" xfId="0" applyNumberFormat="1" applyFill="1"/>
    <xf numFmtId="0" fontId="0" fillId="68" borderId="0" xfId="0" applyFill="1"/>
    <xf numFmtId="0" fontId="0" fillId="73" borderId="1" xfId="0" applyFill="1" applyBorder="1" applyAlignment="1">
      <alignment wrapText="1"/>
    </xf>
    <xf numFmtId="44" fontId="0" fillId="73" borderId="1" xfId="0" applyNumberFormat="1" applyFill="1" applyBorder="1"/>
    <xf numFmtId="44" fontId="0" fillId="73" borderId="0" xfId="0" applyNumberFormat="1" applyFill="1"/>
    <xf numFmtId="0" fontId="0" fillId="73" borderId="0" xfId="0" applyFill="1"/>
    <xf numFmtId="173" fontId="29" fillId="0" borderId="0" xfId="4" applyNumberFormat="1" applyFont="1"/>
    <xf numFmtId="171" fontId="29" fillId="0" borderId="0" xfId="109" applyNumberFormat="1" applyFont="1" applyBorder="1" applyAlignment="1">
      <alignment horizontal="center" vertical="top"/>
    </xf>
    <xf numFmtId="171" fontId="29" fillId="0" borderId="0" xfId="84" applyNumberFormat="1" applyFont="1" applyBorder="1"/>
    <xf numFmtId="166" fontId="29" fillId="0" borderId="0" xfId="84" applyNumberFormat="1" applyFont="1" applyBorder="1"/>
    <xf numFmtId="0" fontId="29" fillId="0" borderId="0" xfId="90" applyFont="1" applyFill="1" applyBorder="1" applyAlignment="1">
      <alignment horizontal="left"/>
    </xf>
    <xf numFmtId="164" fontId="30" fillId="0" borderId="0" xfId="1" applyNumberFormat="1" applyFont="1" applyFill="1" applyBorder="1"/>
    <xf numFmtId="171" fontId="29" fillId="0" borderId="0" xfId="79" applyNumberFormat="1" applyFont="1" applyFill="1" applyBorder="1"/>
    <xf numFmtId="44" fontId="30" fillId="0" borderId="0" xfId="2" applyFont="1" applyFill="1" applyBorder="1"/>
    <xf numFmtId="44" fontId="33" fillId="0" borderId="0" xfId="2" applyFont="1" applyFill="1" applyBorder="1"/>
    <xf numFmtId="0" fontId="32" fillId="0" borderId="0" xfId="79" applyFont="1" applyFill="1" applyBorder="1"/>
    <xf numFmtId="0" fontId="30" fillId="0" borderId="0" xfId="84" applyFont="1" applyFill="1" applyBorder="1"/>
    <xf numFmtId="6" fontId="33" fillId="0" borderId="0" xfId="0" applyNumberFormat="1" applyFont="1" applyFill="1" applyBorder="1" applyAlignment="1">
      <alignment horizontal="center"/>
    </xf>
    <xf numFmtId="6" fontId="32" fillId="0" borderId="0" xfId="0" applyNumberFormat="1" applyFont="1" applyFill="1" applyBorder="1"/>
    <xf numFmtId="6" fontId="30" fillId="0" borderId="0" xfId="4" applyNumberFormat="1" applyFont="1" applyFill="1" applyBorder="1" applyAlignment="1">
      <alignment horizontal="left"/>
    </xf>
    <xf numFmtId="6" fontId="30" fillId="0" borderId="0" xfId="4" applyNumberFormat="1" applyFont="1" applyFill="1" applyBorder="1" applyAlignment="1">
      <alignment horizontal="center"/>
    </xf>
    <xf numFmtId="4" fontId="29" fillId="0" borderId="0" xfId="4" applyNumberFormat="1" applyFont="1" applyFill="1" applyBorder="1" applyAlignment="1">
      <alignment horizontal="center"/>
    </xf>
    <xf numFmtId="165" fontId="30" fillId="0" borderId="0" xfId="4" applyNumberFormat="1" applyFont="1" applyFill="1" applyBorder="1" applyAlignment="1">
      <alignment horizontal="right"/>
    </xf>
    <xf numFmtId="4" fontId="30" fillId="0" borderId="0" xfId="4" applyNumberFormat="1" applyFont="1" applyFill="1" applyBorder="1" applyAlignment="1">
      <alignment horizontal="center"/>
    </xf>
    <xf numFmtId="0" fontId="32" fillId="0" borderId="0" xfId="4" applyFont="1" applyFill="1" applyBorder="1" applyAlignment="1">
      <alignment horizontal="center"/>
    </xf>
    <xf numFmtId="0" fontId="32" fillId="0" borderId="0" xfId="4" applyFont="1" applyFill="1" applyBorder="1"/>
    <xf numFmtId="173" fontId="29" fillId="0" borderId="0" xfId="79" applyNumberFormat="1" applyFont="1"/>
    <xf numFmtId="167" fontId="29" fillId="0" borderId="27" xfId="4" applyNumberFormat="1" applyFont="1" applyFill="1" applyBorder="1" applyAlignment="1">
      <alignment horizontal="center"/>
    </xf>
    <xf numFmtId="165" fontId="30" fillId="0" borderId="0" xfId="4" applyNumberFormat="1" applyFont="1" applyFill="1" applyBorder="1" applyAlignment="1">
      <alignment horizontal="center" vertical="center"/>
    </xf>
    <xf numFmtId="165" fontId="29" fillId="24" borderId="16" xfId="4" applyNumberFormat="1" applyFont="1" applyFill="1" applyBorder="1" applyAlignment="1">
      <alignment horizontal="center" vertical="center"/>
    </xf>
    <xf numFmtId="165" fontId="29" fillId="24" borderId="17" xfId="4" applyNumberFormat="1" applyFont="1" applyFill="1" applyBorder="1" applyAlignment="1">
      <alignment horizontal="center" vertical="center"/>
    </xf>
    <xf numFmtId="165" fontId="29" fillId="24" borderId="18" xfId="4" applyNumberFormat="1" applyFont="1" applyFill="1" applyBorder="1" applyAlignment="1">
      <alignment horizontal="center" vertical="center"/>
    </xf>
    <xf numFmtId="0" fontId="29" fillId="0" borderId="15" xfId="4" applyFont="1" applyBorder="1" applyAlignment="1">
      <alignment horizontal="center" vertical="center"/>
    </xf>
    <xf numFmtId="0" fontId="29" fillId="0" borderId="25" xfId="4" applyFont="1" applyBorder="1" applyAlignment="1">
      <alignment horizontal="center" vertical="center"/>
    </xf>
    <xf numFmtId="0" fontId="29" fillId="0" borderId="22" xfId="4" applyFont="1" applyBorder="1" applyAlignment="1">
      <alignment horizontal="center" vertical="center"/>
    </xf>
    <xf numFmtId="0" fontId="29" fillId="0" borderId="12" xfId="4" applyFont="1" applyBorder="1" applyAlignment="1">
      <alignment horizontal="center" vertical="center" wrapText="1"/>
    </xf>
    <xf numFmtId="0" fontId="29" fillId="0" borderId="23" xfId="4" applyFont="1" applyBorder="1" applyAlignment="1">
      <alignment horizontal="center" vertical="center" wrapText="1"/>
    </xf>
    <xf numFmtId="0" fontId="29" fillId="0" borderId="19" xfId="4" applyFont="1" applyBorder="1" applyAlignment="1">
      <alignment horizontal="center" vertical="center" wrapText="1"/>
    </xf>
    <xf numFmtId="0" fontId="29" fillId="25" borderId="15" xfId="4" applyFont="1" applyFill="1" applyBorder="1" applyAlignment="1">
      <alignment horizontal="center" wrapText="1"/>
    </xf>
    <xf numFmtId="0" fontId="29" fillId="25" borderId="25" xfId="4" applyFont="1" applyFill="1" applyBorder="1" applyAlignment="1">
      <alignment horizontal="center" wrapText="1"/>
    </xf>
    <xf numFmtId="0" fontId="29" fillId="25" borderId="22" xfId="4" applyFont="1" applyFill="1" applyBorder="1" applyAlignment="1">
      <alignment horizontal="center" wrapText="1"/>
    </xf>
    <xf numFmtId="0" fontId="29" fillId="0" borderId="15" xfId="4" applyFont="1" applyFill="1" applyBorder="1" applyAlignment="1">
      <alignment horizontal="center" vertical="center" wrapText="1"/>
    </xf>
    <xf numFmtId="0" fontId="29" fillId="0" borderId="25" xfId="4" applyFont="1" applyFill="1" applyBorder="1" applyAlignment="1">
      <alignment horizontal="center" vertical="center" wrapText="1"/>
    </xf>
    <xf numFmtId="0" fontId="29" fillId="0" borderId="22" xfId="4" applyFont="1" applyFill="1" applyBorder="1" applyAlignment="1">
      <alignment horizontal="center" vertical="center" wrapText="1"/>
    </xf>
    <xf numFmtId="165" fontId="29" fillId="0" borderId="57" xfId="4" applyNumberFormat="1" applyFont="1" applyFill="1" applyBorder="1" applyAlignment="1">
      <alignment horizontal="right" vertical="center"/>
    </xf>
    <xf numFmtId="165" fontId="29" fillId="0" borderId="58" xfId="4" applyNumberFormat="1" applyFont="1" applyFill="1" applyBorder="1" applyAlignment="1">
      <alignment horizontal="right" vertical="center"/>
    </xf>
    <xf numFmtId="165" fontId="29" fillId="0" borderId="60" xfId="4" applyNumberFormat="1" applyFont="1" applyFill="1" applyBorder="1" applyAlignment="1">
      <alignment horizontal="center"/>
    </xf>
    <xf numFmtId="165" fontId="29" fillId="0" borderId="61" xfId="4" applyNumberFormat="1" applyFont="1" applyFill="1" applyBorder="1" applyAlignment="1">
      <alignment horizontal="center"/>
    </xf>
    <xf numFmtId="0" fontId="29" fillId="0" borderId="0" xfId="4" applyFont="1" applyFill="1" applyAlignment="1">
      <alignment horizontal="center"/>
    </xf>
    <xf numFmtId="0" fontId="29" fillId="0" borderId="12" xfId="4" applyFont="1" applyFill="1" applyBorder="1" applyAlignment="1">
      <alignment horizontal="center" vertical="center"/>
    </xf>
    <xf numFmtId="0" fontId="29" fillId="0" borderId="13" xfId="4" applyFont="1" applyFill="1" applyBorder="1" applyAlignment="1">
      <alignment horizontal="center" vertical="center"/>
    </xf>
    <xf numFmtId="0" fontId="29" fillId="0" borderId="14" xfId="4" applyFont="1" applyFill="1" applyBorder="1" applyAlignment="1">
      <alignment horizontal="center" vertical="center"/>
    </xf>
    <xf numFmtId="0" fontId="29" fillId="0" borderId="19" xfId="4" applyFont="1" applyFill="1" applyBorder="1" applyAlignment="1">
      <alignment horizontal="center" vertical="center"/>
    </xf>
    <xf numFmtId="0" fontId="29" fillId="0" borderId="20" xfId="4" applyFont="1" applyFill="1" applyBorder="1" applyAlignment="1">
      <alignment horizontal="center" vertical="center"/>
    </xf>
    <xf numFmtId="0" fontId="29" fillId="0" borderId="40" xfId="4" applyFont="1" applyFill="1" applyBorder="1" applyAlignment="1">
      <alignment horizontal="center" vertical="center"/>
    </xf>
    <xf numFmtId="0" fontId="30" fillId="67" borderId="16" xfId="84" applyFont="1" applyFill="1" applyBorder="1" applyAlignment="1">
      <alignment horizontal="center" vertical="center" wrapText="1"/>
    </xf>
    <xf numFmtId="0" fontId="30" fillId="67" borderId="17" xfId="84" applyFont="1" applyFill="1" applyBorder="1" applyAlignment="1">
      <alignment horizontal="center" vertical="center" wrapText="1"/>
    </xf>
    <xf numFmtId="0" fontId="30" fillId="67" borderId="18" xfId="84" applyFont="1" applyFill="1" applyBorder="1" applyAlignment="1">
      <alignment horizontal="center" vertical="center" wrapText="1"/>
    </xf>
    <xf numFmtId="0" fontId="30" fillId="25" borderId="77" xfId="90" applyFont="1" applyFill="1" applyBorder="1" applyAlignment="1">
      <alignment horizontal="center"/>
    </xf>
    <xf numFmtId="0" fontId="30" fillId="25" borderId="78" xfId="90" applyFont="1" applyFill="1" applyBorder="1" applyAlignment="1">
      <alignment horizontal="center"/>
    </xf>
    <xf numFmtId="0" fontId="30" fillId="25" borderId="79" xfId="90" applyFont="1" applyFill="1" applyBorder="1" applyAlignment="1">
      <alignment horizontal="center"/>
    </xf>
    <xf numFmtId="0" fontId="30" fillId="67" borderId="16" xfId="84" applyFont="1" applyFill="1" applyBorder="1" applyAlignment="1">
      <alignment horizontal="center" vertical="center"/>
    </xf>
    <xf numFmtId="0" fontId="30" fillId="67" borderId="17" xfId="84" applyFont="1" applyFill="1" applyBorder="1" applyAlignment="1">
      <alignment horizontal="center" vertical="center"/>
    </xf>
    <xf numFmtId="0" fontId="30" fillId="67" borderId="18" xfId="84" applyFont="1" applyFill="1" applyBorder="1" applyAlignment="1">
      <alignment horizontal="center" vertical="center"/>
    </xf>
    <xf numFmtId="0" fontId="30" fillId="25" borderId="76" xfId="90" applyFont="1" applyFill="1" applyBorder="1" applyAlignment="1">
      <alignment horizontal="center"/>
    </xf>
    <xf numFmtId="0" fontId="30" fillId="25" borderId="13" xfId="90" applyFont="1" applyFill="1" applyBorder="1" applyAlignment="1">
      <alignment horizontal="center"/>
    </xf>
    <xf numFmtId="0" fontId="30" fillId="25" borderId="14" xfId="90" applyFont="1" applyFill="1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7" xfId="0" applyFill="1" applyBorder="1" applyAlignment="1">
      <alignment horizontal="left"/>
    </xf>
    <xf numFmtId="0" fontId="0" fillId="0" borderId="68" xfId="0" applyFill="1" applyBorder="1" applyAlignment="1">
      <alignment horizontal="left"/>
    </xf>
    <xf numFmtId="167" fontId="0" fillId="0" borderId="15" xfId="0" applyNumberFormat="1" applyBorder="1" applyAlignment="1">
      <alignment horizontal="right" vertical="center"/>
    </xf>
    <xf numFmtId="167" fontId="0" fillId="0" borderId="22" xfId="0" applyNumberFormat="1" applyBorder="1" applyAlignment="1">
      <alignment horizontal="right" vertical="center"/>
    </xf>
    <xf numFmtId="0" fontId="70" fillId="0" borderId="13" xfId="0" applyFont="1" applyBorder="1" applyAlignment="1">
      <alignment horizontal="left" vertical="top" wrapText="1"/>
    </xf>
    <xf numFmtId="0" fontId="70" fillId="0" borderId="20" xfId="0" applyFont="1" applyBorder="1" applyAlignment="1">
      <alignment horizontal="left" vertical="top" wrapText="1"/>
    </xf>
    <xf numFmtId="0" fontId="70" fillId="0" borderId="14" xfId="0" applyFont="1" applyBorder="1" applyAlignment="1">
      <alignment horizontal="left" vertical="center" wrapText="1"/>
    </xf>
    <xf numFmtId="0" fontId="70" fillId="0" borderId="40" xfId="0" applyFont="1" applyBorder="1" applyAlignment="1">
      <alignment horizontal="left" vertical="center" wrapText="1"/>
    </xf>
    <xf numFmtId="0" fontId="70" fillId="0" borderId="21" xfId="0" applyFont="1" applyBorder="1" applyAlignment="1">
      <alignment horizontal="left" vertical="center" wrapText="1"/>
    </xf>
    <xf numFmtId="0" fontId="70" fillId="0" borderId="13" xfId="0" applyFont="1" applyBorder="1" applyAlignment="1">
      <alignment vertical="top" wrapText="1"/>
    </xf>
    <xf numFmtId="0" fontId="70" fillId="0" borderId="20" xfId="0" applyFont="1" applyBorder="1" applyAlignment="1">
      <alignment vertical="top" wrapText="1"/>
    </xf>
  </cellXfs>
  <cellStyles count="353">
    <cellStyle name="20% - Accent1" xfId="134" builtinId="30" customBuiltin="1"/>
    <cellStyle name="20% - Accent1 2" xfId="5"/>
    <cellStyle name="20% - Accent2" xfId="137" builtinId="34" customBuiltin="1"/>
    <cellStyle name="20% - Accent2 2" xfId="6"/>
    <cellStyle name="20% - Accent3" xfId="140" builtinId="38" customBuiltin="1"/>
    <cellStyle name="20% - Accent3 2" xfId="7"/>
    <cellStyle name="20% - Accent4" xfId="143" builtinId="42" customBuiltin="1"/>
    <cellStyle name="20% - Accent4 2" xfId="8"/>
    <cellStyle name="20% - Accent5" xfId="146" builtinId="46" customBuiltin="1"/>
    <cellStyle name="20% - Accent5 2" xfId="9"/>
    <cellStyle name="20% - Accent6" xfId="149" builtinId="50" customBuiltin="1"/>
    <cellStyle name="20% - Accent6 2" xfId="10"/>
    <cellStyle name="40% - Accent1" xfId="135" builtinId="31" customBuiltin="1"/>
    <cellStyle name="40% - Accent1 2" xfId="11"/>
    <cellStyle name="40% - Accent2" xfId="138" builtinId="35" customBuiltin="1"/>
    <cellStyle name="40% - Accent2 2" xfId="12"/>
    <cellStyle name="40% - Accent3" xfId="141" builtinId="39" customBuiltin="1"/>
    <cellStyle name="40% - Accent3 2" xfId="13"/>
    <cellStyle name="40% - Accent4" xfId="144" builtinId="43" customBuiltin="1"/>
    <cellStyle name="40% - Accent4 2" xfId="14"/>
    <cellStyle name="40% - Accent5" xfId="147" builtinId="47" customBuiltin="1"/>
    <cellStyle name="40% - Accent5 2" xfId="15"/>
    <cellStyle name="40% - Accent6" xfId="150" builtinId="51" customBuiltin="1"/>
    <cellStyle name="40% - Accent6 2" xfId="16"/>
    <cellStyle name="60% - Accent1" xfId="347" builtinId="32" customBuiltin="1"/>
    <cellStyle name="60% - Accent1 2" xfId="17"/>
    <cellStyle name="60% - Accent1 3" xfId="153"/>
    <cellStyle name="60% - Accent2" xfId="348" builtinId="36" customBuiltin="1"/>
    <cellStyle name="60% - Accent2 2" xfId="18"/>
    <cellStyle name="60% - Accent2 3" xfId="154"/>
    <cellStyle name="60% - Accent3" xfId="349" builtinId="40" customBuiltin="1"/>
    <cellStyle name="60% - Accent3 2" xfId="19"/>
    <cellStyle name="60% - Accent3 3" xfId="155"/>
    <cellStyle name="60% - Accent4" xfId="350" builtinId="44" customBuiltin="1"/>
    <cellStyle name="60% - Accent4 2" xfId="20"/>
    <cellStyle name="60% - Accent4 3" xfId="156"/>
    <cellStyle name="60% - Accent5" xfId="351" builtinId="48" customBuiltin="1"/>
    <cellStyle name="60% - Accent5 2" xfId="21"/>
    <cellStyle name="60% - Accent5 3" xfId="157"/>
    <cellStyle name="60% - Accent6" xfId="352" builtinId="52" customBuiltin="1"/>
    <cellStyle name="60% - Accent6 2" xfId="22"/>
    <cellStyle name="60% - Accent6 3" xfId="158"/>
    <cellStyle name="Accent1" xfId="133" builtinId="29" customBuiltin="1"/>
    <cellStyle name="Accent1 2" xfId="23"/>
    <cellStyle name="Accent2" xfId="136" builtinId="33" customBuiltin="1"/>
    <cellStyle name="Accent2 2" xfId="24"/>
    <cellStyle name="Accent3" xfId="139" builtinId="37" customBuiltin="1"/>
    <cellStyle name="Accent3 2" xfId="25"/>
    <cellStyle name="Accent4" xfId="142" builtinId="41" customBuiltin="1"/>
    <cellStyle name="Accent4 2" xfId="26"/>
    <cellStyle name="Accent5" xfId="145" builtinId="45" customBuiltin="1"/>
    <cellStyle name="Accent5 2" xfId="27"/>
    <cellStyle name="Accent6" xfId="148" builtinId="49" customBuiltin="1"/>
    <cellStyle name="Accent6 2" xfId="28"/>
    <cellStyle name="Bad" xfId="123" builtinId="27" customBuiltin="1"/>
    <cellStyle name="Bad 2" xfId="29"/>
    <cellStyle name="Bad 3" xfId="166"/>
    <cellStyle name="Body: normal cell" xfId="167"/>
    <cellStyle name="Calculation" xfId="126" builtinId="22" customBuiltin="1"/>
    <cellStyle name="Calculation 2" xfId="30"/>
    <cellStyle name="Calculation 2 2" xfId="168"/>
    <cellStyle name="Calculation 2 3" xfId="169"/>
    <cellStyle name="Check Cell" xfId="128" builtinId="23" customBuiltin="1"/>
    <cellStyle name="Check Cell 2" xfId="31"/>
    <cellStyle name="Comma" xfId="1" builtinId="3"/>
    <cellStyle name="Comma [0] 2" xfId="170"/>
    <cellStyle name="Comma 10" xfId="171"/>
    <cellStyle name="Comma 11" xfId="172"/>
    <cellStyle name="Comma 2" xfId="32"/>
    <cellStyle name="Comma 2 2" xfId="33"/>
    <cellStyle name="Comma 2 2 2" xfId="173"/>
    <cellStyle name="Comma 2 3" xfId="174"/>
    <cellStyle name="Comma 3" xfId="34"/>
    <cellStyle name="Comma 3 2" xfId="35"/>
    <cellStyle name="Comma 3 3" xfId="36"/>
    <cellStyle name="Comma 3 4" xfId="175"/>
    <cellStyle name="Comma 4" xfId="37"/>
    <cellStyle name="Comma 4 2" xfId="38"/>
    <cellStyle name="Comma 5" xfId="39"/>
    <cellStyle name="Comma 5 2" xfId="176"/>
    <cellStyle name="Comma 5 3" xfId="177"/>
    <cellStyle name="Comma 6" xfId="40"/>
    <cellStyle name="Comma 6 2" xfId="41"/>
    <cellStyle name="Comma 7" xfId="42"/>
    <cellStyle name="Comma 7 2" xfId="178"/>
    <cellStyle name="Comma 8" xfId="43"/>
    <cellStyle name="Comma 9" xfId="179"/>
    <cellStyle name="Currency" xfId="2" builtinId="4"/>
    <cellStyle name="Currency [0] 2" xfId="180"/>
    <cellStyle name="Currency 10" xfId="181"/>
    <cellStyle name="Currency 11" xfId="182"/>
    <cellStyle name="Currency 12" xfId="183"/>
    <cellStyle name="Currency 13" xfId="184"/>
    <cellStyle name="Currency 14" xfId="185"/>
    <cellStyle name="Currency 15" xfId="186"/>
    <cellStyle name="Currency 16" xfId="187"/>
    <cellStyle name="Currency 17" xfId="188"/>
    <cellStyle name="Currency 18" xfId="189"/>
    <cellStyle name="Currency 19" xfId="190"/>
    <cellStyle name="Currency 2" xfId="44"/>
    <cellStyle name="Currency 2 2" xfId="45"/>
    <cellStyle name="Currency 2 2 2" xfId="191"/>
    <cellStyle name="Currency 2 2 2 2" xfId="192"/>
    <cellStyle name="Currency 2 2 2 3" xfId="193"/>
    <cellStyle name="Currency 2 3" xfId="46"/>
    <cellStyle name="Currency 2 4" xfId="47"/>
    <cellStyle name="Currency 2 4 2" xfId="194"/>
    <cellStyle name="Currency 2 5" xfId="195"/>
    <cellStyle name="Currency 20" xfId="196"/>
    <cellStyle name="Currency 21" xfId="197"/>
    <cellStyle name="Currency 22" xfId="198"/>
    <cellStyle name="Currency 23" xfId="199"/>
    <cellStyle name="Currency 24" xfId="200"/>
    <cellStyle name="Currency 25" xfId="201"/>
    <cellStyle name="Currency 26" xfId="202"/>
    <cellStyle name="Currency 27" xfId="203"/>
    <cellStyle name="Currency 28" xfId="204"/>
    <cellStyle name="Currency 29" xfId="205"/>
    <cellStyle name="Currency 3" xfId="48"/>
    <cellStyle name="Currency 3 2" xfId="49"/>
    <cellStyle name="Currency 3 3" xfId="50"/>
    <cellStyle name="Currency 3 4" xfId="206"/>
    <cellStyle name="Currency 3 5" xfId="207"/>
    <cellStyle name="Currency 30" xfId="208"/>
    <cellStyle name="Currency 31" xfId="209"/>
    <cellStyle name="Currency 32" xfId="210"/>
    <cellStyle name="Currency 33" xfId="211"/>
    <cellStyle name="Currency 34" xfId="212"/>
    <cellStyle name="Currency 35" xfId="213"/>
    <cellStyle name="Currency 36" xfId="214"/>
    <cellStyle name="Currency 37" xfId="215"/>
    <cellStyle name="Currency 38" xfId="216"/>
    <cellStyle name="Currency 39" xfId="217"/>
    <cellStyle name="Currency 4" xfId="51"/>
    <cellStyle name="Currency 4 2" xfId="52"/>
    <cellStyle name="Currency 4 2 2" xfId="53"/>
    <cellStyle name="Currency 4 2 2 2" xfId="218"/>
    <cellStyle name="Currency 4 2 2 3" xfId="219"/>
    <cellStyle name="Currency 4 2 3" xfId="220"/>
    <cellStyle name="Currency 4 3" xfId="54"/>
    <cellStyle name="Currency 4 3 2" xfId="221"/>
    <cellStyle name="Currency 4 3 3" xfId="222"/>
    <cellStyle name="Currency 4 4" xfId="55"/>
    <cellStyle name="Currency 4 5" xfId="223"/>
    <cellStyle name="Currency 40" xfId="224"/>
    <cellStyle name="Currency 41" xfId="225"/>
    <cellStyle name="Currency 42" xfId="226"/>
    <cellStyle name="Currency 43" xfId="227"/>
    <cellStyle name="Currency 44" xfId="228"/>
    <cellStyle name="Currency 45" xfId="229"/>
    <cellStyle name="Currency 46" xfId="230"/>
    <cellStyle name="Currency 5" xfId="56"/>
    <cellStyle name="Currency 5 2" xfId="57"/>
    <cellStyle name="Currency 5 2 2" xfId="231"/>
    <cellStyle name="Currency 5 3" xfId="58"/>
    <cellStyle name="Currency 5 3 2" xfId="232"/>
    <cellStyle name="Currency 5 3 3" xfId="233"/>
    <cellStyle name="Currency 5 4" xfId="234"/>
    <cellStyle name="Currency 5 5" xfId="235"/>
    <cellStyle name="Currency 5 6" xfId="236"/>
    <cellStyle name="Currency 6" xfId="59"/>
    <cellStyle name="Currency 6 2" xfId="237"/>
    <cellStyle name="Currency 6 3" xfId="238"/>
    <cellStyle name="Currency 7" xfId="60"/>
    <cellStyle name="Currency 7 2" xfId="239"/>
    <cellStyle name="Currency 7 3" xfId="240"/>
    <cellStyle name="Currency 8" xfId="61"/>
    <cellStyle name="Currency 8 2" xfId="241"/>
    <cellStyle name="Currency 9" xfId="242"/>
    <cellStyle name="Explanatory Text" xfId="131" builtinId="53" customBuiltin="1"/>
    <cellStyle name="Explanatory Text 2" xfId="62"/>
    <cellStyle name="Explanatory Text 2 2" xfId="243"/>
    <cellStyle name="Explanatory Text 2 3" xfId="244"/>
    <cellStyle name="Font: Calibri, 9pt regular" xfId="245"/>
    <cellStyle name="Footnotes: top row" xfId="246"/>
    <cellStyle name="Good" xfId="122" builtinId="26" customBuiltin="1"/>
    <cellStyle name="Good 2" xfId="63"/>
    <cellStyle name="Header: bottom row" xfId="247"/>
    <cellStyle name="Heading 1" xfId="118" builtinId="16" customBuiltin="1"/>
    <cellStyle name="Heading 1 2" xfId="64"/>
    <cellStyle name="Heading 1 2 2" xfId="248"/>
    <cellStyle name="Heading 1 2 3" xfId="249"/>
    <cellStyle name="Heading 2" xfId="119" builtinId="17" customBuiltin="1"/>
    <cellStyle name="Heading 2 2" xfId="65"/>
    <cellStyle name="Heading 2 2 2" xfId="250"/>
    <cellStyle name="Heading 2 2 3" xfId="251"/>
    <cellStyle name="Heading 3" xfId="120" builtinId="18" customBuiltin="1"/>
    <cellStyle name="Heading 3 2" xfId="66"/>
    <cellStyle name="Heading 3 2 2" xfId="252"/>
    <cellStyle name="Heading 3 2 3" xfId="253"/>
    <cellStyle name="Heading 4" xfId="121" builtinId="19" customBuiltin="1"/>
    <cellStyle name="Heading 4 2" xfId="67"/>
    <cellStyle name="Heading 4 2 2" xfId="254"/>
    <cellStyle name="Heading 4 2 3" xfId="255"/>
    <cellStyle name="Hyperlink 2" xfId="256"/>
    <cellStyle name="Input" xfId="124" builtinId="20" customBuiltin="1"/>
    <cellStyle name="Input 2" xfId="68"/>
    <cellStyle name="Input 2 2" xfId="257"/>
    <cellStyle name="Input 2 3" xfId="258"/>
    <cellStyle name="Linked Cell" xfId="127" builtinId="24" customBuiltin="1"/>
    <cellStyle name="Linked Cell 2" xfId="69"/>
    <cellStyle name="Linked Cell 2 2" xfId="259"/>
    <cellStyle name="Linked Cell 2 3" xfId="260"/>
    <cellStyle name="Neutral" xfId="346" builtinId="28" customBuiltin="1"/>
    <cellStyle name="Neutral 2" xfId="70"/>
    <cellStyle name="Neutral 3" xfId="152"/>
    <cellStyle name="Normal" xfId="0" builtinId="0"/>
    <cellStyle name="Normal 10" xfId="71"/>
    <cellStyle name="Normal 10 2" xfId="261"/>
    <cellStyle name="Normal 10 3" xfId="262"/>
    <cellStyle name="Normal 10 3 2" xfId="263"/>
    <cellStyle name="Normal 11" xfId="72"/>
    <cellStyle name="Normal 11 2" xfId="264"/>
    <cellStyle name="Normal 11 2 2" xfId="265"/>
    <cellStyle name="Normal 12" xfId="73"/>
    <cellStyle name="Normal 13" xfId="74"/>
    <cellStyle name="Normal 13 2" xfId="266"/>
    <cellStyle name="Normal 14" xfId="75"/>
    <cellStyle name="Normal 14 2" xfId="267"/>
    <cellStyle name="Normal 15" xfId="165"/>
    <cellStyle name="Normal 16" xfId="268"/>
    <cellStyle name="Normal 17" xfId="269"/>
    <cellStyle name="Normal 17 2" xfId="270"/>
    <cellStyle name="Normal 18" xfId="271"/>
    <cellStyle name="Normal 19" xfId="272"/>
    <cellStyle name="Normal 2" xfId="76"/>
    <cellStyle name="Normal 2 2" xfId="77"/>
    <cellStyle name="Normal 2 2 2" xfId="4"/>
    <cellStyle name="Normal 2 2 3" xfId="160"/>
    <cellStyle name="Normal 2 3" xfId="78"/>
    <cellStyle name="Normal 2 3 2" xfId="273"/>
    <cellStyle name="Normal 2 4" xfId="79"/>
    <cellStyle name="Normal 2 4 2" xfId="274"/>
    <cellStyle name="Normal 2 4 3" xfId="275"/>
    <cellStyle name="Normal 2 5" xfId="159"/>
    <cellStyle name="Normal 2 5 2" xfId="276"/>
    <cellStyle name="Normal 20" xfId="277"/>
    <cellStyle name="Normal 21" xfId="278"/>
    <cellStyle name="Normal 22" xfId="340"/>
    <cellStyle name="Normal 23" xfId="341"/>
    <cellStyle name="Normal 23 2" xfId="342"/>
    <cellStyle name="Normal 3" xfId="80"/>
    <cellStyle name="Normal 3 2" xfId="81"/>
    <cellStyle name="Normal 3 2 2" xfId="279"/>
    <cellStyle name="Normal 3 2 3" xfId="280"/>
    <cellStyle name="Normal 3 2 4" xfId="281"/>
    <cellStyle name="Normal 3 3" xfId="82"/>
    <cellStyle name="Normal 3 3 2" xfId="282"/>
    <cellStyle name="Normal 3 4" xfId="83"/>
    <cellStyle name="Normal 3 4 2" xfId="283"/>
    <cellStyle name="Normal 3 5" xfId="84"/>
    <cellStyle name="Normal 3 6" xfId="162"/>
    <cellStyle name="Normal 3 9" xfId="284"/>
    <cellStyle name="Normal 4" xfId="85"/>
    <cellStyle name="Normal 4 2" xfId="86"/>
    <cellStyle name="Normal 4 2 2" xfId="87"/>
    <cellStyle name="Normal 4 2 2 2" xfId="285"/>
    <cellStyle name="Normal 4 2 2 3" xfId="343"/>
    <cellStyle name="Normal 4 2 3" xfId="286"/>
    <cellStyle name="Normal 4 2 3 2" xfId="287"/>
    <cellStyle name="Normal 4 3" xfId="88"/>
    <cellStyle name="Normal 4 3 2" xfId="288"/>
    <cellStyle name="Normal 4 3 3" xfId="289"/>
    <cellStyle name="Normal 4 4" xfId="290"/>
    <cellStyle name="Normal 5" xfId="89"/>
    <cellStyle name="Normal 5 2" xfId="163"/>
    <cellStyle name="Normal 6" xfId="90"/>
    <cellStyle name="Normal 6 2" xfId="91"/>
    <cellStyle name="Normal 6 2 2" xfId="92"/>
    <cellStyle name="Normal 6 2 2 2" xfId="291"/>
    <cellStyle name="Normal 6 2 3" xfId="292"/>
    <cellStyle name="Normal 6 2 4" xfId="293"/>
    <cellStyle name="Normal 6 3" xfId="93"/>
    <cellStyle name="Normal 6 4" xfId="164"/>
    <cellStyle name="Normal 7" xfId="94"/>
    <cellStyle name="Normal 7 2" xfId="95"/>
    <cellStyle name="Normal 7 3" xfId="294"/>
    <cellStyle name="Normal 8" xfId="96"/>
    <cellStyle name="Normal 8 2" xfId="295"/>
    <cellStyle name="Normal 8 2 2" xfId="296"/>
    <cellStyle name="Normal 8 3" xfId="297"/>
    <cellStyle name="Normal 8 4" xfId="298"/>
    <cellStyle name="Normal 8 5" xfId="299"/>
    <cellStyle name="Normal 9" xfId="97"/>
    <cellStyle name="Normal 9 2" xfId="300"/>
    <cellStyle name="Normal 9 2 2" xfId="301"/>
    <cellStyle name="Normal 9 2 3" xfId="302"/>
    <cellStyle name="Normal 9 3" xfId="303"/>
    <cellStyle name="Normal_Sheet1_1" xfId="98"/>
    <cellStyle name="Note" xfId="130" builtinId="10" customBuiltin="1"/>
    <cellStyle name="Note 2" xfId="99"/>
    <cellStyle name="Note 2 2" xfId="161"/>
    <cellStyle name="Note 2 3" xfId="304"/>
    <cellStyle name="Output" xfId="125" builtinId="21" customBuiltin="1"/>
    <cellStyle name="Output 2" xfId="100"/>
    <cellStyle name="Output 2 2" xfId="305"/>
    <cellStyle name="Output 2 3" xfId="306"/>
    <cellStyle name="Parent row" xfId="307"/>
    <cellStyle name="Percent" xfId="3" builtinId="5"/>
    <cellStyle name="Percent 10" xfId="308"/>
    <cellStyle name="Percent 10 2" xfId="309"/>
    <cellStyle name="Percent 11" xfId="310"/>
    <cellStyle name="Percent 2" xfId="101"/>
    <cellStyle name="Percent 2 2" xfId="102"/>
    <cellStyle name="Percent 2 2 2" xfId="311"/>
    <cellStyle name="Percent 2 2 3" xfId="312"/>
    <cellStyle name="Percent 2 3" xfId="313"/>
    <cellStyle name="Percent 2 4" xfId="314"/>
    <cellStyle name="Percent 2 5" xfId="315"/>
    <cellStyle name="Percent 3" xfId="103"/>
    <cellStyle name="Percent 3 2" xfId="104"/>
    <cellStyle name="Percent 3 2 2" xfId="316"/>
    <cellStyle name="Percent 3 2 3" xfId="317"/>
    <cellStyle name="Percent 3 3" xfId="318"/>
    <cellStyle name="Percent 4" xfId="105"/>
    <cellStyle name="Percent 4 2" xfId="106"/>
    <cellStyle name="Percent 4 2 2" xfId="319"/>
    <cellStyle name="Percent 4 2 3" xfId="320"/>
    <cellStyle name="Percent 4 3" xfId="321"/>
    <cellStyle name="Percent 4 3 2" xfId="344"/>
    <cellStyle name="Percent 5" xfId="107"/>
    <cellStyle name="Percent 5 2" xfId="108"/>
    <cellStyle name="Percent 5 2 2" xfId="322"/>
    <cellStyle name="Percent 5 3" xfId="323"/>
    <cellStyle name="Percent 5 4" xfId="324"/>
    <cellStyle name="Percent 5 5" xfId="325"/>
    <cellStyle name="Percent 6" xfId="109"/>
    <cellStyle name="Percent 6 2" xfId="110"/>
    <cellStyle name="Percent 6 3" xfId="111"/>
    <cellStyle name="Percent 6 4" xfId="326"/>
    <cellStyle name="Percent 7" xfId="112"/>
    <cellStyle name="Percent 7 2" xfId="327"/>
    <cellStyle name="Percent 7 3" xfId="328"/>
    <cellStyle name="Percent 7 4" xfId="329"/>
    <cellStyle name="Percent 8" xfId="113"/>
    <cellStyle name="Percent 8 2" xfId="330"/>
    <cellStyle name="Percent 8 3" xfId="331"/>
    <cellStyle name="Percent 9" xfId="114"/>
    <cellStyle name="Percent 9 2" xfId="332"/>
    <cellStyle name="Table title" xfId="333"/>
    <cellStyle name="Title" xfId="345" builtinId="15" customBuiltin="1"/>
    <cellStyle name="Title 2" xfId="115"/>
    <cellStyle name="Title 2 2" xfId="334"/>
    <cellStyle name="Title 2 3" xfId="335"/>
    <cellStyle name="Title 3" xfId="151"/>
    <cellStyle name="Total" xfId="132" builtinId="25" customBuiltin="1"/>
    <cellStyle name="Total 2" xfId="116"/>
    <cellStyle name="Total 2 2" xfId="336"/>
    <cellStyle name="Total 2 3" xfId="337"/>
    <cellStyle name="Warning Text" xfId="129" builtinId="11" customBuiltin="1"/>
    <cellStyle name="Warning Text 2" xfId="117"/>
    <cellStyle name="Warning Text 2 2" xfId="338"/>
    <cellStyle name="Warning Text 2 3" xfId="3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69</xdr:col>
      <xdr:colOff>251460</xdr:colOff>
      <xdr:row>16</xdr:row>
      <xdr:rowOff>152400</xdr:rowOff>
    </xdr:from>
    <xdr:ext cx="4541520" cy="1642373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9707820" y="2933700"/>
          <a:ext cx="4541520" cy="1642373"/>
        </a:xfrm>
        <a:prstGeom prst="rect">
          <a:avLst/>
        </a:prstGeom>
        <a:noFill/>
        <a:ln cmpd="sng">
          <a:solidFill>
            <a:schemeClr val="tx1">
              <a:alpha val="72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Current</a:t>
          </a:r>
          <a:r>
            <a:rPr lang="en-US" sz="1100" baseline="0"/>
            <a:t> rate runs from 1/1/18 - 12/31/19</a:t>
          </a:r>
        </a:p>
        <a:p>
          <a:r>
            <a:rPr lang="en-US" sz="1100" baseline="0"/>
            <a:t>By pushing rate review back to 7/1/19 to align with a Fiscal Year:</a:t>
          </a:r>
        </a:p>
        <a:p>
          <a:endParaRPr lang="en-US" sz="1100" baseline="0"/>
        </a:p>
        <a:p>
          <a:r>
            <a:rPr lang="en-US" sz="1100" baseline="0"/>
            <a:t>CAF Base period = last effective quarter of most recent rate review - this is </a:t>
          </a:r>
        </a:p>
        <a:p>
          <a:r>
            <a:rPr lang="en-US" sz="1100" baseline="0"/>
            <a:t>either CY2019Q4 or FY2020Q2</a:t>
          </a:r>
        </a:p>
        <a:p>
          <a:endParaRPr lang="en-US" sz="1100" baseline="0"/>
        </a:p>
        <a:p>
          <a:r>
            <a:rPr lang="en-US" sz="1100" baseline="0"/>
            <a:t>CAF Projection period = two years rate is effective - this is FY20 &amp; FY21 </a:t>
          </a:r>
        </a:p>
        <a:p>
          <a:r>
            <a:rPr lang="en-US" sz="1100" baseline="0"/>
            <a:t>aka: CY2019Q3 - CY2021Q2 or FY2020Q1 - FY2021Q4</a:t>
          </a:r>
        </a:p>
        <a:p>
          <a:r>
            <a:rPr lang="en-US" sz="1100" baseline="0"/>
            <a:t>				-kara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llacorta\Downloads\FINAL%20ANALYSIS%20Counseling%20Rate%20Options%20071913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eeker\Local%20Settings\Temporary%20Internet%20Files\Content.Outlook\76FJ858H\YITS_DPH_Yr%203%20review_FY2010-2011_General%20Analysi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Naciri\Downloads\Resi%20Rehab%203386&amp;3401%20122613%20330pm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_Pricing\SubAbuse\2013\Resi%20Rehab\Data\Resi%20Rehab%20_All%20Codes%20Analysi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lattimore\AppData\Local\Microsoft\Windows\Temporary%20Internet%20Files\Content.Outlook\Y2K7L5ZK\FY19%20Models%208.22.1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dministrative%20Services-POS%20Policy%20Office\Admin%20&amp;%20Staff\Kara\Workforce%20Initiatives\3.%20Benchmark%20Analysis%20for%20FY21%20FO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Total Expenses=YR1 rate"/>
      <sheetName val="RateOptions"/>
      <sheetName val="GeogVar"/>
      <sheetName val="CostDrivers"/>
      <sheetName val="CostSummary"/>
      <sheetName val="CleanData"/>
      <sheetName val="RawDataCalcs"/>
      <sheetName val="RawContractData"/>
      <sheetName val="Source"/>
      <sheetName val="Benchmark Statistics"/>
      <sheetName val="CleanData (2)"/>
      <sheetName val="RawDataCalcs (2)"/>
      <sheetName val="Lookups"/>
      <sheetName val="Sourc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L12">
            <v>0</v>
          </cell>
          <cell r="M12">
            <v>0.47942206821686489</v>
          </cell>
          <cell r="N12">
            <v>0.59107516603638444</v>
          </cell>
          <cell r="O12">
            <v>0</v>
          </cell>
          <cell r="P12">
            <v>0.14716929384611976</v>
          </cell>
          <cell r="Q12">
            <v>0.77728942548679902</v>
          </cell>
          <cell r="R12">
            <v>3.9793460642052985</v>
          </cell>
          <cell r="S12">
            <v>0</v>
          </cell>
          <cell r="T12">
            <v>6.8799860627629245E-2</v>
          </cell>
          <cell r="U12">
            <v>0</v>
          </cell>
          <cell r="V12">
            <v>0</v>
          </cell>
          <cell r="W12">
            <v>5.5124194334010168E-2</v>
          </cell>
          <cell r="X12">
            <v>0.10885459283877919</v>
          </cell>
          <cell r="Y12">
            <v>2.6944466327065229E-2</v>
          </cell>
          <cell r="Z12">
            <v>37657.202763269961</v>
          </cell>
          <cell r="AA12">
            <v>41481.381742527206</v>
          </cell>
          <cell r="AB12">
            <v>0</v>
          </cell>
          <cell r="AC12">
            <v>23180.701871100842</v>
          </cell>
          <cell r="AD12">
            <v>0</v>
          </cell>
          <cell r="AE12">
            <v>0</v>
          </cell>
          <cell r="AF12">
            <v>17680</v>
          </cell>
          <cell r="AG12">
            <v>30932.575823280509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17680</v>
          </cell>
          <cell r="AO12">
            <v>34886.084346898184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29311.548012080879</v>
          </cell>
          <cell r="AX12">
            <v>24465.648402802188</v>
          </cell>
          <cell r="AY12">
            <v>0</v>
          </cell>
          <cell r="AZ12">
            <v>0</v>
          </cell>
          <cell r="BA12">
            <v>17680</v>
          </cell>
          <cell r="BB12">
            <v>0</v>
          </cell>
          <cell r="BC12">
            <v>19175.405214616003</v>
          </cell>
          <cell r="BD12">
            <v>30701.478943232476</v>
          </cell>
          <cell r="BE12">
            <v>17680</v>
          </cell>
          <cell r="BF12">
            <v>17680</v>
          </cell>
          <cell r="BG12">
            <v>20600.958294636763</v>
          </cell>
          <cell r="BH12">
            <v>17680</v>
          </cell>
          <cell r="BI12">
            <v>17680</v>
          </cell>
          <cell r="BJ12">
            <v>17680</v>
          </cell>
          <cell r="BK12">
            <v>0</v>
          </cell>
          <cell r="BL12">
            <v>26322.226006430636</v>
          </cell>
          <cell r="BM12">
            <v>17680</v>
          </cell>
          <cell r="BN12">
            <v>38685.831484193477</v>
          </cell>
          <cell r="BO12">
            <v>23961.524385988574</v>
          </cell>
          <cell r="BP12">
            <v>30587.443549548538</v>
          </cell>
          <cell r="BQ12">
            <v>30374.501516037635</v>
          </cell>
          <cell r="BR12">
            <v>24065.321450444375</v>
          </cell>
          <cell r="BS12">
            <v>17680</v>
          </cell>
          <cell r="BT12">
            <v>31503.545017618279</v>
          </cell>
          <cell r="BU12">
            <v>0.10875010040212529</v>
          </cell>
          <cell r="BV12">
            <v>-665.86045161233085</v>
          </cell>
          <cell r="BW12">
            <v>30515.853243324513</v>
          </cell>
          <cell r="BX12">
            <v>-16660.640829909837</v>
          </cell>
          <cell r="BY12">
            <v>-9135.1790957685735</v>
          </cell>
          <cell r="BZ12">
            <v>32296.395852713424</v>
          </cell>
          <cell r="CA12">
            <v>334845.21992346627</v>
          </cell>
          <cell r="CB12">
            <v>0.10234530988206607</v>
          </cell>
          <cell r="CC12">
            <v>28765.51864806415</v>
          </cell>
          <cell r="CD12">
            <v>-5284.7957360897844</v>
          </cell>
          <cell r="CE12">
            <v>-25513.097684307293</v>
          </cell>
          <cell r="CF12">
            <v>-18906.352557716724</v>
          </cell>
          <cell r="CG12">
            <v>104276.06801952093</v>
          </cell>
          <cell r="CH12">
            <v>-14888.551594883442</v>
          </cell>
          <cell r="CI12">
            <v>216681.70258684226</v>
          </cell>
          <cell r="CJ12">
            <v>30515.853243324513</v>
          </cell>
          <cell r="CK12">
            <v>37966.399759004111</v>
          </cell>
          <cell r="CL12">
            <v>-9135.1790957685735</v>
          </cell>
          <cell r="CM12">
            <v>-8350.2509393528308</v>
          </cell>
          <cell r="CN12">
            <v>32296.395852713424</v>
          </cell>
          <cell r="CO12">
            <v>349550.20301367302</v>
          </cell>
          <cell r="CP12">
            <v>0.42294613762647371</v>
          </cell>
          <cell r="CQ12">
            <v>7.35905594988258E-2</v>
          </cell>
          <cell r="CR12">
            <v>8.2962594909753024E-2</v>
          </cell>
          <cell r="CS12">
            <v>1.7892516626277867E-2</v>
          </cell>
          <cell r="CT12">
            <v>-2.4732885317140137E-3</v>
          </cell>
          <cell r="CU12">
            <v>0.10586298753888759</v>
          </cell>
          <cell r="CV12">
            <v>42.600838212563545</v>
          </cell>
          <cell r="CW12">
            <v>5.3071657252094475</v>
          </cell>
          <cell r="CX12">
            <v>9.4706980108063252</v>
          </cell>
          <cell r="CY12">
            <v>-1.1700110965968467</v>
          </cell>
          <cell r="CZ12">
            <v>0.97393317189613549</v>
          </cell>
          <cell r="DA12">
            <v>13.160797782723682</v>
          </cell>
          <cell r="DB12">
            <v>80.826561365641552</v>
          </cell>
        </row>
        <row r="13">
          <cell r="L13">
            <v>22.480065146407</v>
          </cell>
          <cell r="M13">
            <v>1.0747456362248122</v>
          </cell>
          <cell r="N13">
            <v>2.7329248339636161</v>
          </cell>
          <cell r="O13">
            <v>0.29078784028338911</v>
          </cell>
          <cell r="P13">
            <v>3.2028307061538803</v>
          </cell>
          <cell r="Q13">
            <v>1.222710574513201</v>
          </cell>
          <cell r="R13">
            <v>16.372653935794702</v>
          </cell>
          <cell r="S13">
            <v>1.8165771771769958</v>
          </cell>
          <cell r="T13">
            <v>0.2110486242208556</v>
          </cell>
          <cell r="U13">
            <v>3.4194407243989366E-2</v>
          </cell>
          <cell r="V13">
            <v>0.29486276909909559</v>
          </cell>
          <cell r="W13">
            <v>7.0209138999323156E-2</v>
          </cell>
          <cell r="X13">
            <v>1.5136605586763723</v>
          </cell>
          <cell r="Y13">
            <v>5.6085836703237808E-2</v>
          </cell>
          <cell r="Z13">
            <v>72052.353271212793</v>
          </cell>
          <cell r="AA13">
            <v>117026.19825747277</v>
          </cell>
          <cell r="AB13">
            <v>0</v>
          </cell>
          <cell r="AC13">
            <v>67914.273684454718</v>
          </cell>
          <cell r="AD13">
            <v>0</v>
          </cell>
          <cell r="AE13">
            <v>0</v>
          </cell>
          <cell r="AF13">
            <v>53455.555555555555</v>
          </cell>
          <cell r="AG13">
            <v>131907.42417671951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33021.102040816324</v>
          </cell>
          <cell r="AO13">
            <v>40539.29362929229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41423.482202344065</v>
          </cell>
          <cell r="AX13">
            <v>45416.588620337287</v>
          </cell>
          <cell r="AY13">
            <v>0</v>
          </cell>
          <cell r="AZ13">
            <v>0</v>
          </cell>
          <cell r="BA13">
            <v>46311.377761028903</v>
          </cell>
          <cell r="BB13">
            <v>0</v>
          </cell>
          <cell r="BC13">
            <v>49620.594785383997</v>
          </cell>
          <cell r="BD13">
            <v>38093.165287536744</v>
          </cell>
          <cell r="BE13">
            <v>40410.526315789473</v>
          </cell>
          <cell r="BF13">
            <v>37251.243231968059</v>
          </cell>
          <cell r="BG13">
            <v>22717.334880124985</v>
          </cell>
          <cell r="BH13">
            <v>43556.327965630728</v>
          </cell>
          <cell r="BI13">
            <v>25381.428571428572</v>
          </cell>
          <cell r="BJ13">
            <v>23444.833333333336</v>
          </cell>
          <cell r="BK13">
            <v>0</v>
          </cell>
          <cell r="BL13">
            <v>37511.068903385298</v>
          </cell>
          <cell r="BM13">
            <v>93123.892778139023</v>
          </cell>
          <cell r="BN13">
            <v>75161.12445450385</v>
          </cell>
          <cell r="BO13">
            <v>120235.51265104848</v>
          </cell>
          <cell r="BP13">
            <v>39356.546406253517</v>
          </cell>
          <cell r="BQ13">
            <v>41923.151828633563</v>
          </cell>
          <cell r="BR13">
            <v>34860.115494120335</v>
          </cell>
          <cell r="BS13">
            <v>39268.080811067135</v>
          </cell>
          <cell r="BT13">
            <v>163298.52298238172</v>
          </cell>
          <cell r="BU13">
            <v>0.30951402011544682</v>
          </cell>
          <cell r="BV13">
            <v>1049.4056009049723</v>
          </cell>
          <cell r="BW13">
            <v>163902.66960738285</v>
          </cell>
          <cell r="BX13">
            <v>33115.928829909841</v>
          </cell>
          <cell r="BY13">
            <v>128723.77509576856</v>
          </cell>
          <cell r="BZ13">
            <v>235075.35593657917</v>
          </cell>
          <cell r="CA13">
            <v>1129686.2829272412</v>
          </cell>
          <cell r="CB13">
            <v>0.26182901402968572</v>
          </cell>
          <cell r="CC13">
            <v>147377.24535193585</v>
          </cell>
          <cell r="CD13">
            <v>16435.075736089784</v>
          </cell>
          <cell r="CE13">
            <v>121361.9336843073</v>
          </cell>
          <cell r="CF13">
            <v>62410.420557716723</v>
          </cell>
          <cell r="CG13">
            <v>413661.7199804791</v>
          </cell>
          <cell r="CH13">
            <v>40855.207594883439</v>
          </cell>
          <cell r="CI13">
            <v>653868.68941315776</v>
          </cell>
          <cell r="CJ13">
            <v>163902.66960738285</v>
          </cell>
          <cell r="CK13">
            <v>142570.37624099589</v>
          </cell>
          <cell r="CL13">
            <v>128723.77509576856</v>
          </cell>
          <cell r="CM13">
            <v>42639.914939352835</v>
          </cell>
          <cell r="CN13">
            <v>235075.35593657917</v>
          </cell>
          <cell r="CO13">
            <v>1317205.4996263271</v>
          </cell>
          <cell r="CP13">
            <v>0.63910146780055677</v>
          </cell>
          <cell r="CQ13">
            <v>0.15684808047742871</v>
          </cell>
          <cell r="CR13">
            <v>0.13469498808628508</v>
          </cell>
          <cell r="CS13">
            <v>0.11500826593670618</v>
          </cell>
          <cell r="CT13">
            <v>4.1578822468167242E-2</v>
          </cell>
          <cell r="CU13">
            <v>0.2119868675623521</v>
          </cell>
          <cell r="CV13">
            <v>143.50182671064113</v>
          </cell>
          <cell r="CW13">
            <v>32.845811714322963</v>
          </cell>
          <cell r="CX13">
            <v>28.993534782884005</v>
          </cell>
          <cell r="CY13">
            <v>22.748648622541225</v>
          </cell>
          <cell r="CZ13">
            <v>4.0384890780000875</v>
          </cell>
          <cell r="DA13">
            <v>37.670291443995474</v>
          </cell>
          <cell r="DB13">
            <v>259.3154627933456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ions"/>
      <sheetName val="Review"/>
      <sheetName val="FY17 Expenses"/>
      <sheetName val="Post LS.Clinician Added"/>
      <sheetName val="3777ModelBudgets"/>
      <sheetName val="Consolidated FI (2)"/>
      <sheetName val="AdditionalMCB Spend"/>
      <sheetName val="Analysis"/>
      <sheetName val="T &amp; F,M &amp; G"/>
      <sheetName val="PivotData"/>
      <sheetName val="Pivot"/>
      <sheetName val="Spring CAF"/>
      <sheetName val="Post LS. Transp Change w Salary"/>
      <sheetName val="Post LS CAF Only"/>
      <sheetName val="Post LS. Salary Blended"/>
      <sheetName val="$1.50 Increase"/>
      <sheetName val="Post LS. Salary Blended BTL"/>
      <sheetName val="2nd $1.50 Increase "/>
      <sheetName val="Salary Blend and BTL Update"/>
      <sheetName val="All Rates"/>
      <sheetName val="Below The Line"/>
      <sheetName val="FY17 Data"/>
      <sheetName val="BTL 2"/>
    </sheetNames>
    <sheetDataSet>
      <sheetData sheetId="0"/>
      <sheetData sheetId="1"/>
      <sheetData sheetId="2"/>
      <sheetData sheetId="3">
        <row r="30">
          <cell r="M30">
            <v>10.883175785300898</v>
          </cell>
        </row>
      </sheetData>
      <sheetData sheetId="4"/>
      <sheetData sheetId="5"/>
      <sheetData sheetId="6"/>
      <sheetData sheetId="7">
        <row r="55">
          <cell r="E55">
            <v>1</v>
          </cell>
        </row>
      </sheetData>
      <sheetData sheetId="8">
        <row r="89">
          <cell r="H89">
            <v>0.23105972742020292</v>
          </cell>
        </row>
      </sheetData>
      <sheetData sheetId="9"/>
      <sheetData sheetId="10"/>
      <sheetData sheetId="11"/>
      <sheetData sheetId="12">
        <row r="30">
          <cell r="M30">
            <v>11.953557523366088</v>
          </cell>
        </row>
      </sheetData>
      <sheetData sheetId="13">
        <row r="19">
          <cell r="C19">
            <v>53818</v>
          </cell>
        </row>
      </sheetData>
      <sheetData sheetId="14">
        <row r="29">
          <cell r="M29">
            <v>10.868146380124763</v>
          </cell>
        </row>
      </sheetData>
      <sheetData sheetId="15">
        <row r="30">
          <cell r="M30">
            <v>11.819686407072098</v>
          </cell>
        </row>
      </sheetData>
      <sheetData sheetId="16">
        <row r="29">
          <cell r="M29">
            <v>12.290177715013428</v>
          </cell>
        </row>
      </sheetData>
      <sheetData sheetId="17">
        <row r="30">
          <cell r="M30">
            <v>12.708109741219189</v>
          </cell>
        </row>
      </sheetData>
      <sheetData sheetId="18"/>
      <sheetData sheetId="19">
        <row r="14">
          <cell r="R14">
            <v>58863.5</v>
          </cell>
        </row>
      </sheetData>
      <sheetData sheetId="20"/>
      <sheetData sheetId="21"/>
      <sheetData sheetId="22">
        <row r="23">
          <cell r="Q23">
            <v>6.5544624043189366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Direct Care"/>
      <sheetName val="Direct Care III "/>
      <sheetName val="CNA"/>
      <sheetName val="Caseworker BA"/>
      <sheetName val="Casemanager MA "/>
      <sheetName val="Clinician w indep Lic"/>
      <sheetName val="Clinical Manager"/>
      <sheetName val="LPN"/>
      <sheetName val="BS RN"/>
      <sheetName val="MA RN. AP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7"/>
  <sheetViews>
    <sheetView topLeftCell="BD1" workbookViewId="0">
      <selection activeCell="BF16" sqref="BF16:BQ27"/>
    </sheetView>
  </sheetViews>
  <sheetFormatPr defaultRowHeight="13.2"/>
  <cols>
    <col min="1" max="1" width="38.44140625" style="159" customWidth="1"/>
    <col min="2" max="2" width="12.88671875" style="164" customWidth="1"/>
    <col min="3" max="58" width="7.6640625" style="159" customWidth="1"/>
    <col min="59" max="59" width="13" style="159" customWidth="1"/>
    <col min="60" max="60" width="8.44140625" style="159" customWidth="1"/>
    <col min="61" max="61" width="8.109375" style="159" customWidth="1"/>
    <col min="62" max="67" width="8.109375" style="159" bestFit="1" customWidth="1"/>
    <col min="68" max="68" width="7.44140625" style="159" bestFit="1" customWidth="1"/>
    <col min="69" max="69" width="9" style="159" bestFit="1" customWidth="1"/>
    <col min="70" max="82" width="7.6640625" style="159" customWidth="1"/>
    <col min="83" max="256" width="8.88671875" style="159"/>
    <col min="257" max="257" width="38.44140625" style="159" customWidth="1"/>
    <col min="258" max="258" width="12.88671875" style="159" customWidth="1"/>
    <col min="259" max="314" width="7.6640625" style="159" customWidth="1"/>
    <col min="315" max="315" width="13" style="159" customWidth="1"/>
    <col min="316" max="316" width="8.44140625" style="159" customWidth="1"/>
    <col min="317" max="317" width="8.109375" style="159" customWidth="1"/>
    <col min="318" max="323" width="8.109375" style="159" bestFit="1" customWidth="1"/>
    <col min="324" max="324" width="7.44140625" style="159" bestFit="1" customWidth="1"/>
    <col min="325" max="325" width="9" style="159" bestFit="1" customWidth="1"/>
    <col min="326" max="338" width="7.6640625" style="159" customWidth="1"/>
    <col min="339" max="512" width="8.88671875" style="159"/>
    <col min="513" max="513" width="38.44140625" style="159" customWidth="1"/>
    <col min="514" max="514" width="12.88671875" style="159" customWidth="1"/>
    <col min="515" max="570" width="7.6640625" style="159" customWidth="1"/>
    <col min="571" max="571" width="13" style="159" customWidth="1"/>
    <col min="572" max="572" width="8.44140625" style="159" customWidth="1"/>
    <col min="573" max="573" width="8.109375" style="159" customWidth="1"/>
    <col min="574" max="579" width="8.109375" style="159" bestFit="1" customWidth="1"/>
    <col min="580" max="580" width="7.44140625" style="159" bestFit="1" customWidth="1"/>
    <col min="581" max="581" width="9" style="159" bestFit="1" customWidth="1"/>
    <col min="582" max="594" width="7.6640625" style="159" customWidth="1"/>
    <col min="595" max="768" width="8.88671875" style="159"/>
    <col min="769" max="769" width="38.44140625" style="159" customWidth="1"/>
    <col min="770" max="770" width="12.88671875" style="159" customWidth="1"/>
    <col min="771" max="826" width="7.6640625" style="159" customWidth="1"/>
    <col min="827" max="827" width="13" style="159" customWidth="1"/>
    <col min="828" max="828" width="8.44140625" style="159" customWidth="1"/>
    <col min="829" max="829" width="8.109375" style="159" customWidth="1"/>
    <col min="830" max="835" width="8.109375" style="159" bestFit="1" customWidth="1"/>
    <col min="836" max="836" width="7.44140625" style="159" bestFit="1" customWidth="1"/>
    <col min="837" max="837" width="9" style="159" bestFit="1" customWidth="1"/>
    <col min="838" max="850" width="7.6640625" style="159" customWidth="1"/>
    <col min="851" max="1024" width="8.88671875" style="159"/>
    <col min="1025" max="1025" width="38.44140625" style="159" customWidth="1"/>
    <col min="1026" max="1026" width="12.88671875" style="159" customWidth="1"/>
    <col min="1027" max="1082" width="7.6640625" style="159" customWidth="1"/>
    <col min="1083" max="1083" width="13" style="159" customWidth="1"/>
    <col min="1084" max="1084" width="8.44140625" style="159" customWidth="1"/>
    <col min="1085" max="1085" width="8.109375" style="159" customWidth="1"/>
    <col min="1086" max="1091" width="8.109375" style="159" bestFit="1" customWidth="1"/>
    <col min="1092" max="1092" width="7.44140625" style="159" bestFit="1" customWidth="1"/>
    <col min="1093" max="1093" width="9" style="159" bestFit="1" customWidth="1"/>
    <col min="1094" max="1106" width="7.6640625" style="159" customWidth="1"/>
    <col min="1107" max="1280" width="8.88671875" style="159"/>
    <col min="1281" max="1281" width="38.44140625" style="159" customWidth="1"/>
    <col min="1282" max="1282" width="12.88671875" style="159" customWidth="1"/>
    <col min="1283" max="1338" width="7.6640625" style="159" customWidth="1"/>
    <col min="1339" max="1339" width="13" style="159" customWidth="1"/>
    <col min="1340" max="1340" width="8.44140625" style="159" customWidth="1"/>
    <col min="1341" max="1341" width="8.109375" style="159" customWidth="1"/>
    <col min="1342" max="1347" width="8.109375" style="159" bestFit="1" customWidth="1"/>
    <col min="1348" max="1348" width="7.44140625" style="159" bestFit="1" customWidth="1"/>
    <col min="1349" max="1349" width="9" style="159" bestFit="1" customWidth="1"/>
    <col min="1350" max="1362" width="7.6640625" style="159" customWidth="1"/>
    <col min="1363" max="1536" width="8.88671875" style="159"/>
    <col min="1537" max="1537" width="38.44140625" style="159" customWidth="1"/>
    <col min="1538" max="1538" width="12.88671875" style="159" customWidth="1"/>
    <col min="1539" max="1594" width="7.6640625" style="159" customWidth="1"/>
    <col min="1595" max="1595" width="13" style="159" customWidth="1"/>
    <col min="1596" max="1596" width="8.44140625" style="159" customWidth="1"/>
    <col min="1597" max="1597" width="8.109375" style="159" customWidth="1"/>
    <col min="1598" max="1603" width="8.109375" style="159" bestFit="1" customWidth="1"/>
    <col min="1604" max="1604" width="7.44140625" style="159" bestFit="1" customWidth="1"/>
    <col min="1605" max="1605" width="9" style="159" bestFit="1" customWidth="1"/>
    <col min="1606" max="1618" width="7.6640625" style="159" customWidth="1"/>
    <col min="1619" max="1792" width="8.88671875" style="159"/>
    <col min="1793" max="1793" width="38.44140625" style="159" customWidth="1"/>
    <col min="1794" max="1794" width="12.88671875" style="159" customWidth="1"/>
    <col min="1795" max="1850" width="7.6640625" style="159" customWidth="1"/>
    <col min="1851" max="1851" width="13" style="159" customWidth="1"/>
    <col min="1852" max="1852" width="8.44140625" style="159" customWidth="1"/>
    <col min="1853" max="1853" width="8.109375" style="159" customWidth="1"/>
    <col min="1854" max="1859" width="8.109375" style="159" bestFit="1" customWidth="1"/>
    <col min="1860" max="1860" width="7.44140625" style="159" bestFit="1" customWidth="1"/>
    <col min="1861" max="1861" width="9" style="159" bestFit="1" customWidth="1"/>
    <col min="1862" max="1874" width="7.6640625" style="159" customWidth="1"/>
    <col min="1875" max="2048" width="8.88671875" style="159"/>
    <col min="2049" max="2049" width="38.44140625" style="159" customWidth="1"/>
    <col min="2050" max="2050" width="12.88671875" style="159" customWidth="1"/>
    <col min="2051" max="2106" width="7.6640625" style="159" customWidth="1"/>
    <col min="2107" max="2107" width="13" style="159" customWidth="1"/>
    <col min="2108" max="2108" width="8.44140625" style="159" customWidth="1"/>
    <col min="2109" max="2109" width="8.109375" style="159" customWidth="1"/>
    <col min="2110" max="2115" width="8.109375" style="159" bestFit="1" customWidth="1"/>
    <col min="2116" max="2116" width="7.44140625" style="159" bestFit="1" customWidth="1"/>
    <col min="2117" max="2117" width="9" style="159" bestFit="1" customWidth="1"/>
    <col min="2118" max="2130" width="7.6640625" style="159" customWidth="1"/>
    <col min="2131" max="2304" width="8.88671875" style="159"/>
    <col min="2305" max="2305" width="38.44140625" style="159" customWidth="1"/>
    <col min="2306" max="2306" width="12.88671875" style="159" customWidth="1"/>
    <col min="2307" max="2362" width="7.6640625" style="159" customWidth="1"/>
    <col min="2363" max="2363" width="13" style="159" customWidth="1"/>
    <col min="2364" max="2364" width="8.44140625" style="159" customWidth="1"/>
    <col min="2365" max="2365" width="8.109375" style="159" customWidth="1"/>
    <col min="2366" max="2371" width="8.109375" style="159" bestFit="1" customWidth="1"/>
    <col min="2372" max="2372" width="7.44140625" style="159" bestFit="1" customWidth="1"/>
    <col min="2373" max="2373" width="9" style="159" bestFit="1" customWidth="1"/>
    <col min="2374" max="2386" width="7.6640625" style="159" customWidth="1"/>
    <col min="2387" max="2560" width="8.88671875" style="159"/>
    <col min="2561" max="2561" width="38.44140625" style="159" customWidth="1"/>
    <col min="2562" max="2562" width="12.88671875" style="159" customWidth="1"/>
    <col min="2563" max="2618" width="7.6640625" style="159" customWidth="1"/>
    <col min="2619" max="2619" width="13" style="159" customWidth="1"/>
    <col min="2620" max="2620" width="8.44140625" style="159" customWidth="1"/>
    <col min="2621" max="2621" width="8.109375" style="159" customWidth="1"/>
    <col min="2622" max="2627" width="8.109375" style="159" bestFit="1" customWidth="1"/>
    <col min="2628" max="2628" width="7.44140625" style="159" bestFit="1" customWidth="1"/>
    <col min="2629" max="2629" width="9" style="159" bestFit="1" customWidth="1"/>
    <col min="2630" max="2642" width="7.6640625" style="159" customWidth="1"/>
    <col min="2643" max="2816" width="8.88671875" style="159"/>
    <col min="2817" max="2817" width="38.44140625" style="159" customWidth="1"/>
    <col min="2818" max="2818" width="12.88671875" style="159" customWidth="1"/>
    <col min="2819" max="2874" width="7.6640625" style="159" customWidth="1"/>
    <col min="2875" max="2875" width="13" style="159" customWidth="1"/>
    <col min="2876" max="2876" width="8.44140625" style="159" customWidth="1"/>
    <col min="2877" max="2877" width="8.109375" style="159" customWidth="1"/>
    <col min="2878" max="2883" width="8.109375" style="159" bestFit="1" customWidth="1"/>
    <col min="2884" max="2884" width="7.44140625" style="159" bestFit="1" customWidth="1"/>
    <col min="2885" max="2885" width="9" style="159" bestFit="1" customWidth="1"/>
    <col min="2886" max="2898" width="7.6640625" style="159" customWidth="1"/>
    <col min="2899" max="3072" width="8.88671875" style="159"/>
    <col min="3073" max="3073" width="38.44140625" style="159" customWidth="1"/>
    <col min="3074" max="3074" width="12.88671875" style="159" customWidth="1"/>
    <col min="3075" max="3130" width="7.6640625" style="159" customWidth="1"/>
    <col min="3131" max="3131" width="13" style="159" customWidth="1"/>
    <col min="3132" max="3132" width="8.44140625" style="159" customWidth="1"/>
    <col min="3133" max="3133" width="8.109375" style="159" customWidth="1"/>
    <col min="3134" max="3139" width="8.109375" style="159" bestFit="1" customWidth="1"/>
    <col min="3140" max="3140" width="7.44140625" style="159" bestFit="1" customWidth="1"/>
    <col min="3141" max="3141" width="9" style="159" bestFit="1" customWidth="1"/>
    <col min="3142" max="3154" width="7.6640625" style="159" customWidth="1"/>
    <col min="3155" max="3328" width="8.88671875" style="159"/>
    <col min="3329" max="3329" width="38.44140625" style="159" customWidth="1"/>
    <col min="3330" max="3330" width="12.88671875" style="159" customWidth="1"/>
    <col min="3331" max="3386" width="7.6640625" style="159" customWidth="1"/>
    <col min="3387" max="3387" width="13" style="159" customWidth="1"/>
    <col min="3388" max="3388" width="8.44140625" style="159" customWidth="1"/>
    <col min="3389" max="3389" width="8.109375" style="159" customWidth="1"/>
    <col min="3390" max="3395" width="8.109375" style="159" bestFit="1" customWidth="1"/>
    <col min="3396" max="3396" width="7.44140625" style="159" bestFit="1" customWidth="1"/>
    <col min="3397" max="3397" width="9" style="159" bestFit="1" customWidth="1"/>
    <col min="3398" max="3410" width="7.6640625" style="159" customWidth="1"/>
    <col min="3411" max="3584" width="8.88671875" style="159"/>
    <col min="3585" max="3585" width="38.44140625" style="159" customWidth="1"/>
    <col min="3586" max="3586" width="12.88671875" style="159" customWidth="1"/>
    <col min="3587" max="3642" width="7.6640625" style="159" customWidth="1"/>
    <col min="3643" max="3643" width="13" style="159" customWidth="1"/>
    <col min="3644" max="3644" width="8.44140625" style="159" customWidth="1"/>
    <col min="3645" max="3645" width="8.109375" style="159" customWidth="1"/>
    <col min="3646" max="3651" width="8.109375" style="159" bestFit="1" customWidth="1"/>
    <col min="3652" max="3652" width="7.44140625" style="159" bestFit="1" customWidth="1"/>
    <col min="3653" max="3653" width="9" style="159" bestFit="1" customWidth="1"/>
    <col min="3654" max="3666" width="7.6640625" style="159" customWidth="1"/>
    <col min="3667" max="3840" width="8.88671875" style="159"/>
    <col min="3841" max="3841" width="38.44140625" style="159" customWidth="1"/>
    <col min="3842" max="3842" width="12.88671875" style="159" customWidth="1"/>
    <col min="3843" max="3898" width="7.6640625" style="159" customWidth="1"/>
    <col min="3899" max="3899" width="13" style="159" customWidth="1"/>
    <col min="3900" max="3900" width="8.44140625" style="159" customWidth="1"/>
    <col min="3901" max="3901" width="8.109375" style="159" customWidth="1"/>
    <col min="3902" max="3907" width="8.109375" style="159" bestFit="1" customWidth="1"/>
    <col min="3908" max="3908" width="7.44140625" style="159" bestFit="1" customWidth="1"/>
    <col min="3909" max="3909" width="9" style="159" bestFit="1" customWidth="1"/>
    <col min="3910" max="3922" width="7.6640625" style="159" customWidth="1"/>
    <col min="3923" max="4096" width="8.88671875" style="159"/>
    <col min="4097" max="4097" width="38.44140625" style="159" customWidth="1"/>
    <col min="4098" max="4098" width="12.88671875" style="159" customWidth="1"/>
    <col min="4099" max="4154" width="7.6640625" style="159" customWidth="1"/>
    <col min="4155" max="4155" width="13" style="159" customWidth="1"/>
    <col min="4156" max="4156" width="8.44140625" style="159" customWidth="1"/>
    <col min="4157" max="4157" width="8.109375" style="159" customWidth="1"/>
    <col min="4158" max="4163" width="8.109375" style="159" bestFit="1" customWidth="1"/>
    <col min="4164" max="4164" width="7.44140625" style="159" bestFit="1" customWidth="1"/>
    <col min="4165" max="4165" width="9" style="159" bestFit="1" customWidth="1"/>
    <col min="4166" max="4178" width="7.6640625" style="159" customWidth="1"/>
    <col min="4179" max="4352" width="8.88671875" style="159"/>
    <col min="4353" max="4353" width="38.44140625" style="159" customWidth="1"/>
    <col min="4354" max="4354" width="12.88671875" style="159" customWidth="1"/>
    <col min="4355" max="4410" width="7.6640625" style="159" customWidth="1"/>
    <col min="4411" max="4411" width="13" style="159" customWidth="1"/>
    <col min="4412" max="4412" width="8.44140625" style="159" customWidth="1"/>
    <col min="4413" max="4413" width="8.109375" style="159" customWidth="1"/>
    <col min="4414" max="4419" width="8.109375" style="159" bestFit="1" customWidth="1"/>
    <col min="4420" max="4420" width="7.44140625" style="159" bestFit="1" customWidth="1"/>
    <col min="4421" max="4421" width="9" style="159" bestFit="1" customWidth="1"/>
    <col min="4422" max="4434" width="7.6640625" style="159" customWidth="1"/>
    <col min="4435" max="4608" width="8.88671875" style="159"/>
    <col min="4609" max="4609" width="38.44140625" style="159" customWidth="1"/>
    <col min="4610" max="4610" width="12.88671875" style="159" customWidth="1"/>
    <col min="4611" max="4666" width="7.6640625" style="159" customWidth="1"/>
    <col min="4667" max="4667" width="13" style="159" customWidth="1"/>
    <col min="4668" max="4668" width="8.44140625" style="159" customWidth="1"/>
    <col min="4669" max="4669" width="8.109375" style="159" customWidth="1"/>
    <col min="4670" max="4675" width="8.109375" style="159" bestFit="1" customWidth="1"/>
    <col min="4676" max="4676" width="7.44140625" style="159" bestFit="1" customWidth="1"/>
    <col min="4677" max="4677" width="9" style="159" bestFit="1" customWidth="1"/>
    <col min="4678" max="4690" width="7.6640625" style="159" customWidth="1"/>
    <col min="4691" max="4864" width="8.88671875" style="159"/>
    <col min="4865" max="4865" width="38.44140625" style="159" customWidth="1"/>
    <col min="4866" max="4866" width="12.88671875" style="159" customWidth="1"/>
    <col min="4867" max="4922" width="7.6640625" style="159" customWidth="1"/>
    <col min="4923" max="4923" width="13" style="159" customWidth="1"/>
    <col min="4924" max="4924" width="8.44140625" style="159" customWidth="1"/>
    <col min="4925" max="4925" width="8.109375" style="159" customWidth="1"/>
    <col min="4926" max="4931" width="8.109375" style="159" bestFit="1" customWidth="1"/>
    <col min="4932" max="4932" width="7.44140625" style="159" bestFit="1" customWidth="1"/>
    <col min="4933" max="4933" width="9" style="159" bestFit="1" customWidth="1"/>
    <col min="4934" max="4946" width="7.6640625" style="159" customWidth="1"/>
    <col min="4947" max="5120" width="8.88671875" style="159"/>
    <col min="5121" max="5121" width="38.44140625" style="159" customWidth="1"/>
    <col min="5122" max="5122" width="12.88671875" style="159" customWidth="1"/>
    <col min="5123" max="5178" width="7.6640625" style="159" customWidth="1"/>
    <col min="5179" max="5179" width="13" style="159" customWidth="1"/>
    <col min="5180" max="5180" width="8.44140625" style="159" customWidth="1"/>
    <col min="5181" max="5181" width="8.109375" style="159" customWidth="1"/>
    <col min="5182" max="5187" width="8.109375" style="159" bestFit="1" customWidth="1"/>
    <col min="5188" max="5188" width="7.44140625" style="159" bestFit="1" customWidth="1"/>
    <col min="5189" max="5189" width="9" style="159" bestFit="1" customWidth="1"/>
    <col min="5190" max="5202" width="7.6640625" style="159" customWidth="1"/>
    <col min="5203" max="5376" width="8.88671875" style="159"/>
    <col min="5377" max="5377" width="38.44140625" style="159" customWidth="1"/>
    <col min="5378" max="5378" width="12.88671875" style="159" customWidth="1"/>
    <col min="5379" max="5434" width="7.6640625" style="159" customWidth="1"/>
    <col min="5435" max="5435" width="13" style="159" customWidth="1"/>
    <col min="5436" max="5436" width="8.44140625" style="159" customWidth="1"/>
    <col min="5437" max="5437" width="8.109375" style="159" customWidth="1"/>
    <col min="5438" max="5443" width="8.109375" style="159" bestFit="1" customWidth="1"/>
    <col min="5444" max="5444" width="7.44140625" style="159" bestFit="1" customWidth="1"/>
    <col min="5445" max="5445" width="9" style="159" bestFit="1" customWidth="1"/>
    <col min="5446" max="5458" width="7.6640625" style="159" customWidth="1"/>
    <col min="5459" max="5632" width="8.88671875" style="159"/>
    <col min="5633" max="5633" width="38.44140625" style="159" customWidth="1"/>
    <col min="5634" max="5634" width="12.88671875" style="159" customWidth="1"/>
    <col min="5635" max="5690" width="7.6640625" style="159" customWidth="1"/>
    <col min="5691" max="5691" width="13" style="159" customWidth="1"/>
    <col min="5692" max="5692" width="8.44140625" style="159" customWidth="1"/>
    <col min="5693" max="5693" width="8.109375" style="159" customWidth="1"/>
    <col min="5694" max="5699" width="8.109375" style="159" bestFit="1" customWidth="1"/>
    <col min="5700" max="5700" width="7.44140625" style="159" bestFit="1" customWidth="1"/>
    <col min="5701" max="5701" width="9" style="159" bestFit="1" customWidth="1"/>
    <col min="5702" max="5714" width="7.6640625" style="159" customWidth="1"/>
    <col min="5715" max="5888" width="8.88671875" style="159"/>
    <col min="5889" max="5889" width="38.44140625" style="159" customWidth="1"/>
    <col min="5890" max="5890" width="12.88671875" style="159" customWidth="1"/>
    <col min="5891" max="5946" width="7.6640625" style="159" customWidth="1"/>
    <col min="5947" max="5947" width="13" style="159" customWidth="1"/>
    <col min="5948" max="5948" width="8.44140625" style="159" customWidth="1"/>
    <col min="5949" max="5949" width="8.109375" style="159" customWidth="1"/>
    <col min="5950" max="5955" width="8.109375" style="159" bestFit="1" customWidth="1"/>
    <col min="5956" max="5956" width="7.44140625" style="159" bestFit="1" customWidth="1"/>
    <col min="5957" max="5957" width="9" style="159" bestFit="1" customWidth="1"/>
    <col min="5958" max="5970" width="7.6640625" style="159" customWidth="1"/>
    <col min="5971" max="6144" width="8.88671875" style="159"/>
    <col min="6145" max="6145" width="38.44140625" style="159" customWidth="1"/>
    <col min="6146" max="6146" width="12.88671875" style="159" customWidth="1"/>
    <col min="6147" max="6202" width="7.6640625" style="159" customWidth="1"/>
    <col min="6203" max="6203" width="13" style="159" customWidth="1"/>
    <col min="6204" max="6204" width="8.44140625" style="159" customWidth="1"/>
    <col min="6205" max="6205" width="8.109375" style="159" customWidth="1"/>
    <col min="6206" max="6211" width="8.109375" style="159" bestFit="1" customWidth="1"/>
    <col min="6212" max="6212" width="7.44140625" style="159" bestFit="1" customWidth="1"/>
    <col min="6213" max="6213" width="9" style="159" bestFit="1" customWidth="1"/>
    <col min="6214" max="6226" width="7.6640625" style="159" customWidth="1"/>
    <col min="6227" max="6400" width="8.88671875" style="159"/>
    <col min="6401" max="6401" width="38.44140625" style="159" customWidth="1"/>
    <col min="6402" max="6402" width="12.88671875" style="159" customWidth="1"/>
    <col min="6403" max="6458" width="7.6640625" style="159" customWidth="1"/>
    <col min="6459" max="6459" width="13" style="159" customWidth="1"/>
    <col min="6460" max="6460" width="8.44140625" style="159" customWidth="1"/>
    <col min="6461" max="6461" width="8.109375" style="159" customWidth="1"/>
    <col min="6462" max="6467" width="8.109375" style="159" bestFit="1" customWidth="1"/>
    <col min="6468" max="6468" width="7.44140625" style="159" bestFit="1" customWidth="1"/>
    <col min="6469" max="6469" width="9" style="159" bestFit="1" customWidth="1"/>
    <col min="6470" max="6482" width="7.6640625" style="159" customWidth="1"/>
    <col min="6483" max="6656" width="8.88671875" style="159"/>
    <col min="6657" max="6657" width="38.44140625" style="159" customWidth="1"/>
    <col min="6658" max="6658" width="12.88671875" style="159" customWidth="1"/>
    <col min="6659" max="6714" width="7.6640625" style="159" customWidth="1"/>
    <col min="6715" max="6715" width="13" style="159" customWidth="1"/>
    <col min="6716" max="6716" width="8.44140625" style="159" customWidth="1"/>
    <col min="6717" max="6717" width="8.109375" style="159" customWidth="1"/>
    <col min="6718" max="6723" width="8.109375" style="159" bestFit="1" customWidth="1"/>
    <col min="6724" max="6724" width="7.44140625" style="159" bestFit="1" customWidth="1"/>
    <col min="6725" max="6725" width="9" style="159" bestFit="1" customWidth="1"/>
    <col min="6726" max="6738" width="7.6640625" style="159" customWidth="1"/>
    <col min="6739" max="6912" width="8.88671875" style="159"/>
    <col min="6913" max="6913" width="38.44140625" style="159" customWidth="1"/>
    <col min="6914" max="6914" width="12.88671875" style="159" customWidth="1"/>
    <col min="6915" max="6970" width="7.6640625" style="159" customWidth="1"/>
    <col min="6971" max="6971" width="13" style="159" customWidth="1"/>
    <col min="6972" max="6972" width="8.44140625" style="159" customWidth="1"/>
    <col min="6973" max="6973" width="8.109375" style="159" customWidth="1"/>
    <col min="6974" max="6979" width="8.109375" style="159" bestFit="1" customWidth="1"/>
    <col min="6980" max="6980" width="7.44140625" style="159" bestFit="1" customWidth="1"/>
    <col min="6981" max="6981" width="9" style="159" bestFit="1" customWidth="1"/>
    <col min="6982" max="6994" width="7.6640625" style="159" customWidth="1"/>
    <col min="6995" max="7168" width="8.88671875" style="159"/>
    <col min="7169" max="7169" width="38.44140625" style="159" customWidth="1"/>
    <col min="7170" max="7170" width="12.88671875" style="159" customWidth="1"/>
    <col min="7171" max="7226" width="7.6640625" style="159" customWidth="1"/>
    <col min="7227" max="7227" width="13" style="159" customWidth="1"/>
    <col min="7228" max="7228" width="8.44140625" style="159" customWidth="1"/>
    <col min="7229" max="7229" width="8.109375" style="159" customWidth="1"/>
    <col min="7230" max="7235" width="8.109375" style="159" bestFit="1" customWidth="1"/>
    <col min="7236" max="7236" width="7.44140625" style="159" bestFit="1" customWidth="1"/>
    <col min="7237" max="7237" width="9" style="159" bestFit="1" customWidth="1"/>
    <col min="7238" max="7250" width="7.6640625" style="159" customWidth="1"/>
    <col min="7251" max="7424" width="8.88671875" style="159"/>
    <col min="7425" max="7425" width="38.44140625" style="159" customWidth="1"/>
    <col min="7426" max="7426" width="12.88671875" style="159" customWidth="1"/>
    <col min="7427" max="7482" width="7.6640625" style="159" customWidth="1"/>
    <col min="7483" max="7483" width="13" style="159" customWidth="1"/>
    <col min="7484" max="7484" width="8.44140625" style="159" customWidth="1"/>
    <col min="7485" max="7485" width="8.109375" style="159" customWidth="1"/>
    <col min="7486" max="7491" width="8.109375" style="159" bestFit="1" customWidth="1"/>
    <col min="7492" max="7492" width="7.44140625" style="159" bestFit="1" customWidth="1"/>
    <col min="7493" max="7493" width="9" style="159" bestFit="1" customWidth="1"/>
    <col min="7494" max="7506" width="7.6640625" style="159" customWidth="1"/>
    <col min="7507" max="7680" width="8.88671875" style="159"/>
    <col min="7681" max="7681" width="38.44140625" style="159" customWidth="1"/>
    <col min="7682" max="7682" width="12.88671875" style="159" customWidth="1"/>
    <col min="7683" max="7738" width="7.6640625" style="159" customWidth="1"/>
    <col min="7739" max="7739" width="13" style="159" customWidth="1"/>
    <col min="7740" max="7740" width="8.44140625" style="159" customWidth="1"/>
    <col min="7741" max="7741" width="8.109375" style="159" customWidth="1"/>
    <col min="7742" max="7747" width="8.109375" style="159" bestFit="1" customWidth="1"/>
    <col min="7748" max="7748" width="7.44140625" style="159" bestFit="1" customWidth="1"/>
    <col min="7749" max="7749" width="9" style="159" bestFit="1" customWidth="1"/>
    <col min="7750" max="7762" width="7.6640625" style="159" customWidth="1"/>
    <col min="7763" max="7936" width="8.88671875" style="159"/>
    <col min="7937" max="7937" width="38.44140625" style="159" customWidth="1"/>
    <col min="7938" max="7938" width="12.88671875" style="159" customWidth="1"/>
    <col min="7939" max="7994" width="7.6640625" style="159" customWidth="1"/>
    <col min="7995" max="7995" width="13" style="159" customWidth="1"/>
    <col min="7996" max="7996" width="8.44140625" style="159" customWidth="1"/>
    <col min="7997" max="7997" width="8.109375" style="159" customWidth="1"/>
    <col min="7998" max="8003" width="8.109375" style="159" bestFit="1" customWidth="1"/>
    <col min="8004" max="8004" width="7.44140625" style="159" bestFit="1" customWidth="1"/>
    <col min="8005" max="8005" width="9" style="159" bestFit="1" customWidth="1"/>
    <col min="8006" max="8018" width="7.6640625" style="159" customWidth="1"/>
    <col min="8019" max="8192" width="8.88671875" style="159"/>
    <col min="8193" max="8193" width="38.44140625" style="159" customWidth="1"/>
    <col min="8194" max="8194" width="12.88671875" style="159" customWidth="1"/>
    <col min="8195" max="8250" width="7.6640625" style="159" customWidth="1"/>
    <col min="8251" max="8251" width="13" style="159" customWidth="1"/>
    <col min="8252" max="8252" width="8.44140625" style="159" customWidth="1"/>
    <col min="8253" max="8253" width="8.109375" style="159" customWidth="1"/>
    <col min="8254" max="8259" width="8.109375" style="159" bestFit="1" customWidth="1"/>
    <col min="8260" max="8260" width="7.44140625" style="159" bestFit="1" customWidth="1"/>
    <col min="8261" max="8261" width="9" style="159" bestFit="1" customWidth="1"/>
    <col min="8262" max="8274" width="7.6640625" style="159" customWidth="1"/>
    <col min="8275" max="8448" width="8.88671875" style="159"/>
    <col min="8449" max="8449" width="38.44140625" style="159" customWidth="1"/>
    <col min="8450" max="8450" width="12.88671875" style="159" customWidth="1"/>
    <col min="8451" max="8506" width="7.6640625" style="159" customWidth="1"/>
    <col min="8507" max="8507" width="13" style="159" customWidth="1"/>
    <col min="8508" max="8508" width="8.44140625" style="159" customWidth="1"/>
    <col min="8509" max="8509" width="8.109375" style="159" customWidth="1"/>
    <col min="8510" max="8515" width="8.109375" style="159" bestFit="1" customWidth="1"/>
    <col min="8516" max="8516" width="7.44140625" style="159" bestFit="1" customWidth="1"/>
    <col min="8517" max="8517" width="9" style="159" bestFit="1" customWidth="1"/>
    <col min="8518" max="8530" width="7.6640625" style="159" customWidth="1"/>
    <col min="8531" max="8704" width="8.88671875" style="159"/>
    <col min="8705" max="8705" width="38.44140625" style="159" customWidth="1"/>
    <col min="8706" max="8706" width="12.88671875" style="159" customWidth="1"/>
    <col min="8707" max="8762" width="7.6640625" style="159" customWidth="1"/>
    <col min="8763" max="8763" width="13" style="159" customWidth="1"/>
    <col min="8764" max="8764" width="8.44140625" style="159" customWidth="1"/>
    <col min="8765" max="8765" width="8.109375" style="159" customWidth="1"/>
    <col min="8766" max="8771" width="8.109375" style="159" bestFit="1" customWidth="1"/>
    <col min="8772" max="8772" width="7.44140625" style="159" bestFit="1" customWidth="1"/>
    <col min="8773" max="8773" width="9" style="159" bestFit="1" customWidth="1"/>
    <col min="8774" max="8786" width="7.6640625" style="159" customWidth="1"/>
    <col min="8787" max="8960" width="8.88671875" style="159"/>
    <col min="8961" max="8961" width="38.44140625" style="159" customWidth="1"/>
    <col min="8962" max="8962" width="12.88671875" style="159" customWidth="1"/>
    <col min="8963" max="9018" width="7.6640625" style="159" customWidth="1"/>
    <col min="9019" max="9019" width="13" style="159" customWidth="1"/>
    <col min="9020" max="9020" width="8.44140625" style="159" customWidth="1"/>
    <col min="9021" max="9021" width="8.109375" style="159" customWidth="1"/>
    <col min="9022" max="9027" width="8.109375" style="159" bestFit="1" customWidth="1"/>
    <col min="9028" max="9028" width="7.44140625" style="159" bestFit="1" customWidth="1"/>
    <col min="9029" max="9029" width="9" style="159" bestFit="1" customWidth="1"/>
    <col min="9030" max="9042" width="7.6640625" style="159" customWidth="1"/>
    <col min="9043" max="9216" width="8.88671875" style="159"/>
    <col min="9217" max="9217" width="38.44140625" style="159" customWidth="1"/>
    <col min="9218" max="9218" width="12.88671875" style="159" customWidth="1"/>
    <col min="9219" max="9274" width="7.6640625" style="159" customWidth="1"/>
    <col min="9275" max="9275" width="13" style="159" customWidth="1"/>
    <col min="9276" max="9276" width="8.44140625" style="159" customWidth="1"/>
    <col min="9277" max="9277" width="8.109375" style="159" customWidth="1"/>
    <col min="9278" max="9283" width="8.109375" style="159" bestFit="1" customWidth="1"/>
    <col min="9284" max="9284" width="7.44140625" style="159" bestFit="1" customWidth="1"/>
    <col min="9285" max="9285" width="9" style="159" bestFit="1" customWidth="1"/>
    <col min="9286" max="9298" width="7.6640625" style="159" customWidth="1"/>
    <col min="9299" max="9472" width="8.88671875" style="159"/>
    <col min="9473" max="9473" width="38.44140625" style="159" customWidth="1"/>
    <col min="9474" max="9474" width="12.88671875" style="159" customWidth="1"/>
    <col min="9475" max="9530" width="7.6640625" style="159" customWidth="1"/>
    <col min="9531" max="9531" width="13" style="159" customWidth="1"/>
    <col min="9532" max="9532" width="8.44140625" style="159" customWidth="1"/>
    <col min="9533" max="9533" width="8.109375" style="159" customWidth="1"/>
    <col min="9534" max="9539" width="8.109375" style="159" bestFit="1" customWidth="1"/>
    <col min="9540" max="9540" width="7.44140625" style="159" bestFit="1" customWidth="1"/>
    <col min="9541" max="9541" width="9" style="159" bestFit="1" customWidth="1"/>
    <col min="9542" max="9554" width="7.6640625" style="159" customWidth="1"/>
    <col min="9555" max="9728" width="8.88671875" style="159"/>
    <col min="9729" max="9729" width="38.44140625" style="159" customWidth="1"/>
    <col min="9730" max="9730" width="12.88671875" style="159" customWidth="1"/>
    <col min="9731" max="9786" width="7.6640625" style="159" customWidth="1"/>
    <col min="9787" max="9787" width="13" style="159" customWidth="1"/>
    <col min="9788" max="9788" width="8.44140625" style="159" customWidth="1"/>
    <col min="9789" max="9789" width="8.109375" style="159" customWidth="1"/>
    <col min="9790" max="9795" width="8.109375" style="159" bestFit="1" customWidth="1"/>
    <col min="9796" max="9796" width="7.44140625" style="159" bestFit="1" customWidth="1"/>
    <col min="9797" max="9797" width="9" style="159" bestFit="1" customWidth="1"/>
    <col min="9798" max="9810" width="7.6640625" style="159" customWidth="1"/>
    <col min="9811" max="9984" width="8.88671875" style="159"/>
    <col min="9985" max="9985" width="38.44140625" style="159" customWidth="1"/>
    <col min="9986" max="9986" width="12.88671875" style="159" customWidth="1"/>
    <col min="9987" max="10042" width="7.6640625" style="159" customWidth="1"/>
    <col min="10043" max="10043" width="13" style="159" customWidth="1"/>
    <col min="10044" max="10044" width="8.44140625" style="159" customWidth="1"/>
    <col min="10045" max="10045" width="8.109375" style="159" customWidth="1"/>
    <col min="10046" max="10051" width="8.109375" style="159" bestFit="1" customWidth="1"/>
    <col min="10052" max="10052" width="7.44140625" style="159" bestFit="1" customWidth="1"/>
    <col min="10053" max="10053" width="9" style="159" bestFit="1" customWidth="1"/>
    <col min="10054" max="10066" width="7.6640625" style="159" customWidth="1"/>
    <col min="10067" max="10240" width="8.88671875" style="159"/>
    <col min="10241" max="10241" width="38.44140625" style="159" customWidth="1"/>
    <col min="10242" max="10242" width="12.88671875" style="159" customWidth="1"/>
    <col min="10243" max="10298" width="7.6640625" style="159" customWidth="1"/>
    <col min="10299" max="10299" width="13" style="159" customWidth="1"/>
    <col min="10300" max="10300" width="8.44140625" style="159" customWidth="1"/>
    <col min="10301" max="10301" width="8.109375" style="159" customWidth="1"/>
    <col min="10302" max="10307" width="8.109375" style="159" bestFit="1" customWidth="1"/>
    <col min="10308" max="10308" width="7.44140625" style="159" bestFit="1" customWidth="1"/>
    <col min="10309" max="10309" width="9" style="159" bestFit="1" customWidth="1"/>
    <col min="10310" max="10322" width="7.6640625" style="159" customWidth="1"/>
    <col min="10323" max="10496" width="8.88671875" style="159"/>
    <col min="10497" max="10497" width="38.44140625" style="159" customWidth="1"/>
    <col min="10498" max="10498" width="12.88671875" style="159" customWidth="1"/>
    <col min="10499" max="10554" width="7.6640625" style="159" customWidth="1"/>
    <col min="10555" max="10555" width="13" style="159" customWidth="1"/>
    <col min="10556" max="10556" width="8.44140625" style="159" customWidth="1"/>
    <col min="10557" max="10557" width="8.109375" style="159" customWidth="1"/>
    <col min="10558" max="10563" width="8.109375" style="159" bestFit="1" customWidth="1"/>
    <col min="10564" max="10564" width="7.44140625" style="159" bestFit="1" customWidth="1"/>
    <col min="10565" max="10565" width="9" style="159" bestFit="1" customWidth="1"/>
    <col min="10566" max="10578" width="7.6640625" style="159" customWidth="1"/>
    <col min="10579" max="10752" width="8.88671875" style="159"/>
    <col min="10753" max="10753" width="38.44140625" style="159" customWidth="1"/>
    <col min="10754" max="10754" width="12.88671875" style="159" customWidth="1"/>
    <col min="10755" max="10810" width="7.6640625" style="159" customWidth="1"/>
    <col min="10811" max="10811" width="13" style="159" customWidth="1"/>
    <col min="10812" max="10812" width="8.44140625" style="159" customWidth="1"/>
    <col min="10813" max="10813" width="8.109375" style="159" customWidth="1"/>
    <col min="10814" max="10819" width="8.109375" style="159" bestFit="1" customWidth="1"/>
    <col min="10820" max="10820" width="7.44140625" style="159" bestFit="1" customWidth="1"/>
    <col min="10821" max="10821" width="9" style="159" bestFit="1" customWidth="1"/>
    <col min="10822" max="10834" width="7.6640625" style="159" customWidth="1"/>
    <col min="10835" max="11008" width="8.88671875" style="159"/>
    <col min="11009" max="11009" width="38.44140625" style="159" customWidth="1"/>
    <col min="11010" max="11010" width="12.88671875" style="159" customWidth="1"/>
    <col min="11011" max="11066" width="7.6640625" style="159" customWidth="1"/>
    <col min="11067" max="11067" width="13" style="159" customWidth="1"/>
    <col min="11068" max="11068" width="8.44140625" style="159" customWidth="1"/>
    <col min="11069" max="11069" width="8.109375" style="159" customWidth="1"/>
    <col min="11070" max="11075" width="8.109375" style="159" bestFit="1" customWidth="1"/>
    <col min="11076" max="11076" width="7.44140625" style="159" bestFit="1" customWidth="1"/>
    <col min="11077" max="11077" width="9" style="159" bestFit="1" customWidth="1"/>
    <col min="11078" max="11090" width="7.6640625" style="159" customWidth="1"/>
    <col min="11091" max="11264" width="8.88671875" style="159"/>
    <col min="11265" max="11265" width="38.44140625" style="159" customWidth="1"/>
    <col min="11266" max="11266" width="12.88671875" style="159" customWidth="1"/>
    <col min="11267" max="11322" width="7.6640625" style="159" customWidth="1"/>
    <col min="11323" max="11323" width="13" style="159" customWidth="1"/>
    <col min="11324" max="11324" width="8.44140625" style="159" customWidth="1"/>
    <col min="11325" max="11325" width="8.109375" style="159" customWidth="1"/>
    <col min="11326" max="11331" width="8.109375" style="159" bestFit="1" customWidth="1"/>
    <col min="11332" max="11332" width="7.44140625" style="159" bestFit="1" customWidth="1"/>
    <col min="11333" max="11333" width="9" style="159" bestFit="1" customWidth="1"/>
    <col min="11334" max="11346" width="7.6640625" style="159" customWidth="1"/>
    <col min="11347" max="11520" width="8.88671875" style="159"/>
    <col min="11521" max="11521" width="38.44140625" style="159" customWidth="1"/>
    <col min="11522" max="11522" width="12.88671875" style="159" customWidth="1"/>
    <col min="11523" max="11578" width="7.6640625" style="159" customWidth="1"/>
    <col min="11579" max="11579" width="13" style="159" customWidth="1"/>
    <col min="11580" max="11580" width="8.44140625" style="159" customWidth="1"/>
    <col min="11581" max="11581" width="8.109375" style="159" customWidth="1"/>
    <col min="11582" max="11587" width="8.109375" style="159" bestFit="1" customWidth="1"/>
    <col min="11588" max="11588" width="7.44140625" style="159" bestFit="1" customWidth="1"/>
    <col min="11589" max="11589" width="9" style="159" bestFit="1" customWidth="1"/>
    <col min="11590" max="11602" width="7.6640625" style="159" customWidth="1"/>
    <col min="11603" max="11776" width="8.88671875" style="159"/>
    <col min="11777" max="11777" width="38.44140625" style="159" customWidth="1"/>
    <col min="11778" max="11778" width="12.88671875" style="159" customWidth="1"/>
    <col min="11779" max="11834" width="7.6640625" style="159" customWidth="1"/>
    <col min="11835" max="11835" width="13" style="159" customWidth="1"/>
    <col min="11836" max="11836" width="8.44140625" style="159" customWidth="1"/>
    <col min="11837" max="11837" width="8.109375" style="159" customWidth="1"/>
    <col min="11838" max="11843" width="8.109375" style="159" bestFit="1" customWidth="1"/>
    <col min="11844" max="11844" width="7.44140625" style="159" bestFit="1" customWidth="1"/>
    <col min="11845" max="11845" width="9" style="159" bestFit="1" customWidth="1"/>
    <col min="11846" max="11858" width="7.6640625" style="159" customWidth="1"/>
    <col min="11859" max="12032" width="8.88671875" style="159"/>
    <col min="12033" max="12033" width="38.44140625" style="159" customWidth="1"/>
    <col min="12034" max="12034" width="12.88671875" style="159" customWidth="1"/>
    <col min="12035" max="12090" width="7.6640625" style="159" customWidth="1"/>
    <col min="12091" max="12091" width="13" style="159" customWidth="1"/>
    <col min="12092" max="12092" width="8.44140625" style="159" customWidth="1"/>
    <col min="12093" max="12093" width="8.109375" style="159" customWidth="1"/>
    <col min="12094" max="12099" width="8.109375" style="159" bestFit="1" customWidth="1"/>
    <col min="12100" max="12100" width="7.44140625" style="159" bestFit="1" customWidth="1"/>
    <col min="12101" max="12101" width="9" style="159" bestFit="1" customWidth="1"/>
    <col min="12102" max="12114" width="7.6640625" style="159" customWidth="1"/>
    <col min="12115" max="12288" width="8.88671875" style="159"/>
    <col min="12289" max="12289" width="38.44140625" style="159" customWidth="1"/>
    <col min="12290" max="12290" width="12.88671875" style="159" customWidth="1"/>
    <col min="12291" max="12346" width="7.6640625" style="159" customWidth="1"/>
    <col min="12347" max="12347" width="13" style="159" customWidth="1"/>
    <col min="12348" max="12348" width="8.44140625" style="159" customWidth="1"/>
    <col min="12349" max="12349" width="8.109375" style="159" customWidth="1"/>
    <col min="12350" max="12355" width="8.109375" style="159" bestFit="1" customWidth="1"/>
    <col min="12356" max="12356" width="7.44140625" style="159" bestFit="1" customWidth="1"/>
    <col min="12357" max="12357" width="9" style="159" bestFit="1" customWidth="1"/>
    <col min="12358" max="12370" width="7.6640625" style="159" customWidth="1"/>
    <col min="12371" max="12544" width="8.88671875" style="159"/>
    <col min="12545" max="12545" width="38.44140625" style="159" customWidth="1"/>
    <col min="12546" max="12546" width="12.88671875" style="159" customWidth="1"/>
    <col min="12547" max="12602" width="7.6640625" style="159" customWidth="1"/>
    <col min="12603" max="12603" width="13" style="159" customWidth="1"/>
    <col min="12604" max="12604" width="8.44140625" style="159" customWidth="1"/>
    <col min="12605" max="12605" width="8.109375" style="159" customWidth="1"/>
    <col min="12606" max="12611" width="8.109375" style="159" bestFit="1" customWidth="1"/>
    <col min="12612" max="12612" width="7.44140625" style="159" bestFit="1" customWidth="1"/>
    <col min="12613" max="12613" width="9" style="159" bestFit="1" customWidth="1"/>
    <col min="12614" max="12626" width="7.6640625" style="159" customWidth="1"/>
    <col min="12627" max="12800" width="8.88671875" style="159"/>
    <col min="12801" max="12801" width="38.44140625" style="159" customWidth="1"/>
    <col min="12802" max="12802" width="12.88671875" style="159" customWidth="1"/>
    <col min="12803" max="12858" width="7.6640625" style="159" customWidth="1"/>
    <col min="12859" max="12859" width="13" style="159" customWidth="1"/>
    <col min="12860" max="12860" width="8.44140625" style="159" customWidth="1"/>
    <col min="12861" max="12861" width="8.109375" style="159" customWidth="1"/>
    <col min="12862" max="12867" width="8.109375" style="159" bestFit="1" customWidth="1"/>
    <col min="12868" max="12868" width="7.44140625" style="159" bestFit="1" customWidth="1"/>
    <col min="12869" max="12869" width="9" style="159" bestFit="1" customWidth="1"/>
    <col min="12870" max="12882" width="7.6640625" style="159" customWidth="1"/>
    <col min="12883" max="13056" width="8.88671875" style="159"/>
    <col min="13057" max="13057" width="38.44140625" style="159" customWidth="1"/>
    <col min="13058" max="13058" width="12.88671875" style="159" customWidth="1"/>
    <col min="13059" max="13114" width="7.6640625" style="159" customWidth="1"/>
    <col min="13115" max="13115" width="13" style="159" customWidth="1"/>
    <col min="13116" max="13116" width="8.44140625" style="159" customWidth="1"/>
    <col min="13117" max="13117" width="8.109375" style="159" customWidth="1"/>
    <col min="13118" max="13123" width="8.109375" style="159" bestFit="1" customWidth="1"/>
    <col min="13124" max="13124" width="7.44140625" style="159" bestFit="1" customWidth="1"/>
    <col min="13125" max="13125" width="9" style="159" bestFit="1" customWidth="1"/>
    <col min="13126" max="13138" width="7.6640625" style="159" customWidth="1"/>
    <col min="13139" max="13312" width="8.88671875" style="159"/>
    <col min="13313" max="13313" width="38.44140625" style="159" customWidth="1"/>
    <col min="13314" max="13314" width="12.88671875" style="159" customWidth="1"/>
    <col min="13315" max="13370" width="7.6640625" style="159" customWidth="1"/>
    <col min="13371" max="13371" width="13" style="159" customWidth="1"/>
    <col min="13372" max="13372" width="8.44140625" style="159" customWidth="1"/>
    <col min="13373" max="13373" width="8.109375" style="159" customWidth="1"/>
    <col min="13374" max="13379" width="8.109375" style="159" bestFit="1" customWidth="1"/>
    <col min="13380" max="13380" width="7.44140625" style="159" bestFit="1" customWidth="1"/>
    <col min="13381" max="13381" width="9" style="159" bestFit="1" customWidth="1"/>
    <col min="13382" max="13394" width="7.6640625" style="159" customWidth="1"/>
    <col min="13395" max="13568" width="8.88671875" style="159"/>
    <col min="13569" max="13569" width="38.44140625" style="159" customWidth="1"/>
    <col min="13570" max="13570" width="12.88671875" style="159" customWidth="1"/>
    <col min="13571" max="13626" width="7.6640625" style="159" customWidth="1"/>
    <col min="13627" max="13627" width="13" style="159" customWidth="1"/>
    <col min="13628" max="13628" width="8.44140625" style="159" customWidth="1"/>
    <col min="13629" max="13629" width="8.109375" style="159" customWidth="1"/>
    <col min="13630" max="13635" width="8.109375" style="159" bestFit="1" customWidth="1"/>
    <col min="13636" max="13636" width="7.44140625" style="159" bestFit="1" customWidth="1"/>
    <col min="13637" max="13637" width="9" style="159" bestFit="1" customWidth="1"/>
    <col min="13638" max="13650" width="7.6640625" style="159" customWidth="1"/>
    <col min="13651" max="13824" width="8.88671875" style="159"/>
    <col min="13825" max="13825" width="38.44140625" style="159" customWidth="1"/>
    <col min="13826" max="13826" width="12.88671875" style="159" customWidth="1"/>
    <col min="13827" max="13882" width="7.6640625" style="159" customWidth="1"/>
    <col min="13883" max="13883" width="13" style="159" customWidth="1"/>
    <col min="13884" max="13884" width="8.44140625" style="159" customWidth="1"/>
    <col min="13885" max="13885" width="8.109375" style="159" customWidth="1"/>
    <col min="13886" max="13891" width="8.109375" style="159" bestFit="1" customWidth="1"/>
    <col min="13892" max="13892" width="7.44140625" style="159" bestFit="1" customWidth="1"/>
    <col min="13893" max="13893" width="9" style="159" bestFit="1" customWidth="1"/>
    <col min="13894" max="13906" width="7.6640625" style="159" customWidth="1"/>
    <col min="13907" max="14080" width="8.88671875" style="159"/>
    <col min="14081" max="14081" width="38.44140625" style="159" customWidth="1"/>
    <col min="14082" max="14082" width="12.88671875" style="159" customWidth="1"/>
    <col min="14083" max="14138" width="7.6640625" style="159" customWidth="1"/>
    <col min="14139" max="14139" width="13" style="159" customWidth="1"/>
    <col min="14140" max="14140" width="8.44140625" style="159" customWidth="1"/>
    <col min="14141" max="14141" width="8.109375" style="159" customWidth="1"/>
    <col min="14142" max="14147" width="8.109375" style="159" bestFit="1" customWidth="1"/>
    <col min="14148" max="14148" width="7.44140625" style="159" bestFit="1" customWidth="1"/>
    <col min="14149" max="14149" width="9" style="159" bestFit="1" customWidth="1"/>
    <col min="14150" max="14162" width="7.6640625" style="159" customWidth="1"/>
    <col min="14163" max="14336" width="8.88671875" style="159"/>
    <col min="14337" max="14337" width="38.44140625" style="159" customWidth="1"/>
    <col min="14338" max="14338" width="12.88671875" style="159" customWidth="1"/>
    <col min="14339" max="14394" width="7.6640625" style="159" customWidth="1"/>
    <col min="14395" max="14395" width="13" style="159" customWidth="1"/>
    <col min="14396" max="14396" width="8.44140625" style="159" customWidth="1"/>
    <col min="14397" max="14397" width="8.109375" style="159" customWidth="1"/>
    <col min="14398" max="14403" width="8.109375" style="159" bestFit="1" customWidth="1"/>
    <col min="14404" max="14404" width="7.44140625" style="159" bestFit="1" customWidth="1"/>
    <col min="14405" max="14405" width="9" style="159" bestFit="1" customWidth="1"/>
    <col min="14406" max="14418" width="7.6640625" style="159" customWidth="1"/>
    <col min="14419" max="14592" width="8.88671875" style="159"/>
    <col min="14593" max="14593" width="38.44140625" style="159" customWidth="1"/>
    <col min="14594" max="14594" width="12.88671875" style="159" customWidth="1"/>
    <col min="14595" max="14650" width="7.6640625" style="159" customWidth="1"/>
    <col min="14651" max="14651" width="13" style="159" customWidth="1"/>
    <col min="14652" max="14652" width="8.44140625" style="159" customWidth="1"/>
    <col min="14653" max="14653" width="8.109375" style="159" customWidth="1"/>
    <col min="14654" max="14659" width="8.109375" style="159" bestFit="1" customWidth="1"/>
    <col min="14660" max="14660" width="7.44140625" style="159" bestFit="1" customWidth="1"/>
    <col min="14661" max="14661" width="9" style="159" bestFit="1" customWidth="1"/>
    <col min="14662" max="14674" width="7.6640625" style="159" customWidth="1"/>
    <col min="14675" max="14848" width="8.88671875" style="159"/>
    <col min="14849" max="14849" width="38.44140625" style="159" customWidth="1"/>
    <col min="14850" max="14850" width="12.88671875" style="159" customWidth="1"/>
    <col min="14851" max="14906" width="7.6640625" style="159" customWidth="1"/>
    <col min="14907" max="14907" width="13" style="159" customWidth="1"/>
    <col min="14908" max="14908" width="8.44140625" style="159" customWidth="1"/>
    <col min="14909" max="14909" width="8.109375" style="159" customWidth="1"/>
    <col min="14910" max="14915" width="8.109375" style="159" bestFit="1" customWidth="1"/>
    <col min="14916" max="14916" width="7.44140625" style="159" bestFit="1" customWidth="1"/>
    <col min="14917" max="14917" width="9" style="159" bestFit="1" customWidth="1"/>
    <col min="14918" max="14930" width="7.6640625" style="159" customWidth="1"/>
    <col min="14931" max="15104" width="8.88671875" style="159"/>
    <col min="15105" max="15105" width="38.44140625" style="159" customWidth="1"/>
    <col min="15106" max="15106" width="12.88671875" style="159" customWidth="1"/>
    <col min="15107" max="15162" width="7.6640625" style="159" customWidth="1"/>
    <col min="15163" max="15163" width="13" style="159" customWidth="1"/>
    <col min="15164" max="15164" width="8.44140625" style="159" customWidth="1"/>
    <col min="15165" max="15165" width="8.109375" style="159" customWidth="1"/>
    <col min="15166" max="15171" width="8.109375" style="159" bestFit="1" customWidth="1"/>
    <col min="15172" max="15172" width="7.44140625" style="159" bestFit="1" customWidth="1"/>
    <col min="15173" max="15173" width="9" style="159" bestFit="1" customWidth="1"/>
    <col min="15174" max="15186" width="7.6640625" style="159" customWidth="1"/>
    <col min="15187" max="15360" width="8.88671875" style="159"/>
    <col min="15361" max="15361" width="38.44140625" style="159" customWidth="1"/>
    <col min="15362" max="15362" width="12.88671875" style="159" customWidth="1"/>
    <col min="15363" max="15418" width="7.6640625" style="159" customWidth="1"/>
    <col min="15419" max="15419" width="13" style="159" customWidth="1"/>
    <col min="15420" max="15420" width="8.44140625" style="159" customWidth="1"/>
    <col min="15421" max="15421" width="8.109375" style="159" customWidth="1"/>
    <col min="15422" max="15427" width="8.109375" style="159" bestFit="1" customWidth="1"/>
    <col min="15428" max="15428" width="7.44140625" style="159" bestFit="1" customWidth="1"/>
    <col min="15429" max="15429" width="9" style="159" bestFit="1" customWidth="1"/>
    <col min="15430" max="15442" width="7.6640625" style="159" customWidth="1"/>
    <col min="15443" max="15616" width="8.88671875" style="159"/>
    <col min="15617" max="15617" width="38.44140625" style="159" customWidth="1"/>
    <col min="15618" max="15618" width="12.88671875" style="159" customWidth="1"/>
    <col min="15619" max="15674" width="7.6640625" style="159" customWidth="1"/>
    <col min="15675" max="15675" width="13" style="159" customWidth="1"/>
    <col min="15676" max="15676" width="8.44140625" style="159" customWidth="1"/>
    <col min="15677" max="15677" width="8.109375" style="159" customWidth="1"/>
    <col min="15678" max="15683" width="8.109375" style="159" bestFit="1" customWidth="1"/>
    <col min="15684" max="15684" width="7.44140625" style="159" bestFit="1" customWidth="1"/>
    <col min="15685" max="15685" width="9" style="159" bestFit="1" customWidth="1"/>
    <col min="15686" max="15698" width="7.6640625" style="159" customWidth="1"/>
    <col min="15699" max="15872" width="8.88671875" style="159"/>
    <col min="15873" max="15873" width="38.44140625" style="159" customWidth="1"/>
    <col min="15874" max="15874" width="12.88671875" style="159" customWidth="1"/>
    <col min="15875" max="15930" width="7.6640625" style="159" customWidth="1"/>
    <col min="15931" max="15931" width="13" style="159" customWidth="1"/>
    <col min="15932" max="15932" width="8.44140625" style="159" customWidth="1"/>
    <col min="15933" max="15933" width="8.109375" style="159" customWidth="1"/>
    <col min="15934" max="15939" width="8.109375" style="159" bestFit="1" customWidth="1"/>
    <col min="15940" max="15940" width="7.44140625" style="159" bestFit="1" customWidth="1"/>
    <col min="15941" max="15941" width="9" style="159" bestFit="1" customWidth="1"/>
    <col min="15942" max="15954" width="7.6640625" style="159" customWidth="1"/>
    <col min="15955" max="16128" width="8.88671875" style="159"/>
    <col min="16129" max="16129" width="38.44140625" style="159" customWidth="1"/>
    <col min="16130" max="16130" width="12.88671875" style="159" customWidth="1"/>
    <col min="16131" max="16186" width="7.6640625" style="159" customWidth="1"/>
    <col min="16187" max="16187" width="13" style="159" customWidth="1"/>
    <col min="16188" max="16188" width="8.44140625" style="159" customWidth="1"/>
    <col min="16189" max="16189" width="8.109375" style="159" customWidth="1"/>
    <col min="16190" max="16195" width="8.109375" style="159" bestFit="1" customWidth="1"/>
    <col min="16196" max="16196" width="7.44140625" style="159" bestFit="1" customWidth="1"/>
    <col min="16197" max="16197" width="9" style="159" bestFit="1" customWidth="1"/>
    <col min="16198" max="16210" width="7.6640625" style="159" customWidth="1"/>
    <col min="16211" max="16384" width="8.88671875" style="159"/>
  </cols>
  <sheetData>
    <row r="1" spans="1:83" ht="17.399999999999999">
      <c r="A1" s="157" t="s">
        <v>121</v>
      </c>
      <c r="B1" s="158"/>
    </row>
    <row r="2" spans="1:83" ht="15.6">
      <c r="A2" s="160" t="s">
        <v>122</v>
      </c>
      <c r="B2" s="161"/>
    </row>
    <row r="3" spans="1:83" ht="14.4" thickBot="1">
      <c r="A3" s="162" t="s">
        <v>123</v>
      </c>
      <c r="B3" s="163"/>
    </row>
    <row r="6" spans="1:83">
      <c r="BI6" s="165" t="s">
        <v>124</v>
      </c>
      <c r="BJ6" s="165" t="s">
        <v>124</v>
      </c>
      <c r="BK6" s="165" t="s">
        <v>124</v>
      </c>
      <c r="BL6" s="165" t="s">
        <v>124</v>
      </c>
      <c r="BM6" s="166" t="s">
        <v>120</v>
      </c>
      <c r="BN6" s="166" t="s">
        <v>120</v>
      </c>
      <c r="BO6" s="166" t="s">
        <v>120</v>
      </c>
      <c r="BP6" s="166" t="s">
        <v>120</v>
      </c>
      <c r="BQ6" s="167" t="s">
        <v>125</v>
      </c>
      <c r="BR6" s="167" t="s">
        <v>125</v>
      </c>
      <c r="BS6" s="167" t="s">
        <v>125</v>
      </c>
      <c r="BT6" s="167" t="s">
        <v>125</v>
      </c>
      <c r="BU6" s="168" t="s">
        <v>126</v>
      </c>
      <c r="BV6" s="168" t="s">
        <v>126</v>
      </c>
      <c r="BW6" s="168" t="s">
        <v>126</v>
      </c>
      <c r="BX6" s="168" t="s">
        <v>126</v>
      </c>
      <c r="BY6" s="169" t="s">
        <v>127</v>
      </c>
      <c r="BZ6" s="169" t="s">
        <v>127</v>
      </c>
      <c r="CA6" s="169" t="s">
        <v>127</v>
      </c>
      <c r="CB6" s="169" t="s">
        <v>127</v>
      </c>
    </row>
    <row r="7" spans="1:83" s="164" customFormat="1">
      <c r="B7" s="164" t="s">
        <v>128</v>
      </c>
      <c r="C7" s="170" t="s">
        <v>129</v>
      </c>
      <c r="D7" s="170" t="s">
        <v>130</v>
      </c>
      <c r="E7" s="170" t="s">
        <v>131</v>
      </c>
      <c r="F7" s="170" t="s">
        <v>132</v>
      </c>
      <c r="G7" s="170" t="s">
        <v>133</v>
      </c>
      <c r="H7" s="170" t="s">
        <v>134</v>
      </c>
      <c r="I7" s="170" t="s">
        <v>135</v>
      </c>
      <c r="J7" s="170" t="s">
        <v>136</v>
      </c>
      <c r="K7" s="170" t="s">
        <v>137</v>
      </c>
      <c r="L7" s="170" t="s">
        <v>138</v>
      </c>
      <c r="M7" s="170" t="s">
        <v>139</v>
      </c>
      <c r="N7" s="170" t="s">
        <v>140</v>
      </c>
      <c r="O7" s="170" t="s">
        <v>141</v>
      </c>
      <c r="P7" s="170" t="s">
        <v>142</v>
      </c>
      <c r="Q7" s="170" t="s">
        <v>143</v>
      </c>
      <c r="R7" s="170" t="s">
        <v>144</v>
      </c>
      <c r="S7" s="170" t="s">
        <v>145</v>
      </c>
      <c r="T7" s="170" t="s">
        <v>146</v>
      </c>
      <c r="U7" s="170" t="s">
        <v>147</v>
      </c>
      <c r="V7" s="170" t="s">
        <v>148</v>
      </c>
      <c r="W7" s="170" t="s">
        <v>149</v>
      </c>
      <c r="X7" s="170" t="s">
        <v>150</v>
      </c>
      <c r="Y7" s="170" t="s">
        <v>151</v>
      </c>
      <c r="Z7" s="170" t="s">
        <v>152</v>
      </c>
      <c r="AA7" s="170" t="s">
        <v>153</v>
      </c>
      <c r="AB7" s="170" t="s">
        <v>154</v>
      </c>
      <c r="AC7" s="170" t="s">
        <v>155</v>
      </c>
      <c r="AD7" s="170" t="s">
        <v>156</v>
      </c>
      <c r="AE7" s="170" t="s">
        <v>157</v>
      </c>
      <c r="AF7" s="170" t="s">
        <v>158</v>
      </c>
      <c r="AG7" s="170" t="s">
        <v>159</v>
      </c>
      <c r="AH7" s="170" t="s">
        <v>160</v>
      </c>
      <c r="AI7" s="170" t="s">
        <v>161</v>
      </c>
      <c r="AJ7" s="170" t="s">
        <v>162</v>
      </c>
      <c r="AK7" s="170" t="s">
        <v>163</v>
      </c>
      <c r="AL7" s="170" t="s">
        <v>164</v>
      </c>
      <c r="AM7" s="170" t="s">
        <v>165</v>
      </c>
      <c r="AN7" s="170" t="s">
        <v>166</v>
      </c>
      <c r="AO7" s="170" t="s">
        <v>167</v>
      </c>
      <c r="AP7" s="170" t="s">
        <v>168</v>
      </c>
      <c r="AQ7" s="170" t="s">
        <v>169</v>
      </c>
      <c r="AR7" s="170" t="s">
        <v>170</v>
      </c>
      <c r="AS7" s="170" t="s">
        <v>171</v>
      </c>
      <c r="AT7" s="170" t="s">
        <v>172</v>
      </c>
      <c r="AU7" s="164" t="s">
        <v>173</v>
      </c>
      <c r="AV7" s="164" t="s">
        <v>174</v>
      </c>
      <c r="AW7" s="164" t="s">
        <v>175</v>
      </c>
      <c r="AX7" s="164" t="s">
        <v>176</v>
      </c>
      <c r="AY7" s="164" t="s">
        <v>177</v>
      </c>
      <c r="AZ7" s="164" t="s">
        <v>178</v>
      </c>
      <c r="BA7" s="164" t="s">
        <v>179</v>
      </c>
      <c r="BB7" s="164" t="s">
        <v>180</v>
      </c>
      <c r="BC7" s="164" t="s">
        <v>181</v>
      </c>
      <c r="BD7" s="164" t="s">
        <v>182</v>
      </c>
      <c r="BE7" s="164" t="s">
        <v>183</v>
      </c>
      <c r="BF7" s="164" t="s">
        <v>184</v>
      </c>
      <c r="BG7" s="164" t="s">
        <v>185</v>
      </c>
      <c r="BH7" s="164" t="s">
        <v>186</v>
      </c>
      <c r="BI7" s="164" t="s">
        <v>187</v>
      </c>
      <c r="BJ7" s="164" t="s">
        <v>188</v>
      </c>
      <c r="BK7" s="164" t="s">
        <v>189</v>
      </c>
      <c r="BL7" s="164" t="s">
        <v>190</v>
      </c>
      <c r="BM7" s="164" t="s">
        <v>191</v>
      </c>
      <c r="BN7" s="164" t="s">
        <v>192</v>
      </c>
      <c r="BO7" s="164" t="s">
        <v>193</v>
      </c>
      <c r="BP7" s="164" t="s">
        <v>194</v>
      </c>
      <c r="BQ7" s="164" t="s">
        <v>195</v>
      </c>
      <c r="BR7" s="164" t="s">
        <v>196</v>
      </c>
      <c r="BS7" s="164" t="s">
        <v>197</v>
      </c>
      <c r="BT7" s="164" t="s">
        <v>198</v>
      </c>
      <c r="BU7" s="164" t="s">
        <v>199</v>
      </c>
      <c r="BV7" s="164" t="s">
        <v>200</v>
      </c>
      <c r="BW7" s="164" t="s">
        <v>201</v>
      </c>
      <c r="BX7" s="164" t="s">
        <v>202</v>
      </c>
      <c r="BY7" s="164" t="s">
        <v>203</v>
      </c>
      <c r="BZ7" s="164" t="s">
        <v>204</v>
      </c>
      <c r="CA7" s="164" t="s">
        <v>205</v>
      </c>
      <c r="CB7" s="164" t="s">
        <v>206</v>
      </c>
      <c r="CC7" s="164" t="s">
        <v>207</v>
      </c>
      <c r="CD7" s="164" t="s">
        <v>208</v>
      </c>
      <c r="CE7" s="164" t="s">
        <v>209</v>
      </c>
    </row>
    <row r="8" spans="1:83">
      <c r="A8" s="164" t="s">
        <v>210</v>
      </c>
      <c r="B8" s="164" t="s">
        <v>211</v>
      </c>
      <c r="C8" s="171">
        <v>2.0339999999999998</v>
      </c>
      <c r="D8" s="171">
        <v>2.0590000000000002</v>
      </c>
      <c r="E8" s="171">
        <v>2.0640000000000001</v>
      </c>
      <c r="F8" s="171">
        <v>2.0870000000000002</v>
      </c>
      <c r="G8" s="171">
        <v>2.1040000000000001</v>
      </c>
      <c r="H8" s="171">
        <v>2.1150000000000002</v>
      </c>
      <c r="I8" s="171">
        <v>2.15</v>
      </c>
      <c r="J8" s="171">
        <v>2.169</v>
      </c>
      <c r="K8" s="171">
        <v>2.1880000000000002</v>
      </c>
      <c r="L8" s="171">
        <v>2.2130000000000001</v>
      </c>
      <c r="M8" s="171">
        <v>2.234</v>
      </c>
      <c r="N8" s="171">
        <v>2.2200000000000002</v>
      </c>
      <c r="O8" s="171">
        <v>2.234</v>
      </c>
      <c r="P8" s="171">
        <v>2.2589999999999999</v>
      </c>
      <c r="Q8" s="171">
        <v>2.2749999999999999</v>
      </c>
      <c r="R8" s="171">
        <v>2.3010000000000002</v>
      </c>
      <c r="S8" s="171">
        <v>2.3220000000000001</v>
      </c>
      <c r="T8" s="171">
        <v>2.363</v>
      </c>
      <c r="U8" s="171">
        <v>2.4039999999999999</v>
      </c>
      <c r="V8" s="171">
        <v>2.35</v>
      </c>
      <c r="W8" s="171">
        <v>2.3420000000000001</v>
      </c>
      <c r="X8" s="171">
        <v>2.347</v>
      </c>
      <c r="Y8" s="171">
        <v>2.367</v>
      </c>
      <c r="Z8" s="171">
        <v>2.38</v>
      </c>
      <c r="AA8" s="171">
        <v>2.3809999999999998</v>
      </c>
      <c r="AB8" s="171">
        <v>2.3839999999999999</v>
      </c>
      <c r="AC8" s="171">
        <v>2.3980000000000001</v>
      </c>
      <c r="AD8" s="171">
        <v>2.42</v>
      </c>
      <c r="AE8" s="171">
        <v>2.4340000000000002</v>
      </c>
      <c r="AF8" s="171">
        <v>2.4769999999999999</v>
      </c>
      <c r="AG8" s="171">
        <v>2.488</v>
      </c>
      <c r="AH8" s="171">
        <v>2.4950000000000001</v>
      </c>
      <c r="AI8" s="171">
        <v>2.5150000000000001</v>
      </c>
      <c r="AJ8" s="171">
        <v>2.5190000000000001</v>
      </c>
      <c r="AK8" s="171">
        <v>2.5289999999999999</v>
      </c>
      <c r="AL8" s="171">
        <v>2.5470000000000002</v>
      </c>
      <c r="AM8" s="171">
        <v>2.5569999999999999</v>
      </c>
      <c r="AN8" s="171">
        <v>2.5539999999999998</v>
      </c>
      <c r="AO8" s="171">
        <v>2.573</v>
      </c>
      <c r="AP8" s="171">
        <v>2.5870000000000002</v>
      </c>
      <c r="AQ8" s="171">
        <v>2.5979999999999999</v>
      </c>
      <c r="AR8" s="171">
        <v>2.6080000000000001</v>
      </c>
      <c r="AS8" s="171">
        <v>2.6139999999999999</v>
      </c>
      <c r="AT8" s="171">
        <v>2.6139999999999999</v>
      </c>
      <c r="AU8" s="159">
        <v>2.613</v>
      </c>
      <c r="AV8" s="159">
        <v>2.6230000000000002</v>
      </c>
      <c r="AW8" s="159">
        <v>2.6190000000000002</v>
      </c>
      <c r="AX8" s="159">
        <v>2.6240000000000001</v>
      </c>
      <c r="AY8" s="159">
        <v>2.6240000000000001</v>
      </c>
      <c r="AZ8" s="159">
        <v>2.6429999999999998</v>
      </c>
      <c r="BA8" s="159">
        <v>2.6640000000000001</v>
      </c>
      <c r="BB8" s="159">
        <v>2.6739999999999999</v>
      </c>
      <c r="BC8" s="159">
        <v>2.6949999999999998</v>
      </c>
      <c r="BD8" s="159">
        <v>2.694</v>
      </c>
      <c r="BE8" s="159">
        <v>2.706</v>
      </c>
      <c r="BF8" s="159">
        <v>2.714</v>
      </c>
      <c r="BG8" s="159">
        <v>2.746</v>
      </c>
      <c r="BH8" s="159">
        <v>2.7650000000000001</v>
      </c>
      <c r="BI8" s="159">
        <v>2.78</v>
      </c>
      <c r="BJ8" s="159">
        <v>2.8050000000000002</v>
      </c>
      <c r="BK8" s="159">
        <v>2.8250000000000002</v>
      </c>
      <c r="BL8" s="159">
        <v>2.8380000000000001</v>
      </c>
      <c r="BM8" s="159">
        <v>2.8479999999999999</v>
      </c>
      <c r="BN8" s="159">
        <v>2.8690000000000002</v>
      </c>
      <c r="BO8" s="159">
        <v>2.895</v>
      </c>
      <c r="BP8" s="159">
        <v>2.91</v>
      </c>
      <c r="BQ8" s="159">
        <v>2.9239999999999999</v>
      </c>
      <c r="BR8" s="159">
        <v>2.94</v>
      </c>
      <c r="BS8" s="159">
        <v>2.96</v>
      </c>
      <c r="BT8" s="159">
        <v>2.9790000000000001</v>
      </c>
      <c r="BU8" s="159">
        <v>2.9990000000000001</v>
      </c>
      <c r="BV8" s="159">
        <v>3.0169999999999999</v>
      </c>
      <c r="BW8" s="159">
        <v>3.0339999999999998</v>
      </c>
      <c r="BX8" s="159">
        <v>3.0510000000000002</v>
      </c>
      <c r="BY8" s="159">
        <v>3.07</v>
      </c>
      <c r="BZ8" s="159">
        <v>3.0880000000000001</v>
      </c>
      <c r="CA8" s="159">
        <v>3.1059999999999999</v>
      </c>
      <c r="CB8" s="159">
        <v>3.1219999999999999</v>
      </c>
      <c r="CC8" s="159">
        <v>3.14</v>
      </c>
      <c r="CD8" s="159">
        <v>3.1579999999999999</v>
      </c>
    </row>
    <row r="9" spans="1:83">
      <c r="A9" s="164" t="s">
        <v>212</v>
      </c>
      <c r="B9" s="164" t="s">
        <v>213</v>
      </c>
      <c r="C9" s="171">
        <v>2.0339999999999998</v>
      </c>
      <c r="D9" s="171">
        <v>2.0590000000000002</v>
      </c>
      <c r="E9" s="171">
        <v>2.0640000000000001</v>
      </c>
      <c r="F9" s="171">
        <v>2.0870000000000002</v>
      </c>
      <c r="G9" s="171">
        <v>2.1040000000000001</v>
      </c>
      <c r="H9" s="171">
        <v>2.1150000000000002</v>
      </c>
      <c r="I9" s="171">
        <v>2.15</v>
      </c>
      <c r="J9" s="171">
        <v>2.169</v>
      </c>
      <c r="K9" s="171">
        <v>2.1880000000000002</v>
      </c>
      <c r="L9" s="171">
        <v>2.2130000000000001</v>
      </c>
      <c r="M9" s="171">
        <v>2.234</v>
      </c>
      <c r="N9" s="171">
        <v>2.2200000000000002</v>
      </c>
      <c r="O9" s="171">
        <v>2.234</v>
      </c>
      <c r="P9" s="171">
        <v>2.2589999999999999</v>
      </c>
      <c r="Q9" s="171">
        <v>2.2749999999999999</v>
      </c>
      <c r="R9" s="171">
        <v>2.3010000000000002</v>
      </c>
      <c r="S9" s="171">
        <v>2.3220000000000001</v>
      </c>
      <c r="T9" s="171">
        <v>2.363</v>
      </c>
      <c r="U9" s="171">
        <v>2.4039999999999999</v>
      </c>
      <c r="V9" s="171">
        <v>2.35</v>
      </c>
      <c r="W9" s="171">
        <v>2.3420000000000001</v>
      </c>
      <c r="X9" s="171">
        <v>2.347</v>
      </c>
      <c r="Y9" s="171">
        <v>2.367</v>
      </c>
      <c r="Z9" s="171">
        <v>2.38</v>
      </c>
      <c r="AA9" s="171">
        <v>2.3809999999999998</v>
      </c>
      <c r="AB9" s="171">
        <v>2.3839999999999999</v>
      </c>
      <c r="AC9" s="171">
        <v>2.3980000000000001</v>
      </c>
      <c r="AD9" s="171">
        <v>2.42</v>
      </c>
      <c r="AE9" s="171">
        <v>2.4340000000000002</v>
      </c>
      <c r="AF9" s="171">
        <v>2.4769999999999999</v>
      </c>
      <c r="AG9" s="171">
        <v>2.488</v>
      </c>
      <c r="AH9" s="171">
        <v>2.4950000000000001</v>
      </c>
      <c r="AI9" s="171">
        <v>2.5150000000000001</v>
      </c>
      <c r="AJ9" s="171">
        <v>2.5190000000000001</v>
      </c>
      <c r="AK9" s="171">
        <v>2.5289999999999999</v>
      </c>
      <c r="AL9" s="171">
        <v>2.5470000000000002</v>
      </c>
      <c r="AM9" s="171">
        <v>2.5569999999999999</v>
      </c>
      <c r="AN9" s="171">
        <v>2.5539999999999998</v>
      </c>
      <c r="AO9" s="171">
        <v>2.573</v>
      </c>
      <c r="AP9" s="171">
        <v>2.5870000000000002</v>
      </c>
      <c r="AQ9" s="171">
        <v>2.5979999999999999</v>
      </c>
      <c r="AR9" s="171">
        <v>2.6080000000000001</v>
      </c>
      <c r="AS9" s="171">
        <v>2.6139999999999999</v>
      </c>
      <c r="AT9" s="171">
        <v>2.6139999999999999</v>
      </c>
      <c r="AU9" s="159">
        <v>2.613</v>
      </c>
      <c r="AV9" s="159">
        <v>2.6230000000000002</v>
      </c>
      <c r="AW9" s="159">
        <v>2.6190000000000002</v>
      </c>
      <c r="AX9" s="159">
        <v>2.6240000000000001</v>
      </c>
      <c r="AY9" s="159">
        <v>2.6240000000000001</v>
      </c>
      <c r="AZ9" s="159">
        <v>2.6429999999999998</v>
      </c>
      <c r="BA9" s="159">
        <v>2.6640000000000001</v>
      </c>
      <c r="BB9" s="159">
        <v>2.6739999999999999</v>
      </c>
      <c r="BC9" s="159">
        <v>2.6949999999999998</v>
      </c>
      <c r="BD9" s="159">
        <v>2.694</v>
      </c>
      <c r="BE9" s="159">
        <v>2.706</v>
      </c>
      <c r="BF9" s="159">
        <v>2.714</v>
      </c>
      <c r="BG9" s="159">
        <v>2.746</v>
      </c>
      <c r="BH9" s="159">
        <v>2.7650000000000001</v>
      </c>
      <c r="BI9" s="159">
        <v>2.78</v>
      </c>
      <c r="BJ9" s="159">
        <v>2.8010000000000002</v>
      </c>
      <c r="BK9" s="159">
        <v>2.8170000000000002</v>
      </c>
      <c r="BL9" s="159">
        <v>2.8260000000000001</v>
      </c>
      <c r="BM9" s="159">
        <v>2.8330000000000002</v>
      </c>
      <c r="BN9" s="159">
        <v>2.8519999999999999</v>
      </c>
      <c r="BO9" s="159">
        <v>2.8759999999999999</v>
      </c>
      <c r="BP9" s="159">
        <v>2.8879999999999999</v>
      </c>
      <c r="BQ9" s="159">
        <v>2.9</v>
      </c>
      <c r="BR9" s="159">
        <v>2.9129999999999998</v>
      </c>
      <c r="BS9" s="159">
        <v>2.931</v>
      </c>
      <c r="BT9" s="159">
        <v>2.9470000000000001</v>
      </c>
      <c r="BU9" s="159">
        <v>2.9630000000000001</v>
      </c>
      <c r="BV9" s="159">
        <v>2.9769999999999999</v>
      </c>
      <c r="BW9" s="159">
        <v>2.99</v>
      </c>
      <c r="BX9" s="159">
        <v>3.004</v>
      </c>
      <c r="BY9" s="159">
        <v>3.0190000000000001</v>
      </c>
      <c r="BZ9" s="159">
        <v>3.0339999999999998</v>
      </c>
      <c r="CA9" s="159">
        <v>3.0489999999999999</v>
      </c>
      <c r="CB9" s="159">
        <v>3.0619999999999998</v>
      </c>
      <c r="CC9" s="159">
        <v>3.0790000000000002</v>
      </c>
      <c r="CD9" s="159">
        <v>3.0950000000000002</v>
      </c>
    </row>
    <row r="10" spans="1:83">
      <c r="A10" s="164" t="s">
        <v>214</v>
      </c>
      <c r="B10" s="164" t="s">
        <v>215</v>
      </c>
      <c r="C10" s="171">
        <v>2.0339999999999998</v>
      </c>
      <c r="D10" s="171">
        <v>2.0590000000000002</v>
      </c>
      <c r="E10" s="171">
        <v>2.0640000000000001</v>
      </c>
      <c r="F10" s="171">
        <v>2.0870000000000002</v>
      </c>
      <c r="G10" s="171">
        <v>2.1040000000000001</v>
      </c>
      <c r="H10" s="171">
        <v>2.1150000000000002</v>
      </c>
      <c r="I10" s="171">
        <v>2.15</v>
      </c>
      <c r="J10" s="171">
        <v>2.169</v>
      </c>
      <c r="K10" s="171">
        <v>2.1880000000000002</v>
      </c>
      <c r="L10" s="171">
        <v>2.2130000000000001</v>
      </c>
      <c r="M10" s="171">
        <v>2.234</v>
      </c>
      <c r="N10" s="171">
        <v>2.2200000000000002</v>
      </c>
      <c r="O10" s="171">
        <v>2.234</v>
      </c>
      <c r="P10" s="171">
        <v>2.2589999999999999</v>
      </c>
      <c r="Q10" s="171">
        <v>2.2749999999999999</v>
      </c>
      <c r="R10" s="171">
        <v>2.3010000000000002</v>
      </c>
      <c r="S10" s="171">
        <v>2.3220000000000001</v>
      </c>
      <c r="T10" s="171">
        <v>2.363</v>
      </c>
      <c r="U10" s="171">
        <v>2.4039999999999999</v>
      </c>
      <c r="V10" s="171">
        <v>2.35</v>
      </c>
      <c r="W10" s="171">
        <v>2.3420000000000001</v>
      </c>
      <c r="X10" s="171">
        <v>2.347</v>
      </c>
      <c r="Y10" s="171">
        <v>2.367</v>
      </c>
      <c r="Z10" s="171">
        <v>2.38</v>
      </c>
      <c r="AA10" s="171">
        <v>2.3809999999999998</v>
      </c>
      <c r="AB10" s="171">
        <v>2.3839999999999999</v>
      </c>
      <c r="AC10" s="171">
        <v>2.3980000000000001</v>
      </c>
      <c r="AD10" s="171">
        <v>2.42</v>
      </c>
      <c r="AE10" s="171">
        <v>2.4340000000000002</v>
      </c>
      <c r="AF10" s="171">
        <v>2.4769999999999999</v>
      </c>
      <c r="AG10" s="171">
        <v>2.488</v>
      </c>
      <c r="AH10" s="171">
        <v>2.4950000000000001</v>
      </c>
      <c r="AI10" s="171">
        <v>2.5150000000000001</v>
      </c>
      <c r="AJ10" s="171">
        <v>2.5190000000000001</v>
      </c>
      <c r="AK10" s="171">
        <v>2.5289999999999999</v>
      </c>
      <c r="AL10" s="171">
        <v>2.5470000000000002</v>
      </c>
      <c r="AM10" s="171">
        <v>2.5569999999999999</v>
      </c>
      <c r="AN10" s="171">
        <v>2.5539999999999998</v>
      </c>
      <c r="AO10" s="171">
        <v>2.573</v>
      </c>
      <c r="AP10" s="171">
        <v>2.5870000000000002</v>
      </c>
      <c r="AQ10" s="171">
        <v>2.5979999999999999</v>
      </c>
      <c r="AR10" s="171">
        <v>2.6080000000000001</v>
      </c>
      <c r="AS10" s="171">
        <v>2.6139999999999999</v>
      </c>
      <c r="AT10" s="171">
        <v>2.6139999999999999</v>
      </c>
      <c r="AU10" s="159">
        <v>2.613</v>
      </c>
      <c r="AV10" s="159">
        <v>2.6230000000000002</v>
      </c>
      <c r="AW10" s="159">
        <v>2.6190000000000002</v>
      </c>
      <c r="AX10" s="159">
        <v>2.6240000000000001</v>
      </c>
      <c r="AY10" s="159">
        <v>2.6240000000000001</v>
      </c>
      <c r="AZ10" s="159">
        <v>2.6429999999999998</v>
      </c>
      <c r="BA10" s="159">
        <v>2.6640000000000001</v>
      </c>
      <c r="BB10" s="159">
        <v>2.6739999999999999</v>
      </c>
      <c r="BC10" s="159">
        <v>2.6949999999999998</v>
      </c>
      <c r="BD10" s="159">
        <v>2.694</v>
      </c>
      <c r="BE10" s="159">
        <v>2.706</v>
      </c>
      <c r="BF10" s="159">
        <v>2.714</v>
      </c>
      <c r="BG10" s="159">
        <v>2.746</v>
      </c>
      <c r="BH10" s="159">
        <v>2.7650000000000001</v>
      </c>
      <c r="BI10" s="159">
        <v>2.78</v>
      </c>
      <c r="BJ10" s="159">
        <v>2.806</v>
      </c>
      <c r="BK10" s="159">
        <v>2.827</v>
      </c>
      <c r="BL10" s="159">
        <v>2.8420000000000001</v>
      </c>
      <c r="BM10" s="159">
        <v>2.855</v>
      </c>
      <c r="BN10" s="159">
        <v>2.88</v>
      </c>
      <c r="BO10" s="159">
        <v>2.911</v>
      </c>
      <c r="BP10" s="159">
        <v>2.931</v>
      </c>
      <c r="BQ10" s="159">
        <v>2.95</v>
      </c>
      <c r="BR10" s="159">
        <v>2.972</v>
      </c>
      <c r="BS10" s="159">
        <v>2.9980000000000002</v>
      </c>
      <c r="BT10" s="159">
        <v>3.0230000000000001</v>
      </c>
      <c r="BU10" s="159">
        <v>3.0489999999999999</v>
      </c>
      <c r="BV10" s="159">
        <v>3.073</v>
      </c>
      <c r="BW10" s="159">
        <v>3.0979999999999999</v>
      </c>
      <c r="BX10" s="159">
        <v>3.1219999999999999</v>
      </c>
      <c r="BY10" s="159">
        <v>3.149</v>
      </c>
      <c r="BZ10" s="159">
        <v>3.1749999999999998</v>
      </c>
      <c r="CA10" s="159">
        <v>3.2010000000000001</v>
      </c>
      <c r="CB10" s="159">
        <v>3.2250000000000001</v>
      </c>
      <c r="CC10" s="159">
        <v>3.2519999999999998</v>
      </c>
      <c r="CD10" s="159">
        <v>3.278</v>
      </c>
    </row>
    <row r="15" spans="1:83">
      <c r="BF15" s="164"/>
    </row>
    <row r="16" spans="1:83">
      <c r="BF16" s="172" t="s">
        <v>216</v>
      </c>
      <c r="BG16" s="173"/>
      <c r="BH16" s="173"/>
      <c r="BI16" s="174" t="s">
        <v>221</v>
      </c>
      <c r="BJ16" s="175"/>
      <c r="BK16" s="175"/>
      <c r="BL16" s="175"/>
      <c r="BM16" s="175"/>
      <c r="BN16" s="175"/>
      <c r="BO16" s="173"/>
      <c r="BP16" s="173"/>
      <c r="BQ16" s="173"/>
    </row>
    <row r="17" spans="58:69">
      <c r="BF17" s="176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8"/>
    </row>
    <row r="18" spans="58:69">
      <c r="BF18" s="179"/>
      <c r="BG18" s="180" t="s">
        <v>217</v>
      </c>
      <c r="BH18" s="181" t="s">
        <v>220</v>
      </c>
      <c r="BI18" s="181"/>
      <c r="BJ18" s="181"/>
      <c r="BK18" s="181"/>
      <c r="BL18" s="181"/>
      <c r="BM18" s="181"/>
      <c r="BN18" s="181"/>
      <c r="BO18" s="181"/>
      <c r="BP18" s="181"/>
      <c r="BQ18" s="182"/>
    </row>
    <row r="19" spans="58:69">
      <c r="BF19" s="179"/>
      <c r="BG19" s="181"/>
      <c r="BH19" s="164" t="s">
        <v>192</v>
      </c>
      <c r="BI19" s="181"/>
      <c r="BJ19" s="181"/>
      <c r="BK19" s="181"/>
      <c r="BL19" s="181"/>
      <c r="BM19" s="181"/>
      <c r="BN19" s="181"/>
      <c r="BO19" s="181"/>
      <c r="BP19" s="181"/>
      <c r="BQ19" s="183" t="s">
        <v>71</v>
      </c>
    </row>
    <row r="20" spans="58:69">
      <c r="BF20" s="179"/>
      <c r="BG20" s="181"/>
      <c r="BH20" s="184">
        <f>BN9</f>
        <v>2.8519999999999999</v>
      </c>
      <c r="BI20" s="181"/>
      <c r="BJ20" s="181"/>
      <c r="BK20" s="181"/>
      <c r="BL20" s="181"/>
      <c r="BM20" s="181"/>
      <c r="BN20" s="181"/>
      <c r="BO20" s="181"/>
      <c r="BP20" s="181"/>
      <c r="BQ20" s="185">
        <f>BH20</f>
        <v>2.8519999999999999</v>
      </c>
    </row>
    <row r="21" spans="58:69">
      <c r="BF21" s="179"/>
      <c r="BG21" s="181"/>
      <c r="BH21" s="181"/>
      <c r="BI21" s="181"/>
      <c r="BJ21" s="181"/>
      <c r="BK21" s="181"/>
      <c r="BL21" s="181"/>
      <c r="BM21" s="181"/>
      <c r="BN21" s="181"/>
      <c r="BO21" s="181"/>
      <c r="BP21" s="181"/>
      <c r="BQ21" s="186"/>
    </row>
    <row r="22" spans="58:69">
      <c r="BF22" s="179"/>
      <c r="BG22" s="180" t="s">
        <v>218</v>
      </c>
      <c r="BH22" s="181" t="s">
        <v>219</v>
      </c>
      <c r="BI22" s="181"/>
      <c r="BJ22" s="181"/>
      <c r="BK22" s="181"/>
      <c r="BL22" s="181"/>
      <c r="BM22" s="181"/>
      <c r="BN22" s="181"/>
      <c r="BO22" s="181"/>
      <c r="BP22" s="181"/>
      <c r="BQ22" s="186"/>
    </row>
    <row r="23" spans="58:69">
      <c r="BF23" s="179"/>
      <c r="BG23" s="181"/>
      <c r="BH23" s="187" t="str">
        <f>BM7</f>
        <v>2019Q3</v>
      </c>
      <c r="BI23" s="187" t="str">
        <f t="shared" ref="BI23:BO23" si="0">BN7</f>
        <v>2019Q4</v>
      </c>
      <c r="BJ23" s="187" t="str">
        <f t="shared" si="0"/>
        <v>2020Q1</v>
      </c>
      <c r="BK23" s="187" t="str">
        <f t="shared" si="0"/>
        <v>2020Q2</v>
      </c>
      <c r="BL23" s="187" t="str">
        <f t="shared" si="0"/>
        <v>2020Q3</v>
      </c>
      <c r="BM23" s="187" t="str">
        <f t="shared" si="0"/>
        <v>2020Q4</v>
      </c>
      <c r="BN23" s="187" t="str">
        <f t="shared" si="0"/>
        <v>2021Q1</v>
      </c>
      <c r="BO23" s="187" t="str">
        <f t="shared" si="0"/>
        <v>2021Q2</v>
      </c>
      <c r="BP23" s="181"/>
      <c r="BQ23" s="186"/>
    </row>
    <row r="24" spans="58:69">
      <c r="BF24" s="179"/>
      <c r="BG24" s="181"/>
      <c r="BH24" s="171">
        <f>BM9</f>
        <v>2.8330000000000002</v>
      </c>
      <c r="BI24" s="171">
        <f t="shared" ref="BI24:BO24" si="1">BN9</f>
        <v>2.8519999999999999</v>
      </c>
      <c r="BJ24" s="171">
        <f t="shared" si="1"/>
        <v>2.8759999999999999</v>
      </c>
      <c r="BK24" s="171">
        <f t="shared" si="1"/>
        <v>2.8879999999999999</v>
      </c>
      <c r="BL24" s="171">
        <f t="shared" si="1"/>
        <v>2.9</v>
      </c>
      <c r="BM24" s="171">
        <f t="shared" si="1"/>
        <v>2.9129999999999998</v>
      </c>
      <c r="BN24" s="171">
        <f t="shared" si="1"/>
        <v>2.931</v>
      </c>
      <c r="BO24" s="171">
        <f t="shared" si="1"/>
        <v>2.9470000000000001</v>
      </c>
      <c r="BP24" s="181"/>
      <c r="BQ24" s="185">
        <f>AVERAGE(BH24:BO24)</f>
        <v>2.8925000000000001</v>
      </c>
    </row>
    <row r="25" spans="58:69">
      <c r="BF25" s="179"/>
      <c r="BG25" s="181"/>
      <c r="BH25" s="181"/>
      <c r="BI25" s="181"/>
      <c r="BJ25" s="181"/>
      <c r="BK25" s="181"/>
      <c r="BL25" s="181"/>
      <c r="BM25" s="181"/>
      <c r="BN25" s="181"/>
      <c r="BO25" s="181"/>
      <c r="BP25" s="181"/>
      <c r="BQ25" s="186"/>
    </row>
    <row r="26" spans="58:69">
      <c r="BF26" s="179"/>
      <c r="BG26" s="181"/>
      <c r="BH26" s="181"/>
      <c r="BI26" s="181"/>
      <c r="BJ26" s="181"/>
      <c r="BK26" s="181"/>
      <c r="BL26" s="181"/>
      <c r="BM26" s="181"/>
      <c r="BN26" s="181"/>
      <c r="BO26" s="181"/>
      <c r="BP26" s="188" t="s">
        <v>101</v>
      </c>
      <c r="BQ26" s="189">
        <f>(BQ24-BQ20)/BQ20</f>
        <v>1.4200561009817744E-2</v>
      </c>
    </row>
    <row r="27" spans="58:69">
      <c r="BF27" s="190"/>
      <c r="BG27" s="191"/>
      <c r="BH27" s="191"/>
      <c r="BI27" s="191"/>
      <c r="BJ27" s="191"/>
      <c r="BK27" s="191"/>
      <c r="BL27" s="191"/>
      <c r="BM27" s="191"/>
      <c r="BN27" s="191"/>
      <c r="BO27" s="191"/>
      <c r="BP27" s="191"/>
      <c r="BQ27" s="192"/>
    </row>
  </sheetData>
  <pageMargins left="0.25" right="0.25" top="1" bottom="1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I66"/>
  <sheetViews>
    <sheetView tabSelected="1" topLeftCell="L1" zoomScale="90" zoomScaleNormal="90" workbookViewId="0">
      <selection activeCell="F11" sqref="F11"/>
    </sheetView>
  </sheetViews>
  <sheetFormatPr defaultColWidth="9.109375" defaultRowHeight="14.4"/>
  <cols>
    <col min="1" max="1" width="2.33203125" style="4" customWidth="1"/>
    <col min="2" max="2" width="35.88671875" style="10" customWidth="1"/>
    <col min="3" max="3" width="12.44140625" style="10" customWidth="1"/>
    <col min="4" max="4" width="12.33203125" style="10" customWidth="1"/>
    <col min="5" max="5" width="12.44140625" style="6" customWidth="1"/>
    <col min="6" max="6" width="12.33203125" style="4" customWidth="1"/>
    <col min="7" max="7" width="11.109375" style="7" customWidth="1"/>
    <col min="8" max="8" width="11.88671875" style="4" customWidth="1"/>
    <col min="9" max="9" width="2.33203125" style="4" customWidth="1"/>
    <col min="10" max="10" width="26.6640625" style="4" customWidth="1"/>
    <col min="11" max="11" width="11" style="4" customWidth="1"/>
    <col min="12" max="12" width="10.109375" style="4" customWidth="1"/>
    <col min="13" max="13" width="12.44140625" style="4" customWidth="1"/>
    <col min="14" max="14" width="2.88671875" style="4" customWidth="1"/>
    <col min="15" max="15" width="26.109375" style="4" customWidth="1"/>
    <col min="16" max="17" width="12.6640625" style="4" customWidth="1"/>
    <col min="18" max="18" width="15.33203125" style="4" customWidth="1"/>
    <col min="19" max="19" width="2.33203125" style="4" customWidth="1"/>
    <col min="20" max="20" width="22.6640625" style="4" customWidth="1"/>
    <col min="21" max="23" width="12.6640625" style="4" customWidth="1"/>
    <col min="24" max="24" width="3.44140625" style="9" customWidth="1"/>
    <col min="25" max="25" width="22.44140625" style="4" customWidth="1"/>
    <col min="26" max="26" width="16" style="64" bestFit="1" customWidth="1"/>
    <col min="27" max="27" width="11.5546875" style="7" customWidth="1"/>
    <col min="28" max="28" width="11.5546875" style="8" customWidth="1"/>
    <col min="29" max="29" width="14.88671875" style="7" customWidth="1"/>
    <col min="30" max="30" width="3" style="10" customWidth="1"/>
    <col min="31" max="38" width="9.109375" style="333"/>
    <col min="39" max="39" width="11.5546875" style="5" customWidth="1"/>
    <col min="40" max="40" width="10.6640625" style="5" customWidth="1"/>
    <col min="41" max="41" width="9.44140625" style="27" customWidth="1"/>
    <col min="42" max="44" width="9.109375" style="5"/>
    <col min="45" max="16384" width="9.109375" style="4"/>
  </cols>
  <sheetData>
    <row r="1" spans="1:44" ht="21.75" customHeight="1">
      <c r="B1" s="569"/>
      <c r="C1" s="569"/>
      <c r="D1" s="569"/>
      <c r="E1" s="569"/>
      <c r="F1" s="6"/>
      <c r="G1" s="4"/>
      <c r="H1" s="200"/>
      <c r="AM1" s="7"/>
      <c r="AN1" s="4"/>
      <c r="AO1" s="4"/>
      <c r="AP1" s="4"/>
    </row>
    <row r="2" spans="1:44" ht="16.5" customHeight="1" thickBot="1">
      <c r="B2" s="4"/>
      <c r="C2" s="4"/>
      <c r="D2" s="4"/>
      <c r="E2" s="4"/>
      <c r="F2" s="6"/>
      <c r="G2" s="527"/>
      <c r="J2" s="11"/>
      <c r="Y2" s="10"/>
      <c r="Z2" s="72"/>
      <c r="AA2" s="72"/>
      <c r="AB2" s="6"/>
      <c r="AC2" s="4"/>
      <c r="AD2" s="4"/>
      <c r="AM2" s="7"/>
      <c r="AN2" s="4"/>
      <c r="AO2" s="4"/>
      <c r="AP2" s="4"/>
      <c r="AQ2" s="4"/>
      <c r="AR2" s="4"/>
    </row>
    <row r="3" spans="1:44" ht="18" customHeight="1" thickBot="1">
      <c r="B3" s="570" t="s">
        <v>226</v>
      </c>
      <c r="C3" s="571"/>
      <c r="D3" s="571"/>
      <c r="E3" s="572"/>
      <c r="G3" s="4"/>
      <c r="J3" s="550" t="s">
        <v>223</v>
      </c>
      <c r="K3" s="551"/>
      <c r="L3" s="551"/>
      <c r="M3" s="552"/>
      <c r="O3" s="550" t="s">
        <v>18</v>
      </c>
      <c r="P3" s="551"/>
      <c r="Q3" s="551"/>
      <c r="R3" s="552"/>
      <c r="T3" s="550" t="s">
        <v>17</v>
      </c>
      <c r="U3" s="551"/>
      <c r="V3" s="551"/>
      <c r="W3" s="552"/>
      <c r="X3" s="7"/>
      <c r="Y3" s="333"/>
      <c r="Z3" s="549"/>
      <c r="AA3" s="549"/>
      <c r="AB3" s="13"/>
      <c r="AC3" s="13"/>
      <c r="AD3" s="333"/>
      <c r="AG3" s="7"/>
      <c r="AH3" s="5"/>
      <c r="AI3" s="5"/>
      <c r="AJ3" s="5"/>
      <c r="AK3" s="4"/>
      <c r="AL3" s="4"/>
      <c r="AM3" s="4"/>
      <c r="AN3" s="4"/>
      <c r="AO3" s="4"/>
      <c r="AP3" s="4"/>
      <c r="AQ3" s="4"/>
      <c r="AR3" s="4"/>
    </row>
    <row r="4" spans="1:44" ht="18" customHeight="1" thickBot="1">
      <c r="B4" s="573"/>
      <c r="C4" s="574"/>
      <c r="D4" s="574"/>
      <c r="E4" s="575"/>
      <c r="G4" s="4"/>
      <c r="J4" s="288" t="s">
        <v>9</v>
      </c>
      <c r="K4" s="289"/>
      <c r="L4" s="334" t="s">
        <v>10</v>
      </c>
      <c r="M4" s="335">
        <f>$G$29</f>
        <v>5000</v>
      </c>
      <c r="O4" s="288" t="s">
        <v>9</v>
      </c>
      <c r="P4" s="289"/>
      <c r="Q4" s="334" t="s">
        <v>10</v>
      </c>
      <c r="R4" s="335">
        <f>$G$29</f>
        <v>5000</v>
      </c>
      <c r="T4" s="365" t="s">
        <v>9</v>
      </c>
      <c r="U4" s="366"/>
      <c r="V4" s="367" t="s">
        <v>10</v>
      </c>
      <c r="W4" s="368">
        <f>$G$29</f>
        <v>5000</v>
      </c>
      <c r="X4" s="7"/>
      <c r="AC4" s="333"/>
      <c r="AD4" s="333"/>
      <c r="AG4" s="7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</row>
    <row r="5" spans="1:44" s="5" customFormat="1" ht="15" customHeight="1">
      <c r="A5" s="4"/>
      <c r="B5" s="553" t="s">
        <v>11</v>
      </c>
      <c r="C5" s="556"/>
      <c r="D5" s="559" t="s">
        <v>84</v>
      </c>
      <c r="E5" s="562"/>
      <c r="F5" s="4"/>
      <c r="G5" s="4"/>
      <c r="H5" s="4"/>
      <c r="I5" s="4"/>
      <c r="J5" s="25"/>
      <c r="K5" s="26" t="s">
        <v>12</v>
      </c>
      <c r="L5" s="336" t="s">
        <v>13</v>
      </c>
      <c r="M5" s="337" t="s">
        <v>14</v>
      </c>
      <c r="N5" s="4"/>
      <c r="O5" s="288"/>
      <c r="P5" s="289"/>
      <c r="Q5" s="334"/>
      <c r="R5" s="335"/>
      <c r="S5" s="4"/>
      <c r="T5" s="25"/>
      <c r="U5" s="26" t="s">
        <v>12</v>
      </c>
      <c r="V5" s="336" t="s">
        <v>13</v>
      </c>
      <c r="W5" s="337" t="s">
        <v>14</v>
      </c>
      <c r="X5" s="7"/>
      <c r="AG5" s="7"/>
    </row>
    <row r="6" spans="1:44">
      <c r="B6" s="554"/>
      <c r="C6" s="557"/>
      <c r="D6" s="560"/>
      <c r="E6" s="563"/>
      <c r="G6" s="4"/>
      <c r="J6" s="14" t="str">
        <f>B17</f>
        <v>Management</v>
      </c>
      <c r="K6" s="26">
        <f>D17</f>
        <v>59419</v>
      </c>
      <c r="L6" s="15">
        <f>G22</f>
        <v>1</v>
      </c>
      <c r="M6" s="16">
        <f>K6*L6</f>
        <v>59419</v>
      </c>
      <c r="O6" s="25"/>
      <c r="P6" s="26" t="s">
        <v>12</v>
      </c>
      <c r="Q6" s="336" t="s">
        <v>13</v>
      </c>
      <c r="R6" s="337" t="s">
        <v>14</v>
      </c>
      <c r="T6" s="14" t="s">
        <v>15</v>
      </c>
      <c r="U6" s="26">
        <f>D17</f>
        <v>59419</v>
      </c>
      <c r="V6" s="15">
        <f>C22</f>
        <v>1.65</v>
      </c>
      <c r="W6" s="16">
        <f>U6*V6</f>
        <v>98041.349999999991</v>
      </c>
      <c r="X6" s="17"/>
      <c r="AC6" s="333"/>
      <c r="AD6" s="333"/>
      <c r="AG6" s="7"/>
      <c r="AH6" s="7"/>
      <c r="AI6" s="7"/>
      <c r="AJ6" s="7"/>
      <c r="AK6" s="4"/>
      <c r="AL6" s="4"/>
      <c r="AM6" s="4"/>
      <c r="AN6" s="4"/>
      <c r="AO6" s="4"/>
      <c r="AP6" s="4"/>
      <c r="AQ6" s="4"/>
      <c r="AR6" s="4"/>
    </row>
    <row r="7" spans="1:44" s="5" customFormat="1" ht="18" customHeight="1" thickBot="1">
      <c r="A7" s="4"/>
      <c r="B7" s="555"/>
      <c r="C7" s="558"/>
      <c r="D7" s="561"/>
      <c r="E7" s="564"/>
      <c r="F7" s="380"/>
      <c r="G7" s="4"/>
      <c r="H7" s="4"/>
      <c r="I7" s="4"/>
      <c r="J7" s="14" t="str">
        <f>B18</f>
        <v>Direct Care</v>
      </c>
      <c r="K7" s="26">
        <f>D18</f>
        <v>32198.400000000001</v>
      </c>
      <c r="L7" s="15">
        <f>G24</f>
        <v>6.75</v>
      </c>
      <c r="M7" s="16">
        <f>K7*L7</f>
        <v>217339.2</v>
      </c>
      <c r="N7" s="4"/>
      <c r="O7" s="14" t="s">
        <v>15</v>
      </c>
      <c r="P7" s="26">
        <f>D17</f>
        <v>59419</v>
      </c>
      <c r="Q7" s="15">
        <f>D22</f>
        <v>1</v>
      </c>
      <c r="R7" s="16">
        <f>P7*Q7</f>
        <v>59419</v>
      </c>
      <c r="S7" s="4"/>
      <c r="T7" s="14" t="s">
        <v>16</v>
      </c>
      <c r="U7" s="26">
        <f>D18</f>
        <v>32198.400000000001</v>
      </c>
      <c r="V7" s="15">
        <f>C24</f>
        <v>21.53</v>
      </c>
      <c r="W7" s="16">
        <f>U7*V7</f>
        <v>693231.55200000003</v>
      </c>
      <c r="X7" s="9"/>
      <c r="AG7" s="7"/>
      <c r="AH7" s="18"/>
      <c r="AI7" s="18"/>
      <c r="AJ7" s="18"/>
    </row>
    <row r="8" spans="1:44" s="7" customFormat="1">
      <c r="B8" s="19" t="s">
        <v>223</v>
      </c>
      <c r="C8" s="20"/>
      <c r="D8" s="20">
        <f>M29</f>
        <v>8.1819452561325932</v>
      </c>
      <c r="E8" s="548"/>
      <c r="F8" s="104"/>
      <c r="G8" s="4"/>
      <c r="H8" s="4"/>
      <c r="J8" s="14" t="str">
        <f>B20</f>
        <v>Support Staff</v>
      </c>
      <c r="K8" s="26">
        <f>D20</f>
        <v>32198.400000000001</v>
      </c>
      <c r="L8" s="15">
        <f>G25</f>
        <v>1</v>
      </c>
      <c r="M8" s="16">
        <f>K8*L8</f>
        <v>32198.400000000001</v>
      </c>
      <c r="N8" s="4"/>
      <c r="O8" s="14" t="s">
        <v>16</v>
      </c>
      <c r="P8" s="26">
        <f>D18</f>
        <v>32198.400000000001</v>
      </c>
      <c r="Q8" s="15">
        <f>D24</f>
        <v>10.8</v>
      </c>
      <c r="R8" s="16">
        <f>P8*Q8</f>
        <v>347742.72000000003</v>
      </c>
      <c r="S8" s="4"/>
      <c r="T8" s="14" t="str">
        <f>B20</f>
        <v>Support Staff</v>
      </c>
      <c r="U8" s="26">
        <f>D20</f>
        <v>32198.400000000001</v>
      </c>
      <c r="V8" s="15">
        <f>C25</f>
        <v>1</v>
      </c>
      <c r="W8" s="16">
        <f>U8*V8</f>
        <v>32198.400000000001</v>
      </c>
      <c r="X8" s="21"/>
      <c r="AH8" s="18"/>
      <c r="AI8" s="18"/>
      <c r="AJ8" s="18"/>
    </row>
    <row r="9" spans="1:44" s="18" customFormat="1">
      <c r="B9" s="22" t="s">
        <v>227</v>
      </c>
      <c r="C9" s="23"/>
      <c r="D9" s="20">
        <f>W29</f>
        <v>10.954493627337891</v>
      </c>
      <c r="E9" s="548"/>
      <c r="F9" s="104"/>
      <c r="G9" s="4"/>
      <c r="H9" s="4"/>
      <c r="J9" s="14" t="str">
        <f>B19</f>
        <v>Clinical (MA Level)</v>
      </c>
      <c r="K9" s="26">
        <f>D19</f>
        <v>52665.599999999999</v>
      </c>
      <c r="L9" s="15">
        <f>G23</f>
        <v>5.2</v>
      </c>
      <c r="M9" s="16">
        <f>K9*L9</f>
        <v>273861.12</v>
      </c>
      <c r="N9" s="4"/>
      <c r="O9" s="14" t="str">
        <f>B20</f>
        <v>Support Staff</v>
      </c>
      <c r="P9" s="26">
        <f>D20</f>
        <v>32198.400000000001</v>
      </c>
      <c r="Q9" s="15">
        <v>0.5</v>
      </c>
      <c r="R9" s="16">
        <f>P9*Q9</f>
        <v>16099.2</v>
      </c>
      <c r="S9" s="4"/>
      <c r="T9" s="14"/>
      <c r="U9" s="26"/>
      <c r="V9" s="15"/>
      <c r="W9" s="16"/>
      <c r="X9" s="21"/>
      <c r="AG9" s="7"/>
      <c r="AH9" s="7"/>
      <c r="AI9" s="7"/>
      <c r="AJ9" s="7"/>
    </row>
    <row r="10" spans="1:44" s="18" customFormat="1">
      <c r="B10" s="22" t="s">
        <v>18</v>
      </c>
      <c r="C10" s="20"/>
      <c r="D10" s="20">
        <f>R29</f>
        <v>6.3437056493158144</v>
      </c>
      <c r="E10" s="548"/>
      <c r="F10" s="104"/>
      <c r="G10" s="4"/>
      <c r="H10" s="4"/>
      <c r="J10" s="290" t="s">
        <v>19</v>
      </c>
      <c r="K10" s="291"/>
      <c r="L10" s="292">
        <f>SUM(L6:L9)</f>
        <v>13.95</v>
      </c>
      <c r="M10" s="293">
        <f>SUM(M6:M9)</f>
        <v>582817.72</v>
      </c>
      <c r="N10" s="4"/>
      <c r="O10" s="290" t="s">
        <v>19</v>
      </c>
      <c r="P10" s="291"/>
      <c r="Q10" s="294">
        <f>SUM(Q7:Q9)</f>
        <v>12.3</v>
      </c>
      <c r="R10" s="293">
        <f>SUM(R7:R9)</f>
        <v>423260.92000000004</v>
      </c>
      <c r="S10" s="4"/>
      <c r="T10" s="290" t="s">
        <v>19</v>
      </c>
      <c r="U10" s="291"/>
      <c r="V10" s="294">
        <f>SUM(V6:V9)</f>
        <v>24.18</v>
      </c>
      <c r="W10" s="293">
        <f>SUM(W6:W9)</f>
        <v>823471.30200000003</v>
      </c>
      <c r="X10" s="9"/>
      <c r="AG10" s="7"/>
      <c r="AH10" s="5"/>
      <c r="AI10" s="5"/>
      <c r="AJ10" s="5"/>
    </row>
    <row r="11" spans="1:44" s="7" customFormat="1">
      <c r="B11" s="22" t="s">
        <v>20</v>
      </c>
      <c r="C11" s="20"/>
      <c r="D11" s="20">
        <f>M56</f>
        <v>4.5763673326740522</v>
      </c>
      <c r="E11" s="548"/>
      <c r="F11" s="104"/>
      <c r="G11" s="4"/>
      <c r="H11" s="4"/>
      <c r="J11" s="25"/>
      <c r="K11" s="26"/>
      <c r="L11" s="34"/>
      <c r="M11" s="16"/>
      <c r="N11" s="4"/>
      <c r="O11" s="25"/>
      <c r="P11" s="26"/>
      <c r="Q11" s="34"/>
      <c r="R11" s="16"/>
      <c r="S11" s="4"/>
      <c r="T11" s="25"/>
      <c r="U11" s="26"/>
      <c r="V11" s="34"/>
      <c r="W11" s="16"/>
      <c r="X11" s="17"/>
      <c r="AH11" s="5"/>
      <c r="AI11" s="5"/>
      <c r="AJ11" s="5"/>
    </row>
    <row r="12" spans="1:44" s="5" customFormat="1">
      <c r="A12" s="4"/>
      <c r="B12" s="22" t="s">
        <v>21</v>
      </c>
      <c r="C12" s="20"/>
      <c r="D12" s="20">
        <f>R56</f>
        <v>3.8479526532659882</v>
      </c>
      <c r="E12" s="548"/>
      <c r="F12" s="104"/>
      <c r="G12" s="338"/>
      <c r="H12" s="4"/>
      <c r="I12" s="4"/>
      <c r="J12" s="24" t="str">
        <f>B31</f>
        <v>Tax &amp; Fringe</v>
      </c>
      <c r="K12" s="50">
        <f>$C$31</f>
        <v>0.224</v>
      </c>
      <c r="L12" s="336"/>
      <c r="M12" s="16">
        <f>K12*M10</f>
        <v>130551.16928</v>
      </c>
      <c r="N12" s="4"/>
      <c r="O12" s="24" t="s">
        <v>22</v>
      </c>
      <c r="P12" s="50">
        <f>$C$31</f>
        <v>0.224</v>
      </c>
      <c r="Q12" s="336"/>
      <c r="R12" s="16">
        <f>P12*R10</f>
        <v>94810.446080000009</v>
      </c>
      <c r="S12" s="4"/>
      <c r="T12" s="24" t="s">
        <v>22</v>
      </c>
      <c r="U12" s="50">
        <f>$C$31</f>
        <v>0.224</v>
      </c>
      <c r="V12" s="336"/>
      <c r="W12" s="16">
        <f>U12*W10</f>
        <v>184457.57164800001</v>
      </c>
      <c r="X12" s="17"/>
      <c r="AG12" s="7"/>
    </row>
    <row r="13" spans="1:44" s="5" customFormat="1" ht="15" thickBot="1">
      <c r="A13" s="4"/>
      <c r="B13" s="196"/>
      <c r="C13" s="197"/>
      <c r="D13" s="198"/>
      <c r="E13" s="195"/>
      <c r="F13" s="339"/>
      <c r="G13" s="340"/>
      <c r="H13" s="4"/>
      <c r="I13" s="4"/>
      <c r="J13" s="295" t="s">
        <v>23</v>
      </c>
      <c r="K13" s="296"/>
      <c r="L13" s="297"/>
      <c r="M13" s="341">
        <f>M12+M10</f>
        <v>713368.88928</v>
      </c>
      <c r="N13" s="4"/>
      <c r="O13" s="295" t="s">
        <v>23</v>
      </c>
      <c r="P13" s="296"/>
      <c r="Q13" s="297"/>
      <c r="R13" s="341">
        <f>R12+R10</f>
        <v>518071.36608000007</v>
      </c>
      <c r="S13" s="4"/>
      <c r="T13" s="295" t="s">
        <v>23</v>
      </c>
      <c r="U13" s="296"/>
      <c r="V13" s="297"/>
      <c r="W13" s="341">
        <f>W12+W10</f>
        <v>1007928.8736480001</v>
      </c>
      <c r="X13" s="17"/>
      <c r="AG13" s="7"/>
      <c r="AH13" s="4"/>
      <c r="AI13" s="4"/>
      <c r="AJ13" s="4"/>
    </row>
    <row r="14" spans="1:44" s="5" customFormat="1" ht="15" thickBot="1">
      <c r="A14" s="4"/>
      <c r="B14" s="4"/>
      <c r="C14" s="4"/>
      <c r="D14" s="4"/>
      <c r="E14" s="4"/>
      <c r="F14" s="6"/>
      <c r="G14" s="4"/>
      <c r="H14" s="4"/>
      <c r="I14" s="4"/>
      <c r="J14" s="25"/>
      <c r="K14" s="26"/>
      <c r="L14" s="336" t="s">
        <v>24</v>
      </c>
      <c r="M14" s="16"/>
      <c r="N14" s="4"/>
      <c r="O14" s="25"/>
      <c r="P14" s="26"/>
      <c r="Q14" s="336" t="s">
        <v>24</v>
      </c>
      <c r="R14" s="16"/>
      <c r="S14" s="4"/>
      <c r="T14" s="25"/>
      <c r="U14" s="26"/>
      <c r="V14" s="336" t="s">
        <v>24</v>
      </c>
      <c r="W14" s="16"/>
      <c r="X14" s="29"/>
      <c r="AG14" s="7"/>
      <c r="AH14" s="4"/>
      <c r="AI14" s="4"/>
      <c r="AJ14" s="4"/>
    </row>
    <row r="15" spans="1:44" ht="15" thickBot="1">
      <c r="B15" s="298" t="s">
        <v>25</v>
      </c>
      <c r="C15" s="299"/>
      <c r="D15" s="299"/>
      <c r="E15" s="299"/>
      <c r="F15" s="299"/>
      <c r="G15" s="299"/>
      <c r="H15" s="300"/>
      <c r="J15" s="342" t="s">
        <v>232</v>
      </c>
      <c r="K15" s="26"/>
      <c r="L15" s="28">
        <f>C32</f>
        <v>13.57</v>
      </c>
      <c r="M15" s="16">
        <f>L15*M4</f>
        <v>67850</v>
      </c>
      <c r="O15" s="342" t="s">
        <v>232</v>
      </c>
      <c r="P15" s="26"/>
      <c r="Q15" s="28">
        <f>C32</f>
        <v>13.57</v>
      </c>
      <c r="R15" s="16">
        <f>Q15*R4</f>
        <v>67850</v>
      </c>
      <c r="T15" s="342" t="s">
        <v>232</v>
      </c>
      <c r="U15" s="26"/>
      <c r="V15" s="28">
        <f>C32</f>
        <v>13.57</v>
      </c>
      <c r="W15" s="16">
        <f>V15*W4</f>
        <v>67850</v>
      </c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ht="15" thickBot="1">
      <c r="B16" s="373" t="s">
        <v>26</v>
      </c>
      <c r="C16" s="372"/>
      <c r="D16" s="369" t="s">
        <v>303</v>
      </c>
      <c r="E16" s="373" t="s">
        <v>27</v>
      </c>
      <c r="F16" s="371"/>
      <c r="G16" s="371"/>
      <c r="H16" s="370"/>
      <c r="J16" s="342" t="s">
        <v>328</v>
      </c>
      <c r="K16" s="26"/>
      <c r="L16" s="28">
        <f>C33+C34</f>
        <v>1.8448031590344824</v>
      </c>
      <c r="M16" s="16">
        <f>L16*$M$4</f>
        <v>9224.0157951724123</v>
      </c>
      <c r="O16" s="342" t="s">
        <v>328</v>
      </c>
      <c r="P16" s="26"/>
      <c r="Q16" s="28">
        <f>L16</f>
        <v>1.8448031590344824</v>
      </c>
      <c r="R16" s="16">
        <f t="shared" ref="R16:R18" si="0">Q16*$R$4</f>
        <v>9224.0157951724123</v>
      </c>
      <c r="T16" s="342" t="s">
        <v>328</v>
      </c>
      <c r="U16" s="26"/>
      <c r="V16" s="28">
        <f>Q16</f>
        <v>1.8448031590344824</v>
      </c>
      <c r="W16" s="16">
        <f t="shared" ref="W16:W18" si="1">V16*$W$4</f>
        <v>9224.0157951724123</v>
      </c>
      <c r="AC16" s="333"/>
      <c r="AD16" s="333"/>
      <c r="AG16" s="36"/>
      <c r="AH16" s="5"/>
      <c r="AI16" s="30"/>
      <c r="AJ16" s="4"/>
      <c r="AK16" s="4"/>
      <c r="AL16" s="4"/>
      <c r="AM16" s="4"/>
      <c r="AN16" s="4"/>
      <c r="AO16" s="4"/>
      <c r="AP16" s="4"/>
      <c r="AQ16" s="4"/>
      <c r="AR16" s="4"/>
    </row>
    <row r="17" spans="1:61">
      <c r="B17" s="31" t="s">
        <v>28</v>
      </c>
      <c r="C17" s="98"/>
      <c r="D17" s="201">
        <v>59419</v>
      </c>
      <c r="E17" s="103" t="s">
        <v>302</v>
      </c>
      <c r="F17" s="34"/>
      <c r="G17" s="34"/>
      <c r="H17" s="35"/>
      <c r="J17" s="24" t="s">
        <v>235</v>
      </c>
      <c r="K17" s="26"/>
      <c r="L17" s="28">
        <f>+C35</f>
        <v>8.1958882187586219</v>
      </c>
      <c r="M17" s="16">
        <f>L17*$M$4</f>
        <v>40979.44109379311</v>
      </c>
      <c r="O17" s="24" t="s">
        <v>235</v>
      </c>
      <c r="P17" s="26"/>
      <c r="Q17" s="28">
        <f t="shared" ref="Q17" si="2">L17</f>
        <v>8.1958882187586219</v>
      </c>
      <c r="R17" s="16">
        <f t="shared" si="0"/>
        <v>40979.44109379311</v>
      </c>
      <c r="T17" s="24" t="s">
        <v>235</v>
      </c>
      <c r="U17" s="26"/>
      <c r="V17" s="28">
        <f t="shared" ref="V17" si="3">Q17</f>
        <v>8.1958882187586219</v>
      </c>
      <c r="W17" s="16">
        <f t="shared" si="1"/>
        <v>40979.44109379311</v>
      </c>
      <c r="AC17" s="333"/>
      <c r="AD17" s="333"/>
      <c r="AG17" s="36"/>
      <c r="AH17" s="5"/>
      <c r="AI17" s="27"/>
      <c r="AJ17" s="4"/>
      <c r="AK17" s="4"/>
      <c r="AL17" s="4"/>
      <c r="AM17" s="4"/>
      <c r="AN17" s="4"/>
      <c r="AO17" s="4"/>
      <c r="AP17" s="4"/>
      <c r="AQ17" s="4"/>
      <c r="AR17" s="4"/>
    </row>
    <row r="18" spans="1:61" ht="15" thickBot="1">
      <c r="B18" s="24" t="s">
        <v>29</v>
      </c>
      <c r="C18" s="99"/>
      <c r="D18" s="202">
        <f>Chart!C6</f>
        <v>32198.400000000001</v>
      </c>
      <c r="E18" s="37" t="s">
        <v>295</v>
      </c>
      <c r="F18" s="34"/>
      <c r="G18" s="34"/>
      <c r="H18" s="35"/>
      <c r="J18" s="342" t="s">
        <v>0</v>
      </c>
      <c r="K18" s="26"/>
      <c r="L18" s="494">
        <f>C36</f>
        <v>7.2173104920324285</v>
      </c>
      <c r="M18" s="495">
        <f>L18*$M$4</f>
        <v>36086.552460162144</v>
      </c>
      <c r="O18" s="342" t="s">
        <v>0</v>
      </c>
      <c r="P18" s="26"/>
      <c r="Q18" s="494">
        <f>C36</f>
        <v>7.2173104920324285</v>
      </c>
      <c r="R18" s="495">
        <f t="shared" si="0"/>
        <v>36086.552460162144</v>
      </c>
      <c r="T18" s="342" t="s">
        <v>0</v>
      </c>
      <c r="U18" s="26"/>
      <c r="V18" s="494">
        <f>C36</f>
        <v>7.2173104920324285</v>
      </c>
      <c r="W18" s="495">
        <f t="shared" si="1"/>
        <v>36086.552460162144</v>
      </c>
      <c r="AC18" s="333"/>
      <c r="AD18" s="333"/>
      <c r="AG18" s="5"/>
      <c r="AH18" s="38"/>
      <c r="AI18" s="27"/>
      <c r="AJ18" s="4"/>
      <c r="AK18" s="4"/>
      <c r="AL18" s="4"/>
      <c r="AM18" s="4"/>
      <c r="AN18" s="4"/>
      <c r="AO18" s="4"/>
      <c r="AP18" s="4"/>
      <c r="AQ18" s="4"/>
      <c r="AR18" s="4"/>
    </row>
    <row r="19" spans="1:61">
      <c r="B19" s="24" t="s">
        <v>326</v>
      </c>
      <c r="C19" s="99"/>
      <c r="D19" s="202">
        <f>Chart!C14</f>
        <v>52665.599999999999</v>
      </c>
      <c r="E19" s="37" t="s">
        <v>295</v>
      </c>
      <c r="F19" s="34"/>
      <c r="G19" s="34"/>
      <c r="H19" s="35"/>
      <c r="J19" s="14"/>
      <c r="K19" s="26"/>
      <c r="L19" s="28">
        <f>SUM(L15:L18)</f>
        <v>30.828001869825531</v>
      </c>
      <c r="M19" s="16">
        <f>SUM(M15:M18)</f>
        <v>154140.00934912765</v>
      </c>
      <c r="O19" s="14"/>
      <c r="P19" s="26"/>
      <c r="Q19" s="28">
        <f>SUM(Q15:Q18)</f>
        <v>30.828001869825531</v>
      </c>
      <c r="R19" s="16">
        <f>SUM(R15:R18)</f>
        <v>154140.00934912765</v>
      </c>
      <c r="T19" s="14"/>
      <c r="U19" s="26"/>
      <c r="V19" s="28">
        <f>SUM(V15:V18)</f>
        <v>30.828001869825531</v>
      </c>
      <c r="W19" s="16">
        <f>SUM(W15:W18)</f>
        <v>154140.00934912765</v>
      </c>
      <c r="AC19" s="333"/>
      <c r="AD19" s="333"/>
      <c r="AG19" s="5"/>
      <c r="AH19" s="38"/>
      <c r="AI19" s="27"/>
      <c r="AJ19" s="4"/>
      <c r="AK19" s="4"/>
      <c r="AL19" s="4"/>
      <c r="AM19" s="4"/>
      <c r="AN19" s="4"/>
      <c r="AO19" s="4"/>
      <c r="AP19" s="4"/>
      <c r="AQ19" s="4"/>
      <c r="AR19" s="4"/>
    </row>
    <row r="20" spans="1:61">
      <c r="B20" s="39" t="s">
        <v>85</v>
      </c>
      <c r="C20" s="100"/>
      <c r="D20" s="203">
        <f>Chart!C6</f>
        <v>32198.400000000001</v>
      </c>
      <c r="E20" s="32" t="s">
        <v>295</v>
      </c>
      <c r="F20" s="40"/>
      <c r="G20" s="40"/>
      <c r="H20" s="35"/>
      <c r="J20" s="25"/>
      <c r="K20" s="26"/>
      <c r="L20" s="344"/>
      <c r="M20" s="16"/>
      <c r="O20" s="25"/>
      <c r="P20" s="26"/>
      <c r="Q20" s="344"/>
      <c r="R20" s="16"/>
      <c r="T20" s="25"/>
      <c r="U20" s="26"/>
      <c r="V20" s="344"/>
      <c r="W20" s="16"/>
      <c r="AC20" s="333"/>
      <c r="AD20" s="333"/>
      <c r="AG20" s="343"/>
      <c r="AH20" s="5"/>
      <c r="AI20" s="27"/>
      <c r="AJ20" s="4"/>
      <c r="AK20" s="4"/>
      <c r="AL20" s="4"/>
      <c r="AM20" s="4"/>
      <c r="AN20" s="4"/>
      <c r="AO20" s="4"/>
      <c r="AP20" s="4"/>
      <c r="AQ20" s="4"/>
      <c r="AR20" s="4"/>
    </row>
    <row r="21" spans="1:61">
      <c r="B21" s="301" t="s">
        <v>31</v>
      </c>
      <c r="C21" s="302" t="s">
        <v>5</v>
      </c>
      <c r="D21" s="303" t="s">
        <v>6</v>
      </c>
      <c r="E21" s="302" t="s">
        <v>7</v>
      </c>
      <c r="F21" s="302" t="s">
        <v>8</v>
      </c>
      <c r="G21" s="302" t="s">
        <v>228</v>
      </c>
      <c r="H21" s="304"/>
      <c r="J21" s="290" t="s">
        <v>32</v>
      </c>
      <c r="K21" s="291"/>
      <c r="L21" s="294"/>
      <c r="M21" s="293">
        <f>M13+M19</f>
        <v>867508.89862912765</v>
      </c>
      <c r="O21" s="290" t="s">
        <v>32</v>
      </c>
      <c r="P21" s="291"/>
      <c r="Q21" s="294"/>
      <c r="R21" s="293">
        <f>R13+R19</f>
        <v>672211.37542912771</v>
      </c>
      <c r="T21" s="290" t="s">
        <v>32</v>
      </c>
      <c r="U21" s="291"/>
      <c r="V21" s="294"/>
      <c r="W21" s="293">
        <f>W13+W19</f>
        <v>1162068.8829971277</v>
      </c>
      <c r="AC21" s="333"/>
      <c r="AD21" s="333"/>
      <c r="AG21" s="343"/>
      <c r="AH21" s="5"/>
      <c r="AI21" s="27"/>
      <c r="AJ21" s="4"/>
      <c r="AK21" s="4"/>
      <c r="AL21" s="4"/>
      <c r="AM21" s="4"/>
      <c r="AN21" s="4"/>
      <c r="AO21" s="4"/>
      <c r="AP21" s="4"/>
      <c r="AQ21" s="4"/>
      <c r="AR21" s="4"/>
    </row>
    <row r="22" spans="1:61">
      <c r="B22" s="41" t="s">
        <v>28</v>
      </c>
      <c r="C22" s="42">
        <v>1.65</v>
      </c>
      <c r="D22" s="42">
        <v>1</v>
      </c>
      <c r="E22" s="42">
        <v>0.8</v>
      </c>
      <c r="F22" s="42">
        <v>0.5</v>
      </c>
      <c r="G22" s="42">
        <v>1</v>
      </c>
      <c r="H22" s="43"/>
      <c r="J22" s="14" t="str">
        <f>B38</f>
        <v>PFMLA Trust Contribution</v>
      </c>
      <c r="K22" s="315">
        <f>C38</f>
        <v>3.7000000000000002E-3</v>
      </c>
      <c r="L22" s="47"/>
      <c r="M22" s="16">
        <f>K22*M10</f>
        <v>2156.4255640000001</v>
      </c>
      <c r="O22" s="14" t="str">
        <f>J22</f>
        <v>PFMLA Trust Contribution</v>
      </c>
      <c r="P22" s="315">
        <f>K22</f>
        <v>3.7000000000000002E-3</v>
      </c>
      <c r="Q22" s="47"/>
      <c r="R22" s="16">
        <f>R10*P22</f>
        <v>1566.0654040000002</v>
      </c>
      <c r="T22" s="14" t="str">
        <f>J22</f>
        <v>PFMLA Trust Contribution</v>
      </c>
      <c r="U22" s="315">
        <f>K22</f>
        <v>3.7000000000000002E-3</v>
      </c>
      <c r="V22" s="47"/>
      <c r="W22" s="16">
        <f>W10*U22</f>
        <v>3046.8438174000003</v>
      </c>
      <c r="AC22" s="333"/>
      <c r="AD22" s="333"/>
      <c r="AG22" s="343"/>
      <c r="AH22" s="44"/>
      <c r="AI22" s="27"/>
      <c r="AJ22" s="5"/>
      <c r="AK22" s="4"/>
      <c r="AL22" s="4"/>
      <c r="AM22" s="4"/>
      <c r="AN22" s="4"/>
      <c r="AO22" s="4"/>
      <c r="AP22" s="4"/>
      <c r="AQ22" s="4"/>
      <c r="AR22" s="4"/>
    </row>
    <row r="23" spans="1:61">
      <c r="B23" s="41" t="s">
        <v>345</v>
      </c>
      <c r="C23" s="45">
        <v>0</v>
      </c>
      <c r="D23" s="45">
        <v>0</v>
      </c>
      <c r="E23" s="45">
        <v>0</v>
      </c>
      <c r="F23" s="45">
        <v>0</v>
      </c>
      <c r="G23" s="45">
        <v>5.2</v>
      </c>
      <c r="H23" s="46"/>
      <c r="J23" s="14" t="str">
        <f>B37</f>
        <v>Admin Allocation</v>
      </c>
      <c r="K23" s="61">
        <f>C37</f>
        <v>0.12</v>
      </c>
      <c r="L23" s="47"/>
      <c r="M23" s="16">
        <f>(M21+M22)*K23</f>
        <v>104359.83890317532</v>
      </c>
      <c r="O23" s="14" t="s">
        <v>33</v>
      </c>
      <c r="P23" s="61">
        <f>C37</f>
        <v>0.12</v>
      </c>
      <c r="Q23" s="47"/>
      <c r="R23" s="16">
        <f>(R21+R22)*P23</f>
        <v>80853.29289997532</v>
      </c>
      <c r="T23" s="14" t="s">
        <v>33</v>
      </c>
      <c r="U23" s="61">
        <f>C37</f>
        <v>0.12</v>
      </c>
      <c r="V23" s="47"/>
      <c r="W23" s="16">
        <f>(W21+W22)*U23</f>
        <v>139813.88721774332</v>
      </c>
      <c r="Y23" s="5"/>
      <c r="Z23" s="5"/>
      <c r="AC23" s="5"/>
      <c r="AD23" s="5"/>
      <c r="AE23" s="5"/>
      <c r="AF23" s="5"/>
      <c r="AG23" s="5"/>
      <c r="AH23" s="5"/>
      <c r="AI23" s="345"/>
      <c r="AJ23" s="5"/>
      <c r="AK23" s="4"/>
      <c r="AL23" s="4"/>
      <c r="AM23" s="4"/>
      <c r="AN23" s="4"/>
      <c r="AO23" s="4"/>
      <c r="AP23" s="4"/>
      <c r="AQ23" s="4"/>
      <c r="AR23" s="4"/>
    </row>
    <row r="24" spans="1:61" s="5" customFormat="1">
      <c r="A24" s="4"/>
      <c r="B24" s="24" t="s">
        <v>29</v>
      </c>
      <c r="C24" s="45">
        <v>21.53</v>
      </c>
      <c r="D24" s="45">
        <f>10.8-D23</f>
        <v>10.8</v>
      </c>
      <c r="E24" s="45">
        <v>6.59</v>
      </c>
      <c r="F24" s="45">
        <v>5.18</v>
      </c>
      <c r="G24" s="45">
        <v>6.75</v>
      </c>
      <c r="H24" s="46"/>
      <c r="I24" s="4"/>
      <c r="J24" s="316" t="s">
        <v>45</v>
      </c>
      <c r="K24" s="315">
        <f>C39</f>
        <v>1.9959404600811814E-2</v>
      </c>
      <c r="L24" s="317"/>
      <c r="M24" s="16">
        <f>(M23+M22+M21-M10)*K24</f>
        <v>7808.2676396081761</v>
      </c>
      <c r="N24" s="4"/>
      <c r="O24" s="316" t="s">
        <v>45</v>
      </c>
      <c r="P24" s="315">
        <f>C39</f>
        <v>1.9959404600811814E-2</v>
      </c>
      <c r="Q24" s="317"/>
      <c r="R24" s="16">
        <f>(R23+R22+R21-R10)*P24</f>
        <v>6613.9441847946491</v>
      </c>
      <c r="S24" s="4"/>
      <c r="T24" s="316" t="s">
        <v>45</v>
      </c>
      <c r="U24" s="315">
        <f>P51</f>
        <v>1.9959404600811814E-2</v>
      </c>
      <c r="V24" s="317"/>
      <c r="W24" s="16">
        <f>(W23+W22+W21-W10)*U24</f>
        <v>9609.6212482760002</v>
      </c>
      <c r="X24" s="34"/>
      <c r="AI24" s="27"/>
      <c r="AJ24" s="44"/>
    </row>
    <row r="25" spans="1:61" s="5" customFormat="1" ht="15" thickBot="1">
      <c r="A25" s="4"/>
      <c r="B25" s="39" t="s">
        <v>85</v>
      </c>
      <c r="C25" s="48">
        <v>1</v>
      </c>
      <c r="D25" s="48">
        <v>0.5</v>
      </c>
      <c r="E25" s="48">
        <v>0.5</v>
      </c>
      <c r="F25" s="48">
        <v>0.5</v>
      </c>
      <c r="G25" s="48">
        <v>1</v>
      </c>
      <c r="H25" s="49"/>
      <c r="I25" s="4"/>
      <c r="J25" s="346" t="s">
        <v>34</v>
      </c>
      <c r="K25" s="347"/>
      <c r="L25" s="348"/>
      <c r="M25" s="308">
        <f>SUM(M21:M24)</f>
        <v>981833.43073591113</v>
      </c>
      <c r="N25" s="4"/>
      <c r="O25" s="346" t="s">
        <v>34</v>
      </c>
      <c r="P25" s="347"/>
      <c r="Q25" s="348"/>
      <c r="R25" s="308">
        <f>SUM(R21:R24)</f>
        <v>761244.6779178977</v>
      </c>
      <c r="S25" s="4"/>
      <c r="T25" s="346" t="s">
        <v>34</v>
      </c>
      <c r="U25" s="347"/>
      <c r="V25" s="348"/>
      <c r="W25" s="308">
        <f>SUM(W21:W24)</f>
        <v>1314539.2352805471</v>
      </c>
      <c r="X25" s="34"/>
      <c r="Y25" s="44"/>
      <c r="Z25" s="44"/>
      <c r="AC25" s="44"/>
      <c r="AD25" s="44"/>
      <c r="AE25" s="44"/>
      <c r="AF25" s="44"/>
      <c r="AI25" s="27"/>
      <c r="AJ25" s="4"/>
    </row>
    <row r="26" spans="1:61" s="44" customFormat="1" ht="15" thickBot="1">
      <c r="A26" s="4"/>
      <c r="B26" s="305" t="s">
        <v>35</v>
      </c>
      <c r="C26" s="306">
        <f>SUM(C22:C25)</f>
        <v>24.18</v>
      </c>
      <c r="D26" s="306">
        <f>SUM(D22:D25)</f>
        <v>12.3</v>
      </c>
      <c r="E26" s="306">
        <f>SUM(E22:E25)</f>
        <v>7.89</v>
      </c>
      <c r="F26" s="306">
        <f>SUM(F22:F25)</f>
        <v>6.18</v>
      </c>
      <c r="G26" s="306">
        <f>SUM(G22:G25)</f>
        <v>13.95</v>
      </c>
      <c r="H26" s="307"/>
      <c r="I26" s="4"/>
      <c r="J26" s="316" t="s">
        <v>36</v>
      </c>
      <c r="K26" s="315"/>
      <c r="L26" s="28"/>
      <c r="M26" s="310">
        <f>M25/M4</f>
        <v>196.36668614718224</v>
      </c>
      <c r="N26" s="4"/>
      <c r="O26" s="316" t="s">
        <v>36</v>
      </c>
      <c r="P26" s="28"/>
      <c r="Q26" s="28"/>
      <c r="R26" s="310">
        <f>R25/R4</f>
        <v>152.24893558357954</v>
      </c>
      <c r="S26" s="4"/>
      <c r="T26" s="316" t="s">
        <v>36</v>
      </c>
      <c r="U26" s="28"/>
      <c r="V26" s="28"/>
      <c r="W26" s="310">
        <f>W25/W4</f>
        <v>262.9078470561094</v>
      </c>
      <c r="X26" s="34"/>
      <c r="Y26" s="4"/>
      <c r="Z26" s="64"/>
      <c r="AC26" s="54"/>
      <c r="AD26" s="34"/>
      <c r="AE26" s="333"/>
      <c r="AF26" s="333"/>
      <c r="AG26" s="333"/>
      <c r="AH26" s="5"/>
      <c r="AI26" s="27"/>
      <c r="AJ26" s="5"/>
    </row>
    <row r="27" spans="1:61" ht="15" customHeight="1" thickTop="1">
      <c r="A27" s="309"/>
      <c r="B27" s="565" t="s">
        <v>37</v>
      </c>
      <c r="C27" s="302" t="s">
        <v>5</v>
      </c>
      <c r="D27" s="302" t="s">
        <v>6</v>
      </c>
      <c r="E27" s="302" t="s">
        <v>7</v>
      </c>
      <c r="F27" s="302" t="s">
        <v>8</v>
      </c>
      <c r="G27" s="302"/>
      <c r="H27" s="304"/>
      <c r="I27" s="309"/>
      <c r="J27" s="25" t="s">
        <v>38</v>
      </c>
      <c r="K27" s="50"/>
      <c r="L27" s="51"/>
      <c r="M27" s="52">
        <f>M26/6</f>
        <v>32.727781024530373</v>
      </c>
      <c r="O27" s="25" t="s">
        <v>38</v>
      </c>
      <c r="P27" s="50"/>
      <c r="Q27" s="51"/>
      <c r="R27" s="52">
        <f>R26/6</f>
        <v>25.374822597263258</v>
      </c>
      <c r="T27" s="25" t="s">
        <v>38</v>
      </c>
      <c r="U27" s="50"/>
      <c r="V27" s="51"/>
      <c r="W27" s="52">
        <f>W26/6</f>
        <v>43.817974509351565</v>
      </c>
      <c r="X27" s="34"/>
      <c r="AC27" s="56"/>
      <c r="AQ27" s="4"/>
      <c r="AR27" s="4"/>
    </row>
    <row r="28" spans="1:61" ht="15" thickBot="1">
      <c r="B28" s="566"/>
      <c r="C28" s="349">
        <f>[8]Analysis!E55</f>
        <v>1</v>
      </c>
      <c r="D28" s="350">
        <v>1</v>
      </c>
      <c r="E28" s="350">
        <v>0.8</v>
      </c>
      <c r="F28" s="349">
        <v>0.8</v>
      </c>
      <c r="G28" s="350">
        <v>1</v>
      </c>
      <c r="H28" s="351"/>
      <c r="J28" s="25" t="s">
        <v>39</v>
      </c>
      <c r="K28" s="50"/>
      <c r="L28" s="51"/>
      <c r="M28" s="55">
        <f>M27/4</f>
        <v>8.1819452561325932</v>
      </c>
      <c r="O28" s="25" t="s">
        <v>39</v>
      </c>
      <c r="P28" s="50"/>
      <c r="Q28" s="51"/>
      <c r="R28" s="55">
        <f>R27/4</f>
        <v>6.3437056493158144</v>
      </c>
      <c r="T28" s="25" t="s">
        <v>39</v>
      </c>
      <c r="U28" s="50"/>
      <c r="V28" s="51"/>
      <c r="W28" s="55">
        <f>W27/4</f>
        <v>10.954493627337891</v>
      </c>
      <c r="AC28" s="4"/>
      <c r="AI28" s="12"/>
      <c r="AO28" s="9"/>
      <c r="AP28" s="4"/>
      <c r="AQ28" s="64"/>
      <c r="AR28" s="7"/>
      <c r="AS28" s="8"/>
      <c r="AT28" s="7"/>
      <c r="AU28" s="57"/>
      <c r="AV28" s="333"/>
      <c r="AW28" s="333"/>
      <c r="AX28" s="333"/>
      <c r="AY28" s="333"/>
      <c r="AZ28" s="333"/>
      <c r="BA28" s="333"/>
      <c r="BB28" s="333"/>
      <c r="BC28" s="333"/>
      <c r="BD28" s="5"/>
      <c r="BE28" s="5"/>
      <c r="BF28" s="27"/>
      <c r="BG28" s="38"/>
      <c r="BH28" s="5"/>
    </row>
    <row r="29" spans="1:61" ht="15" thickBot="1">
      <c r="B29" s="374" t="s">
        <v>2</v>
      </c>
      <c r="C29" s="375">
        <v>20</v>
      </c>
      <c r="D29" s="376" t="s">
        <v>3</v>
      </c>
      <c r="E29" s="377">
        <v>250</v>
      </c>
      <c r="F29" s="378" t="s">
        <v>4</v>
      </c>
      <c r="G29" s="377">
        <f>C29*E29</f>
        <v>5000</v>
      </c>
      <c r="H29" s="379"/>
      <c r="J29" s="314" t="s">
        <v>296</v>
      </c>
      <c r="K29" s="58"/>
      <c r="L29" s="332"/>
      <c r="M29" s="59">
        <f>M28</f>
        <v>8.1819452561325932</v>
      </c>
      <c r="O29" s="314" t="s">
        <v>296</v>
      </c>
      <c r="P29" s="58"/>
      <c r="Q29" s="332"/>
      <c r="R29" s="59">
        <f>R28</f>
        <v>6.3437056493158144</v>
      </c>
      <c r="T29" s="314" t="s">
        <v>296</v>
      </c>
      <c r="U29" s="58"/>
      <c r="V29" s="332"/>
      <c r="W29" s="59">
        <f>W28</f>
        <v>10.954493627337891</v>
      </c>
      <c r="AC29" s="60"/>
      <c r="AI29" s="9"/>
      <c r="AO29" s="9"/>
      <c r="AP29" s="4"/>
      <c r="AQ29" s="64"/>
      <c r="AR29" s="7"/>
      <c r="AS29" s="8"/>
      <c r="AT29" s="7"/>
      <c r="AU29" s="57"/>
      <c r="AV29" s="333"/>
      <c r="AW29" s="333"/>
      <c r="AX29" s="333"/>
      <c r="AY29" s="333"/>
      <c r="AZ29" s="333"/>
      <c r="BA29" s="333"/>
      <c r="BB29" s="333"/>
      <c r="BC29" s="333"/>
      <c r="BD29" s="5"/>
      <c r="BE29" s="5"/>
      <c r="BF29" s="27"/>
      <c r="BG29" s="38"/>
      <c r="BH29" s="5"/>
      <c r="BI29" s="5"/>
    </row>
    <row r="30" spans="1:61" ht="15" thickBot="1">
      <c r="B30" s="567" t="s">
        <v>40</v>
      </c>
      <c r="C30" s="568"/>
      <c r="D30" s="311"/>
      <c r="E30" s="312"/>
      <c r="F30" s="312"/>
      <c r="G30" s="312"/>
      <c r="H30" s="313"/>
      <c r="J30" s="34"/>
      <c r="K30" s="34"/>
      <c r="L30" s="34"/>
      <c r="M30" s="364"/>
      <c r="R30" s="362"/>
      <c r="AC30" s="34"/>
      <c r="AI30" s="9"/>
      <c r="AO30" s="9"/>
      <c r="AP30" s="4"/>
      <c r="AQ30" s="64"/>
      <c r="AR30" s="7"/>
      <c r="AS30" s="8"/>
      <c r="AT30" s="7"/>
      <c r="AU30" s="10"/>
      <c r="AV30" s="333"/>
      <c r="AW30" s="333"/>
      <c r="AX30" s="333"/>
      <c r="AY30" s="333"/>
      <c r="AZ30" s="333"/>
      <c r="BA30" s="333"/>
      <c r="BB30" s="333"/>
      <c r="BC30" s="333"/>
      <c r="BD30" s="5"/>
      <c r="BE30" s="5"/>
      <c r="BF30" s="27"/>
      <c r="BG30" s="5"/>
      <c r="BH30" s="5"/>
      <c r="BI30" s="5"/>
    </row>
    <row r="31" spans="1:61" ht="18" customHeight="1" thickBot="1">
      <c r="B31" s="24" t="s">
        <v>41</v>
      </c>
      <c r="C31" s="61">
        <v>0.224</v>
      </c>
      <c r="D31" s="37" t="s">
        <v>229</v>
      </c>
      <c r="E31" s="64"/>
      <c r="F31" s="34"/>
      <c r="G31" s="34"/>
      <c r="H31" s="35"/>
      <c r="J31" s="550" t="s">
        <v>224</v>
      </c>
      <c r="K31" s="551" t="s">
        <v>42</v>
      </c>
      <c r="L31" s="551"/>
      <c r="M31" s="552"/>
      <c r="O31" s="550" t="s">
        <v>225</v>
      </c>
      <c r="P31" s="551" t="s">
        <v>43</v>
      </c>
      <c r="Q31" s="551"/>
      <c r="R31" s="552"/>
      <c r="AC31" s="34"/>
      <c r="AI31" s="9"/>
      <c r="AO31" s="34"/>
      <c r="AP31" s="4"/>
      <c r="AQ31" s="64"/>
      <c r="AR31" s="7"/>
      <c r="AS31" s="8"/>
      <c r="AT31" s="7"/>
      <c r="AU31" s="331"/>
      <c r="AV31" s="333"/>
      <c r="AW31" s="333"/>
      <c r="AX31" s="333"/>
      <c r="AY31" s="333"/>
      <c r="AZ31" s="333"/>
      <c r="BA31" s="333"/>
      <c r="BB31" s="333"/>
      <c r="BC31" s="333"/>
      <c r="BD31" s="5"/>
      <c r="BE31" s="5"/>
      <c r="BF31" s="27"/>
      <c r="BG31" s="5"/>
      <c r="BH31" s="5"/>
      <c r="BI31" s="5"/>
    </row>
    <row r="32" spans="1:61" ht="15.75" customHeight="1">
      <c r="B32" s="342" t="s">
        <v>232</v>
      </c>
      <c r="C32" s="62">
        <v>13.57</v>
      </c>
      <c r="D32" s="63" t="s">
        <v>329</v>
      </c>
      <c r="E32" s="51"/>
      <c r="F32" s="64"/>
      <c r="G32" s="64"/>
      <c r="H32" s="35"/>
      <c r="J32" s="288" t="s">
        <v>9</v>
      </c>
      <c r="K32" s="289"/>
      <c r="L32" s="334" t="s">
        <v>10</v>
      </c>
      <c r="M32" s="335">
        <f>$G$29</f>
        <v>5000</v>
      </c>
      <c r="O32" s="288" t="s">
        <v>9</v>
      </c>
      <c r="P32" s="289"/>
      <c r="Q32" s="334" t="s">
        <v>10</v>
      </c>
      <c r="R32" s="335">
        <f>$G$29</f>
        <v>5000</v>
      </c>
      <c r="Y32" s="333"/>
      <c r="Z32" s="333"/>
      <c r="AC32" s="5"/>
      <c r="AD32" s="34"/>
      <c r="AE32" s="4"/>
      <c r="AF32" s="64"/>
      <c r="AG32" s="7"/>
      <c r="AI32" s="9"/>
      <c r="AO32" s="34"/>
      <c r="AP32" s="4"/>
      <c r="AQ32" s="64"/>
      <c r="AR32" s="7"/>
      <c r="AS32" s="8"/>
      <c r="AT32" s="7"/>
      <c r="AU32" s="352"/>
      <c r="AV32" s="333"/>
      <c r="AW32" s="333"/>
      <c r="AX32" s="333"/>
      <c r="AY32" s="333"/>
      <c r="AZ32" s="333"/>
      <c r="BA32" s="333"/>
      <c r="BB32" s="333"/>
      <c r="BC32" s="333"/>
      <c r="BD32" s="5"/>
      <c r="BE32" s="5"/>
      <c r="BF32" s="27"/>
      <c r="BG32" s="44"/>
      <c r="BH32" s="5"/>
      <c r="BI32" s="5"/>
    </row>
    <row r="33" spans="2:50">
      <c r="B33" s="342" t="s">
        <v>234</v>
      </c>
      <c r="C33" s="62">
        <v>0.63812876896551729</v>
      </c>
      <c r="D33" s="63" t="s">
        <v>329</v>
      </c>
      <c r="E33" s="74"/>
      <c r="F33" s="64"/>
      <c r="G33" s="64"/>
      <c r="H33" s="35"/>
      <c r="J33" s="25"/>
      <c r="K33" s="26" t="s">
        <v>12</v>
      </c>
      <c r="L33" s="336" t="s">
        <v>13</v>
      </c>
      <c r="M33" s="337" t="s">
        <v>14</v>
      </c>
      <c r="O33" s="25"/>
      <c r="P33" s="26" t="s">
        <v>12</v>
      </c>
      <c r="Q33" s="336" t="s">
        <v>13</v>
      </c>
      <c r="R33" s="337" t="s">
        <v>14</v>
      </c>
      <c r="Y33" s="333"/>
      <c r="Z33" s="333"/>
      <c r="AA33" s="333"/>
      <c r="AB33" s="5"/>
      <c r="AC33" s="5"/>
      <c r="AD33" s="34"/>
      <c r="AE33" s="4"/>
      <c r="AF33" s="64"/>
      <c r="AG33" s="7"/>
      <c r="AH33" s="8"/>
      <c r="AI33" s="7"/>
      <c r="AJ33" s="352"/>
      <c r="AM33" s="333"/>
      <c r="AN33" s="333"/>
      <c r="AO33" s="333"/>
      <c r="AP33" s="333"/>
      <c r="AQ33" s="333"/>
      <c r="AR33" s="333"/>
      <c r="AS33" s="5"/>
      <c r="AT33" s="5"/>
      <c r="AU33" s="27"/>
      <c r="AV33" s="5"/>
      <c r="AW33" s="5"/>
      <c r="AX33" s="5"/>
    </row>
    <row r="34" spans="2:50">
      <c r="B34" s="342" t="s">
        <v>233</v>
      </c>
      <c r="C34" s="62">
        <v>1.2066743900689652</v>
      </c>
      <c r="D34" s="63" t="s">
        <v>329</v>
      </c>
      <c r="E34" s="74"/>
      <c r="F34" s="64"/>
      <c r="G34" s="64"/>
      <c r="H34" s="199"/>
      <c r="J34" s="14" t="s">
        <v>15</v>
      </c>
      <c r="K34" s="26">
        <f>D17</f>
        <v>59419</v>
      </c>
      <c r="L34" s="15">
        <f>E22</f>
        <v>0.8</v>
      </c>
      <c r="M34" s="16">
        <f>K34*L34</f>
        <v>47535.200000000004</v>
      </c>
      <c r="O34" s="14" t="str">
        <f>B17</f>
        <v>Management</v>
      </c>
      <c r="P34" s="26">
        <f>D17</f>
        <v>59419</v>
      </c>
      <c r="Q34" s="15">
        <f>F22</f>
        <v>0.5</v>
      </c>
      <c r="R34" s="16">
        <f>P34*Q34</f>
        <v>29709.5</v>
      </c>
      <c r="Y34" s="333"/>
      <c r="Z34" s="333"/>
      <c r="AA34" s="333"/>
      <c r="AB34" s="5"/>
      <c r="AC34" s="5"/>
      <c r="AD34" s="34"/>
      <c r="AE34" s="4"/>
      <c r="AF34" s="64"/>
      <c r="AG34" s="7"/>
      <c r="AH34" s="8"/>
      <c r="AI34" s="7"/>
      <c r="AJ34" s="353"/>
      <c r="AM34" s="333"/>
      <c r="AN34" s="333"/>
      <c r="AO34" s="333"/>
      <c r="AP34" s="333"/>
      <c r="AQ34" s="333"/>
      <c r="AR34" s="333"/>
      <c r="AS34" s="5"/>
      <c r="AT34" s="5"/>
      <c r="AU34" s="27"/>
      <c r="AV34" s="5"/>
      <c r="AW34" s="5"/>
      <c r="AX34" s="5"/>
    </row>
    <row r="35" spans="2:50" ht="15" customHeight="1">
      <c r="B35" s="24" t="s">
        <v>235</v>
      </c>
      <c r="C35" s="62">
        <v>8.1958882187586219</v>
      </c>
      <c r="D35" s="63" t="s">
        <v>329</v>
      </c>
      <c r="E35" s="51"/>
      <c r="F35" s="34"/>
      <c r="G35" s="9"/>
      <c r="H35" s="35"/>
      <c r="J35" s="65" t="s">
        <v>16</v>
      </c>
      <c r="K35" s="26">
        <f>D18</f>
        <v>32198.400000000001</v>
      </c>
      <c r="L35" s="15">
        <f>E24</f>
        <v>6.59</v>
      </c>
      <c r="M35" s="16">
        <f>K35*L35</f>
        <v>212187.45600000001</v>
      </c>
      <c r="O35" s="65" t="str">
        <f>B18</f>
        <v>Direct Care</v>
      </c>
      <c r="P35" s="26">
        <f>D18</f>
        <v>32198.400000000001</v>
      </c>
      <c r="Q35" s="15">
        <f>F24</f>
        <v>5.18</v>
      </c>
      <c r="R35" s="16">
        <f>P35*Q35</f>
        <v>166787.712</v>
      </c>
      <c r="Y35" s="333"/>
      <c r="Z35" s="333"/>
      <c r="AA35" s="333"/>
      <c r="AB35" s="5"/>
      <c r="AC35" s="5"/>
      <c r="AD35" s="34"/>
      <c r="AE35" s="4"/>
      <c r="AF35" s="64"/>
      <c r="AG35" s="7"/>
      <c r="AH35" s="8"/>
      <c r="AI35" s="7"/>
      <c r="AJ35" s="66"/>
      <c r="AM35" s="333"/>
      <c r="AN35" s="333"/>
      <c r="AO35" s="333"/>
      <c r="AP35" s="333"/>
      <c r="AQ35" s="333"/>
      <c r="AR35" s="333"/>
      <c r="AS35" s="5"/>
      <c r="AT35" s="5"/>
      <c r="AU35" s="27"/>
      <c r="AV35" s="5"/>
      <c r="AW35" s="5"/>
      <c r="AX35" s="5"/>
    </row>
    <row r="36" spans="2:50">
      <c r="B36" s="342" t="s">
        <v>0</v>
      </c>
      <c r="C36" s="62">
        <v>7.2173104920324285</v>
      </c>
      <c r="D36" s="63" t="s">
        <v>236</v>
      </c>
      <c r="E36" s="74"/>
      <c r="F36" s="64"/>
      <c r="G36" s="64"/>
      <c r="H36" s="35"/>
      <c r="J36" s="14" t="str">
        <f>B20</f>
        <v>Support Staff</v>
      </c>
      <c r="K36" s="26">
        <f>D20</f>
        <v>32198.400000000001</v>
      </c>
      <c r="L36" s="15">
        <f>E25</f>
        <v>0.5</v>
      </c>
      <c r="M36" s="16">
        <f>K36*L36</f>
        <v>16099.2</v>
      </c>
      <c r="O36" s="14" t="str">
        <f>B20</f>
        <v>Support Staff</v>
      </c>
      <c r="P36" s="26">
        <f>D20</f>
        <v>32198.400000000001</v>
      </c>
      <c r="Q36" s="15">
        <f>F25</f>
        <v>0.5</v>
      </c>
      <c r="R36" s="16">
        <f>P36*Q36</f>
        <v>16099.2</v>
      </c>
      <c r="Y36" s="333"/>
      <c r="Z36" s="333"/>
      <c r="AA36" s="333"/>
      <c r="AB36" s="5"/>
      <c r="AC36" s="5"/>
      <c r="AD36" s="34"/>
      <c r="AE36" s="4"/>
      <c r="AF36" s="64"/>
      <c r="AG36" s="7"/>
      <c r="AH36" s="8"/>
      <c r="AI36" s="7"/>
      <c r="AJ36" s="61"/>
      <c r="AM36" s="333"/>
      <c r="AN36" s="333"/>
      <c r="AO36" s="333"/>
      <c r="AP36" s="333"/>
      <c r="AQ36" s="333"/>
      <c r="AR36" s="333"/>
      <c r="AS36" s="5"/>
      <c r="AT36" s="27"/>
      <c r="AU36" s="5"/>
      <c r="AV36" s="5"/>
      <c r="AW36" s="5"/>
    </row>
    <row r="37" spans="2:50">
      <c r="B37" s="24" t="s">
        <v>44</v>
      </c>
      <c r="C37" s="61">
        <v>0.12</v>
      </c>
      <c r="D37" s="37" t="s">
        <v>294</v>
      </c>
      <c r="E37" s="51"/>
      <c r="F37" s="64"/>
      <c r="G37" s="64"/>
      <c r="H37" s="35"/>
      <c r="J37" s="290" t="s">
        <v>19</v>
      </c>
      <c r="K37" s="291"/>
      <c r="L37" s="294">
        <f>SUM(L34:L36)</f>
        <v>7.89</v>
      </c>
      <c r="M37" s="293">
        <f>SUM(M34:M36)</f>
        <v>275821.85600000003</v>
      </c>
      <c r="O37" s="290" t="s">
        <v>19</v>
      </c>
      <c r="P37" s="291"/>
      <c r="Q37" s="294">
        <f>SUM(Q34:Q36)</f>
        <v>6.18</v>
      </c>
      <c r="R37" s="293">
        <f>SUM(R34:R36)</f>
        <v>212596.41200000001</v>
      </c>
      <c r="Y37" s="333"/>
      <c r="Z37" s="333"/>
      <c r="AA37" s="333"/>
      <c r="AB37" s="5"/>
      <c r="AC37" s="5"/>
      <c r="AD37" s="34"/>
      <c r="AE37" s="4"/>
      <c r="AF37" s="64"/>
      <c r="AG37" s="7"/>
      <c r="AH37" s="8"/>
      <c r="AI37" s="7"/>
      <c r="AJ37" s="68"/>
      <c r="AM37" s="333"/>
      <c r="AN37" s="333"/>
      <c r="AO37" s="333"/>
      <c r="AP37" s="333"/>
      <c r="AQ37" s="333"/>
      <c r="AR37" s="333"/>
      <c r="AS37" s="5"/>
      <c r="AT37" s="27"/>
      <c r="AU37" s="5"/>
      <c r="AV37" s="5"/>
      <c r="AW37" s="5"/>
    </row>
    <row r="38" spans="2:50" ht="15" thickBot="1">
      <c r="B38" s="24" t="s">
        <v>119</v>
      </c>
      <c r="C38" s="61">
        <v>3.7000000000000002E-3</v>
      </c>
      <c r="D38" s="32" t="s">
        <v>118</v>
      </c>
      <c r="E38" s="354"/>
      <c r="F38" s="156"/>
      <c r="G38" s="156"/>
      <c r="H38" s="67"/>
      <c r="J38" s="25"/>
      <c r="K38" s="26"/>
      <c r="L38" s="34"/>
      <c r="M38" s="16"/>
      <c r="O38" s="25"/>
      <c r="P38" s="26"/>
      <c r="Q38" s="34"/>
      <c r="R38" s="16"/>
      <c r="Y38" s="333"/>
      <c r="Z38" s="333"/>
      <c r="AA38" s="333"/>
      <c r="AB38" s="5"/>
      <c r="AC38" s="5"/>
      <c r="AD38" s="34"/>
      <c r="AE38" s="4"/>
      <c r="AF38" s="64"/>
      <c r="AG38" s="7"/>
      <c r="AH38" s="8"/>
      <c r="AI38" s="7"/>
      <c r="AJ38" s="68"/>
      <c r="AM38" s="333"/>
      <c r="AN38" s="333"/>
      <c r="AO38" s="333"/>
      <c r="AP38" s="333"/>
      <c r="AQ38" s="333"/>
      <c r="AR38" s="333"/>
      <c r="AS38" s="5"/>
      <c r="AT38" s="27"/>
      <c r="AU38" s="5"/>
      <c r="AV38" s="5"/>
      <c r="AW38" s="5"/>
    </row>
    <row r="39" spans="2:50" ht="15" thickBot="1">
      <c r="B39" s="314" t="s">
        <v>258</v>
      </c>
      <c r="C39" s="58">
        <f>'Fall 2020 CAF'!BX26</f>
        <v>1.9959404600811814E-2</v>
      </c>
      <c r="D39" s="204" t="s">
        <v>303</v>
      </c>
      <c r="E39" s="204"/>
      <c r="F39" s="204"/>
      <c r="G39" s="205"/>
      <c r="H39" s="206"/>
      <c r="J39" s="41" t="s">
        <v>22</v>
      </c>
      <c r="K39" s="50">
        <f>$C$31</f>
        <v>0.224</v>
      </c>
      <c r="L39" s="336"/>
      <c r="M39" s="16">
        <f>K39*M37</f>
        <v>61784.095744000006</v>
      </c>
      <c r="O39" s="41" t="str">
        <f>B31</f>
        <v>Tax &amp; Fringe</v>
      </c>
      <c r="P39" s="50">
        <f>$C$31</f>
        <v>0.224</v>
      </c>
      <c r="Q39" s="336"/>
      <c r="R39" s="16">
        <f>P39*R37</f>
        <v>47621.596288000001</v>
      </c>
      <c r="Y39" s="333"/>
      <c r="Z39" s="333"/>
      <c r="AA39" s="333"/>
      <c r="AB39" s="5"/>
      <c r="AC39" s="5"/>
      <c r="AD39" s="34"/>
      <c r="AE39" s="4"/>
      <c r="AF39" s="64"/>
      <c r="AG39" s="7"/>
      <c r="AH39" s="8"/>
      <c r="AI39" s="7"/>
      <c r="AJ39" s="68"/>
      <c r="AM39" s="333"/>
      <c r="AN39" s="333"/>
      <c r="AO39" s="333"/>
      <c r="AP39" s="333"/>
      <c r="AQ39" s="333"/>
      <c r="AR39" s="333"/>
      <c r="AS39" s="5"/>
      <c r="AT39" s="27"/>
      <c r="AU39" s="5"/>
      <c r="AV39" s="5"/>
      <c r="AW39" s="5"/>
    </row>
    <row r="40" spans="2:50" ht="15" thickBot="1">
      <c r="J40" s="295" t="s">
        <v>23</v>
      </c>
      <c r="K40" s="296"/>
      <c r="L40" s="297"/>
      <c r="M40" s="341">
        <f>M39+M37</f>
        <v>337605.95174400002</v>
      </c>
      <c r="O40" s="295" t="s">
        <v>23</v>
      </c>
      <c r="P40" s="296"/>
      <c r="Q40" s="297"/>
      <c r="R40" s="341">
        <f>R39+R37</f>
        <v>260218.00828800001</v>
      </c>
      <c r="Y40" s="333"/>
      <c r="Z40" s="333"/>
      <c r="AA40" s="333"/>
      <c r="AB40" s="5"/>
      <c r="AC40" s="5"/>
      <c r="AD40" s="34"/>
      <c r="AE40" s="4"/>
      <c r="AF40" s="64"/>
      <c r="AG40" s="7"/>
      <c r="AH40" s="8"/>
      <c r="AI40" s="7"/>
      <c r="AJ40" s="68"/>
      <c r="AM40" s="333"/>
      <c r="AN40" s="333"/>
      <c r="AO40" s="333"/>
      <c r="AP40" s="333"/>
      <c r="AQ40" s="333"/>
      <c r="AR40" s="333"/>
      <c r="AS40" s="5"/>
      <c r="AT40" s="27"/>
      <c r="AU40" s="5"/>
      <c r="AV40" s="5"/>
      <c r="AW40" s="5"/>
    </row>
    <row r="41" spans="2:50" ht="15" thickTop="1">
      <c r="B41" s="355"/>
      <c r="C41" s="327"/>
      <c r="D41" s="34"/>
      <c r="E41" s="326"/>
      <c r="F41" s="64"/>
      <c r="G41" s="101"/>
      <c r="H41" s="101"/>
      <c r="J41" s="25"/>
      <c r="K41" s="26"/>
      <c r="L41" s="336" t="s">
        <v>24</v>
      </c>
      <c r="M41" s="16"/>
      <c r="O41" s="25"/>
      <c r="P41" s="26"/>
      <c r="Q41" s="336" t="s">
        <v>24</v>
      </c>
      <c r="R41" s="16"/>
      <c r="Y41" s="333"/>
      <c r="Z41" s="333"/>
      <c r="AA41" s="333"/>
      <c r="AB41" s="5"/>
      <c r="AC41" s="5"/>
      <c r="AD41" s="34"/>
      <c r="AE41" s="4"/>
      <c r="AF41" s="64"/>
      <c r="AG41" s="7"/>
      <c r="AH41" s="8"/>
      <c r="AI41" s="7"/>
      <c r="AJ41" s="68"/>
      <c r="AM41" s="333"/>
      <c r="AN41" s="333"/>
      <c r="AO41" s="333"/>
      <c r="AP41" s="333"/>
      <c r="AQ41" s="333"/>
      <c r="AR41" s="333"/>
      <c r="AS41" s="5"/>
      <c r="AT41" s="27"/>
      <c r="AU41" s="5"/>
      <c r="AV41" s="5"/>
      <c r="AW41" s="5"/>
    </row>
    <row r="42" spans="2:50">
      <c r="B42" s="326"/>
      <c r="C42" s="327"/>
      <c r="D42" s="34"/>
      <c r="E42" s="53"/>
      <c r="F42" s="34"/>
      <c r="G42" s="72"/>
      <c r="H42" s="64"/>
      <c r="J42" s="342" t="s">
        <v>232</v>
      </c>
      <c r="K42" s="26"/>
      <c r="L42" s="28">
        <f>C32</f>
        <v>13.57</v>
      </c>
      <c r="M42" s="16">
        <f>L42*M32</f>
        <v>67850</v>
      </c>
      <c r="O42" s="342" t="s">
        <v>232</v>
      </c>
      <c r="P42" s="26"/>
      <c r="Q42" s="28">
        <f>C32</f>
        <v>13.57</v>
      </c>
      <c r="R42" s="16">
        <f>Q42*$R$32</f>
        <v>67850</v>
      </c>
      <c r="Y42" s="333"/>
      <c r="Z42" s="333"/>
      <c r="AA42" s="333"/>
      <c r="AB42" s="5"/>
      <c r="AC42" s="5"/>
      <c r="AD42" s="34"/>
      <c r="AE42" s="4"/>
      <c r="AF42" s="64"/>
      <c r="AG42" s="7"/>
      <c r="AH42" s="8"/>
      <c r="AI42" s="7"/>
      <c r="AJ42" s="68"/>
      <c r="AM42" s="333"/>
      <c r="AN42" s="333"/>
      <c r="AO42" s="333"/>
      <c r="AP42" s="333"/>
      <c r="AQ42" s="333"/>
      <c r="AR42" s="333"/>
      <c r="AS42" s="5"/>
      <c r="AT42" s="5"/>
      <c r="AU42" s="27"/>
      <c r="AV42" s="5"/>
      <c r="AW42" s="5"/>
      <c r="AX42" s="5"/>
    </row>
    <row r="43" spans="2:50">
      <c r="B43" s="328"/>
      <c r="C43" s="327"/>
      <c r="D43" s="34"/>
      <c r="E43" s="53"/>
      <c r="F43" s="34"/>
      <c r="G43" s="9"/>
      <c r="H43" s="34"/>
      <c r="J43" s="342" t="s">
        <v>328</v>
      </c>
      <c r="K43" s="66"/>
      <c r="L43" s="28">
        <f>L16</f>
        <v>1.8448031590344824</v>
      </c>
      <c r="M43" s="16">
        <f>L43*$M$32</f>
        <v>9224.0157951724123</v>
      </c>
      <c r="O43" s="342" t="s">
        <v>328</v>
      </c>
      <c r="P43" s="66"/>
      <c r="Q43" s="28">
        <f>L43</f>
        <v>1.8448031590344824</v>
      </c>
      <c r="R43" s="16">
        <f t="shared" ref="R43:R44" si="4">Q43*$R$32</f>
        <v>9224.0157951724123</v>
      </c>
      <c r="Y43" s="333"/>
      <c r="Z43" s="333"/>
      <c r="AA43" s="333"/>
      <c r="AB43" s="5"/>
      <c r="AC43" s="5"/>
      <c r="AD43" s="34"/>
      <c r="AE43" s="4"/>
      <c r="AF43" s="64"/>
      <c r="AG43" s="7"/>
      <c r="AH43" s="8"/>
      <c r="AI43" s="7"/>
      <c r="AJ43" s="70"/>
      <c r="AM43" s="333"/>
      <c r="AN43" s="333"/>
      <c r="AO43" s="333"/>
      <c r="AP43" s="333"/>
      <c r="AQ43" s="333"/>
      <c r="AR43" s="333"/>
      <c r="AS43" s="5"/>
      <c r="AT43" s="5"/>
      <c r="AU43" s="27"/>
      <c r="AV43" s="5"/>
      <c r="AW43" s="5"/>
      <c r="AX43" s="5"/>
    </row>
    <row r="44" spans="2:50">
      <c r="B44" s="538"/>
      <c r="C44" s="538"/>
      <c r="D44" s="538"/>
      <c r="E44" s="538"/>
      <c r="F44" s="538"/>
      <c r="G44" s="538"/>
      <c r="H44" s="538"/>
      <c r="J44" s="24" t="s">
        <v>235</v>
      </c>
      <c r="K44" s="66"/>
      <c r="L44" s="28">
        <f>L17</f>
        <v>8.1958882187586219</v>
      </c>
      <c r="M44" s="16">
        <f>L44*$M$32</f>
        <v>40979.44109379311</v>
      </c>
      <c r="N44" s="200"/>
      <c r="O44" s="24" t="s">
        <v>235</v>
      </c>
      <c r="P44" s="66"/>
      <c r="Q44" s="28">
        <f t="shared" ref="Q44" si="5">L44</f>
        <v>8.1958882187586219</v>
      </c>
      <c r="R44" s="16">
        <f t="shared" si="4"/>
        <v>40979.44109379311</v>
      </c>
      <c r="Y44" s="333"/>
      <c r="Z44" s="333"/>
      <c r="AA44" s="333"/>
      <c r="AB44" s="5"/>
      <c r="AC44" s="5"/>
      <c r="AD44" s="34"/>
      <c r="AE44" s="4"/>
      <c r="AF44" s="64"/>
      <c r="AG44" s="7"/>
      <c r="AH44" s="8"/>
      <c r="AI44" s="7"/>
      <c r="AJ44" s="70"/>
      <c r="AM44" s="333"/>
      <c r="AN44" s="333"/>
      <c r="AO44" s="333"/>
      <c r="AP44" s="333"/>
      <c r="AQ44" s="333"/>
      <c r="AR44" s="333"/>
      <c r="AS44" s="5"/>
      <c r="AT44" s="5"/>
      <c r="AU44" s="27"/>
      <c r="AV44" s="5"/>
      <c r="AW44" s="5"/>
      <c r="AX44" s="5"/>
    </row>
    <row r="45" spans="2:50" ht="15" thickBot="1">
      <c r="B45" s="539"/>
      <c r="C45" s="74"/>
      <c r="D45" s="66"/>
      <c r="E45" s="72"/>
      <c r="F45" s="64"/>
      <c r="G45" s="72"/>
      <c r="H45" s="64"/>
      <c r="J45" s="342" t="s">
        <v>0</v>
      </c>
      <c r="K45" s="26"/>
      <c r="L45" s="494">
        <f>C36</f>
        <v>7.2173104920324285</v>
      </c>
      <c r="M45" s="495">
        <f>(L45*$M$32)*E28</f>
        <v>28869.241968129718</v>
      </c>
      <c r="N45" s="200"/>
      <c r="O45" s="342" t="s">
        <v>0</v>
      </c>
      <c r="P45" s="26"/>
      <c r="Q45" s="494">
        <f>C36</f>
        <v>7.2173104920324285</v>
      </c>
      <c r="R45" s="495">
        <f>(Q45*$R$32)*F28</f>
        <v>28869.241968129718</v>
      </c>
      <c r="Y45" s="333"/>
      <c r="Z45" s="333"/>
      <c r="AA45" s="333"/>
      <c r="AB45" s="5"/>
      <c r="AC45" s="5"/>
      <c r="AD45" s="34"/>
      <c r="AE45" s="4"/>
      <c r="AF45" s="64"/>
      <c r="AG45" s="7"/>
      <c r="AH45" s="8"/>
      <c r="AI45" s="7"/>
      <c r="AJ45" s="70"/>
      <c r="AM45" s="333"/>
      <c r="AN45" s="333"/>
      <c r="AO45" s="333"/>
      <c r="AP45" s="333"/>
      <c r="AQ45" s="333"/>
      <c r="AR45" s="333"/>
      <c r="AS45" s="5"/>
      <c r="AT45" s="5"/>
      <c r="AU45" s="27"/>
      <c r="AV45" s="5"/>
      <c r="AW45" s="5"/>
      <c r="AX45" s="5"/>
    </row>
    <row r="46" spans="2:50">
      <c r="B46" s="540"/>
      <c r="C46" s="541"/>
      <c r="D46" s="541"/>
      <c r="E46" s="541"/>
      <c r="F46" s="541"/>
      <c r="G46" s="541"/>
      <c r="H46" s="541"/>
      <c r="J46" s="14"/>
      <c r="K46" s="26"/>
      <c r="L46" s="28">
        <f>SUM(L42:L45)</f>
        <v>30.828001869825531</v>
      </c>
      <c r="M46" s="16">
        <f>SUM(M42:M45)</f>
        <v>146922.69885709524</v>
      </c>
      <c r="O46" s="14"/>
      <c r="P46" s="26"/>
      <c r="Q46" s="28">
        <f>SUM(Q42:Q45)</f>
        <v>30.828001869825531</v>
      </c>
      <c r="R46" s="16">
        <f>SUM(R42:R45)</f>
        <v>146922.69885709524</v>
      </c>
      <c r="Y46" s="333"/>
      <c r="Z46" s="333"/>
      <c r="AA46" s="333"/>
      <c r="AB46" s="5"/>
      <c r="AC46" s="5"/>
      <c r="AD46" s="34"/>
      <c r="AE46" s="4"/>
      <c r="AF46" s="64"/>
      <c r="AG46" s="7"/>
      <c r="AH46" s="8"/>
      <c r="AI46" s="7"/>
      <c r="AJ46" s="71"/>
      <c r="AM46" s="333"/>
      <c r="AN46" s="333"/>
      <c r="AO46" s="333"/>
      <c r="AP46" s="333"/>
      <c r="AQ46" s="333"/>
      <c r="AR46" s="333"/>
      <c r="AS46" s="5"/>
      <c r="AT46" s="5"/>
      <c r="AU46" s="27"/>
      <c r="AV46" s="5"/>
      <c r="AW46" s="5"/>
      <c r="AX46" s="5"/>
    </row>
    <row r="47" spans="2:50">
      <c r="B47" s="64"/>
      <c r="C47" s="542"/>
      <c r="D47" s="542"/>
      <c r="E47" s="542"/>
      <c r="F47" s="542"/>
      <c r="G47" s="542"/>
      <c r="H47" s="542"/>
      <c r="J47" s="25"/>
      <c r="K47" s="26"/>
      <c r="L47" s="344"/>
      <c r="M47" s="16"/>
      <c r="O47" s="25"/>
      <c r="P47" s="26"/>
      <c r="Q47" s="344"/>
      <c r="R47" s="16"/>
      <c r="Y47" s="333"/>
      <c r="Z47" s="333"/>
      <c r="AA47" s="333"/>
      <c r="AB47" s="5"/>
      <c r="AC47" s="5"/>
      <c r="AD47" s="34"/>
      <c r="AE47" s="4"/>
      <c r="AF47" s="64"/>
      <c r="AG47" s="7"/>
      <c r="AH47" s="8"/>
      <c r="AI47" s="7"/>
      <c r="AJ47" s="72"/>
      <c r="AM47" s="333"/>
      <c r="AN47" s="333"/>
      <c r="AO47" s="333"/>
      <c r="AP47" s="333"/>
      <c r="AQ47" s="333"/>
      <c r="AR47" s="333"/>
      <c r="AS47" s="5"/>
      <c r="AT47" s="5"/>
      <c r="AU47" s="27"/>
      <c r="AV47" s="5"/>
      <c r="AW47" s="5"/>
      <c r="AX47" s="5"/>
    </row>
    <row r="48" spans="2:50">
      <c r="B48" s="64"/>
      <c r="C48" s="542"/>
      <c r="D48" s="542"/>
      <c r="E48" s="542"/>
      <c r="F48" s="542"/>
      <c r="G48" s="542"/>
      <c r="H48" s="542"/>
      <c r="J48" s="290" t="s">
        <v>32</v>
      </c>
      <c r="K48" s="291"/>
      <c r="L48" s="294"/>
      <c r="M48" s="293">
        <f>M40+M46</f>
        <v>484528.65060109529</v>
      </c>
      <c r="O48" s="290" t="s">
        <v>32</v>
      </c>
      <c r="P48" s="291"/>
      <c r="Q48" s="294"/>
      <c r="R48" s="293">
        <f>R40+R46</f>
        <v>407140.70714509522</v>
      </c>
      <c r="Y48" s="333"/>
      <c r="Z48" s="333"/>
      <c r="AA48" s="333"/>
      <c r="AB48" s="5"/>
      <c r="AC48" s="5"/>
      <c r="AD48" s="34"/>
      <c r="AE48" s="4"/>
      <c r="AF48" s="64"/>
      <c r="AG48" s="7"/>
      <c r="AH48" s="8"/>
      <c r="AI48" s="7"/>
      <c r="AJ48" s="72"/>
      <c r="AM48" s="333"/>
      <c r="AN48" s="333"/>
      <c r="AO48" s="333"/>
      <c r="AP48" s="333"/>
      <c r="AQ48" s="333"/>
      <c r="AR48" s="333"/>
      <c r="AS48" s="5"/>
      <c r="AT48" s="5"/>
      <c r="AU48" s="27"/>
      <c r="AV48" s="5"/>
      <c r="AW48" s="5"/>
      <c r="AX48" s="5"/>
    </row>
    <row r="49" spans="2:50">
      <c r="B49" s="72"/>
      <c r="C49" s="542"/>
      <c r="D49" s="542"/>
      <c r="E49" s="542"/>
      <c r="F49" s="542"/>
      <c r="G49" s="542"/>
      <c r="H49" s="542"/>
      <c r="J49" s="14" t="str">
        <f>J22</f>
        <v>PFMLA Trust Contribution</v>
      </c>
      <c r="K49" s="315">
        <f>K22</f>
        <v>3.7000000000000002E-3</v>
      </c>
      <c r="L49" s="47"/>
      <c r="M49" s="16">
        <f>M37*(K56+1)*K49</f>
        <v>1020.5408672000002</v>
      </c>
      <c r="O49" s="14" t="str">
        <f>J49</f>
        <v>PFMLA Trust Contribution</v>
      </c>
      <c r="P49" s="315">
        <f>K49</f>
        <v>3.7000000000000002E-3</v>
      </c>
      <c r="Q49" s="47"/>
      <c r="R49" s="16">
        <f>R37*P49</f>
        <v>786.60672440000008</v>
      </c>
      <c r="X49" s="333"/>
      <c r="Y49" s="333"/>
      <c r="Z49" s="333"/>
      <c r="AA49" s="333"/>
      <c r="AB49" s="5"/>
      <c r="AC49" s="5"/>
      <c r="AD49" s="9"/>
      <c r="AE49" s="4"/>
      <c r="AF49" s="64"/>
      <c r="AG49" s="7"/>
      <c r="AH49" s="8"/>
      <c r="AI49" s="7"/>
      <c r="AJ49" s="64"/>
      <c r="AM49" s="333"/>
      <c r="AN49" s="333"/>
      <c r="AO49" s="333"/>
      <c r="AP49" s="333"/>
      <c r="AQ49" s="333"/>
      <c r="AR49" s="333"/>
      <c r="AS49" s="5"/>
      <c r="AT49" s="5"/>
      <c r="AU49" s="27"/>
      <c r="AV49" s="5"/>
      <c r="AW49" s="5"/>
      <c r="AX49" s="5"/>
    </row>
    <row r="50" spans="2:50">
      <c r="B50" s="72"/>
      <c r="C50" s="542"/>
      <c r="D50" s="542"/>
      <c r="E50" s="542"/>
      <c r="F50" s="542"/>
      <c r="G50" s="542"/>
      <c r="H50" s="542"/>
      <c r="J50" s="25" t="s">
        <v>33</v>
      </c>
      <c r="K50" s="61">
        <f>C37</f>
        <v>0.12</v>
      </c>
      <c r="L50" s="47"/>
      <c r="M50" s="16">
        <f>(M48+M49)*K50</f>
        <v>58265.90297619543</v>
      </c>
      <c r="O50" s="25" t="str">
        <f>B37</f>
        <v>Admin Allocation</v>
      </c>
      <c r="P50" s="61">
        <f>C37</f>
        <v>0.12</v>
      </c>
      <c r="Q50" s="47"/>
      <c r="R50" s="16">
        <f>(R48+R49)*P50</f>
        <v>48951.277664339425</v>
      </c>
      <c r="T50" s="64"/>
      <c r="U50" s="64"/>
      <c r="V50" s="64"/>
      <c r="W50" s="64"/>
      <c r="X50" s="333"/>
      <c r="Y50" s="333"/>
      <c r="Z50" s="333"/>
      <c r="AA50" s="333"/>
      <c r="AB50" s="5"/>
      <c r="AC50" s="5"/>
      <c r="AD50" s="27"/>
      <c r="AE50" s="4"/>
      <c r="AF50" s="64"/>
      <c r="AG50" s="7"/>
      <c r="AH50" s="8"/>
      <c r="AI50" s="7"/>
      <c r="AJ50" s="73"/>
      <c r="AM50" s="333"/>
      <c r="AN50" s="333"/>
      <c r="AO50" s="333"/>
      <c r="AP50" s="333"/>
      <c r="AQ50" s="333"/>
      <c r="AR50" s="333"/>
      <c r="AS50" s="5"/>
      <c r="AT50" s="5"/>
      <c r="AU50" s="27"/>
      <c r="AV50" s="5"/>
      <c r="AW50" s="5"/>
      <c r="AX50" s="5"/>
    </row>
    <row r="51" spans="2:50">
      <c r="B51" s="543"/>
      <c r="C51" s="544"/>
      <c r="D51" s="544"/>
      <c r="E51" s="544"/>
      <c r="F51" s="544"/>
      <c r="G51" s="544"/>
      <c r="H51" s="544"/>
      <c r="J51" s="316" t="s">
        <v>45</v>
      </c>
      <c r="K51" s="315">
        <f>C39</f>
        <v>1.9959404600811814E-2</v>
      </c>
      <c r="L51" s="317"/>
      <c r="M51" s="16">
        <f>(M50+M49+M48-M37)*K51</f>
        <v>5348.9854763954254</v>
      </c>
      <c r="O51" s="316" t="s">
        <v>45</v>
      </c>
      <c r="P51" s="315">
        <f>C39</f>
        <v>1.9959404600811814E-2</v>
      </c>
      <c r="Q51" s="317"/>
      <c r="R51" s="16">
        <f>(R50+R49+R48-R37)*P51</f>
        <v>4875.7268580839564</v>
      </c>
      <c r="T51" s="356"/>
      <c r="U51" s="356"/>
      <c r="V51" s="356"/>
      <c r="W51" s="357"/>
      <c r="X51" s="333"/>
      <c r="Y51" s="333"/>
      <c r="Z51" s="333"/>
      <c r="AA51" s="333"/>
      <c r="AB51" s="5"/>
      <c r="AC51" s="5"/>
      <c r="AD51" s="27"/>
      <c r="AE51" s="5"/>
      <c r="AF51" s="5"/>
      <c r="AG51" s="5"/>
      <c r="AH51" s="8"/>
      <c r="AI51" s="7"/>
      <c r="AJ51" s="73"/>
      <c r="AM51" s="333"/>
      <c r="AN51" s="333"/>
      <c r="AO51" s="333"/>
      <c r="AP51" s="333"/>
      <c r="AQ51" s="333"/>
      <c r="AR51" s="333"/>
      <c r="AS51" s="5"/>
      <c r="AT51" s="5"/>
      <c r="AU51" s="27"/>
      <c r="AV51" s="5"/>
      <c r="AW51" s="5"/>
      <c r="AX51" s="5"/>
    </row>
    <row r="52" spans="2:50" ht="15" thickBot="1">
      <c r="B52" s="72"/>
      <c r="C52" s="72"/>
      <c r="D52" s="72"/>
      <c r="E52" s="545"/>
      <c r="F52" s="546"/>
      <c r="G52" s="355"/>
      <c r="H52" s="546"/>
      <c r="J52" s="346" t="s">
        <v>34</v>
      </c>
      <c r="K52" s="347"/>
      <c r="L52" s="348"/>
      <c r="M52" s="308">
        <f>SUM(M48:M51)</f>
        <v>549164.0799208862</v>
      </c>
      <c r="O52" s="346" t="s">
        <v>34</v>
      </c>
      <c r="P52" s="347"/>
      <c r="Q52" s="348"/>
      <c r="R52" s="308">
        <f>SUM(R48:R51)</f>
        <v>461754.31839191861</v>
      </c>
      <c r="T52" s="356"/>
      <c r="U52" s="358"/>
      <c r="V52" s="358"/>
      <c r="W52" s="358"/>
      <c r="X52" s="333"/>
      <c r="Y52" s="333"/>
      <c r="Z52" s="333"/>
      <c r="AA52" s="333"/>
      <c r="AB52" s="5"/>
      <c r="AC52" s="5"/>
      <c r="AD52" s="27"/>
      <c r="AE52" s="5"/>
      <c r="AF52" s="5"/>
      <c r="AG52" s="5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</row>
    <row r="53" spans="2:50" ht="15" thickTop="1">
      <c r="B53" s="72"/>
      <c r="C53" s="72"/>
      <c r="D53" s="72"/>
      <c r="E53" s="545"/>
      <c r="F53" s="546"/>
      <c r="G53" s="355"/>
      <c r="H53" s="546"/>
      <c r="J53" s="316" t="s">
        <v>36</v>
      </c>
      <c r="K53" s="28"/>
      <c r="L53" s="28"/>
      <c r="M53" s="310">
        <f>M52/M32</f>
        <v>109.83281598417724</v>
      </c>
      <c r="O53" s="316" t="s">
        <v>36</v>
      </c>
      <c r="P53" s="28"/>
      <c r="Q53" s="28"/>
      <c r="R53" s="310">
        <f>R52/R32</f>
        <v>92.350863678383718</v>
      </c>
      <c r="T53" s="356"/>
      <c r="U53" s="358"/>
      <c r="V53" s="358"/>
      <c r="W53" s="358"/>
      <c r="X53" s="333"/>
      <c r="Y53" s="333"/>
      <c r="Z53" s="333"/>
      <c r="AA53" s="333"/>
      <c r="AB53" s="5"/>
      <c r="AC53" s="5"/>
      <c r="AD53" s="27"/>
      <c r="AE53" s="5"/>
      <c r="AF53" s="5"/>
      <c r="AG53" s="5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</row>
    <row r="54" spans="2:50">
      <c r="B54" s="329"/>
      <c r="C54" s="330"/>
      <c r="D54" s="330"/>
      <c r="E54" s="330"/>
      <c r="F54" s="330"/>
      <c r="G54" s="330"/>
      <c r="H54" s="546"/>
      <c r="J54" s="25" t="s">
        <v>38</v>
      </c>
      <c r="K54" s="50"/>
      <c r="L54" s="51"/>
      <c r="M54" s="52">
        <f>M53/6</f>
        <v>18.305469330696209</v>
      </c>
      <c r="O54" s="25" t="s">
        <v>38</v>
      </c>
      <c r="P54" s="50"/>
      <c r="Q54" s="51"/>
      <c r="R54" s="52">
        <f>R53/6</f>
        <v>15.391810613063953</v>
      </c>
      <c r="T54" s="356"/>
      <c r="U54" s="358"/>
      <c r="V54" s="358"/>
      <c r="W54" s="358"/>
      <c r="X54" s="333"/>
      <c r="Y54" s="333"/>
      <c r="Z54" s="333"/>
      <c r="AA54" s="333"/>
      <c r="AB54" s="5"/>
      <c r="AC54" s="5"/>
      <c r="AD54" s="27"/>
      <c r="AE54" s="5"/>
      <c r="AF54" s="5"/>
      <c r="AG54" s="5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</row>
    <row r="55" spans="2:50" ht="15" thickBot="1">
      <c r="B55" s="68"/>
      <c r="C55" s="68"/>
      <c r="D55" s="68"/>
      <c r="E55" s="102"/>
      <c r="F55" s="33"/>
      <c r="G55" s="68"/>
      <c r="H55" s="546"/>
      <c r="J55" s="25" t="s">
        <v>39</v>
      </c>
      <c r="K55" s="50"/>
      <c r="L55" s="51"/>
      <c r="M55" s="55">
        <f>M54/4</f>
        <v>4.5763673326740522</v>
      </c>
      <c r="O55" s="25" t="s">
        <v>39</v>
      </c>
      <c r="P55" s="50"/>
      <c r="Q55" s="51"/>
      <c r="R55" s="55">
        <f>R54/4</f>
        <v>3.8479526532659882</v>
      </c>
      <c r="T55" s="356"/>
      <c r="U55" s="358"/>
      <c r="V55" s="358"/>
      <c r="W55" s="358"/>
      <c r="X55" s="333"/>
      <c r="Y55" s="333"/>
      <c r="Z55" s="333"/>
      <c r="AA55" s="333"/>
      <c r="AB55" s="5"/>
      <c r="AC55" s="5"/>
      <c r="AD55" s="27"/>
      <c r="AE55" s="5"/>
      <c r="AF55" s="5"/>
      <c r="AG55" s="5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</row>
    <row r="56" spans="2:50" ht="15" thickBot="1">
      <c r="B56" s="355"/>
      <c r="C56" s="355"/>
      <c r="D56" s="355"/>
      <c r="E56" s="545"/>
      <c r="F56" s="546"/>
      <c r="G56" s="72"/>
      <c r="H56" s="546"/>
      <c r="J56" s="314" t="s">
        <v>296</v>
      </c>
      <c r="K56" s="58"/>
      <c r="L56" s="332"/>
      <c r="M56" s="59">
        <f>M55</f>
        <v>4.5763673326740522</v>
      </c>
      <c r="O56" s="314" t="s">
        <v>296</v>
      </c>
      <c r="P56" s="58"/>
      <c r="Q56" s="332"/>
      <c r="R56" s="59">
        <f>R55</f>
        <v>3.8479526532659882</v>
      </c>
      <c r="T56" s="359"/>
      <c r="U56" s="358"/>
      <c r="V56" s="358"/>
      <c r="W56" s="358"/>
      <c r="X56" s="333"/>
      <c r="Y56" s="333"/>
      <c r="Z56" s="333"/>
      <c r="AA56" s="333"/>
      <c r="AB56" s="5"/>
      <c r="AC56" s="5"/>
      <c r="AD56" s="27"/>
      <c r="AE56" s="5"/>
      <c r="AF56" s="5"/>
      <c r="AG56" s="5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</row>
    <row r="57" spans="2:50">
      <c r="B57" s="355"/>
      <c r="C57" s="355"/>
      <c r="D57" s="355"/>
      <c r="E57" s="74"/>
      <c r="F57" s="64"/>
      <c r="G57" s="72"/>
      <c r="H57" s="64"/>
      <c r="J57" s="34"/>
      <c r="K57" s="34"/>
      <c r="L57" s="34"/>
      <c r="M57" s="194"/>
      <c r="T57" s="356"/>
      <c r="U57" s="358"/>
      <c r="V57" s="358"/>
      <c r="W57" s="358"/>
      <c r="X57" s="333"/>
      <c r="Y57" s="333"/>
      <c r="Z57" s="333"/>
      <c r="AA57" s="333"/>
      <c r="AB57" s="5"/>
      <c r="AC57" s="5"/>
      <c r="AD57" s="27"/>
      <c r="AE57" s="5"/>
      <c r="AF57" s="5"/>
      <c r="AG57" s="5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</row>
    <row r="58" spans="2:50">
      <c r="B58" s="72"/>
      <c r="C58" s="61"/>
      <c r="D58" s="64"/>
      <c r="E58" s="64"/>
      <c r="F58" s="64"/>
      <c r="G58" s="72"/>
      <c r="H58" s="64"/>
      <c r="M58" s="193"/>
      <c r="T58" s="64"/>
      <c r="U58" s="64"/>
      <c r="V58" s="64"/>
      <c r="W58" s="64"/>
      <c r="X58" s="333"/>
      <c r="Y58" s="333"/>
      <c r="Z58" s="333"/>
      <c r="AA58" s="333"/>
      <c r="AB58" s="5"/>
      <c r="AC58" s="5"/>
      <c r="AD58" s="27"/>
      <c r="AE58" s="5"/>
      <c r="AF58" s="5"/>
      <c r="AG58" s="5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</row>
    <row r="59" spans="2:50">
      <c r="B59" s="355"/>
      <c r="C59" s="355"/>
      <c r="D59" s="355"/>
      <c r="E59" s="74"/>
      <c r="F59" s="64"/>
      <c r="G59" s="72"/>
      <c r="H59" s="64"/>
      <c r="M59" s="104"/>
      <c r="R59" s="363"/>
      <c r="T59" s="64"/>
      <c r="U59" s="64"/>
      <c r="V59" s="64"/>
      <c r="W59" s="64"/>
      <c r="AA59" s="333"/>
      <c r="AB59" s="5"/>
      <c r="AC59" s="5"/>
      <c r="AD59" s="27"/>
      <c r="AE59" s="5"/>
      <c r="AF59" s="5"/>
      <c r="AG59" s="5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</row>
    <row r="60" spans="2:50">
      <c r="B60" s="72"/>
      <c r="C60" s="72"/>
      <c r="D60" s="72"/>
      <c r="E60" s="74"/>
      <c r="F60" s="64"/>
      <c r="G60" s="72"/>
      <c r="H60" s="64"/>
      <c r="AE60" s="5"/>
      <c r="AF60" s="5"/>
      <c r="AG60" s="5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</row>
    <row r="61" spans="2:50">
      <c r="B61" s="72"/>
      <c r="C61" s="72"/>
      <c r="D61" s="72"/>
      <c r="E61" s="74"/>
      <c r="F61" s="64"/>
      <c r="G61" s="72"/>
      <c r="H61" s="6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</row>
    <row r="62" spans="2:50">
      <c r="B62" s="72"/>
      <c r="C62" s="72"/>
      <c r="D62" s="72"/>
      <c r="E62" s="74"/>
      <c r="F62" s="64"/>
      <c r="G62" s="72"/>
      <c r="H62" s="64"/>
      <c r="T62" s="9"/>
      <c r="U62" s="9"/>
      <c r="V62" s="9"/>
      <c r="W62" s="9"/>
    </row>
    <row r="63" spans="2:50">
      <c r="B63" s="72"/>
      <c r="C63" s="72"/>
      <c r="D63" s="72"/>
      <c r="E63" s="74"/>
      <c r="F63" s="64"/>
      <c r="G63" s="72"/>
      <c r="H63" s="64"/>
      <c r="M63" s="362"/>
    </row>
    <row r="64" spans="2:50">
      <c r="B64" s="72"/>
      <c r="C64" s="72"/>
      <c r="D64" s="72"/>
      <c r="E64" s="74"/>
      <c r="F64" s="64"/>
      <c r="G64" s="72"/>
      <c r="H64" s="64"/>
      <c r="S64" s="9"/>
      <c r="X64" s="360"/>
    </row>
    <row r="65" spans="24:24">
      <c r="X65" s="361"/>
    </row>
    <row r="66" spans="24:24" hidden="1">
      <c r="X66" s="361"/>
    </row>
  </sheetData>
  <mergeCells count="14">
    <mergeCell ref="B1:E1"/>
    <mergeCell ref="B3:E4"/>
    <mergeCell ref="O31:R31"/>
    <mergeCell ref="J31:M31"/>
    <mergeCell ref="B27:B28"/>
    <mergeCell ref="J3:M3"/>
    <mergeCell ref="O3:R3"/>
    <mergeCell ref="B30:C30"/>
    <mergeCell ref="Z3:AA3"/>
    <mergeCell ref="T3:W3"/>
    <mergeCell ref="B5:B7"/>
    <mergeCell ref="C5:C7"/>
    <mergeCell ref="D5:D7"/>
    <mergeCell ref="E5:E7"/>
  </mergeCells>
  <pageMargins left="0.2" right="0.2" top="0.25" bottom="0.25" header="0.3" footer="0.3"/>
  <pageSetup scale="45" orientation="landscape" r:id="rId1"/>
  <ignoredErrors>
    <ignoredError sqref="D19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59"/>
  <sheetViews>
    <sheetView topLeftCell="A52" zoomScale="80" zoomScaleNormal="80" workbookViewId="0">
      <selection activeCell="C66" sqref="C66"/>
    </sheetView>
  </sheetViews>
  <sheetFormatPr defaultColWidth="9.109375" defaultRowHeight="14.4"/>
  <cols>
    <col min="1" max="1" width="4.88671875" style="105" customWidth="1"/>
    <col min="2" max="2" width="34.109375" style="105" customWidth="1"/>
    <col min="3" max="3" width="14" style="105" customWidth="1"/>
    <col min="4" max="7" width="12.6640625" style="400" customWidth="1"/>
    <col min="8" max="8" width="3.6640625" style="105" customWidth="1"/>
    <col min="9" max="9" width="11.33203125" style="105" customWidth="1"/>
    <col min="10" max="10" width="35.88671875" style="105" customWidth="1"/>
    <col min="11" max="11" width="22" style="105" customWidth="1"/>
    <col min="12" max="13" width="14.88671875" style="105" bestFit="1" customWidth="1"/>
    <col min="14" max="14" width="13.88671875" style="105" customWidth="1"/>
    <col min="15" max="15" width="9.109375" style="105"/>
    <col min="16" max="17" width="10" style="105" bestFit="1" customWidth="1"/>
    <col min="18" max="16384" width="9.109375" style="105"/>
  </cols>
  <sheetData>
    <row r="2" spans="2:22" ht="15" thickBot="1"/>
    <row r="3" spans="2:22" ht="29.25" customHeight="1" thickBot="1">
      <c r="B3" s="457" t="s">
        <v>86</v>
      </c>
      <c r="C3" s="458"/>
      <c r="D3" s="458"/>
      <c r="E3" s="458"/>
      <c r="F3" s="458"/>
      <c r="G3" s="458"/>
      <c r="H3" s="459"/>
      <c r="J3" s="576" t="s">
        <v>87</v>
      </c>
      <c r="K3" s="577"/>
      <c r="L3" s="577"/>
      <c r="M3" s="578"/>
    </row>
    <row r="4" spans="2:22" ht="15" thickBot="1">
      <c r="B4" s="391" t="s">
        <v>88</v>
      </c>
      <c r="C4" s="207"/>
      <c r="D4" s="585" t="s">
        <v>27</v>
      </c>
      <c r="E4" s="586"/>
      <c r="F4" s="586"/>
      <c r="G4" s="586"/>
      <c r="H4" s="587"/>
      <c r="J4" s="401" t="s">
        <v>89</v>
      </c>
      <c r="K4" s="402"/>
      <c r="L4" s="402" t="s">
        <v>90</v>
      </c>
      <c r="M4" s="403">
        <f>C20</f>
        <v>5000</v>
      </c>
    </row>
    <row r="5" spans="2:22">
      <c r="B5" s="392" t="s">
        <v>28</v>
      </c>
      <c r="C5" s="393">
        <f>'DDS Active Treatment'!C54</f>
        <v>59419</v>
      </c>
      <c r="D5" s="394" t="s">
        <v>301</v>
      </c>
      <c r="E5" s="384"/>
      <c r="F5" s="384"/>
      <c r="G5" s="384"/>
      <c r="H5" s="385"/>
      <c r="J5" s="404"/>
      <c r="K5" s="405"/>
      <c r="L5" s="406"/>
      <c r="M5" s="407"/>
    </row>
    <row r="6" spans="2:22">
      <c r="B6" s="107" t="s">
        <v>327</v>
      </c>
      <c r="C6" s="318">
        <f>Chart!C16</f>
        <v>60923.199999999997</v>
      </c>
      <c r="D6" s="212" t="s">
        <v>295</v>
      </c>
      <c r="E6" s="210"/>
      <c r="F6" s="210"/>
      <c r="G6" s="210"/>
      <c r="H6" s="211"/>
      <c r="J6" s="230" t="s">
        <v>92</v>
      </c>
      <c r="K6" s="231" t="s">
        <v>12</v>
      </c>
      <c r="L6" s="231" t="s">
        <v>13</v>
      </c>
      <c r="M6" s="232" t="s">
        <v>14</v>
      </c>
    </row>
    <row r="7" spans="2:22" ht="15" thickBot="1">
      <c r="B7" s="386" t="s">
        <v>29</v>
      </c>
      <c r="C7" s="395">
        <f>CBDS!D18</f>
        <v>32198.400000000001</v>
      </c>
      <c r="D7" s="396" t="s">
        <v>295</v>
      </c>
      <c r="E7" s="389"/>
      <c r="F7" s="389"/>
      <c r="G7" s="389"/>
      <c r="H7" s="390"/>
      <c r="J7" s="109" t="str">
        <f t="shared" ref="J7:K9" si="0">B5</f>
        <v>Management</v>
      </c>
      <c r="K7" s="233">
        <f t="shared" si="0"/>
        <v>59419</v>
      </c>
      <c r="L7" s="234">
        <v>0.3</v>
      </c>
      <c r="M7" s="235">
        <f>K7*L7</f>
        <v>17825.7</v>
      </c>
      <c r="O7" s="408"/>
      <c r="P7" s="409"/>
    </row>
    <row r="8" spans="2:22" ht="15" thickBot="1">
      <c r="B8" s="444" t="s">
        <v>94</v>
      </c>
      <c r="C8" s="445"/>
      <c r="D8" s="454"/>
      <c r="E8" s="447"/>
      <c r="F8" s="447"/>
      <c r="G8" s="447"/>
      <c r="H8" s="448"/>
      <c r="J8" s="110" t="str">
        <f t="shared" si="0"/>
        <v>Clinical (LICSW)</v>
      </c>
      <c r="K8" s="233">
        <f t="shared" si="0"/>
        <v>60923.199999999997</v>
      </c>
      <c r="L8" s="234">
        <f>C10</f>
        <v>1.0966948180864138</v>
      </c>
      <c r="M8" s="235">
        <f>K8*L8</f>
        <v>66814.157741242205</v>
      </c>
      <c r="O8" s="408"/>
    </row>
    <row r="9" spans="2:22">
      <c r="B9" s="111" t="s">
        <v>28</v>
      </c>
      <c r="C9" s="216">
        <v>0.24804664734190279</v>
      </c>
      <c r="D9" s="228" t="s">
        <v>256</v>
      </c>
      <c r="E9" s="210"/>
      <c r="F9" s="210"/>
      <c r="G9" s="210"/>
      <c r="H9" s="211"/>
      <c r="J9" s="109" t="str">
        <f t="shared" si="0"/>
        <v>Direct Care</v>
      </c>
      <c r="K9" s="233">
        <f t="shared" si="0"/>
        <v>32198.400000000001</v>
      </c>
      <c r="L9" s="234">
        <f>C11</f>
        <v>3.3461944216962207</v>
      </c>
      <c r="M9" s="235">
        <f>K9*L9</f>
        <v>107742.10646754359</v>
      </c>
      <c r="O9" s="408"/>
    </row>
    <row r="10" spans="2:22">
      <c r="B10" s="107" t="s">
        <v>91</v>
      </c>
      <c r="C10" s="216">
        <v>1.0966948180864138</v>
      </c>
      <c r="D10" s="228" t="s">
        <v>256</v>
      </c>
      <c r="E10" s="210"/>
      <c r="F10" s="210"/>
      <c r="G10" s="210"/>
      <c r="H10" s="211"/>
      <c r="J10" s="230" t="s">
        <v>95</v>
      </c>
      <c r="K10" s="236"/>
      <c r="L10" s="237">
        <f>ROUNDUP(SUM(L7:L9),2)</f>
        <v>4.75</v>
      </c>
      <c r="M10" s="238">
        <f>SUM(M7:M9)</f>
        <v>192381.96420878579</v>
      </c>
    </row>
    <row r="11" spans="2:22" ht="15" thickBot="1">
      <c r="B11" s="386" t="s">
        <v>93</v>
      </c>
      <c r="C11" s="387">
        <v>3.3461944216962207</v>
      </c>
      <c r="D11" s="388" t="s">
        <v>256</v>
      </c>
      <c r="E11" s="389"/>
      <c r="F11" s="389"/>
      <c r="G11" s="389"/>
      <c r="H11" s="390"/>
      <c r="J11" s="239"/>
      <c r="K11" s="240"/>
      <c r="L11" s="241"/>
      <c r="M11" s="242"/>
    </row>
    <row r="12" spans="2:22">
      <c r="B12" s="455" t="s">
        <v>40</v>
      </c>
      <c r="C12" s="456"/>
      <c r="D12" s="228"/>
      <c r="E12" s="210"/>
      <c r="F12" s="210"/>
      <c r="G12" s="210"/>
      <c r="H12" s="211"/>
      <c r="J12" s="243" t="s">
        <v>96</v>
      </c>
      <c r="K12" s="244">
        <f>C13</f>
        <v>0.224</v>
      </c>
      <c r="L12" s="240"/>
      <c r="M12" s="235">
        <f>K12*M10</f>
        <v>43093.55998276802</v>
      </c>
    </row>
    <row r="13" spans="2:22" ht="15" thickBot="1">
      <c r="B13" s="107" t="s">
        <v>22</v>
      </c>
      <c r="C13" s="217">
        <v>0.224</v>
      </c>
      <c r="D13" s="228" t="s">
        <v>229</v>
      </c>
      <c r="E13" s="210"/>
      <c r="F13" s="210"/>
      <c r="G13" s="210"/>
      <c r="H13" s="211"/>
      <c r="J13" s="245" t="s">
        <v>23</v>
      </c>
      <c r="K13" s="246"/>
      <c r="L13" s="247"/>
      <c r="M13" s="248">
        <f>SUM(M10:M12)</f>
        <v>235475.52419155382</v>
      </c>
    </row>
    <row r="14" spans="2:22" ht="15" thickTop="1">
      <c r="B14" s="107" t="str">
        <f>B65</f>
        <v>Occupancy (Per FTE)</v>
      </c>
      <c r="C14" s="218">
        <v>4352.41</v>
      </c>
      <c r="D14" s="228" t="s">
        <v>348</v>
      </c>
      <c r="E14" s="210"/>
      <c r="F14" s="210"/>
      <c r="G14" s="210"/>
      <c r="H14" s="211"/>
      <c r="J14" s="239"/>
      <c r="K14" s="241"/>
      <c r="L14" s="249"/>
      <c r="M14" s="250"/>
      <c r="V14" s="112"/>
    </row>
    <row r="15" spans="2:22">
      <c r="B15" s="107" t="str">
        <f>B66</f>
        <v>Other Program Expense (Per FTE)</v>
      </c>
      <c r="C15" s="218">
        <v>256.20999999999998</v>
      </c>
      <c r="D15" s="212" t="s">
        <v>348</v>
      </c>
      <c r="E15" s="210"/>
      <c r="F15" s="210"/>
      <c r="G15" s="210"/>
      <c r="H15" s="211"/>
      <c r="J15" s="243" t="str">
        <f>B14</f>
        <v>Occupancy (Per FTE)</v>
      </c>
      <c r="K15" s="221"/>
      <c r="L15" s="529">
        <f>C14</f>
        <v>4352.41</v>
      </c>
      <c r="M15" s="235">
        <f>L15*L10</f>
        <v>20673.947499999998</v>
      </c>
      <c r="P15" s="408"/>
      <c r="Q15" s="499"/>
    </row>
    <row r="16" spans="2:22">
      <c r="B16" s="113" t="s">
        <v>97</v>
      </c>
      <c r="C16" s="219">
        <v>0.12</v>
      </c>
      <c r="D16" s="228" t="s">
        <v>297</v>
      </c>
      <c r="E16" s="210"/>
      <c r="F16" s="210"/>
      <c r="G16" s="210"/>
      <c r="H16" s="211"/>
      <c r="J16" s="114" t="str">
        <f>B15</f>
        <v>Other Program Expense (Per FTE)</v>
      </c>
      <c r="K16" s="221"/>
      <c r="L16" s="496">
        <f>C15</f>
        <v>256.20999999999998</v>
      </c>
      <c r="M16" s="251">
        <f>L16*L10</f>
        <v>1216.9974999999999</v>
      </c>
      <c r="P16" s="408"/>
      <c r="Q16" s="500"/>
    </row>
    <row r="17" spans="2:14" ht="15" thickBot="1">
      <c r="B17" s="113" t="s">
        <v>117</v>
      </c>
      <c r="C17" s="219">
        <v>3.7000000000000002E-3</v>
      </c>
      <c r="D17" s="228" t="s">
        <v>118</v>
      </c>
      <c r="E17" s="210"/>
      <c r="F17" s="210"/>
      <c r="G17" s="210"/>
      <c r="H17" s="211"/>
      <c r="J17" s="245" t="s">
        <v>99</v>
      </c>
      <c r="K17" s="246"/>
      <c r="L17" s="246"/>
      <c r="M17" s="248">
        <f>SUM(M13:M16)</f>
        <v>257366.46919155383</v>
      </c>
    </row>
    <row r="18" spans="2:14" ht="15.6" thickTop="1" thickBot="1">
      <c r="B18" s="397"/>
      <c r="C18" s="398"/>
      <c r="D18" s="399"/>
      <c r="E18" s="399"/>
      <c r="F18" s="399"/>
      <c r="G18" s="399"/>
      <c r="H18" s="410"/>
      <c r="J18" s="243" t="s">
        <v>97</v>
      </c>
      <c r="K18" s="244">
        <f>C16</f>
        <v>0.12</v>
      </c>
      <c r="L18" s="240"/>
      <c r="M18" s="235">
        <f>K18*M17</f>
        <v>30883.976302986459</v>
      </c>
    </row>
    <row r="19" spans="2:14" ht="15" thickBot="1">
      <c r="B19" s="381" t="s">
        <v>45</v>
      </c>
      <c r="C19" s="439">
        <f>'Fall 2020 CAF'!BX26</f>
        <v>1.9959404600811814E-2</v>
      </c>
      <c r="D19" s="204" t="s">
        <v>303</v>
      </c>
      <c r="E19" s="382"/>
      <c r="F19" s="382"/>
      <c r="G19" s="382"/>
      <c r="H19" s="383"/>
      <c r="J19" s="243" t="s">
        <v>300</v>
      </c>
      <c r="K19" s="255">
        <f>C17</f>
        <v>3.7000000000000002E-3</v>
      </c>
      <c r="L19" s="240"/>
      <c r="M19" s="235">
        <f>K19*M10</f>
        <v>711.81326757250747</v>
      </c>
    </row>
    <row r="20" spans="2:14" ht="15" thickBot="1">
      <c r="B20" s="115" t="s">
        <v>100</v>
      </c>
      <c r="C20" s="440">
        <v>5000</v>
      </c>
      <c r="D20" s="69"/>
      <c r="E20" s="224"/>
      <c r="F20" s="224"/>
      <c r="G20" s="224"/>
      <c r="H20" s="225"/>
      <c r="J20" s="243" t="s">
        <v>101</v>
      </c>
      <c r="K20" s="255">
        <f>C19</f>
        <v>1.9959404600811814E-2</v>
      </c>
      <c r="L20" s="240"/>
      <c r="M20" s="235">
        <f>(M19+M18+M17-M10)*K20</f>
        <v>1927.6851754554355</v>
      </c>
    </row>
    <row r="21" spans="2:14" ht="15" thickBot="1">
      <c r="B21" s="116"/>
      <c r="C21" s="118"/>
      <c r="D21" s="118"/>
      <c r="E21" s="119"/>
      <c r="F21" s="119"/>
      <c r="G21" s="119"/>
      <c r="H21" s="119"/>
      <c r="J21" s="252" t="s">
        <v>34</v>
      </c>
      <c r="K21" s="253"/>
      <c r="L21" s="253"/>
      <c r="M21" s="254">
        <f>SUM(M17:M20)</f>
        <v>290889.94393756817</v>
      </c>
    </row>
    <row r="22" spans="2:14" ht="15" thickTop="1">
      <c r="B22" s="117"/>
      <c r="C22" s="119"/>
      <c r="D22" s="532"/>
      <c r="E22" s="119"/>
      <c r="F22" s="119"/>
      <c r="G22" s="119"/>
      <c r="H22" s="119"/>
      <c r="J22" s="397"/>
      <c r="K22" s="255"/>
      <c r="L22" s="256" t="s">
        <v>298</v>
      </c>
      <c r="M22" s="319">
        <f>M21/M4-0.02</f>
        <v>58.157988787513631</v>
      </c>
    </row>
    <row r="23" spans="2:14" ht="15" thickBot="1">
      <c r="B23" s="531"/>
      <c r="C23" s="533"/>
      <c r="D23" s="534"/>
      <c r="E23" s="117"/>
      <c r="F23" s="399"/>
      <c r="G23" s="534"/>
      <c r="H23" s="117"/>
      <c r="J23" s="115"/>
      <c r="K23" s="411"/>
      <c r="L23" s="320" t="s">
        <v>299</v>
      </c>
      <c r="M23" s="321">
        <f>M22/4</f>
        <v>14.539497196878408</v>
      </c>
    </row>
    <row r="24" spans="2:14">
      <c r="B24" s="531"/>
      <c r="C24" s="533"/>
      <c r="D24" s="535"/>
      <c r="E24" s="121"/>
      <c r="F24" s="536"/>
      <c r="G24" s="535"/>
      <c r="H24" s="121"/>
      <c r="L24" s="412"/>
      <c r="N24" s="104"/>
    </row>
    <row r="25" spans="2:14">
      <c r="B25" s="121"/>
      <c r="C25" s="121"/>
      <c r="D25" s="399"/>
      <c r="E25" s="537"/>
      <c r="F25" s="255"/>
      <c r="G25" s="399"/>
      <c r="L25" s="412"/>
      <c r="N25" s="104"/>
    </row>
    <row r="26" spans="2:14">
      <c r="B26" s="120"/>
      <c r="C26" s="120"/>
      <c r="D26" s="105"/>
      <c r="E26" s="241"/>
      <c r="F26" s="244"/>
      <c r="G26" s="122"/>
      <c r="H26" s="413"/>
      <c r="L26" s="412"/>
      <c r="N26" s="104"/>
    </row>
    <row r="27" spans="2:14" ht="29.25" customHeight="1" thickBot="1">
      <c r="B27" s="120"/>
      <c r="C27" s="120"/>
      <c r="D27" s="105"/>
      <c r="E27" s="105"/>
      <c r="F27" s="105"/>
    </row>
    <row r="28" spans="2:14" ht="15" customHeight="1" thickBot="1">
      <c r="B28" s="457" t="s">
        <v>86</v>
      </c>
      <c r="C28" s="458"/>
      <c r="D28" s="458"/>
      <c r="E28" s="458"/>
      <c r="F28" s="458"/>
      <c r="G28" s="458"/>
      <c r="H28" s="459"/>
      <c r="J28" s="576" t="s">
        <v>102</v>
      </c>
      <c r="K28" s="577"/>
      <c r="L28" s="577"/>
      <c r="M28" s="578"/>
    </row>
    <row r="29" spans="2:14">
      <c r="B29" s="276" t="s">
        <v>26</v>
      </c>
      <c r="C29" s="414"/>
      <c r="D29" s="579" t="s">
        <v>27</v>
      </c>
      <c r="E29" s="580"/>
      <c r="F29" s="580"/>
      <c r="G29" s="580"/>
      <c r="H29" s="581"/>
      <c r="J29" s="401" t="s">
        <v>89</v>
      </c>
      <c r="K29" s="402"/>
      <c r="L29" s="402" t="s">
        <v>90</v>
      </c>
      <c r="M29" s="403">
        <f>C44</f>
        <v>5000</v>
      </c>
    </row>
    <row r="30" spans="2:14">
      <c r="B30" s="106" t="s">
        <v>28</v>
      </c>
      <c r="C30" s="220">
        <f>C5</f>
        <v>59419</v>
      </c>
      <c r="D30" s="209" t="s">
        <v>301</v>
      </c>
      <c r="E30" s="210"/>
      <c r="F30" s="210"/>
      <c r="G30" s="210"/>
      <c r="H30" s="211"/>
      <c r="J30" s="404"/>
      <c r="K30" s="405"/>
      <c r="L30" s="406"/>
      <c r="M30" s="407"/>
    </row>
    <row r="31" spans="2:14">
      <c r="B31" s="107" t="s">
        <v>30</v>
      </c>
      <c r="C31" s="208">
        <f>C6</f>
        <v>60923.199999999997</v>
      </c>
      <c r="D31" s="212" t="s">
        <v>295</v>
      </c>
      <c r="E31" s="210"/>
      <c r="F31" s="210"/>
      <c r="G31" s="210"/>
      <c r="H31" s="211"/>
      <c r="J31" s="230" t="s">
        <v>92</v>
      </c>
      <c r="K31" s="231" t="s">
        <v>12</v>
      </c>
      <c r="L31" s="231" t="s">
        <v>13</v>
      </c>
      <c r="M31" s="232" t="s">
        <v>14</v>
      </c>
    </row>
    <row r="32" spans="2:14" ht="15" thickBot="1">
      <c r="B32" s="106" t="s">
        <v>29</v>
      </c>
      <c r="C32" s="208">
        <f>C7</f>
        <v>32198.400000000001</v>
      </c>
      <c r="D32" s="212" t="s">
        <v>295</v>
      </c>
      <c r="E32" s="210"/>
      <c r="F32" s="210"/>
      <c r="G32" s="210"/>
      <c r="H32" s="211"/>
      <c r="J32" s="109" t="str">
        <f t="shared" ref="J32:K34" si="1">B30</f>
        <v>Management</v>
      </c>
      <c r="K32" s="233">
        <f t="shared" si="1"/>
        <v>59419</v>
      </c>
      <c r="L32" s="234">
        <f>C34</f>
        <v>0.24804664734190279</v>
      </c>
      <c r="M32" s="235">
        <f>L32*K32</f>
        <v>14738.683738408523</v>
      </c>
    </row>
    <row r="33" spans="2:19" ht="15" thickBot="1">
      <c r="B33" s="444" t="s">
        <v>94</v>
      </c>
      <c r="C33" s="445"/>
      <c r="D33" s="453"/>
      <c r="E33" s="447"/>
      <c r="F33" s="447"/>
      <c r="G33" s="447"/>
      <c r="H33" s="448"/>
      <c r="J33" s="109" t="str">
        <f>B6</f>
        <v>Clinical (LICSW)</v>
      </c>
      <c r="K33" s="233">
        <f>C6</f>
        <v>60923.199999999997</v>
      </c>
      <c r="L33" s="234">
        <f>C35</f>
        <v>1.0966948180864138</v>
      </c>
      <c r="M33" s="235">
        <f>L33*K33</f>
        <v>66814.157741242205</v>
      </c>
    </row>
    <row r="34" spans="2:19">
      <c r="B34" s="111" t="s">
        <v>28</v>
      </c>
      <c r="C34" s="215">
        <v>0.24804664734190279</v>
      </c>
      <c r="D34" s="212" t="s">
        <v>256</v>
      </c>
      <c r="E34" s="210"/>
      <c r="F34" s="210"/>
      <c r="G34" s="210"/>
      <c r="H34" s="211"/>
      <c r="J34" s="109" t="str">
        <f t="shared" si="1"/>
        <v>Direct Care</v>
      </c>
      <c r="K34" s="233">
        <f t="shared" si="1"/>
        <v>32198.400000000001</v>
      </c>
      <c r="L34" s="234">
        <f>C36</f>
        <v>3.3461944216962207</v>
      </c>
      <c r="M34" s="235">
        <f>L34*K34</f>
        <v>107742.10646754359</v>
      </c>
    </row>
    <row r="35" spans="2:19">
      <c r="B35" s="107" t="s">
        <v>91</v>
      </c>
      <c r="C35" s="215">
        <v>1.0966948180864138</v>
      </c>
      <c r="D35" s="212" t="s">
        <v>256</v>
      </c>
      <c r="E35" s="210"/>
      <c r="F35" s="210"/>
      <c r="G35" s="210"/>
      <c r="H35" s="211"/>
      <c r="J35" s="230" t="s">
        <v>95</v>
      </c>
      <c r="K35" s="236"/>
      <c r="L35" s="237">
        <f>ROUNDUP(SUM(L32:L34),2)</f>
        <v>4.7</v>
      </c>
      <c r="M35" s="238">
        <f>SUM(M32:M34)</f>
        <v>189294.94794719433</v>
      </c>
    </row>
    <row r="36" spans="2:19" ht="15" thickBot="1">
      <c r="B36" s="106" t="s">
        <v>93</v>
      </c>
      <c r="C36" s="215">
        <v>3.3461944216962207</v>
      </c>
      <c r="D36" s="212" t="s">
        <v>256</v>
      </c>
      <c r="E36" s="210"/>
      <c r="F36" s="210"/>
      <c r="G36" s="210"/>
      <c r="H36" s="211"/>
      <c r="J36" s="239"/>
      <c r="K36" s="240"/>
      <c r="L36" s="241"/>
      <c r="M36" s="242"/>
    </row>
    <row r="37" spans="2:19" ht="15" thickBot="1">
      <c r="B37" s="444" t="s">
        <v>40</v>
      </c>
      <c r="C37" s="445"/>
      <c r="D37" s="453"/>
      <c r="E37" s="447"/>
      <c r="F37" s="447"/>
      <c r="G37" s="447"/>
      <c r="H37" s="448"/>
      <c r="J37" s="243" t="str">
        <f>B38</f>
        <v>Taxes &amp; Fringe</v>
      </c>
      <c r="K37" s="244">
        <f>C38</f>
        <v>0.224</v>
      </c>
      <c r="L37" s="240"/>
      <c r="M37" s="235">
        <f>K37*M35</f>
        <v>42402.068340171529</v>
      </c>
    </row>
    <row r="38" spans="2:19" ht="15" thickBot="1">
      <c r="B38" s="107" t="s">
        <v>22</v>
      </c>
      <c r="C38" s="217">
        <v>0.224</v>
      </c>
      <c r="D38" s="212" t="s">
        <v>229</v>
      </c>
      <c r="E38" s="210"/>
      <c r="F38" s="210"/>
      <c r="G38" s="210"/>
      <c r="H38" s="211"/>
      <c r="J38" s="245" t="s">
        <v>23</v>
      </c>
      <c r="K38" s="246"/>
      <c r="L38" s="247"/>
      <c r="M38" s="248">
        <f>SUM(M35:M37)</f>
        <v>231697.01628736587</v>
      </c>
    </row>
    <row r="39" spans="2:19" ht="15" thickTop="1">
      <c r="B39" s="107" t="str">
        <f>B14</f>
        <v>Occupancy (Per FTE)</v>
      </c>
      <c r="C39" s="218">
        <v>4352.41</v>
      </c>
      <c r="D39" s="212" t="s">
        <v>348</v>
      </c>
      <c r="E39" s="210"/>
      <c r="F39" s="210"/>
      <c r="G39" s="210"/>
      <c r="H39" s="211"/>
      <c r="J39" s="239"/>
      <c r="K39" s="241"/>
      <c r="L39" s="249"/>
      <c r="M39" s="250"/>
    </row>
    <row r="40" spans="2:19">
      <c r="B40" s="113" t="s">
        <v>97</v>
      </c>
      <c r="C40" s="219">
        <v>0.12</v>
      </c>
      <c r="D40" s="212" t="s">
        <v>230</v>
      </c>
      <c r="E40" s="210"/>
      <c r="F40" s="210"/>
      <c r="G40" s="210"/>
      <c r="H40" s="211"/>
      <c r="J40" s="243" t="str">
        <f>B39</f>
        <v>Occupancy (Per FTE)</v>
      </c>
      <c r="K40" s="221"/>
      <c r="L40" s="529">
        <f>C39</f>
        <v>4352.41</v>
      </c>
      <c r="M40" s="235">
        <f>L40*L35</f>
        <v>20456.327000000001</v>
      </c>
    </row>
    <row r="41" spans="2:19">
      <c r="B41" s="113" t="str">
        <f>B15</f>
        <v>Other Program Expense (Per FTE)</v>
      </c>
      <c r="C41" s="528">
        <f>C15</f>
        <v>256.20999999999998</v>
      </c>
      <c r="D41" s="212" t="s">
        <v>348</v>
      </c>
      <c r="E41" s="210"/>
      <c r="F41" s="210"/>
      <c r="G41" s="210"/>
      <c r="H41" s="211"/>
      <c r="J41" s="243" t="str">
        <f>B41</f>
        <v>Other Program Expense (Per FTE)</v>
      </c>
      <c r="K41" s="221"/>
      <c r="L41" s="529">
        <f>C41</f>
        <v>256.20999999999998</v>
      </c>
      <c r="M41" s="235">
        <f>L41*L35</f>
        <v>1204.1869999999999</v>
      </c>
    </row>
    <row r="42" spans="2:19" ht="15" thickBot="1">
      <c r="B42" s="113" t="str">
        <f>B17</f>
        <v>PFMLA Contribution to Trust Fund</v>
      </c>
      <c r="C42" s="415">
        <f>C17</f>
        <v>3.7000000000000002E-3</v>
      </c>
      <c r="D42" s="212" t="s">
        <v>118</v>
      </c>
      <c r="E42" s="210"/>
      <c r="F42" s="210"/>
      <c r="G42" s="210"/>
      <c r="H42" s="211"/>
      <c r="J42" s="245" t="s">
        <v>99</v>
      </c>
      <c r="K42" s="246"/>
      <c r="L42" s="246"/>
      <c r="M42" s="248">
        <f>SUM(M38:M40)</f>
        <v>252153.34328736586</v>
      </c>
    </row>
    <row r="43" spans="2:19" ht="15.6" thickTop="1" thickBot="1">
      <c r="B43" s="226" t="s">
        <v>231</v>
      </c>
      <c r="C43" s="222">
        <f>'Fall 2020 CAF'!BX26</f>
        <v>1.9959404600811814E-2</v>
      </c>
      <c r="D43" s="204" t="s">
        <v>257</v>
      </c>
      <c r="E43" s="223"/>
      <c r="F43" s="223"/>
      <c r="G43" s="223"/>
      <c r="H43" s="227"/>
      <c r="J43" s="243" t="s">
        <v>97</v>
      </c>
      <c r="K43" s="244">
        <f>C40</f>
        <v>0.12</v>
      </c>
      <c r="L43" s="240"/>
      <c r="M43" s="235">
        <f>K43*M42</f>
        <v>30258.4011944839</v>
      </c>
    </row>
    <row r="44" spans="2:19" ht="15" thickBot="1">
      <c r="B44" s="123" t="s">
        <v>100</v>
      </c>
      <c r="C44" s="229">
        <v>5000</v>
      </c>
      <c r="D44" s="124"/>
      <c r="E44" s="125"/>
      <c r="F44" s="125"/>
      <c r="G44" s="125"/>
      <c r="H44" s="126"/>
      <c r="J44" s="243" t="s">
        <v>300</v>
      </c>
      <c r="K44" s="255">
        <f>C42</f>
        <v>3.7000000000000002E-3</v>
      </c>
      <c r="L44" s="240"/>
      <c r="M44" s="235">
        <f>K44*M34</f>
        <v>398.64579392991129</v>
      </c>
    </row>
    <row r="45" spans="2:19">
      <c r="J45" s="243" t="s">
        <v>101</v>
      </c>
      <c r="K45" s="255">
        <f>C43</f>
        <v>1.9959404600811814E-2</v>
      </c>
      <c r="L45" s="240"/>
      <c r="M45" s="235">
        <f>(M42+M43+M44-M35)*K45</f>
        <v>1866.5125498601187</v>
      </c>
    </row>
    <row r="46" spans="2:19" ht="15" thickBot="1">
      <c r="D46" s="105"/>
      <c r="E46" s="399"/>
      <c r="H46" s="400"/>
      <c r="J46" s="252" t="s">
        <v>34</v>
      </c>
      <c r="K46" s="253"/>
      <c r="L46" s="253"/>
      <c r="M46" s="254">
        <f>SUM(M42:M45)</f>
        <v>284676.90282563982</v>
      </c>
    </row>
    <row r="47" spans="2:19" ht="15" thickTop="1">
      <c r="B47" s="107"/>
      <c r="C47" s="497"/>
      <c r="D47" s="105"/>
      <c r="E47" s="399"/>
      <c r="H47" s="400"/>
      <c r="J47" s="239"/>
      <c r="K47" s="240"/>
      <c r="L47" s="240" t="s">
        <v>298</v>
      </c>
      <c r="M47" s="322">
        <f>M46/M29</f>
        <v>56.935380565127964</v>
      </c>
    </row>
    <row r="48" spans="2:19" ht="15" thickBot="1">
      <c r="D48" s="105"/>
      <c r="E48" s="399"/>
      <c r="H48" s="400"/>
      <c r="I48" s="416"/>
      <c r="J48" s="323"/>
      <c r="K48" s="324"/>
      <c r="L48" s="320" t="s">
        <v>299</v>
      </c>
      <c r="M48" s="325">
        <f>M47/4+0.01</f>
        <v>14.243845141281991</v>
      </c>
      <c r="N48" s="547"/>
      <c r="P48" s="416"/>
      <c r="Q48" s="416"/>
      <c r="R48" s="416"/>
      <c r="S48" s="416"/>
    </row>
    <row r="49" spans="2:19">
      <c r="D49" s="105"/>
      <c r="E49" s="399"/>
      <c r="H49" s="400"/>
      <c r="N49" s="104"/>
    </row>
    <row r="50" spans="2:19">
      <c r="D50" s="105"/>
      <c r="E50" s="399"/>
      <c r="H50" s="400"/>
      <c r="J50" s="416"/>
      <c r="K50" s="416"/>
      <c r="L50" s="416"/>
      <c r="M50" s="416"/>
      <c r="N50" s="416"/>
      <c r="O50" s="416"/>
    </row>
    <row r="51" spans="2:19" ht="15" thickBot="1">
      <c r="D51" s="105"/>
      <c r="E51" s="241"/>
      <c r="F51" s="244"/>
      <c r="G51" s="122"/>
      <c r="H51" s="417"/>
    </row>
    <row r="52" spans="2:19" s="416" customFormat="1" ht="24" customHeight="1" thickBot="1">
      <c r="B52" s="457" t="s">
        <v>86</v>
      </c>
      <c r="C52" s="458"/>
      <c r="D52" s="458"/>
      <c r="E52" s="458"/>
      <c r="F52" s="458"/>
      <c r="G52" s="458"/>
      <c r="H52" s="459"/>
      <c r="I52" s="105"/>
      <c r="J52" s="582" t="s">
        <v>103</v>
      </c>
      <c r="K52" s="583"/>
      <c r="L52" s="583"/>
      <c r="M52" s="584"/>
      <c r="N52" s="105"/>
      <c r="O52" s="105"/>
      <c r="P52" s="105"/>
      <c r="Q52" s="105"/>
      <c r="R52" s="105"/>
      <c r="S52" s="105"/>
    </row>
    <row r="53" spans="2:19" ht="15" thickBot="1">
      <c r="B53" s="391" t="s">
        <v>26</v>
      </c>
      <c r="C53" s="414"/>
      <c r="D53" s="585" t="s">
        <v>27</v>
      </c>
      <c r="E53" s="586"/>
      <c r="F53" s="586"/>
      <c r="G53" s="586"/>
      <c r="H53" s="587"/>
      <c r="J53" s="401" t="s">
        <v>89</v>
      </c>
      <c r="K53" s="402"/>
      <c r="L53" s="402" t="s">
        <v>90</v>
      </c>
      <c r="M53" s="403">
        <f>D115</f>
        <v>1778</v>
      </c>
    </row>
    <row r="54" spans="2:19">
      <c r="B54" s="392" t="s">
        <v>28</v>
      </c>
      <c r="C54" s="441">
        <v>59419</v>
      </c>
      <c r="D54" s="394" t="s">
        <v>302</v>
      </c>
      <c r="E54" s="384"/>
      <c r="F54" s="384"/>
      <c r="G54" s="384"/>
      <c r="H54" s="385"/>
      <c r="J54" s="404"/>
      <c r="K54" s="405"/>
      <c r="L54" s="406"/>
      <c r="M54" s="407"/>
    </row>
    <row r="55" spans="2:19">
      <c r="B55" s="107" t="s">
        <v>347</v>
      </c>
      <c r="C55" s="208">
        <f>C6</f>
        <v>60923.199999999997</v>
      </c>
      <c r="D55" s="228" t="s">
        <v>295</v>
      </c>
      <c r="E55" s="210"/>
      <c r="F55" s="210"/>
      <c r="G55" s="210"/>
      <c r="H55" s="211"/>
      <c r="J55" s="230" t="s">
        <v>92</v>
      </c>
      <c r="K55" s="231" t="s">
        <v>12</v>
      </c>
      <c r="L55" s="231" t="s">
        <v>13</v>
      </c>
      <c r="M55" s="232" t="s">
        <v>14</v>
      </c>
    </row>
    <row r="56" spans="2:19">
      <c r="B56" s="108" t="s">
        <v>29</v>
      </c>
      <c r="C56" s="208">
        <f>C32</f>
        <v>32198.400000000001</v>
      </c>
      <c r="D56" s="228" t="s">
        <v>295</v>
      </c>
      <c r="E56" s="210"/>
      <c r="F56" s="210"/>
      <c r="G56" s="210"/>
      <c r="H56" s="211"/>
      <c r="J56" s="109" t="str">
        <f t="shared" ref="J56:K59" si="2">B54</f>
        <v>Management</v>
      </c>
      <c r="K56" s="233">
        <f t="shared" si="2"/>
        <v>59419</v>
      </c>
      <c r="L56" s="234">
        <f>C59</f>
        <v>0.15</v>
      </c>
      <c r="M56" s="235">
        <f>L56*K56</f>
        <v>8912.85</v>
      </c>
    </row>
    <row r="57" spans="2:19" ht="15" thickBot="1">
      <c r="B57" s="386" t="s">
        <v>104</v>
      </c>
      <c r="C57" s="442">
        <f>C32</f>
        <v>32198.400000000001</v>
      </c>
      <c r="D57" s="388" t="s">
        <v>295</v>
      </c>
      <c r="E57" s="389"/>
      <c r="F57" s="389"/>
      <c r="G57" s="389"/>
      <c r="H57" s="390"/>
      <c r="J57" s="109" t="str">
        <f>B6</f>
        <v>Clinical (LICSW)</v>
      </c>
      <c r="K57" s="233">
        <f>C6</f>
        <v>60923.199999999997</v>
      </c>
      <c r="L57" s="234">
        <v>0.4</v>
      </c>
      <c r="M57" s="235">
        <f>L57*K57</f>
        <v>24369.279999999999</v>
      </c>
    </row>
    <row r="58" spans="2:19" ht="15" thickBot="1">
      <c r="B58" s="444" t="s">
        <v>94</v>
      </c>
      <c r="C58" s="445"/>
      <c r="D58" s="446"/>
      <c r="E58" s="447"/>
      <c r="F58" s="447"/>
      <c r="G58" s="447"/>
      <c r="H58" s="448"/>
      <c r="J58" s="109" t="str">
        <f t="shared" si="2"/>
        <v>Direct Care</v>
      </c>
      <c r="K58" s="233">
        <f t="shared" si="2"/>
        <v>32198.400000000001</v>
      </c>
      <c r="L58" s="234">
        <f>C61</f>
        <v>0.6</v>
      </c>
      <c r="M58" s="235">
        <f>L58*K58</f>
        <v>19319.04</v>
      </c>
    </row>
    <row r="59" spans="2:19">
      <c r="B59" s="111" t="s">
        <v>28</v>
      </c>
      <c r="C59" s="215">
        <v>0.15</v>
      </c>
      <c r="D59" s="212" t="s">
        <v>256</v>
      </c>
      <c r="E59" s="210"/>
      <c r="F59" s="210"/>
      <c r="G59" s="210"/>
      <c r="H59" s="211"/>
      <c r="J59" s="109" t="str">
        <f t="shared" si="2"/>
        <v>Support</v>
      </c>
      <c r="K59" s="233">
        <f t="shared" si="2"/>
        <v>32198.400000000001</v>
      </c>
      <c r="L59" s="234">
        <f>C62</f>
        <v>0.05</v>
      </c>
      <c r="M59" s="235">
        <f>L59*K59</f>
        <v>1609.92</v>
      </c>
    </row>
    <row r="60" spans="2:19">
      <c r="B60" s="107" t="s">
        <v>91</v>
      </c>
      <c r="C60" s="215">
        <v>0.35</v>
      </c>
      <c r="D60" s="212" t="s">
        <v>256</v>
      </c>
      <c r="E60" s="210"/>
      <c r="F60" s="210"/>
      <c r="G60" s="210"/>
      <c r="H60" s="211"/>
      <c r="J60" s="230" t="s">
        <v>95</v>
      </c>
      <c r="K60" s="236"/>
      <c r="L60" s="237">
        <f>SUM(L56:L59)</f>
        <v>1.2</v>
      </c>
      <c r="M60" s="238">
        <f>SUM(M56:M59)</f>
        <v>54211.09</v>
      </c>
    </row>
    <row r="61" spans="2:19">
      <c r="B61" s="106" t="s">
        <v>93</v>
      </c>
      <c r="C61" s="215">
        <v>0.6</v>
      </c>
      <c r="D61" s="212" t="s">
        <v>256</v>
      </c>
      <c r="E61" s="210"/>
      <c r="F61" s="210"/>
      <c r="G61" s="210"/>
      <c r="H61" s="211"/>
      <c r="J61" s="239"/>
      <c r="K61" s="240"/>
      <c r="L61" s="241"/>
      <c r="M61" s="242"/>
    </row>
    <row r="62" spans="2:19" ht="15" thickBot="1">
      <c r="B62" s="386" t="s">
        <v>104</v>
      </c>
      <c r="C62" s="443">
        <v>0.05</v>
      </c>
      <c r="D62" s="396" t="s">
        <v>256</v>
      </c>
      <c r="E62" s="389"/>
      <c r="F62" s="389"/>
      <c r="G62" s="389"/>
      <c r="H62" s="390"/>
      <c r="J62" s="243" t="s">
        <v>22</v>
      </c>
      <c r="K62" s="244">
        <f>C64</f>
        <v>0.224</v>
      </c>
      <c r="L62" s="240"/>
      <c r="M62" s="235">
        <f>K62*M60</f>
        <v>12143.284159999999</v>
      </c>
    </row>
    <row r="63" spans="2:19" ht="15" thickBot="1">
      <c r="B63" s="449"/>
      <c r="C63" s="444" t="s">
        <v>40</v>
      </c>
      <c r="D63" s="445"/>
      <c r="E63" s="446"/>
      <c r="F63" s="447"/>
      <c r="G63" s="447"/>
      <c r="H63" s="448"/>
      <c r="J63" s="245" t="s">
        <v>23</v>
      </c>
      <c r="K63" s="246"/>
      <c r="L63" s="247"/>
      <c r="M63" s="257">
        <f>SUM(M60:M62)</f>
        <v>66354.374159999992</v>
      </c>
    </row>
    <row r="64" spans="2:19">
      <c r="B64" s="107" t="s">
        <v>22</v>
      </c>
      <c r="C64" s="217">
        <v>0.224</v>
      </c>
      <c r="D64" s="212" t="s">
        <v>229</v>
      </c>
      <c r="E64" s="210"/>
      <c r="F64" s="210"/>
      <c r="G64" s="210"/>
      <c r="H64" s="211"/>
      <c r="J64" s="239"/>
      <c r="K64" s="241"/>
      <c r="L64" s="249"/>
      <c r="M64" s="258"/>
    </row>
    <row r="65" spans="1:19">
      <c r="B65" s="107" t="s">
        <v>105</v>
      </c>
      <c r="C65" s="218">
        <v>4352.41</v>
      </c>
      <c r="D65" s="212" t="s">
        <v>348</v>
      </c>
      <c r="E65" s="210"/>
      <c r="F65" s="210"/>
      <c r="G65" s="210"/>
      <c r="H65" s="211"/>
      <c r="J65" s="243" t="str">
        <f>B65</f>
        <v>Occupancy (Per FTE)</v>
      </c>
      <c r="K65" s="241"/>
      <c r="L65" s="530">
        <f>C65</f>
        <v>4352.41</v>
      </c>
      <c r="M65" s="498">
        <f>L65*L60</f>
        <v>5222.8919999999998</v>
      </c>
    </row>
    <row r="66" spans="1:19">
      <c r="B66" s="107" t="s">
        <v>346</v>
      </c>
      <c r="C66" s="218">
        <f>C41</f>
        <v>256.20999999999998</v>
      </c>
      <c r="D66" s="212" t="s">
        <v>348</v>
      </c>
      <c r="E66" s="210"/>
      <c r="F66" s="210"/>
      <c r="G66" s="210"/>
      <c r="H66" s="211"/>
      <c r="J66" s="243" t="str">
        <f>B66</f>
        <v>Other Program Expense (Per FTE)</v>
      </c>
      <c r="K66" s="241"/>
      <c r="L66" s="529">
        <f>C66</f>
        <v>256.20999999999998</v>
      </c>
      <c r="M66" s="498">
        <f>L66*L60</f>
        <v>307.45199999999994</v>
      </c>
    </row>
    <row r="67" spans="1:19" ht="15" thickBot="1">
      <c r="B67" s="127" t="s">
        <v>97</v>
      </c>
      <c r="C67" s="219">
        <v>0.12</v>
      </c>
      <c r="D67" s="212" t="s">
        <v>230</v>
      </c>
      <c r="E67" s="213"/>
      <c r="F67" s="213"/>
      <c r="G67" s="213"/>
      <c r="H67" s="214"/>
      <c r="J67" s="245" t="s">
        <v>99</v>
      </c>
      <c r="K67" s="246"/>
      <c r="L67" s="246"/>
      <c r="M67" s="259">
        <f>SUM(M63:M66)</f>
        <v>71884.718160000004</v>
      </c>
    </row>
    <row r="68" spans="1:19" ht="15.6" thickTop="1" thickBot="1">
      <c r="B68" s="418" t="str">
        <f>B42</f>
        <v>PFMLA Contribution to Trust Fund</v>
      </c>
      <c r="C68" s="419">
        <f>C42</f>
        <v>3.7000000000000002E-3</v>
      </c>
      <c r="D68" s="420" t="s">
        <v>118</v>
      </c>
      <c r="E68" s="421"/>
      <c r="F68" s="421"/>
      <c r="G68" s="421"/>
      <c r="H68" s="422"/>
      <c r="J68" s="243" t="s">
        <v>97</v>
      </c>
      <c r="K68" s="244">
        <f>C67</f>
        <v>0.12</v>
      </c>
      <c r="L68" s="240"/>
      <c r="M68" s="235">
        <f>K68*M67</f>
        <v>8626.1661791999995</v>
      </c>
    </row>
    <row r="69" spans="1:19" ht="15" thickBot="1">
      <c r="B69" s="115" t="s">
        <v>231</v>
      </c>
      <c r="C69" s="450">
        <f>'Fall 2020 CAF'!BX26</f>
        <v>1.9959404600811814E-2</v>
      </c>
      <c r="D69" s="204" t="s">
        <v>257</v>
      </c>
      <c r="E69" s="451"/>
      <c r="F69" s="451"/>
      <c r="G69" s="451"/>
      <c r="H69" s="452"/>
      <c r="J69" s="243" t="s">
        <v>300</v>
      </c>
      <c r="K69" s="255">
        <f>C68</f>
        <v>3.7000000000000002E-3</v>
      </c>
      <c r="L69" s="240"/>
      <c r="M69" s="235">
        <f>K69*M60</f>
        <v>200.58103299999999</v>
      </c>
    </row>
    <row r="70" spans="1:19">
      <c r="J70" s="243" t="s">
        <v>101</v>
      </c>
      <c r="K70" s="255">
        <f>C69</f>
        <v>1.9959404600811814E-2</v>
      </c>
      <c r="L70" s="240"/>
      <c r="M70" s="235">
        <f>(M69+M68+M67-M60)*K70</f>
        <v>528.931714127129</v>
      </c>
      <c r="P70" s="104"/>
    </row>
    <row r="71" spans="1:19" ht="15" thickBot="1">
      <c r="D71" s="105"/>
      <c r="H71" s="400"/>
      <c r="J71" s="252" t="s">
        <v>34</v>
      </c>
      <c r="K71" s="253"/>
      <c r="L71" s="253"/>
      <c r="M71" s="254">
        <f>SUM(M67:M70)</f>
        <v>81240.397086327124</v>
      </c>
    </row>
    <row r="72" spans="1:19" ht="15" thickTop="1">
      <c r="B72" s="107"/>
      <c r="C72" s="497"/>
      <c r="D72" s="105"/>
      <c r="H72" s="400"/>
      <c r="J72" s="239"/>
      <c r="K72" s="240"/>
      <c r="L72" s="240" t="s">
        <v>298</v>
      </c>
      <c r="M72" s="322">
        <f>M71/M53-0.01</f>
        <v>45.682011859576562</v>
      </c>
      <c r="N72" s="547"/>
    </row>
    <row r="73" spans="1:19" ht="15" thickBot="1">
      <c r="B73" s="107"/>
      <c r="C73" s="497"/>
      <c r="D73" s="105"/>
      <c r="H73" s="400"/>
      <c r="J73" s="323"/>
      <c r="K73" s="324"/>
      <c r="L73" s="320" t="s">
        <v>299</v>
      </c>
      <c r="M73" s="325">
        <f>M72/4</f>
        <v>11.420502964894141</v>
      </c>
      <c r="P73" s="104"/>
    </row>
    <row r="74" spans="1:19" ht="18">
      <c r="D74" s="105"/>
      <c r="H74" s="400"/>
      <c r="J74" s="400"/>
      <c r="K74" s="400"/>
      <c r="N74" s="104"/>
      <c r="P74" s="423"/>
      <c r="Q74" s="423"/>
      <c r="R74" s="423"/>
      <c r="S74" s="423"/>
    </row>
    <row r="75" spans="1:19" ht="18">
      <c r="B75" s="423"/>
      <c r="C75" s="423"/>
      <c r="D75" s="423"/>
      <c r="H75" s="423"/>
      <c r="I75" s="424"/>
      <c r="P75" s="423"/>
      <c r="Q75" s="423"/>
      <c r="R75" s="423"/>
      <c r="S75" s="423"/>
    </row>
    <row r="76" spans="1:19" ht="18">
      <c r="B76" s="423"/>
      <c r="C76" s="423"/>
      <c r="D76" s="423"/>
      <c r="H76" s="423"/>
      <c r="I76" s="425"/>
      <c r="P76" s="423"/>
      <c r="Q76" s="423"/>
      <c r="R76" s="423"/>
      <c r="S76" s="423"/>
    </row>
    <row r="77" spans="1:19" ht="18">
      <c r="B77" s="423"/>
      <c r="C77" s="423"/>
      <c r="D77" s="423"/>
      <c r="H77" s="423"/>
      <c r="I77" s="426"/>
      <c r="J77" s="423"/>
      <c r="K77" s="423"/>
      <c r="L77" s="423"/>
      <c r="M77" s="423"/>
      <c r="N77" s="423"/>
      <c r="O77" s="423"/>
      <c r="P77" s="423"/>
      <c r="Q77" s="423"/>
      <c r="R77" s="423"/>
      <c r="S77" s="423"/>
    </row>
    <row r="78" spans="1:19" ht="18">
      <c r="A78" s="423"/>
      <c r="B78" s="423"/>
      <c r="C78" s="423"/>
      <c r="D78" s="423"/>
      <c r="E78" s="430"/>
      <c r="F78" s="430"/>
      <c r="G78" s="430"/>
      <c r="H78" s="423"/>
      <c r="I78" s="427"/>
      <c r="J78" s="428"/>
      <c r="K78" s="429"/>
      <c r="L78" s="429"/>
      <c r="M78" s="423"/>
      <c r="N78" s="423"/>
      <c r="O78" s="423"/>
      <c r="P78" s="423"/>
      <c r="Q78" s="423"/>
      <c r="R78" s="423"/>
      <c r="S78" s="423"/>
    </row>
    <row r="79" spans="1:19" s="423" customFormat="1" ht="20.100000000000001" customHeight="1">
      <c r="E79" s="430"/>
      <c r="F79" s="430"/>
      <c r="G79" s="430"/>
      <c r="I79" s="427"/>
      <c r="J79" s="426"/>
      <c r="K79" s="426"/>
      <c r="L79" s="426"/>
    </row>
    <row r="80" spans="1:19" s="423" customFormat="1" ht="20.100000000000001" customHeight="1">
      <c r="E80" s="430"/>
      <c r="F80" s="430"/>
      <c r="G80" s="426"/>
      <c r="H80" s="426"/>
      <c r="I80" s="431"/>
      <c r="J80" s="427"/>
      <c r="K80" s="431"/>
      <c r="L80" s="431"/>
    </row>
    <row r="81" spans="4:12" s="423" customFormat="1" ht="20.100000000000001" customHeight="1">
      <c r="E81" s="430"/>
      <c r="F81" s="430"/>
      <c r="G81" s="427"/>
      <c r="H81" s="427"/>
      <c r="I81" s="432"/>
      <c r="J81" s="431"/>
      <c r="K81" s="431"/>
      <c r="L81" s="431"/>
    </row>
    <row r="82" spans="4:12" s="423" customFormat="1" ht="20.100000000000001" customHeight="1">
      <c r="E82" s="430"/>
      <c r="F82" s="430"/>
      <c r="G82" s="427"/>
      <c r="H82" s="427"/>
      <c r="I82" s="432"/>
      <c r="J82" s="431"/>
      <c r="K82" s="431"/>
      <c r="L82" s="431"/>
    </row>
    <row r="83" spans="4:12" s="423" customFormat="1" ht="20.100000000000001" customHeight="1">
      <c r="D83" s="430"/>
      <c r="E83" s="430"/>
      <c r="F83" s="430"/>
      <c r="G83" s="427"/>
      <c r="H83" s="427"/>
      <c r="I83" s="432"/>
      <c r="J83" s="433"/>
      <c r="K83" s="434"/>
      <c r="L83" s="434"/>
    </row>
    <row r="84" spans="4:12" s="423" customFormat="1" ht="20.100000000000001" customHeight="1">
      <c r="D84" s="430"/>
      <c r="E84" s="430"/>
      <c r="F84" s="430"/>
      <c r="G84" s="427"/>
      <c r="H84" s="427"/>
      <c r="I84" s="427"/>
      <c r="J84" s="433"/>
      <c r="K84" s="434"/>
      <c r="L84" s="434"/>
    </row>
    <row r="85" spans="4:12" s="423" customFormat="1" ht="20.100000000000001" customHeight="1">
      <c r="D85" s="430"/>
      <c r="E85" s="430"/>
      <c r="F85" s="430"/>
      <c r="G85" s="427"/>
      <c r="H85" s="427"/>
      <c r="I85" s="427"/>
      <c r="J85" s="433"/>
      <c r="K85" s="434"/>
      <c r="L85" s="434"/>
    </row>
    <row r="86" spans="4:12" s="423" customFormat="1" ht="20.100000000000001" customHeight="1">
      <c r="D86" s="430"/>
      <c r="E86" s="430"/>
      <c r="F86" s="430"/>
      <c r="G86" s="427"/>
      <c r="H86" s="427"/>
      <c r="I86" s="427"/>
      <c r="J86" s="433"/>
      <c r="K86" s="434"/>
      <c r="L86" s="434"/>
    </row>
    <row r="87" spans="4:12" s="423" customFormat="1" ht="20.100000000000001" customHeight="1">
      <c r="D87" s="430"/>
      <c r="E87" s="430"/>
      <c r="F87" s="430"/>
      <c r="G87" s="427"/>
      <c r="H87" s="427"/>
      <c r="I87" s="435"/>
      <c r="J87" s="427"/>
      <c r="K87" s="427"/>
      <c r="L87" s="427"/>
    </row>
    <row r="88" spans="4:12" s="423" customFormat="1" ht="20.100000000000001" customHeight="1">
      <c r="D88" s="430"/>
      <c r="E88" s="430"/>
      <c r="F88" s="430"/>
      <c r="G88" s="427"/>
      <c r="H88" s="427"/>
      <c r="I88" s="436"/>
      <c r="J88" s="427"/>
      <c r="K88" s="427"/>
      <c r="L88" s="427"/>
    </row>
    <row r="89" spans="4:12" s="423" customFormat="1" ht="20.100000000000001" customHeight="1">
      <c r="D89" s="430"/>
      <c r="E89" s="430"/>
      <c r="F89" s="430"/>
      <c r="G89" s="427"/>
      <c r="H89" s="427"/>
      <c r="I89" s="436"/>
      <c r="J89" s="437"/>
      <c r="K89" s="427"/>
      <c r="L89" s="427"/>
    </row>
    <row r="90" spans="4:12" s="423" customFormat="1" ht="20.100000000000001" customHeight="1">
      <c r="D90" s="430"/>
      <c r="E90" s="430"/>
      <c r="F90" s="430"/>
      <c r="G90" s="427"/>
      <c r="H90" s="427"/>
      <c r="I90" s="427"/>
      <c r="J90" s="438"/>
      <c r="K90" s="427"/>
      <c r="L90" s="427"/>
    </row>
    <row r="91" spans="4:12" s="423" customFormat="1" ht="20.100000000000001" customHeight="1">
      <c r="D91" s="430"/>
      <c r="E91" s="430"/>
      <c r="F91" s="430"/>
      <c r="G91" s="427"/>
      <c r="H91" s="427"/>
      <c r="I91" s="427"/>
      <c r="J91" s="438"/>
      <c r="K91" s="427"/>
      <c r="L91" s="427"/>
    </row>
    <row r="92" spans="4:12" s="423" customFormat="1" ht="20.100000000000001" customHeight="1">
      <c r="D92" s="430"/>
      <c r="E92" s="430"/>
      <c r="F92" s="430"/>
      <c r="G92" s="427"/>
      <c r="H92" s="427"/>
      <c r="I92" s="427"/>
      <c r="J92" s="427"/>
      <c r="K92" s="427"/>
      <c r="L92" s="427"/>
    </row>
    <row r="93" spans="4:12" s="423" customFormat="1" ht="20.100000000000001" customHeight="1">
      <c r="D93" s="430"/>
      <c r="E93" s="430"/>
      <c r="F93" s="430"/>
      <c r="G93" s="427"/>
      <c r="H93" s="427"/>
      <c r="J93" s="427"/>
      <c r="K93" s="427"/>
      <c r="L93" s="427"/>
    </row>
    <row r="94" spans="4:12" s="423" customFormat="1" ht="20.100000000000001" customHeight="1">
      <c r="D94" s="430"/>
      <c r="E94" s="430"/>
      <c r="F94" s="430"/>
      <c r="G94" s="427"/>
      <c r="H94" s="427"/>
      <c r="J94" s="427"/>
      <c r="K94" s="427"/>
      <c r="L94" s="427"/>
    </row>
    <row r="95" spans="4:12" s="423" customFormat="1" ht="20.100000000000001" customHeight="1">
      <c r="D95" s="430"/>
      <c r="E95" s="430"/>
      <c r="F95" s="430"/>
      <c r="G95" s="427"/>
      <c r="H95" s="427"/>
    </row>
    <row r="96" spans="4:12" s="423" customFormat="1" ht="20.100000000000001" customHeight="1">
      <c r="D96" s="430"/>
      <c r="E96" s="430"/>
      <c r="F96" s="430"/>
      <c r="G96" s="430"/>
    </row>
    <row r="97" spans="2:7" s="423" customFormat="1" ht="20.100000000000001" customHeight="1">
      <c r="D97" s="430"/>
      <c r="E97" s="430"/>
      <c r="F97" s="430"/>
      <c r="G97" s="430"/>
    </row>
    <row r="98" spans="2:7" s="423" customFormat="1" ht="20.100000000000001" customHeight="1">
      <c r="D98" s="430"/>
      <c r="E98" s="430"/>
      <c r="F98" s="430"/>
      <c r="G98" s="430"/>
    </row>
    <row r="99" spans="2:7" s="423" customFormat="1" ht="20.100000000000001" customHeight="1">
      <c r="D99" s="430"/>
      <c r="E99" s="430"/>
      <c r="F99" s="430"/>
      <c r="G99" s="430"/>
    </row>
    <row r="100" spans="2:7" s="423" customFormat="1" ht="20.100000000000001" customHeight="1">
      <c r="D100" s="430"/>
      <c r="E100" s="430"/>
      <c r="F100" s="430"/>
      <c r="G100" s="430"/>
    </row>
    <row r="101" spans="2:7" s="423" customFormat="1" ht="20.100000000000001" customHeight="1">
      <c r="D101" s="430"/>
      <c r="E101" s="430"/>
      <c r="F101" s="430"/>
      <c r="G101" s="430"/>
    </row>
    <row r="102" spans="2:7" s="423" customFormat="1" ht="20.100000000000001" customHeight="1">
      <c r="D102" s="430"/>
      <c r="E102" s="430"/>
      <c r="F102" s="430"/>
      <c r="G102" s="430"/>
    </row>
    <row r="103" spans="2:7" s="423" customFormat="1" ht="20.100000000000001" customHeight="1" thickBot="1">
      <c r="D103" s="430"/>
      <c r="E103" s="430"/>
      <c r="F103" s="430"/>
      <c r="G103" s="430"/>
    </row>
    <row r="104" spans="2:7" s="423" customFormat="1" ht="20.100000000000001" customHeight="1">
      <c r="B104" s="128" t="s">
        <v>106</v>
      </c>
      <c r="C104" s="129" t="s">
        <v>83</v>
      </c>
      <c r="D104" s="130" t="s">
        <v>57</v>
      </c>
      <c r="E104" s="430"/>
      <c r="F104" s="430"/>
      <c r="G104" s="430"/>
    </row>
    <row r="105" spans="2:7" s="423" customFormat="1" ht="20.100000000000001" customHeight="1">
      <c r="B105" s="131" t="s">
        <v>107</v>
      </c>
      <c r="C105" s="132">
        <v>40</v>
      </c>
      <c r="D105" s="133">
        <v>2080</v>
      </c>
      <c r="E105" s="430"/>
      <c r="F105" s="430"/>
      <c r="G105" s="430"/>
    </row>
    <row r="106" spans="2:7" s="423" customFormat="1" ht="20.100000000000001" customHeight="1">
      <c r="B106" s="134" t="s">
        <v>108</v>
      </c>
      <c r="C106" s="135"/>
      <c r="D106" s="136"/>
      <c r="E106" s="430"/>
      <c r="F106" s="430"/>
      <c r="G106" s="430"/>
    </row>
    <row r="107" spans="2:7" s="423" customFormat="1" ht="20.100000000000001" customHeight="1">
      <c r="B107" s="137" t="s">
        <v>109</v>
      </c>
      <c r="C107" s="138">
        <v>40</v>
      </c>
      <c r="D107" s="139">
        <v>120</v>
      </c>
      <c r="E107" s="430"/>
      <c r="F107" s="430"/>
      <c r="G107" s="430"/>
    </row>
    <row r="108" spans="2:7" s="423" customFormat="1" ht="20.100000000000001" customHeight="1">
      <c r="B108" s="140" t="s">
        <v>110</v>
      </c>
      <c r="C108" s="138">
        <v>40</v>
      </c>
      <c r="D108" s="141">
        <v>80</v>
      </c>
      <c r="E108" s="430"/>
      <c r="F108" s="430"/>
      <c r="G108" s="430"/>
    </row>
    <row r="109" spans="2:7" s="423" customFormat="1" ht="20.100000000000001" customHeight="1">
      <c r="B109" s="137" t="s">
        <v>111</v>
      </c>
      <c r="C109" s="138">
        <v>1</v>
      </c>
      <c r="D109" s="139">
        <v>47</v>
      </c>
      <c r="E109" s="430"/>
      <c r="F109" s="430"/>
      <c r="G109" s="430"/>
    </row>
    <row r="110" spans="2:7" s="423" customFormat="1" ht="20.100000000000001" customHeight="1">
      <c r="B110" s="137" t="s">
        <v>1</v>
      </c>
      <c r="C110" s="138">
        <v>8</v>
      </c>
      <c r="D110" s="139">
        <v>8</v>
      </c>
      <c r="E110" s="430"/>
      <c r="F110" s="430"/>
      <c r="G110" s="430"/>
    </row>
    <row r="111" spans="2:7" s="423" customFormat="1" ht="20.100000000000001" customHeight="1">
      <c r="B111" s="142" t="s">
        <v>112</v>
      </c>
      <c r="C111" s="143">
        <v>1</v>
      </c>
      <c r="D111" s="144">
        <v>47</v>
      </c>
      <c r="E111" s="430"/>
      <c r="F111" s="430"/>
      <c r="G111" s="430"/>
    </row>
    <row r="112" spans="2:7" s="423" customFormat="1" ht="20.100000000000001" customHeight="1">
      <c r="B112" s="145" t="s">
        <v>113</v>
      </c>
      <c r="C112" s="146"/>
      <c r="D112" s="147">
        <v>302</v>
      </c>
      <c r="E112" s="430"/>
      <c r="F112" s="430"/>
      <c r="G112" s="430"/>
    </row>
    <row r="113" spans="2:7" s="423" customFormat="1" ht="20.100000000000001" customHeight="1">
      <c r="B113" s="148" t="s">
        <v>114</v>
      </c>
      <c r="C113" s="149"/>
      <c r="D113" s="144">
        <v>1778</v>
      </c>
      <c r="E113" s="430"/>
      <c r="F113" s="430"/>
      <c r="G113" s="430"/>
    </row>
    <row r="114" spans="2:7" s="423" customFormat="1" ht="20.100000000000001" customHeight="1" thickBot="1">
      <c r="B114" s="150" t="s">
        <v>115</v>
      </c>
      <c r="C114" s="151"/>
      <c r="D114" s="152">
        <v>1</v>
      </c>
      <c r="E114" s="430"/>
      <c r="F114" s="430"/>
      <c r="G114" s="430"/>
    </row>
    <row r="115" spans="2:7" s="423" customFormat="1" ht="20.100000000000001" customHeight="1" thickBot="1">
      <c r="B115" s="153" t="s">
        <v>116</v>
      </c>
      <c r="C115" s="154"/>
      <c r="D115" s="155">
        <v>1778</v>
      </c>
      <c r="E115" s="430"/>
      <c r="F115" s="430"/>
      <c r="G115" s="430"/>
    </row>
    <row r="116" spans="2:7" s="423" customFormat="1" ht="20.100000000000001" customHeight="1">
      <c r="D116" s="430"/>
      <c r="E116" s="430"/>
      <c r="F116" s="430"/>
      <c r="G116" s="430"/>
    </row>
    <row r="117" spans="2:7" s="423" customFormat="1" ht="20.100000000000001" customHeight="1">
      <c r="D117" s="430"/>
      <c r="E117" s="430"/>
      <c r="F117" s="430"/>
      <c r="G117" s="430"/>
    </row>
    <row r="118" spans="2:7" s="423" customFormat="1" ht="20.100000000000001" customHeight="1">
      <c r="D118" s="430"/>
      <c r="E118" s="430"/>
      <c r="F118" s="430"/>
      <c r="G118" s="430"/>
    </row>
    <row r="119" spans="2:7" s="423" customFormat="1" ht="20.100000000000001" customHeight="1">
      <c r="D119" s="430"/>
      <c r="E119" s="430"/>
      <c r="F119" s="430"/>
      <c r="G119" s="430"/>
    </row>
    <row r="120" spans="2:7" s="423" customFormat="1" ht="20.100000000000001" customHeight="1">
      <c r="D120" s="430"/>
      <c r="E120" s="430"/>
      <c r="F120" s="430"/>
      <c r="G120" s="430"/>
    </row>
    <row r="121" spans="2:7" s="423" customFormat="1" ht="20.100000000000001" customHeight="1">
      <c r="D121" s="430"/>
      <c r="E121" s="430"/>
      <c r="F121" s="430"/>
      <c r="G121" s="430"/>
    </row>
    <row r="122" spans="2:7" s="423" customFormat="1" ht="20.100000000000001" customHeight="1">
      <c r="D122" s="430"/>
      <c r="E122" s="430"/>
      <c r="F122" s="430"/>
      <c r="G122" s="430"/>
    </row>
    <row r="123" spans="2:7" s="423" customFormat="1" ht="20.100000000000001" customHeight="1">
      <c r="D123" s="430"/>
      <c r="E123" s="430"/>
      <c r="F123" s="430"/>
      <c r="G123" s="430"/>
    </row>
    <row r="124" spans="2:7" s="423" customFormat="1" ht="20.100000000000001" customHeight="1">
      <c r="D124" s="430"/>
      <c r="E124" s="430"/>
      <c r="F124" s="430"/>
      <c r="G124" s="430"/>
    </row>
    <row r="125" spans="2:7" s="423" customFormat="1" ht="20.100000000000001" customHeight="1">
      <c r="D125" s="430"/>
      <c r="E125" s="430"/>
      <c r="F125" s="430"/>
      <c r="G125" s="430"/>
    </row>
    <row r="126" spans="2:7" s="423" customFormat="1" ht="20.100000000000001" customHeight="1">
      <c r="D126" s="430"/>
      <c r="E126" s="430"/>
      <c r="F126" s="430"/>
      <c r="G126" s="430"/>
    </row>
    <row r="127" spans="2:7" s="423" customFormat="1" ht="20.100000000000001" customHeight="1">
      <c r="D127" s="430"/>
      <c r="E127" s="430"/>
      <c r="F127" s="430"/>
      <c r="G127" s="430"/>
    </row>
    <row r="128" spans="2:7" s="423" customFormat="1" ht="20.100000000000001" customHeight="1">
      <c r="D128" s="430"/>
      <c r="E128" s="430"/>
      <c r="F128" s="430"/>
      <c r="G128" s="430"/>
    </row>
    <row r="129" spans="4:7" s="423" customFormat="1" ht="20.100000000000001" customHeight="1">
      <c r="D129" s="430"/>
      <c r="E129" s="430"/>
      <c r="F129" s="430"/>
      <c r="G129" s="430"/>
    </row>
    <row r="130" spans="4:7" s="423" customFormat="1" ht="20.100000000000001" customHeight="1">
      <c r="D130" s="430"/>
      <c r="E130" s="430"/>
      <c r="F130" s="430"/>
      <c r="G130" s="430"/>
    </row>
    <row r="131" spans="4:7" s="423" customFormat="1" ht="20.100000000000001" customHeight="1">
      <c r="D131" s="430"/>
      <c r="E131" s="430"/>
      <c r="F131" s="430"/>
      <c r="G131" s="430"/>
    </row>
    <row r="132" spans="4:7" s="423" customFormat="1" ht="20.100000000000001" customHeight="1">
      <c r="D132" s="430"/>
      <c r="E132" s="430"/>
      <c r="F132" s="430"/>
      <c r="G132" s="430"/>
    </row>
    <row r="133" spans="4:7" s="423" customFormat="1" ht="20.100000000000001" customHeight="1">
      <c r="D133" s="430"/>
      <c r="E133" s="430"/>
      <c r="F133" s="430"/>
      <c r="G133" s="430"/>
    </row>
    <row r="134" spans="4:7" s="423" customFormat="1" ht="20.100000000000001" customHeight="1">
      <c r="D134" s="430"/>
      <c r="E134" s="430"/>
      <c r="F134" s="430"/>
      <c r="G134" s="430"/>
    </row>
    <row r="135" spans="4:7" s="423" customFormat="1" ht="20.100000000000001" customHeight="1">
      <c r="D135" s="430"/>
      <c r="E135" s="430"/>
      <c r="F135" s="430"/>
      <c r="G135" s="430"/>
    </row>
    <row r="136" spans="4:7" s="423" customFormat="1" ht="20.100000000000001" customHeight="1">
      <c r="D136" s="430"/>
      <c r="E136" s="430"/>
      <c r="F136" s="430"/>
      <c r="G136" s="430"/>
    </row>
    <row r="137" spans="4:7" s="423" customFormat="1" ht="20.100000000000001" customHeight="1">
      <c r="D137" s="430"/>
      <c r="E137" s="430"/>
      <c r="F137" s="430"/>
      <c r="G137" s="430"/>
    </row>
    <row r="138" spans="4:7" s="423" customFormat="1" ht="20.100000000000001" customHeight="1">
      <c r="D138" s="430"/>
      <c r="E138" s="430"/>
      <c r="F138" s="430"/>
      <c r="G138" s="430"/>
    </row>
    <row r="139" spans="4:7" s="423" customFormat="1" ht="20.100000000000001" customHeight="1">
      <c r="D139" s="430"/>
      <c r="E139" s="430"/>
      <c r="F139" s="430"/>
      <c r="G139" s="430"/>
    </row>
    <row r="140" spans="4:7" s="423" customFormat="1" ht="20.100000000000001" customHeight="1">
      <c r="D140" s="430"/>
      <c r="E140" s="430"/>
      <c r="F140" s="430"/>
      <c r="G140" s="430"/>
    </row>
    <row r="141" spans="4:7" s="423" customFormat="1" ht="20.100000000000001" customHeight="1">
      <c r="D141" s="430"/>
      <c r="E141" s="430"/>
      <c r="F141" s="430"/>
      <c r="G141" s="430"/>
    </row>
    <row r="142" spans="4:7" s="423" customFormat="1" ht="20.100000000000001" customHeight="1">
      <c r="D142" s="430"/>
      <c r="E142" s="430"/>
      <c r="F142" s="430"/>
      <c r="G142" s="430"/>
    </row>
    <row r="143" spans="4:7" s="423" customFormat="1" ht="20.100000000000001" customHeight="1">
      <c r="D143" s="430"/>
      <c r="E143" s="430"/>
      <c r="F143" s="430"/>
      <c r="G143" s="430"/>
    </row>
    <row r="144" spans="4:7" s="423" customFormat="1" ht="20.100000000000001" customHeight="1">
      <c r="D144" s="430"/>
      <c r="E144" s="430"/>
      <c r="F144" s="430"/>
      <c r="G144" s="430"/>
    </row>
    <row r="145" spans="1:19" s="423" customFormat="1" ht="20.100000000000001" customHeight="1">
      <c r="D145" s="430"/>
      <c r="E145" s="430"/>
      <c r="F145" s="430"/>
      <c r="G145" s="430"/>
    </row>
    <row r="146" spans="1:19" s="423" customFormat="1" ht="20.100000000000001" customHeight="1">
      <c r="D146" s="430"/>
      <c r="E146" s="430"/>
      <c r="F146" s="430"/>
      <c r="G146" s="430"/>
    </row>
    <row r="147" spans="1:19" s="423" customFormat="1" ht="20.100000000000001" customHeight="1">
      <c r="D147" s="430"/>
      <c r="E147" s="430"/>
      <c r="F147" s="430"/>
      <c r="G147" s="430"/>
    </row>
    <row r="148" spans="1:19" s="423" customFormat="1" ht="20.100000000000001" customHeight="1">
      <c r="D148" s="430"/>
      <c r="E148" s="430"/>
      <c r="F148" s="430"/>
      <c r="G148" s="430"/>
    </row>
    <row r="149" spans="1:19" s="423" customFormat="1" ht="20.100000000000001" customHeight="1">
      <c r="D149" s="430"/>
      <c r="E149" s="430"/>
      <c r="F149" s="430"/>
      <c r="G149" s="430"/>
    </row>
    <row r="150" spans="1:19" s="423" customFormat="1" ht="20.100000000000001" customHeight="1">
      <c r="D150" s="430"/>
      <c r="E150" s="430"/>
      <c r="F150" s="430"/>
      <c r="G150" s="430"/>
    </row>
    <row r="151" spans="1:19" s="423" customFormat="1" ht="20.100000000000001" customHeight="1">
      <c r="B151" s="278">
        <f>CBDS!C58</f>
        <v>0</v>
      </c>
      <c r="C151" s="282" t="s">
        <v>222</v>
      </c>
      <c r="D151" s="283"/>
      <c r="E151" s="283"/>
      <c r="F151" s="283"/>
      <c r="G151" s="284"/>
    </row>
    <row r="152" spans="1:19" s="423" customFormat="1" ht="20.100000000000001" customHeight="1" thickBot="1">
      <c r="B152" s="278">
        <f>B151</f>
        <v>0</v>
      </c>
      <c r="C152" s="279" t="s">
        <v>222</v>
      </c>
      <c r="D152" s="280"/>
      <c r="E152" s="280"/>
      <c r="F152" s="280"/>
      <c r="G152" s="281"/>
    </row>
    <row r="153" spans="1:19" s="423" customFormat="1" ht="20.100000000000001" customHeight="1">
      <c r="B153" s="285">
        <f>B152</f>
        <v>0</v>
      </c>
      <c r="C153" s="282" t="s">
        <v>222</v>
      </c>
      <c r="D153" s="280"/>
      <c r="E153" s="280"/>
      <c r="F153" s="280"/>
      <c r="G153" s="281"/>
      <c r="P153" s="105"/>
      <c r="Q153" s="105"/>
    </row>
    <row r="154" spans="1:19" s="423" customFormat="1" ht="20.100000000000001" customHeight="1">
      <c r="A154" s="277" t="s">
        <v>98</v>
      </c>
      <c r="D154" s="430"/>
      <c r="E154" s="430"/>
      <c r="F154" s="430"/>
      <c r="G154" s="430"/>
      <c r="P154" s="105"/>
      <c r="Q154" s="105"/>
      <c r="R154" s="105"/>
    </row>
    <row r="155" spans="1:19" s="423" customFormat="1" ht="20.100000000000001" customHeight="1">
      <c r="A155" s="277" t="s">
        <v>98</v>
      </c>
      <c r="D155" s="430"/>
      <c r="E155" s="430"/>
      <c r="F155" s="430"/>
      <c r="G155" s="430"/>
      <c r="M155" s="105"/>
      <c r="N155" s="105"/>
      <c r="O155" s="105"/>
      <c r="P155" s="105"/>
      <c r="Q155" s="105"/>
      <c r="R155" s="105"/>
      <c r="S155" s="105"/>
    </row>
    <row r="156" spans="1:19" s="423" customFormat="1" ht="20.100000000000001" customHeight="1">
      <c r="A156" s="277" t="s">
        <v>98</v>
      </c>
      <c r="D156" s="430"/>
      <c r="E156" s="430"/>
      <c r="F156" s="430"/>
      <c r="G156" s="430"/>
      <c r="H156" s="105"/>
      <c r="I156" s="105"/>
      <c r="M156" s="105"/>
      <c r="N156" s="105"/>
      <c r="O156" s="105"/>
      <c r="P156" s="105"/>
      <c r="Q156" s="105"/>
      <c r="R156" s="105"/>
      <c r="S156" s="105"/>
    </row>
    <row r="157" spans="1:19" s="423" customFormat="1" ht="20.100000000000001" customHeight="1">
      <c r="D157" s="430"/>
      <c r="E157" s="430"/>
      <c r="F157" s="430"/>
      <c r="G157" s="430"/>
      <c r="H157" s="105"/>
      <c r="I157" s="105"/>
      <c r="M157" s="105"/>
      <c r="N157" s="105"/>
      <c r="O157" s="105"/>
      <c r="P157" s="105"/>
      <c r="Q157" s="105"/>
      <c r="R157" s="105"/>
      <c r="S157" s="105"/>
    </row>
    <row r="158" spans="1:19" s="423" customFormat="1" ht="20.100000000000001" customHeight="1">
      <c r="D158" s="430"/>
      <c r="E158" s="430"/>
      <c r="F158" s="430"/>
      <c r="G158" s="430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</row>
    <row r="159" spans="1:19" s="423" customFormat="1" ht="20.100000000000001" customHeight="1">
      <c r="A159" s="105"/>
      <c r="B159" s="105"/>
      <c r="C159" s="105"/>
      <c r="D159" s="400"/>
      <c r="E159" s="400"/>
      <c r="F159" s="400"/>
      <c r="G159" s="400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</row>
  </sheetData>
  <mergeCells count="6">
    <mergeCell ref="J28:M28"/>
    <mergeCell ref="D29:H29"/>
    <mergeCell ref="J52:M52"/>
    <mergeCell ref="D53:H53"/>
    <mergeCell ref="J3:M3"/>
    <mergeCell ref="D4:H4"/>
  </mergeCells>
  <pageMargins left="0.2" right="0.2" top="0.25" bottom="0.25" header="0.3" footer="0.3"/>
  <pageSetup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7"/>
  <sheetViews>
    <sheetView zoomScale="85" zoomScaleNormal="85" workbookViewId="0">
      <selection activeCell="E12" sqref="E12"/>
    </sheetView>
  </sheetViews>
  <sheetFormatPr defaultRowHeight="14.4"/>
  <cols>
    <col min="1" max="1" width="21.109375" bestFit="1" customWidth="1"/>
    <col min="2" max="2" width="12.5546875" bestFit="1" customWidth="1"/>
    <col min="3" max="3" width="17.5546875" customWidth="1"/>
    <col min="4" max="4" width="11.5546875" bestFit="1" customWidth="1"/>
    <col min="5" max="5" width="19.109375" customWidth="1"/>
    <col min="6" max="6" width="18" customWidth="1"/>
    <col min="7" max="7" width="14" customWidth="1"/>
    <col min="8" max="8" width="23.33203125" customWidth="1"/>
  </cols>
  <sheetData>
    <row r="2" spans="1:8">
      <c r="A2" t="s">
        <v>46</v>
      </c>
      <c r="B2" s="1">
        <v>2.9</v>
      </c>
      <c r="C2" t="s">
        <v>255</v>
      </c>
    </row>
    <row r="3" spans="1:8">
      <c r="A3" t="s">
        <v>47</v>
      </c>
      <c r="B3" s="3">
        <v>30000</v>
      </c>
    </row>
    <row r="4" spans="1:8">
      <c r="A4" t="s">
        <v>48</v>
      </c>
      <c r="B4">
        <v>4</v>
      </c>
    </row>
    <row r="5" spans="1:8">
      <c r="A5" t="s">
        <v>49</v>
      </c>
      <c r="B5" s="75">
        <v>0.08</v>
      </c>
    </row>
    <row r="6" spans="1:8">
      <c r="A6" t="s">
        <v>50</v>
      </c>
      <c r="B6" s="75">
        <v>0.5</v>
      </c>
    </row>
    <row r="8" spans="1:8">
      <c r="A8" s="588" t="s">
        <v>51</v>
      </c>
      <c r="B8" s="589"/>
      <c r="C8" s="76" t="s">
        <v>52</v>
      </c>
    </row>
    <row r="9" spans="1:8">
      <c r="A9" s="77" t="s">
        <v>53</v>
      </c>
      <c r="B9" s="78">
        <v>0</v>
      </c>
      <c r="C9" s="79">
        <f>B9*H21</f>
        <v>0</v>
      </c>
    </row>
    <row r="10" spans="1:8">
      <c r="A10" s="80" t="s">
        <v>54</v>
      </c>
      <c r="B10" s="78">
        <v>1</v>
      </c>
      <c r="C10" s="79">
        <f>B10*H28</f>
        <v>18965.823287671232</v>
      </c>
    </row>
    <row r="11" spans="1:8">
      <c r="A11" s="80" t="s">
        <v>55</v>
      </c>
      <c r="B11" s="78">
        <v>2</v>
      </c>
      <c r="C11" s="79">
        <f>B11*H35</f>
        <v>45987.281632653059</v>
      </c>
    </row>
    <row r="12" spans="1:8">
      <c r="A12" s="80" t="s">
        <v>56</v>
      </c>
      <c r="B12" s="78">
        <v>0.25</v>
      </c>
      <c r="C12" s="79">
        <f>B12*H37</f>
        <v>7220</v>
      </c>
    </row>
    <row r="13" spans="1:8">
      <c r="A13" s="76" t="s">
        <v>57</v>
      </c>
      <c r="B13" s="81">
        <f>SUM(B9:B12)</f>
        <v>3.25</v>
      </c>
      <c r="C13" s="82">
        <f>SUM(C9:C12)</f>
        <v>72173.104920324287</v>
      </c>
    </row>
    <row r="14" spans="1:8">
      <c r="A14" s="590" t="s">
        <v>58</v>
      </c>
      <c r="B14" s="591"/>
      <c r="C14" s="83">
        <f>(C13/5000)*B6</f>
        <v>7.2173104920324285</v>
      </c>
      <c r="D14" s="260"/>
      <c r="E14" s="260"/>
      <c r="F14" s="263"/>
    </row>
    <row r="16" spans="1:8" s="85" customFormat="1">
      <c r="A16" s="84" t="s">
        <v>59</v>
      </c>
      <c r="B16" s="84" t="s">
        <v>60</v>
      </c>
      <c r="C16" s="84" t="s">
        <v>61</v>
      </c>
      <c r="D16" s="84" t="s">
        <v>62</v>
      </c>
      <c r="E16" s="84" t="s">
        <v>63</v>
      </c>
      <c r="F16" s="84" t="s">
        <v>64</v>
      </c>
      <c r="G16" s="84" t="s">
        <v>65</v>
      </c>
      <c r="H16" s="84" t="s">
        <v>66</v>
      </c>
    </row>
    <row r="17" spans="1:8">
      <c r="A17" s="86" t="s">
        <v>67</v>
      </c>
      <c r="B17" s="87">
        <v>18840</v>
      </c>
      <c r="C17" s="86">
        <v>32</v>
      </c>
      <c r="D17" s="87">
        <f>(B17*$B$5)</f>
        <v>1507.2</v>
      </c>
      <c r="E17" s="88">
        <f>B17/$B$4</f>
        <v>4710</v>
      </c>
      <c r="F17" s="88">
        <f>($B$3/C17)*$B$2</f>
        <v>2718.75</v>
      </c>
      <c r="G17" s="89">
        <v>4000</v>
      </c>
      <c r="H17" s="88">
        <f>G17+F17+E17+D17</f>
        <v>12935.95</v>
      </c>
    </row>
    <row r="18" spans="1:8">
      <c r="A18" s="86" t="s">
        <v>68</v>
      </c>
      <c r="B18" s="87">
        <v>18600</v>
      </c>
      <c r="C18" s="86">
        <v>30</v>
      </c>
      <c r="D18" s="87">
        <f>(B18*$B$5)</f>
        <v>1488</v>
      </c>
      <c r="E18" s="88">
        <f>B18/$B$4</f>
        <v>4650</v>
      </c>
      <c r="F18" s="88">
        <f>($B$3/C18)*$B$2</f>
        <v>2900</v>
      </c>
      <c r="G18" s="89">
        <v>4000</v>
      </c>
      <c r="H18" s="88">
        <f>G18+F18+E18+D18</f>
        <v>13038</v>
      </c>
    </row>
    <row r="19" spans="1:8">
      <c r="A19" s="86" t="s">
        <v>69</v>
      </c>
      <c r="B19" s="87">
        <v>23260</v>
      </c>
      <c r="C19" s="86">
        <v>27</v>
      </c>
      <c r="D19" s="87">
        <f>(B19*$B$5)</f>
        <v>1860.8</v>
      </c>
      <c r="E19" s="88">
        <f>B19/$B$4</f>
        <v>5815</v>
      </c>
      <c r="F19" s="88">
        <f>($B$3/C19)*$B$2</f>
        <v>3222.2222222222222</v>
      </c>
      <c r="G19" s="89">
        <v>4000</v>
      </c>
      <c r="H19" s="88">
        <f>G19+F19+E19+D19</f>
        <v>14898.022222222222</v>
      </c>
    </row>
    <row r="20" spans="1:8">
      <c r="A20" s="86" t="s">
        <v>70</v>
      </c>
      <c r="B20" s="87">
        <v>16975</v>
      </c>
      <c r="C20" s="86">
        <v>31</v>
      </c>
      <c r="D20" s="87">
        <f>(B20*$B$5)</f>
        <v>1358</v>
      </c>
      <c r="E20" s="88">
        <f>B20/$B$4</f>
        <v>4243.75</v>
      </c>
      <c r="F20" s="88">
        <f>($B$3/C20)*$B$2</f>
        <v>2806.4516129032259</v>
      </c>
      <c r="G20" s="89">
        <v>4000</v>
      </c>
      <c r="H20" s="88">
        <f>G20+F20+E20+D20</f>
        <v>12408.201612903225</v>
      </c>
    </row>
    <row r="21" spans="1:8" s="85" customFormat="1">
      <c r="A21" s="84" t="s">
        <v>71</v>
      </c>
      <c r="B21" s="90">
        <f>AVERAGE(B17:B20)</f>
        <v>19418.75</v>
      </c>
      <c r="C21" s="91">
        <f>AVERAGE(C17:C20)</f>
        <v>30</v>
      </c>
      <c r="D21" s="90">
        <f>(B21*$B$5)</f>
        <v>1553.5</v>
      </c>
      <c r="E21" s="92">
        <f>B21/$B$4</f>
        <v>4854.6875</v>
      </c>
      <c r="F21" s="92">
        <f>($B$3/C21)*$B$2</f>
        <v>2900</v>
      </c>
      <c r="G21" s="93">
        <v>4000</v>
      </c>
      <c r="H21" s="92">
        <f>G21+F21+E21+D21</f>
        <v>13308.1875</v>
      </c>
    </row>
    <row r="22" spans="1:8">
      <c r="G22" s="1"/>
    </row>
    <row r="23" spans="1:8" s="85" customFormat="1">
      <c r="A23" s="85" t="s">
        <v>72</v>
      </c>
      <c r="B23" s="85" t="s">
        <v>259</v>
      </c>
      <c r="C23" s="85" t="s">
        <v>61</v>
      </c>
      <c r="D23" s="85" t="s">
        <v>62</v>
      </c>
      <c r="E23" s="85" t="s">
        <v>63</v>
      </c>
      <c r="F23" s="85" t="s">
        <v>64</v>
      </c>
      <c r="G23" s="85" t="s">
        <v>65</v>
      </c>
      <c r="H23" s="85" t="s">
        <v>66</v>
      </c>
    </row>
    <row r="24" spans="1:8">
      <c r="A24" t="s">
        <v>73</v>
      </c>
      <c r="B24" s="94">
        <v>31640</v>
      </c>
      <c r="C24">
        <v>19</v>
      </c>
      <c r="D24" s="94">
        <f>(B24*$B$5)</f>
        <v>2531.2000000000003</v>
      </c>
      <c r="E24" s="2">
        <f>B24/$B$4</f>
        <v>7910</v>
      </c>
      <c r="F24" s="2">
        <f>($B$3/C24)*$B$2</f>
        <v>4578.9473684210525</v>
      </c>
      <c r="G24" s="1">
        <v>4500</v>
      </c>
      <c r="H24" s="2">
        <f>G24+F24+E24+D24</f>
        <v>19520.147368421054</v>
      </c>
    </row>
    <row r="25" spans="1:8">
      <c r="A25" t="s">
        <v>74</v>
      </c>
      <c r="B25" s="94">
        <v>30790</v>
      </c>
      <c r="C25">
        <v>19</v>
      </c>
      <c r="D25" s="94">
        <f>(B25*$B$5)</f>
        <v>2463.2000000000003</v>
      </c>
      <c r="E25" s="2">
        <f>B25/$B$4</f>
        <v>7697.5</v>
      </c>
      <c r="F25" s="2">
        <f>($B$3/C25)*$B$2</f>
        <v>4578.9473684210525</v>
      </c>
      <c r="G25" s="1">
        <v>4500</v>
      </c>
      <c r="H25" s="2">
        <f>G25+F25+E25+D25</f>
        <v>19239.647368421054</v>
      </c>
    </row>
    <row r="26" spans="1:8">
      <c r="A26" t="s">
        <v>75</v>
      </c>
      <c r="B26" s="94">
        <v>27530</v>
      </c>
      <c r="C26">
        <v>17</v>
      </c>
      <c r="D26" s="94">
        <f>(B26*$B$5)</f>
        <v>2202.4</v>
      </c>
      <c r="E26" s="2">
        <f>B26/$B$4</f>
        <v>6882.5</v>
      </c>
      <c r="F26" s="2">
        <f>($B$3/C26)*$B$2</f>
        <v>5117.6470588235297</v>
      </c>
      <c r="G26" s="1">
        <v>4500</v>
      </c>
      <c r="H26" s="2">
        <f>G26+F26+E26+D26</f>
        <v>18702.547058823533</v>
      </c>
    </row>
    <row r="27" spans="1:8">
      <c r="A27" t="s">
        <v>76</v>
      </c>
      <c r="B27" s="94">
        <v>27600</v>
      </c>
      <c r="C27">
        <v>18</v>
      </c>
      <c r="D27" s="94">
        <f>(B27*$B$5)</f>
        <v>2208</v>
      </c>
      <c r="E27" s="2">
        <f>B27/$B$4</f>
        <v>6900</v>
      </c>
      <c r="F27" s="2">
        <f>($B$3/C27)*$B$2</f>
        <v>4833.333333333333</v>
      </c>
      <c r="G27" s="1">
        <v>4500</v>
      </c>
      <c r="H27" s="2">
        <f>G27+F27+E27+D27</f>
        <v>18441.333333333332</v>
      </c>
    </row>
    <row r="28" spans="1:8" s="85" customFormat="1">
      <c r="A28" s="85" t="s">
        <v>71</v>
      </c>
      <c r="B28" s="95">
        <f>AVERAGE(B24:B27)</f>
        <v>29390</v>
      </c>
      <c r="C28" s="85">
        <f>AVERAGE(C24:C27)</f>
        <v>18.25</v>
      </c>
      <c r="D28" s="95">
        <f>(B28*$B$5)</f>
        <v>2351.2000000000003</v>
      </c>
      <c r="E28" s="96">
        <f>B28/$B$4</f>
        <v>7347.5</v>
      </c>
      <c r="F28" s="96">
        <f>($B$3/C28)*$B$2</f>
        <v>4767.123287671232</v>
      </c>
      <c r="G28" s="97">
        <v>4500</v>
      </c>
      <c r="H28" s="96">
        <f>G28+F28+E28+D28</f>
        <v>18965.823287671232</v>
      </c>
    </row>
    <row r="29" spans="1:8">
      <c r="D29" s="94"/>
      <c r="G29" s="1"/>
    </row>
    <row r="30" spans="1:8" s="85" customFormat="1">
      <c r="A30" s="85" t="s">
        <v>77</v>
      </c>
      <c r="B30" s="85" t="s">
        <v>259</v>
      </c>
      <c r="C30" s="85" t="s">
        <v>61</v>
      </c>
      <c r="D30" s="85" t="s">
        <v>62</v>
      </c>
      <c r="E30" s="85" t="s">
        <v>63</v>
      </c>
      <c r="F30" s="85" t="s">
        <v>64</v>
      </c>
      <c r="G30" s="85" t="s">
        <v>65</v>
      </c>
      <c r="H30" s="85" t="s">
        <v>66</v>
      </c>
    </row>
    <row r="31" spans="1:8">
      <c r="A31" t="s">
        <v>78</v>
      </c>
      <c r="B31" s="94">
        <v>32500</v>
      </c>
      <c r="C31">
        <v>11</v>
      </c>
      <c r="D31" s="94">
        <f>(B31*$B$5)</f>
        <v>2600</v>
      </c>
      <c r="E31" s="2">
        <f>B31/$B$4</f>
        <v>8125</v>
      </c>
      <c r="F31" s="2">
        <f>($B$3/C31)*$B$2</f>
        <v>7909.090909090909</v>
      </c>
      <c r="G31" s="1">
        <v>4500</v>
      </c>
      <c r="H31" s="2">
        <f>G31+F31+E31+D31</f>
        <v>23134.090909090908</v>
      </c>
    </row>
    <row r="32" spans="1:8">
      <c r="A32" t="s">
        <v>79</v>
      </c>
      <c r="B32" s="94">
        <v>36720</v>
      </c>
      <c r="C32">
        <v>15</v>
      </c>
      <c r="D32" s="94">
        <f>(B32*$B$5)</f>
        <v>2937.6</v>
      </c>
      <c r="E32" s="2">
        <f>B32/$B$4</f>
        <v>9180</v>
      </c>
      <c r="F32" s="2">
        <f>($B$3/C32)*$B$2</f>
        <v>5800</v>
      </c>
      <c r="G32" s="1">
        <v>4500</v>
      </c>
      <c r="H32" s="2">
        <f>G32+F32+E32+D32</f>
        <v>22417.599999999999</v>
      </c>
    </row>
    <row r="33" spans="1:8">
      <c r="A33" t="s">
        <v>80</v>
      </c>
      <c r="B33" s="94">
        <v>36360</v>
      </c>
      <c r="C33">
        <v>12</v>
      </c>
      <c r="D33" s="94">
        <f>(B33*$B$5)</f>
        <v>2908.8</v>
      </c>
      <c r="E33" s="2">
        <f>B33/$B$4</f>
        <v>9090</v>
      </c>
      <c r="F33" s="2">
        <f>($B$3/C33)*$B$2</f>
        <v>7250</v>
      </c>
      <c r="G33" s="1">
        <v>4500</v>
      </c>
      <c r="H33" s="2">
        <f>G33+F33+E33+D33</f>
        <v>23748.799999999999</v>
      </c>
    </row>
    <row r="34" spans="1:8">
      <c r="A34" t="s">
        <v>81</v>
      </c>
      <c r="B34" s="94">
        <v>32500</v>
      </c>
      <c r="C34">
        <v>11</v>
      </c>
      <c r="D34" s="94">
        <f>(B34*$B$5)</f>
        <v>2600</v>
      </c>
      <c r="E34" s="2">
        <f>B34/$B$4</f>
        <v>8125</v>
      </c>
      <c r="F34" s="2">
        <f>($B$3/C34)*$B$2</f>
        <v>7909.090909090909</v>
      </c>
      <c r="G34" s="1">
        <v>4500</v>
      </c>
      <c r="H34" s="2">
        <f>G34+F34+E34+D34</f>
        <v>23134.090909090908</v>
      </c>
    </row>
    <row r="35" spans="1:8" s="85" customFormat="1">
      <c r="A35" s="85" t="s">
        <v>71</v>
      </c>
      <c r="B35" s="95">
        <f>AVERAGE(B31:B34)</f>
        <v>34520</v>
      </c>
      <c r="C35" s="85">
        <f>AVERAGE(C31:C34)</f>
        <v>12.25</v>
      </c>
      <c r="D35" s="95">
        <f>(B35*$B$5)</f>
        <v>2761.6</v>
      </c>
      <c r="E35" s="96">
        <f>B35/$B$4</f>
        <v>8630</v>
      </c>
      <c r="F35" s="96">
        <f>($B$3/C35)*$B$2</f>
        <v>7102.0408163265301</v>
      </c>
      <c r="G35" s="97">
        <v>4500</v>
      </c>
      <c r="H35" s="96">
        <f>G35+F35+E35+D35</f>
        <v>22993.64081632653</v>
      </c>
    </row>
    <row r="36" spans="1:8">
      <c r="G36" s="1"/>
    </row>
    <row r="37" spans="1:8" s="85" customFormat="1">
      <c r="A37" s="85" t="s">
        <v>82</v>
      </c>
      <c r="B37" s="95">
        <v>46000</v>
      </c>
      <c r="C37" s="85">
        <v>10</v>
      </c>
      <c r="D37" s="95">
        <f>(B37*$B$5)</f>
        <v>3680</v>
      </c>
      <c r="E37" s="96">
        <f>B37/$B$4</f>
        <v>11500</v>
      </c>
      <c r="F37" s="96">
        <f>($B$3/C37)*$B$2</f>
        <v>8700</v>
      </c>
      <c r="G37" s="97">
        <v>5000</v>
      </c>
      <c r="H37" s="96">
        <f>G37+F37+E37+D37</f>
        <v>28880</v>
      </c>
    </row>
  </sheetData>
  <mergeCells count="2">
    <mergeCell ref="A8:B8"/>
    <mergeCell ref="A14:B14"/>
  </mergeCells>
  <pageMargins left="0.7" right="0.7" top="0.75" bottom="0.75" header="0.3" footer="0.3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7"/>
  <sheetViews>
    <sheetView topLeftCell="BH5" workbookViewId="0">
      <selection activeCell="BT56" sqref="BT56"/>
    </sheetView>
  </sheetViews>
  <sheetFormatPr defaultRowHeight="13.2"/>
  <cols>
    <col min="1" max="1" width="38.44140625" style="266" customWidth="1"/>
    <col min="2" max="2" width="12.88671875" style="271" customWidth="1"/>
    <col min="3" max="82" width="7.6640625" style="266" customWidth="1"/>
    <col min="83" max="256" width="9" style="266"/>
    <col min="257" max="257" width="38.44140625" style="266" customWidth="1"/>
    <col min="258" max="258" width="12.88671875" style="266" customWidth="1"/>
    <col min="259" max="338" width="7.6640625" style="266" customWidth="1"/>
    <col min="339" max="512" width="9" style="266"/>
    <col min="513" max="513" width="38.44140625" style="266" customWidth="1"/>
    <col min="514" max="514" width="12.88671875" style="266" customWidth="1"/>
    <col min="515" max="594" width="7.6640625" style="266" customWidth="1"/>
    <col min="595" max="768" width="9" style="266"/>
    <col min="769" max="769" width="38.44140625" style="266" customWidth="1"/>
    <col min="770" max="770" width="12.88671875" style="266" customWidth="1"/>
    <col min="771" max="850" width="7.6640625" style="266" customWidth="1"/>
    <col min="851" max="1024" width="9" style="266"/>
    <col min="1025" max="1025" width="38.44140625" style="266" customWidth="1"/>
    <col min="1026" max="1026" width="12.88671875" style="266" customWidth="1"/>
    <col min="1027" max="1106" width="7.6640625" style="266" customWidth="1"/>
    <col min="1107" max="1280" width="9" style="266"/>
    <col min="1281" max="1281" width="38.44140625" style="266" customWidth="1"/>
    <col min="1282" max="1282" width="12.88671875" style="266" customWidth="1"/>
    <col min="1283" max="1362" width="7.6640625" style="266" customWidth="1"/>
    <col min="1363" max="1536" width="9" style="266"/>
    <col min="1537" max="1537" width="38.44140625" style="266" customWidth="1"/>
    <col min="1538" max="1538" width="12.88671875" style="266" customWidth="1"/>
    <col min="1539" max="1618" width="7.6640625" style="266" customWidth="1"/>
    <col min="1619" max="1792" width="9" style="266"/>
    <col min="1793" max="1793" width="38.44140625" style="266" customWidth="1"/>
    <col min="1794" max="1794" width="12.88671875" style="266" customWidth="1"/>
    <col min="1795" max="1874" width="7.6640625" style="266" customWidth="1"/>
    <col min="1875" max="2048" width="9" style="266"/>
    <col min="2049" max="2049" width="38.44140625" style="266" customWidth="1"/>
    <col min="2050" max="2050" width="12.88671875" style="266" customWidth="1"/>
    <col min="2051" max="2130" width="7.6640625" style="266" customWidth="1"/>
    <col min="2131" max="2304" width="9" style="266"/>
    <col min="2305" max="2305" width="38.44140625" style="266" customWidth="1"/>
    <col min="2306" max="2306" width="12.88671875" style="266" customWidth="1"/>
    <col min="2307" max="2386" width="7.6640625" style="266" customWidth="1"/>
    <col min="2387" max="2560" width="9" style="266"/>
    <col min="2561" max="2561" width="38.44140625" style="266" customWidth="1"/>
    <col min="2562" max="2562" width="12.88671875" style="266" customWidth="1"/>
    <col min="2563" max="2642" width="7.6640625" style="266" customWidth="1"/>
    <col min="2643" max="2816" width="9" style="266"/>
    <col min="2817" max="2817" width="38.44140625" style="266" customWidth="1"/>
    <col min="2818" max="2818" width="12.88671875" style="266" customWidth="1"/>
    <col min="2819" max="2898" width="7.6640625" style="266" customWidth="1"/>
    <col min="2899" max="3072" width="9" style="266"/>
    <col min="3073" max="3073" width="38.44140625" style="266" customWidth="1"/>
    <col min="3074" max="3074" width="12.88671875" style="266" customWidth="1"/>
    <col min="3075" max="3154" width="7.6640625" style="266" customWidth="1"/>
    <col min="3155" max="3328" width="9" style="266"/>
    <col min="3329" max="3329" width="38.44140625" style="266" customWidth="1"/>
    <col min="3330" max="3330" width="12.88671875" style="266" customWidth="1"/>
    <col min="3331" max="3410" width="7.6640625" style="266" customWidth="1"/>
    <col min="3411" max="3584" width="9" style="266"/>
    <col min="3585" max="3585" width="38.44140625" style="266" customWidth="1"/>
    <col min="3586" max="3586" width="12.88671875" style="266" customWidth="1"/>
    <col min="3587" max="3666" width="7.6640625" style="266" customWidth="1"/>
    <col min="3667" max="3840" width="9" style="266"/>
    <col min="3841" max="3841" width="38.44140625" style="266" customWidth="1"/>
    <col min="3842" max="3842" width="12.88671875" style="266" customWidth="1"/>
    <col min="3843" max="3922" width="7.6640625" style="266" customWidth="1"/>
    <col min="3923" max="4096" width="9" style="266"/>
    <col min="4097" max="4097" width="38.44140625" style="266" customWidth="1"/>
    <col min="4098" max="4098" width="12.88671875" style="266" customWidth="1"/>
    <col min="4099" max="4178" width="7.6640625" style="266" customWidth="1"/>
    <col min="4179" max="4352" width="9" style="266"/>
    <col min="4353" max="4353" width="38.44140625" style="266" customWidth="1"/>
    <col min="4354" max="4354" width="12.88671875" style="266" customWidth="1"/>
    <col min="4355" max="4434" width="7.6640625" style="266" customWidth="1"/>
    <col min="4435" max="4608" width="9" style="266"/>
    <col min="4609" max="4609" width="38.44140625" style="266" customWidth="1"/>
    <col min="4610" max="4610" width="12.88671875" style="266" customWidth="1"/>
    <col min="4611" max="4690" width="7.6640625" style="266" customWidth="1"/>
    <col min="4691" max="4864" width="9" style="266"/>
    <col min="4865" max="4865" width="38.44140625" style="266" customWidth="1"/>
    <col min="4866" max="4866" width="12.88671875" style="266" customWidth="1"/>
    <col min="4867" max="4946" width="7.6640625" style="266" customWidth="1"/>
    <col min="4947" max="5120" width="9" style="266"/>
    <col min="5121" max="5121" width="38.44140625" style="266" customWidth="1"/>
    <col min="5122" max="5122" width="12.88671875" style="266" customWidth="1"/>
    <col min="5123" max="5202" width="7.6640625" style="266" customWidth="1"/>
    <col min="5203" max="5376" width="9" style="266"/>
    <col min="5377" max="5377" width="38.44140625" style="266" customWidth="1"/>
    <col min="5378" max="5378" width="12.88671875" style="266" customWidth="1"/>
    <col min="5379" max="5458" width="7.6640625" style="266" customWidth="1"/>
    <col min="5459" max="5632" width="9" style="266"/>
    <col min="5633" max="5633" width="38.44140625" style="266" customWidth="1"/>
    <col min="5634" max="5634" width="12.88671875" style="266" customWidth="1"/>
    <col min="5635" max="5714" width="7.6640625" style="266" customWidth="1"/>
    <col min="5715" max="5888" width="9" style="266"/>
    <col min="5889" max="5889" width="38.44140625" style="266" customWidth="1"/>
    <col min="5890" max="5890" width="12.88671875" style="266" customWidth="1"/>
    <col min="5891" max="5970" width="7.6640625" style="266" customWidth="1"/>
    <col min="5971" max="6144" width="9" style="266"/>
    <col min="6145" max="6145" width="38.44140625" style="266" customWidth="1"/>
    <col min="6146" max="6146" width="12.88671875" style="266" customWidth="1"/>
    <col min="6147" max="6226" width="7.6640625" style="266" customWidth="1"/>
    <col min="6227" max="6400" width="9" style="266"/>
    <col min="6401" max="6401" width="38.44140625" style="266" customWidth="1"/>
    <col min="6402" max="6402" width="12.88671875" style="266" customWidth="1"/>
    <col min="6403" max="6482" width="7.6640625" style="266" customWidth="1"/>
    <col min="6483" max="6656" width="9" style="266"/>
    <col min="6657" max="6657" width="38.44140625" style="266" customWidth="1"/>
    <col min="6658" max="6658" width="12.88671875" style="266" customWidth="1"/>
    <col min="6659" max="6738" width="7.6640625" style="266" customWidth="1"/>
    <col min="6739" max="6912" width="9" style="266"/>
    <col min="6913" max="6913" width="38.44140625" style="266" customWidth="1"/>
    <col min="6914" max="6914" width="12.88671875" style="266" customWidth="1"/>
    <col min="6915" max="6994" width="7.6640625" style="266" customWidth="1"/>
    <col min="6995" max="7168" width="9" style="266"/>
    <col min="7169" max="7169" width="38.44140625" style="266" customWidth="1"/>
    <col min="7170" max="7170" width="12.88671875" style="266" customWidth="1"/>
    <col min="7171" max="7250" width="7.6640625" style="266" customWidth="1"/>
    <col min="7251" max="7424" width="9" style="266"/>
    <col min="7425" max="7425" width="38.44140625" style="266" customWidth="1"/>
    <col min="7426" max="7426" width="12.88671875" style="266" customWidth="1"/>
    <col min="7427" max="7506" width="7.6640625" style="266" customWidth="1"/>
    <col min="7507" max="7680" width="9" style="266"/>
    <col min="7681" max="7681" width="38.44140625" style="266" customWidth="1"/>
    <col min="7682" max="7682" width="12.88671875" style="266" customWidth="1"/>
    <col min="7683" max="7762" width="7.6640625" style="266" customWidth="1"/>
    <col min="7763" max="7936" width="9" style="266"/>
    <col min="7937" max="7937" width="38.44140625" style="266" customWidth="1"/>
    <col min="7938" max="7938" width="12.88671875" style="266" customWidth="1"/>
    <col min="7939" max="8018" width="7.6640625" style="266" customWidth="1"/>
    <col min="8019" max="8192" width="9" style="266"/>
    <col min="8193" max="8193" width="38.44140625" style="266" customWidth="1"/>
    <col min="8194" max="8194" width="12.88671875" style="266" customWidth="1"/>
    <col min="8195" max="8274" width="7.6640625" style="266" customWidth="1"/>
    <col min="8275" max="8448" width="9" style="266"/>
    <col min="8449" max="8449" width="38.44140625" style="266" customWidth="1"/>
    <col min="8450" max="8450" width="12.88671875" style="266" customWidth="1"/>
    <col min="8451" max="8530" width="7.6640625" style="266" customWidth="1"/>
    <col min="8531" max="8704" width="9" style="266"/>
    <col min="8705" max="8705" width="38.44140625" style="266" customWidth="1"/>
    <col min="8706" max="8706" width="12.88671875" style="266" customWidth="1"/>
    <col min="8707" max="8786" width="7.6640625" style="266" customWidth="1"/>
    <col min="8787" max="8960" width="9" style="266"/>
    <col min="8961" max="8961" width="38.44140625" style="266" customWidth="1"/>
    <col min="8962" max="8962" width="12.88671875" style="266" customWidth="1"/>
    <col min="8963" max="9042" width="7.6640625" style="266" customWidth="1"/>
    <col min="9043" max="9216" width="9" style="266"/>
    <col min="9217" max="9217" width="38.44140625" style="266" customWidth="1"/>
    <col min="9218" max="9218" width="12.88671875" style="266" customWidth="1"/>
    <col min="9219" max="9298" width="7.6640625" style="266" customWidth="1"/>
    <col min="9299" max="9472" width="9" style="266"/>
    <col min="9473" max="9473" width="38.44140625" style="266" customWidth="1"/>
    <col min="9474" max="9474" width="12.88671875" style="266" customWidth="1"/>
    <col min="9475" max="9554" width="7.6640625" style="266" customWidth="1"/>
    <col min="9555" max="9728" width="9" style="266"/>
    <col min="9729" max="9729" width="38.44140625" style="266" customWidth="1"/>
    <col min="9730" max="9730" width="12.88671875" style="266" customWidth="1"/>
    <col min="9731" max="9810" width="7.6640625" style="266" customWidth="1"/>
    <col min="9811" max="9984" width="9" style="266"/>
    <col min="9985" max="9985" width="38.44140625" style="266" customWidth="1"/>
    <col min="9986" max="9986" width="12.88671875" style="266" customWidth="1"/>
    <col min="9987" max="10066" width="7.6640625" style="266" customWidth="1"/>
    <col min="10067" max="10240" width="9" style="266"/>
    <col min="10241" max="10241" width="38.44140625" style="266" customWidth="1"/>
    <col min="10242" max="10242" width="12.88671875" style="266" customWidth="1"/>
    <col min="10243" max="10322" width="7.6640625" style="266" customWidth="1"/>
    <col min="10323" max="10496" width="9" style="266"/>
    <col min="10497" max="10497" width="38.44140625" style="266" customWidth="1"/>
    <col min="10498" max="10498" width="12.88671875" style="266" customWidth="1"/>
    <col min="10499" max="10578" width="7.6640625" style="266" customWidth="1"/>
    <col min="10579" max="10752" width="9" style="266"/>
    <col min="10753" max="10753" width="38.44140625" style="266" customWidth="1"/>
    <col min="10754" max="10754" width="12.88671875" style="266" customWidth="1"/>
    <col min="10755" max="10834" width="7.6640625" style="266" customWidth="1"/>
    <col min="10835" max="11008" width="9" style="266"/>
    <col min="11009" max="11009" width="38.44140625" style="266" customWidth="1"/>
    <col min="11010" max="11010" width="12.88671875" style="266" customWidth="1"/>
    <col min="11011" max="11090" width="7.6640625" style="266" customWidth="1"/>
    <col min="11091" max="11264" width="9" style="266"/>
    <col min="11265" max="11265" width="38.44140625" style="266" customWidth="1"/>
    <col min="11266" max="11266" width="12.88671875" style="266" customWidth="1"/>
    <col min="11267" max="11346" width="7.6640625" style="266" customWidth="1"/>
    <col min="11347" max="11520" width="9" style="266"/>
    <col min="11521" max="11521" width="38.44140625" style="266" customWidth="1"/>
    <col min="11522" max="11522" width="12.88671875" style="266" customWidth="1"/>
    <col min="11523" max="11602" width="7.6640625" style="266" customWidth="1"/>
    <col min="11603" max="11776" width="9" style="266"/>
    <col min="11777" max="11777" width="38.44140625" style="266" customWidth="1"/>
    <col min="11778" max="11778" width="12.88671875" style="266" customWidth="1"/>
    <col min="11779" max="11858" width="7.6640625" style="266" customWidth="1"/>
    <col min="11859" max="12032" width="9" style="266"/>
    <col min="12033" max="12033" width="38.44140625" style="266" customWidth="1"/>
    <col min="12034" max="12034" width="12.88671875" style="266" customWidth="1"/>
    <col min="12035" max="12114" width="7.6640625" style="266" customWidth="1"/>
    <col min="12115" max="12288" width="9" style="266"/>
    <col min="12289" max="12289" width="38.44140625" style="266" customWidth="1"/>
    <col min="12290" max="12290" width="12.88671875" style="266" customWidth="1"/>
    <col min="12291" max="12370" width="7.6640625" style="266" customWidth="1"/>
    <col min="12371" max="12544" width="9" style="266"/>
    <col min="12545" max="12545" width="38.44140625" style="266" customWidth="1"/>
    <col min="12546" max="12546" width="12.88671875" style="266" customWidth="1"/>
    <col min="12547" max="12626" width="7.6640625" style="266" customWidth="1"/>
    <col min="12627" max="12800" width="9" style="266"/>
    <col min="12801" max="12801" width="38.44140625" style="266" customWidth="1"/>
    <col min="12802" max="12802" width="12.88671875" style="266" customWidth="1"/>
    <col min="12803" max="12882" width="7.6640625" style="266" customWidth="1"/>
    <col min="12883" max="13056" width="9" style="266"/>
    <col min="13057" max="13057" width="38.44140625" style="266" customWidth="1"/>
    <col min="13058" max="13058" width="12.88671875" style="266" customWidth="1"/>
    <col min="13059" max="13138" width="7.6640625" style="266" customWidth="1"/>
    <col min="13139" max="13312" width="9" style="266"/>
    <col min="13313" max="13313" width="38.44140625" style="266" customWidth="1"/>
    <col min="13314" max="13314" width="12.88671875" style="266" customWidth="1"/>
    <col min="13315" max="13394" width="7.6640625" style="266" customWidth="1"/>
    <col min="13395" max="13568" width="9" style="266"/>
    <col min="13569" max="13569" width="38.44140625" style="266" customWidth="1"/>
    <col min="13570" max="13570" width="12.88671875" style="266" customWidth="1"/>
    <col min="13571" max="13650" width="7.6640625" style="266" customWidth="1"/>
    <col min="13651" max="13824" width="9" style="266"/>
    <col min="13825" max="13825" width="38.44140625" style="266" customWidth="1"/>
    <col min="13826" max="13826" width="12.88671875" style="266" customWidth="1"/>
    <col min="13827" max="13906" width="7.6640625" style="266" customWidth="1"/>
    <col min="13907" max="14080" width="9" style="266"/>
    <col min="14081" max="14081" width="38.44140625" style="266" customWidth="1"/>
    <col min="14082" max="14082" width="12.88671875" style="266" customWidth="1"/>
    <col min="14083" max="14162" width="7.6640625" style="266" customWidth="1"/>
    <col min="14163" max="14336" width="9" style="266"/>
    <col min="14337" max="14337" width="38.44140625" style="266" customWidth="1"/>
    <col min="14338" max="14338" width="12.88671875" style="266" customWidth="1"/>
    <col min="14339" max="14418" width="7.6640625" style="266" customWidth="1"/>
    <col min="14419" max="14592" width="9" style="266"/>
    <col min="14593" max="14593" width="38.44140625" style="266" customWidth="1"/>
    <col min="14594" max="14594" width="12.88671875" style="266" customWidth="1"/>
    <col min="14595" max="14674" width="7.6640625" style="266" customWidth="1"/>
    <col min="14675" max="14848" width="9" style="266"/>
    <col min="14849" max="14849" width="38.44140625" style="266" customWidth="1"/>
    <col min="14850" max="14850" width="12.88671875" style="266" customWidth="1"/>
    <col min="14851" max="14930" width="7.6640625" style="266" customWidth="1"/>
    <col min="14931" max="15104" width="9" style="266"/>
    <col min="15105" max="15105" width="38.44140625" style="266" customWidth="1"/>
    <col min="15106" max="15106" width="12.88671875" style="266" customWidth="1"/>
    <col min="15107" max="15186" width="7.6640625" style="266" customWidth="1"/>
    <col min="15187" max="15360" width="9" style="266"/>
    <col min="15361" max="15361" width="38.44140625" style="266" customWidth="1"/>
    <col min="15362" max="15362" width="12.88671875" style="266" customWidth="1"/>
    <col min="15363" max="15442" width="7.6640625" style="266" customWidth="1"/>
    <col min="15443" max="15616" width="9" style="266"/>
    <col min="15617" max="15617" width="38.44140625" style="266" customWidth="1"/>
    <col min="15618" max="15618" width="12.88671875" style="266" customWidth="1"/>
    <col min="15619" max="15698" width="7.6640625" style="266" customWidth="1"/>
    <col min="15699" max="15872" width="9" style="266"/>
    <col min="15873" max="15873" width="38.44140625" style="266" customWidth="1"/>
    <col min="15874" max="15874" width="12.88671875" style="266" customWidth="1"/>
    <col min="15875" max="15954" width="7.6640625" style="266" customWidth="1"/>
    <col min="15955" max="16128" width="9" style="266"/>
    <col min="16129" max="16129" width="38.44140625" style="266" customWidth="1"/>
    <col min="16130" max="16130" width="12.88671875" style="266" customWidth="1"/>
    <col min="16131" max="16210" width="7.6640625" style="266" customWidth="1"/>
    <col min="16211" max="16384" width="9" style="266"/>
  </cols>
  <sheetData>
    <row r="1" spans="1:87" ht="17.399999999999999">
      <c r="A1" s="264" t="s">
        <v>121</v>
      </c>
      <c r="B1" s="265"/>
    </row>
    <row r="2" spans="1:87" ht="15.6">
      <c r="A2" s="267" t="s">
        <v>237</v>
      </c>
      <c r="B2" s="268"/>
    </row>
    <row r="3" spans="1:87" ht="14.4" thickBot="1">
      <c r="A3" s="269" t="s">
        <v>123</v>
      </c>
      <c r="B3" s="270"/>
    </row>
    <row r="6" spans="1:87">
      <c r="BQ6" s="266" t="s">
        <v>253</v>
      </c>
      <c r="BR6" s="266" t="s">
        <v>220</v>
      </c>
      <c r="BS6" s="266" t="s">
        <v>254</v>
      </c>
      <c r="BT6" s="266" t="s">
        <v>252</v>
      </c>
      <c r="BU6" s="266" t="s">
        <v>243</v>
      </c>
      <c r="BV6" s="266" t="s">
        <v>244</v>
      </c>
      <c r="BW6" s="266" t="s">
        <v>245</v>
      </c>
      <c r="BX6" s="266" t="s">
        <v>246</v>
      </c>
      <c r="BY6" s="266" t="s">
        <v>247</v>
      </c>
      <c r="BZ6" s="266" t="s">
        <v>248</v>
      </c>
      <c r="CA6" s="266" t="s">
        <v>249</v>
      </c>
      <c r="CB6" s="266" t="s">
        <v>250</v>
      </c>
    </row>
    <row r="7" spans="1:87" s="271" customFormat="1">
      <c r="B7" s="271" t="s">
        <v>128</v>
      </c>
      <c r="C7" s="272" t="s">
        <v>129</v>
      </c>
      <c r="D7" s="272" t="s">
        <v>130</v>
      </c>
      <c r="E7" s="272" t="s">
        <v>131</v>
      </c>
      <c r="F7" s="272" t="s">
        <v>132</v>
      </c>
      <c r="G7" s="272" t="s">
        <v>133</v>
      </c>
      <c r="H7" s="272" t="s">
        <v>134</v>
      </c>
      <c r="I7" s="272" t="s">
        <v>135</v>
      </c>
      <c r="J7" s="272" t="s">
        <v>136</v>
      </c>
      <c r="K7" s="272" t="s">
        <v>137</v>
      </c>
      <c r="L7" s="272" t="s">
        <v>138</v>
      </c>
      <c r="M7" s="272" t="s">
        <v>139</v>
      </c>
      <c r="N7" s="272" t="s">
        <v>140</v>
      </c>
      <c r="O7" s="272" t="s">
        <v>141</v>
      </c>
      <c r="P7" s="272" t="s">
        <v>142</v>
      </c>
      <c r="Q7" s="272" t="s">
        <v>143</v>
      </c>
      <c r="R7" s="272" t="s">
        <v>144</v>
      </c>
      <c r="S7" s="272" t="s">
        <v>145</v>
      </c>
      <c r="T7" s="272" t="s">
        <v>146</v>
      </c>
      <c r="U7" s="272" t="s">
        <v>147</v>
      </c>
      <c r="V7" s="272" t="s">
        <v>148</v>
      </c>
      <c r="W7" s="272" t="s">
        <v>149</v>
      </c>
      <c r="X7" s="272" t="s">
        <v>150</v>
      </c>
      <c r="Y7" s="272" t="s">
        <v>151</v>
      </c>
      <c r="Z7" s="272" t="s">
        <v>152</v>
      </c>
      <c r="AA7" s="272" t="s">
        <v>153</v>
      </c>
      <c r="AB7" s="272" t="s">
        <v>154</v>
      </c>
      <c r="AC7" s="272" t="s">
        <v>155</v>
      </c>
      <c r="AD7" s="272" t="s">
        <v>156</v>
      </c>
      <c r="AE7" s="272" t="s">
        <v>157</v>
      </c>
      <c r="AF7" s="272" t="s">
        <v>158</v>
      </c>
      <c r="AG7" s="272" t="s">
        <v>159</v>
      </c>
      <c r="AH7" s="272" t="s">
        <v>160</v>
      </c>
      <c r="AI7" s="272" t="s">
        <v>161</v>
      </c>
      <c r="AJ7" s="272" t="s">
        <v>162</v>
      </c>
      <c r="AK7" s="272" t="s">
        <v>163</v>
      </c>
      <c r="AL7" s="272" t="s">
        <v>164</v>
      </c>
      <c r="AM7" s="272" t="s">
        <v>165</v>
      </c>
      <c r="AN7" s="272" t="s">
        <v>166</v>
      </c>
      <c r="AO7" s="272" t="s">
        <v>167</v>
      </c>
      <c r="AP7" s="272" t="s">
        <v>168</v>
      </c>
      <c r="AQ7" s="272" t="s">
        <v>169</v>
      </c>
      <c r="AR7" s="272" t="s">
        <v>170</v>
      </c>
      <c r="AS7" s="272" t="s">
        <v>171</v>
      </c>
      <c r="AT7" s="272" t="s">
        <v>172</v>
      </c>
      <c r="AU7" s="271" t="s">
        <v>173</v>
      </c>
      <c r="AV7" s="271" t="s">
        <v>174</v>
      </c>
      <c r="AW7" s="271" t="s">
        <v>175</v>
      </c>
      <c r="AX7" s="271" t="s">
        <v>176</v>
      </c>
      <c r="AY7" s="271" t="s">
        <v>177</v>
      </c>
      <c r="AZ7" s="271" t="s">
        <v>178</v>
      </c>
      <c r="BA7" s="271" t="s">
        <v>179</v>
      </c>
      <c r="BB7" s="271" t="s">
        <v>180</v>
      </c>
      <c r="BC7" s="271" t="s">
        <v>181</v>
      </c>
      <c r="BD7" s="271" t="s">
        <v>182</v>
      </c>
      <c r="BE7" s="271" t="s">
        <v>183</v>
      </c>
      <c r="BF7" s="271" t="s">
        <v>184</v>
      </c>
      <c r="BG7" s="271" t="s">
        <v>185</v>
      </c>
      <c r="BH7" s="271" t="s">
        <v>186</v>
      </c>
      <c r="BI7" s="271" t="s">
        <v>187</v>
      </c>
      <c r="BJ7" s="271" t="s">
        <v>188</v>
      </c>
      <c r="BK7" s="271" t="s">
        <v>189</v>
      </c>
      <c r="BL7" s="271" t="s">
        <v>190</v>
      </c>
      <c r="BM7" s="271" t="s">
        <v>191</v>
      </c>
      <c r="BN7" s="271" t="s">
        <v>192</v>
      </c>
      <c r="BO7" s="271" t="s">
        <v>193</v>
      </c>
      <c r="BP7" s="271" t="s">
        <v>194</v>
      </c>
      <c r="BQ7" s="271" t="s">
        <v>195</v>
      </c>
      <c r="BR7" s="271" t="s">
        <v>196</v>
      </c>
      <c r="BS7" s="271" t="s">
        <v>197</v>
      </c>
      <c r="BT7" s="271" t="s">
        <v>198</v>
      </c>
      <c r="BU7" s="271" t="s">
        <v>199</v>
      </c>
      <c r="BV7" s="271" t="s">
        <v>200</v>
      </c>
      <c r="BW7" s="271" t="s">
        <v>201</v>
      </c>
      <c r="BX7" s="271" t="s">
        <v>202</v>
      </c>
      <c r="BY7" s="271" t="s">
        <v>203</v>
      </c>
      <c r="BZ7" s="271" t="s">
        <v>204</v>
      </c>
      <c r="CA7" s="271" t="s">
        <v>205</v>
      </c>
      <c r="CB7" s="271" t="s">
        <v>206</v>
      </c>
      <c r="CC7" s="271" t="s">
        <v>207</v>
      </c>
      <c r="CD7" s="271" t="s">
        <v>208</v>
      </c>
      <c r="CE7" s="271" t="s">
        <v>238</v>
      </c>
      <c r="CF7" s="271" t="s">
        <v>239</v>
      </c>
      <c r="CG7" s="271" t="s">
        <v>240</v>
      </c>
      <c r="CH7" s="271" t="s">
        <v>241</v>
      </c>
      <c r="CI7" s="271" t="s">
        <v>209</v>
      </c>
    </row>
    <row r="8" spans="1:87">
      <c r="A8" s="271" t="s">
        <v>210</v>
      </c>
      <c r="B8" s="271" t="s">
        <v>211</v>
      </c>
      <c r="C8" s="273">
        <v>2.0350000000000001</v>
      </c>
      <c r="D8" s="273">
        <v>2.06</v>
      </c>
      <c r="E8" s="273">
        <v>2.0649999999999999</v>
      </c>
      <c r="F8" s="273">
        <v>2.0870000000000002</v>
      </c>
      <c r="G8" s="273">
        <v>2.1040000000000001</v>
      </c>
      <c r="H8" s="273">
        <v>2.1150000000000002</v>
      </c>
      <c r="I8" s="273">
        <v>2.1509999999999998</v>
      </c>
      <c r="J8" s="273">
        <v>2.17</v>
      </c>
      <c r="K8" s="273">
        <v>2.1869999999999998</v>
      </c>
      <c r="L8" s="273">
        <v>2.2130000000000001</v>
      </c>
      <c r="M8" s="273">
        <v>2.2349999999999999</v>
      </c>
      <c r="N8" s="273">
        <v>2.2200000000000002</v>
      </c>
      <c r="O8" s="273">
        <v>2.2320000000000002</v>
      </c>
      <c r="P8" s="273">
        <v>2.258</v>
      </c>
      <c r="Q8" s="273">
        <v>2.2759999999999998</v>
      </c>
      <c r="R8" s="273">
        <v>2.302</v>
      </c>
      <c r="S8" s="273">
        <v>2.319</v>
      </c>
      <c r="T8" s="273">
        <v>2.363</v>
      </c>
      <c r="U8" s="273">
        <v>2.4039999999999999</v>
      </c>
      <c r="V8" s="273">
        <v>2.351</v>
      </c>
      <c r="W8" s="273">
        <v>2.34</v>
      </c>
      <c r="X8" s="273">
        <v>2.3460000000000001</v>
      </c>
      <c r="Y8" s="273">
        <v>2.3660000000000001</v>
      </c>
      <c r="Z8" s="273">
        <v>2.3809999999999998</v>
      </c>
      <c r="AA8" s="273">
        <v>2.379</v>
      </c>
      <c r="AB8" s="273">
        <v>2.383</v>
      </c>
      <c r="AC8" s="273">
        <v>2.3980000000000001</v>
      </c>
      <c r="AD8" s="273">
        <v>2.4220000000000002</v>
      </c>
      <c r="AE8" s="273">
        <v>2.4319999999999999</v>
      </c>
      <c r="AF8" s="273">
        <v>2.4769999999999999</v>
      </c>
      <c r="AG8" s="273">
        <v>2.4889999999999999</v>
      </c>
      <c r="AH8" s="273">
        <v>2.4969999999999999</v>
      </c>
      <c r="AI8" s="273">
        <v>2.5129999999999999</v>
      </c>
      <c r="AJ8" s="273">
        <v>2.5190000000000001</v>
      </c>
      <c r="AK8" s="273">
        <v>2.5299999999999998</v>
      </c>
      <c r="AL8" s="273">
        <v>2.5499999999999998</v>
      </c>
      <c r="AM8" s="273">
        <v>2.5569999999999999</v>
      </c>
      <c r="AN8" s="273">
        <v>2.5550000000000002</v>
      </c>
      <c r="AO8" s="273">
        <v>2.5739999999999998</v>
      </c>
      <c r="AP8" s="273">
        <v>2.5880000000000001</v>
      </c>
      <c r="AQ8" s="273">
        <v>2.597</v>
      </c>
      <c r="AR8" s="273">
        <v>2.6080000000000001</v>
      </c>
      <c r="AS8" s="273">
        <v>2.6139999999999999</v>
      </c>
      <c r="AT8" s="273">
        <v>2.617</v>
      </c>
      <c r="AU8" s="266">
        <v>2.6120000000000001</v>
      </c>
      <c r="AV8" s="266">
        <v>2.6230000000000002</v>
      </c>
      <c r="AW8" s="266">
        <v>2.6190000000000002</v>
      </c>
      <c r="AX8" s="266">
        <v>2.6259999999999999</v>
      </c>
      <c r="AY8" s="266">
        <v>2.6190000000000002</v>
      </c>
      <c r="AZ8" s="266">
        <v>2.6419999999999999</v>
      </c>
      <c r="BA8" s="266">
        <v>2.6619999999999999</v>
      </c>
      <c r="BB8" s="266">
        <v>2.677</v>
      </c>
      <c r="BC8" s="266">
        <v>2.6909999999999998</v>
      </c>
      <c r="BD8" s="266">
        <v>2.6949999999999998</v>
      </c>
      <c r="BE8" s="266">
        <v>2.7069999999999999</v>
      </c>
      <c r="BF8" s="266">
        <v>2.7210000000000001</v>
      </c>
      <c r="BG8" s="266">
        <v>2.7570000000000001</v>
      </c>
      <c r="BH8" s="266">
        <v>2.77</v>
      </c>
      <c r="BI8" s="266">
        <v>2.7759999999999998</v>
      </c>
      <c r="BJ8" s="266">
        <v>2.7890000000000001</v>
      </c>
      <c r="BK8" s="266">
        <v>2.802</v>
      </c>
      <c r="BL8" s="266">
        <v>2.8149999999999999</v>
      </c>
      <c r="BM8" s="266">
        <v>2.8279999999999998</v>
      </c>
      <c r="BN8" s="266">
        <v>2.8439999999999999</v>
      </c>
      <c r="BO8" s="266">
        <v>2.8610000000000002</v>
      </c>
      <c r="BP8" s="266">
        <v>2.8660000000000001</v>
      </c>
      <c r="BQ8" s="266">
        <v>2.9039999999999999</v>
      </c>
      <c r="BR8" s="266">
        <v>2.92</v>
      </c>
      <c r="BS8" s="266">
        <v>2.944</v>
      </c>
      <c r="BT8" s="266">
        <v>2.964</v>
      </c>
      <c r="BU8" s="266">
        <v>2.9849999999999999</v>
      </c>
      <c r="BV8" s="266">
        <v>3.0049999999999999</v>
      </c>
      <c r="BW8" s="266">
        <v>3.0219999999999998</v>
      </c>
      <c r="BX8" s="266">
        <v>3.0379999999999998</v>
      </c>
      <c r="BY8" s="266">
        <v>3.052</v>
      </c>
      <c r="BZ8" s="266">
        <v>3.069</v>
      </c>
      <c r="CA8" s="266">
        <v>3.081</v>
      </c>
      <c r="CB8" s="266">
        <v>3.0939999999999999</v>
      </c>
      <c r="CC8" s="266">
        <v>3.1080000000000001</v>
      </c>
      <c r="CD8" s="266">
        <v>3.1230000000000002</v>
      </c>
      <c r="CE8" s="266">
        <v>3.1379999999999999</v>
      </c>
      <c r="CF8" s="266">
        <v>3.1539999999999999</v>
      </c>
      <c r="CG8" s="266">
        <v>3.1709999999999998</v>
      </c>
      <c r="CH8" s="266">
        <v>3.1880000000000002</v>
      </c>
    </row>
    <row r="9" spans="1:87">
      <c r="A9" s="271" t="s">
        <v>212</v>
      </c>
      <c r="B9" s="271" t="s">
        <v>213</v>
      </c>
      <c r="C9" s="273">
        <v>2.0350000000000001</v>
      </c>
      <c r="D9" s="273">
        <v>2.06</v>
      </c>
      <c r="E9" s="273">
        <v>2.0649999999999999</v>
      </c>
      <c r="F9" s="273">
        <v>2.0870000000000002</v>
      </c>
      <c r="G9" s="273">
        <v>2.1040000000000001</v>
      </c>
      <c r="H9" s="273">
        <v>2.1150000000000002</v>
      </c>
      <c r="I9" s="273">
        <v>2.1509999999999998</v>
      </c>
      <c r="J9" s="273">
        <v>2.17</v>
      </c>
      <c r="K9" s="273">
        <v>2.1869999999999998</v>
      </c>
      <c r="L9" s="273">
        <v>2.2130000000000001</v>
      </c>
      <c r="M9" s="273">
        <v>2.2349999999999999</v>
      </c>
      <c r="N9" s="273">
        <v>2.2200000000000002</v>
      </c>
      <c r="O9" s="273">
        <v>2.2320000000000002</v>
      </c>
      <c r="P9" s="273">
        <v>2.258</v>
      </c>
      <c r="Q9" s="273">
        <v>2.2759999999999998</v>
      </c>
      <c r="R9" s="273">
        <v>2.302</v>
      </c>
      <c r="S9" s="273">
        <v>2.319</v>
      </c>
      <c r="T9" s="273">
        <v>2.363</v>
      </c>
      <c r="U9" s="273">
        <v>2.4039999999999999</v>
      </c>
      <c r="V9" s="273">
        <v>2.351</v>
      </c>
      <c r="W9" s="273">
        <v>2.34</v>
      </c>
      <c r="X9" s="273">
        <v>2.3460000000000001</v>
      </c>
      <c r="Y9" s="273">
        <v>2.3660000000000001</v>
      </c>
      <c r="Z9" s="273">
        <v>2.3809999999999998</v>
      </c>
      <c r="AA9" s="273">
        <v>2.379</v>
      </c>
      <c r="AB9" s="273">
        <v>2.383</v>
      </c>
      <c r="AC9" s="273">
        <v>2.3980000000000001</v>
      </c>
      <c r="AD9" s="273">
        <v>2.4220000000000002</v>
      </c>
      <c r="AE9" s="273">
        <v>2.4319999999999999</v>
      </c>
      <c r="AF9" s="273">
        <v>2.4769999999999999</v>
      </c>
      <c r="AG9" s="273">
        <v>2.4889999999999999</v>
      </c>
      <c r="AH9" s="273">
        <v>2.4969999999999999</v>
      </c>
      <c r="AI9" s="273">
        <v>2.5129999999999999</v>
      </c>
      <c r="AJ9" s="273">
        <v>2.5190000000000001</v>
      </c>
      <c r="AK9" s="273">
        <v>2.5299999999999998</v>
      </c>
      <c r="AL9" s="273">
        <v>2.5499999999999998</v>
      </c>
      <c r="AM9" s="273">
        <v>2.5569999999999999</v>
      </c>
      <c r="AN9" s="273">
        <v>2.5550000000000002</v>
      </c>
      <c r="AO9" s="273">
        <v>2.5739999999999998</v>
      </c>
      <c r="AP9" s="273">
        <v>2.5880000000000001</v>
      </c>
      <c r="AQ9" s="273">
        <v>2.597</v>
      </c>
      <c r="AR9" s="273">
        <v>2.6080000000000001</v>
      </c>
      <c r="AS9" s="273">
        <v>2.6139999999999999</v>
      </c>
      <c r="AT9" s="273">
        <v>2.617</v>
      </c>
      <c r="AU9" s="266">
        <v>2.6120000000000001</v>
      </c>
      <c r="AV9" s="266">
        <v>2.6230000000000002</v>
      </c>
      <c r="AW9" s="266">
        <v>2.6190000000000002</v>
      </c>
      <c r="AX9" s="266">
        <v>2.6259999999999999</v>
      </c>
      <c r="AY9" s="266">
        <v>2.6190000000000002</v>
      </c>
      <c r="AZ9" s="266">
        <v>2.6419999999999999</v>
      </c>
      <c r="BA9" s="266">
        <v>2.6619999999999999</v>
      </c>
      <c r="BB9" s="266">
        <v>2.677</v>
      </c>
      <c r="BC9" s="266">
        <v>2.6909999999999998</v>
      </c>
      <c r="BD9" s="266">
        <v>2.6949999999999998</v>
      </c>
      <c r="BE9" s="266">
        <v>2.7069999999999999</v>
      </c>
      <c r="BF9" s="266">
        <v>2.7210000000000001</v>
      </c>
      <c r="BG9" s="266">
        <v>2.7570000000000001</v>
      </c>
      <c r="BH9" s="266">
        <v>2.77</v>
      </c>
      <c r="BI9" s="266">
        <v>2.7759999999999998</v>
      </c>
      <c r="BJ9" s="266">
        <v>2.7890000000000001</v>
      </c>
      <c r="BK9" s="266">
        <v>2.802</v>
      </c>
      <c r="BL9" s="266">
        <v>2.8149999999999999</v>
      </c>
      <c r="BM9" s="266">
        <v>2.8279999999999998</v>
      </c>
      <c r="BN9" s="266">
        <v>2.8439999999999999</v>
      </c>
      <c r="BO9" s="266">
        <v>2.8610000000000002</v>
      </c>
      <c r="BP9" s="266">
        <v>2.8660000000000001</v>
      </c>
      <c r="BQ9" s="266">
        <v>2.9039999999999999</v>
      </c>
      <c r="BR9" s="266">
        <v>2.9180000000000001</v>
      </c>
      <c r="BS9" s="266">
        <v>2.94</v>
      </c>
      <c r="BT9" s="266">
        <v>2.956</v>
      </c>
      <c r="BU9" s="266">
        <v>2.9729999999999999</v>
      </c>
      <c r="BV9" s="266">
        <v>2.9889999999999999</v>
      </c>
      <c r="BW9" s="266">
        <v>3.0009999999999999</v>
      </c>
      <c r="BX9" s="266">
        <v>3.0129999999999999</v>
      </c>
      <c r="BY9" s="266">
        <v>3.0219999999999998</v>
      </c>
      <c r="BZ9" s="266">
        <v>3.0329999999999999</v>
      </c>
      <c r="CA9" s="266">
        <v>3.04</v>
      </c>
      <c r="CB9" s="266">
        <v>3.0489999999999999</v>
      </c>
      <c r="CC9" s="266">
        <v>3.0590000000000002</v>
      </c>
      <c r="CD9" s="266">
        <v>3.0710000000000002</v>
      </c>
      <c r="CE9" s="266">
        <v>3.0819999999999999</v>
      </c>
      <c r="CF9" s="266">
        <v>3.0950000000000002</v>
      </c>
      <c r="CG9" s="266">
        <v>3.1080000000000001</v>
      </c>
      <c r="CH9" s="266">
        <v>3.121</v>
      </c>
    </row>
    <row r="10" spans="1:87">
      <c r="A10" s="271" t="s">
        <v>214</v>
      </c>
      <c r="B10" s="271" t="s">
        <v>215</v>
      </c>
      <c r="C10" s="273">
        <v>2.0350000000000001</v>
      </c>
      <c r="D10" s="273">
        <v>2.06</v>
      </c>
      <c r="E10" s="273">
        <v>2.0649999999999999</v>
      </c>
      <c r="F10" s="273">
        <v>2.0870000000000002</v>
      </c>
      <c r="G10" s="273">
        <v>2.1040000000000001</v>
      </c>
      <c r="H10" s="273">
        <v>2.1150000000000002</v>
      </c>
      <c r="I10" s="273">
        <v>2.1509999999999998</v>
      </c>
      <c r="J10" s="273">
        <v>2.17</v>
      </c>
      <c r="K10" s="273">
        <v>2.1869999999999998</v>
      </c>
      <c r="L10" s="273">
        <v>2.2130000000000001</v>
      </c>
      <c r="M10" s="273">
        <v>2.2349999999999999</v>
      </c>
      <c r="N10" s="273">
        <v>2.2200000000000002</v>
      </c>
      <c r="O10" s="273">
        <v>2.2320000000000002</v>
      </c>
      <c r="P10" s="273">
        <v>2.258</v>
      </c>
      <c r="Q10" s="273">
        <v>2.2759999999999998</v>
      </c>
      <c r="R10" s="273">
        <v>2.302</v>
      </c>
      <c r="S10" s="273">
        <v>2.319</v>
      </c>
      <c r="T10" s="273">
        <v>2.363</v>
      </c>
      <c r="U10" s="273">
        <v>2.4039999999999999</v>
      </c>
      <c r="V10" s="273">
        <v>2.351</v>
      </c>
      <c r="W10" s="273">
        <v>2.34</v>
      </c>
      <c r="X10" s="273">
        <v>2.3460000000000001</v>
      </c>
      <c r="Y10" s="273">
        <v>2.3660000000000001</v>
      </c>
      <c r="Z10" s="273">
        <v>2.3809999999999998</v>
      </c>
      <c r="AA10" s="273">
        <v>2.379</v>
      </c>
      <c r="AB10" s="273">
        <v>2.383</v>
      </c>
      <c r="AC10" s="273">
        <v>2.3980000000000001</v>
      </c>
      <c r="AD10" s="273">
        <v>2.4220000000000002</v>
      </c>
      <c r="AE10" s="273">
        <v>2.4319999999999999</v>
      </c>
      <c r="AF10" s="273">
        <v>2.4769999999999999</v>
      </c>
      <c r="AG10" s="273">
        <v>2.4889999999999999</v>
      </c>
      <c r="AH10" s="273">
        <v>2.4969999999999999</v>
      </c>
      <c r="AI10" s="273">
        <v>2.5129999999999999</v>
      </c>
      <c r="AJ10" s="273">
        <v>2.5190000000000001</v>
      </c>
      <c r="AK10" s="273">
        <v>2.5299999999999998</v>
      </c>
      <c r="AL10" s="273">
        <v>2.5499999999999998</v>
      </c>
      <c r="AM10" s="273">
        <v>2.5569999999999999</v>
      </c>
      <c r="AN10" s="273">
        <v>2.5550000000000002</v>
      </c>
      <c r="AO10" s="273">
        <v>2.5739999999999998</v>
      </c>
      <c r="AP10" s="273">
        <v>2.5880000000000001</v>
      </c>
      <c r="AQ10" s="273">
        <v>2.597</v>
      </c>
      <c r="AR10" s="273">
        <v>2.6080000000000001</v>
      </c>
      <c r="AS10" s="273">
        <v>2.6139999999999999</v>
      </c>
      <c r="AT10" s="273">
        <v>2.617</v>
      </c>
      <c r="AU10" s="266">
        <v>2.6120000000000001</v>
      </c>
      <c r="AV10" s="266">
        <v>2.6230000000000002</v>
      </c>
      <c r="AW10" s="266">
        <v>2.6190000000000002</v>
      </c>
      <c r="AX10" s="266">
        <v>2.6259999999999999</v>
      </c>
      <c r="AY10" s="266">
        <v>2.6190000000000002</v>
      </c>
      <c r="AZ10" s="266">
        <v>2.6419999999999999</v>
      </c>
      <c r="BA10" s="266">
        <v>2.6619999999999999</v>
      </c>
      <c r="BB10" s="266">
        <v>2.677</v>
      </c>
      <c r="BC10" s="266">
        <v>2.6909999999999998</v>
      </c>
      <c r="BD10" s="266">
        <v>2.6949999999999998</v>
      </c>
      <c r="BE10" s="266">
        <v>2.7069999999999999</v>
      </c>
      <c r="BF10" s="266">
        <v>2.7210000000000001</v>
      </c>
      <c r="BG10" s="266">
        <v>2.7570000000000001</v>
      </c>
      <c r="BH10" s="266">
        <v>2.77</v>
      </c>
      <c r="BI10" s="266">
        <v>2.7759999999999998</v>
      </c>
      <c r="BJ10" s="266">
        <v>2.7890000000000001</v>
      </c>
      <c r="BK10" s="266">
        <v>2.802</v>
      </c>
      <c r="BL10" s="266">
        <v>2.8149999999999999</v>
      </c>
      <c r="BM10" s="266">
        <v>2.8279999999999998</v>
      </c>
      <c r="BN10" s="266">
        <v>2.8439999999999999</v>
      </c>
      <c r="BO10" s="266">
        <v>2.8610000000000002</v>
      </c>
      <c r="BP10" s="266">
        <v>2.8660000000000001</v>
      </c>
      <c r="BQ10" s="266">
        <v>2.9039999999999999</v>
      </c>
      <c r="BR10" s="266">
        <v>2.923</v>
      </c>
      <c r="BS10" s="266">
        <v>2.95</v>
      </c>
      <c r="BT10" s="266">
        <v>2.9729999999999999</v>
      </c>
      <c r="BU10" s="266">
        <v>2.9990000000000001</v>
      </c>
      <c r="BV10" s="266">
        <v>3.0249999999999999</v>
      </c>
      <c r="BW10" s="266">
        <v>3.0470000000000002</v>
      </c>
      <c r="BX10" s="266">
        <v>3.069</v>
      </c>
      <c r="BY10" s="266">
        <v>3.09</v>
      </c>
      <c r="BZ10" s="266">
        <v>3.113</v>
      </c>
      <c r="CA10" s="266">
        <v>3.133</v>
      </c>
      <c r="CB10" s="266">
        <v>3.1539999999999999</v>
      </c>
      <c r="CC10" s="266">
        <v>3.1760000000000002</v>
      </c>
      <c r="CD10" s="266">
        <v>3.198</v>
      </c>
      <c r="CE10" s="266">
        <v>3.22</v>
      </c>
      <c r="CF10" s="266">
        <v>3.2440000000000002</v>
      </c>
      <c r="CG10" s="266">
        <v>3.2690000000000001</v>
      </c>
      <c r="CH10" s="266">
        <v>3.2949999999999999</v>
      </c>
    </row>
    <row r="12" spans="1:87"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  <c r="Y12" s="274"/>
      <c r="Z12" s="274"/>
      <c r="AA12" s="274"/>
      <c r="AB12" s="274"/>
      <c r="AC12" s="274"/>
      <c r="AD12" s="274"/>
      <c r="AE12" s="274"/>
      <c r="AF12" s="274"/>
      <c r="AG12" s="274"/>
      <c r="AH12" s="274"/>
      <c r="AI12" s="274"/>
      <c r="AJ12" s="274"/>
      <c r="AK12" s="274"/>
      <c r="AL12" s="274"/>
      <c r="AM12" s="274"/>
      <c r="AN12" s="274"/>
      <c r="AO12" s="274"/>
      <c r="AP12" s="274"/>
      <c r="AQ12" s="274"/>
      <c r="AR12" s="274"/>
      <c r="AS12" s="274"/>
      <c r="AT12" s="274"/>
    </row>
    <row r="13" spans="1:87"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4"/>
      <c r="V13" s="274"/>
      <c r="W13" s="274"/>
      <c r="X13" s="274"/>
      <c r="Y13" s="274"/>
      <c r="Z13" s="274"/>
      <c r="AA13" s="274"/>
      <c r="AB13" s="274"/>
      <c r="AC13" s="274"/>
      <c r="AD13" s="274"/>
      <c r="AE13" s="274"/>
      <c r="AF13" s="274"/>
      <c r="AG13" s="274"/>
      <c r="AH13" s="274"/>
      <c r="AI13" s="274"/>
      <c r="AJ13" s="274"/>
      <c r="AK13" s="274"/>
      <c r="AL13" s="274"/>
      <c r="AM13" s="274"/>
      <c r="AN13" s="274"/>
      <c r="AO13" s="274"/>
      <c r="AP13" s="274"/>
      <c r="AQ13" s="274"/>
      <c r="AR13" s="274"/>
      <c r="AS13" s="274"/>
      <c r="AT13" s="274"/>
    </row>
    <row r="14" spans="1:87"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  <c r="AL14" s="273"/>
      <c r="AM14" s="273"/>
      <c r="AN14" s="273"/>
      <c r="AO14" s="273"/>
      <c r="AP14" s="273"/>
      <c r="AQ14" s="273"/>
      <c r="AR14" s="273"/>
      <c r="AS14" s="273"/>
      <c r="AT14" s="273"/>
    </row>
    <row r="15" spans="1:87"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3"/>
      <c r="AQ15" s="273"/>
      <c r="AR15" s="273"/>
      <c r="AS15" s="273"/>
      <c r="AT15" s="273"/>
    </row>
    <row r="16" spans="1:87"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  <c r="AK16" s="273"/>
      <c r="AL16" s="273"/>
      <c r="AM16" s="273"/>
      <c r="AN16" s="273"/>
      <c r="AO16" s="273"/>
      <c r="AP16" s="273"/>
      <c r="AQ16" s="273"/>
      <c r="AR16" s="273"/>
      <c r="AS16" s="273"/>
      <c r="AT16" s="273"/>
      <c r="BM16" s="172" t="s">
        <v>216</v>
      </c>
      <c r="BN16" s="173"/>
      <c r="BO16" s="173"/>
      <c r="BP16" s="174" t="s">
        <v>251</v>
      </c>
      <c r="BQ16" s="175"/>
      <c r="BR16" s="175"/>
      <c r="BS16" s="175"/>
      <c r="BT16" s="175"/>
      <c r="BU16" s="175"/>
      <c r="BV16" s="173"/>
      <c r="BW16" s="173"/>
      <c r="BX16" s="173"/>
    </row>
    <row r="17" spans="3:76">
      <c r="C17" s="275"/>
      <c r="D17" s="275"/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  <c r="AC17" s="275"/>
      <c r="AD17" s="275"/>
      <c r="AE17" s="275"/>
      <c r="AF17" s="275"/>
      <c r="AG17" s="275"/>
      <c r="AH17" s="275"/>
      <c r="AI17" s="275"/>
      <c r="AJ17" s="275"/>
      <c r="AK17" s="275"/>
      <c r="AL17" s="275"/>
      <c r="AM17" s="275"/>
      <c r="AN17" s="275"/>
      <c r="AO17" s="275"/>
      <c r="AP17" s="275"/>
      <c r="BM17" s="176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8"/>
    </row>
    <row r="18" spans="3:76">
      <c r="BM18" s="179"/>
      <c r="BN18" s="180" t="s">
        <v>217</v>
      </c>
      <c r="BO18" s="181" t="s">
        <v>252</v>
      </c>
      <c r="BP18" s="181"/>
      <c r="BQ18" s="181"/>
      <c r="BR18" s="181"/>
      <c r="BS18" s="181"/>
      <c r="BT18" s="181"/>
      <c r="BU18" s="181"/>
      <c r="BV18" s="181"/>
      <c r="BW18" s="181"/>
      <c r="BX18" s="182"/>
    </row>
    <row r="19" spans="3:76">
      <c r="BM19" s="179"/>
      <c r="BN19" s="181"/>
      <c r="BO19" s="164" t="s">
        <v>198</v>
      </c>
      <c r="BP19" s="181"/>
      <c r="BQ19" s="181"/>
      <c r="BR19" s="181"/>
      <c r="BS19" s="181"/>
      <c r="BT19" s="181"/>
      <c r="BU19" s="181"/>
      <c r="BV19" s="181"/>
      <c r="BW19" s="181"/>
      <c r="BX19" s="183" t="s">
        <v>71</v>
      </c>
    </row>
    <row r="20" spans="3:76">
      <c r="BM20" s="179"/>
      <c r="BN20" s="181"/>
      <c r="BO20" s="184">
        <f>BT9</f>
        <v>2.956</v>
      </c>
      <c r="BP20" s="181"/>
      <c r="BQ20" s="181"/>
      <c r="BR20" s="181"/>
      <c r="BS20" s="181"/>
      <c r="BT20" s="181"/>
      <c r="BU20" s="181"/>
      <c r="BV20" s="181"/>
      <c r="BW20" s="181"/>
      <c r="BX20" s="185">
        <f>BO20</f>
        <v>2.956</v>
      </c>
    </row>
    <row r="21" spans="3:76">
      <c r="BM21" s="179"/>
      <c r="BN21" s="181"/>
      <c r="BO21" s="181"/>
      <c r="BP21" s="181"/>
      <c r="BQ21" s="181"/>
      <c r="BR21" s="181"/>
      <c r="BS21" s="181"/>
      <c r="BT21" s="181"/>
      <c r="BU21" s="181"/>
      <c r="BV21" s="181"/>
      <c r="BW21" s="181"/>
      <c r="BX21" s="186"/>
    </row>
    <row r="22" spans="3:76">
      <c r="BM22" s="179"/>
      <c r="BN22" s="180" t="s">
        <v>218</v>
      </c>
      <c r="BO22" s="181" t="s">
        <v>242</v>
      </c>
      <c r="BP22" s="181"/>
      <c r="BQ22" s="181"/>
      <c r="BR22" s="181"/>
      <c r="BS22" s="181"/>
      <c r="BT22" s="181"/>
      <c r="BU22" s="181"/>
      <c r="BV22" s="181"/>
      <c r="BW22" s="181"/>
      <c r="BX22" s="186"/>
    </row>
    <row r="23" spans="3:76">
      <c r="BM23" s="179"/>
      <c r="BN23" s="181"/>
      <c r="BO23" s="187" t="str">
        <f>BU7</f>
        <v>2021Q3</v>
      </c>
      <c r="BP23" s="187" t="str">
        <f t="shared" ref="BP23:BV23" si="0">BV7</f>
        <v>2021Q4</v>
      </c>
      <c r="BQ23" s="187" t="str">
        <f t="shared" si="0"/>
        <v>2022Q1</v>
      </c>
      <c r="BR23" s="187" t="str">
        <f t="shared" si="0"/>
        <v>2022Q2</v>
      </c>
      <c r="BS23" s="187" t="str">
        <f t="shared" si="0"/>
        <v>2022Q3</v>
      </c>
      <c r="BT23" s="187" t="str">
        <f t="shared" si="0"/>
        <v>2022Q4</v>
      </c>
      <c r="BU23" s="187" t="str">
        <f t="shared" si="0"/>
        <v>2023Q1</v>
      </c>
      <c r="BV23" s="187" t="str">
        <f t="shared" si="0"/>
        <v>2023Q2</v>
      </c>
      <c r="BW23" s="181"/>
      <c r="BX23" s="186"/>
    </row>
    <row r="24" spans="3:76">
      <c r="BM24" s="179"/>
      <c r="BN24" s="181"/>
      <c r="BO24" s="171">
        <f>BU9</f>
        <v>2.9729999999999999</v>
      </c>
      <c r="BP24" s="171">
        <f t="shared" ref="BP24:BV24" si="1">BV9</f>
        <v>2.9889999999999999</v>
      </c>
      <c r="BQ24" s="171">
        <f t="shared" si="1"/>
        <v>3.0009999999999999</v>
      </c>
      <c r="BR24" s="171">
        <f t="shared" si="1"/>
        <v>3.0129999999999999</v>
      </c>
      <c r="BS24" s="171">
        <f t="shared" si="1"/>
        <v>3.0219999999999998</v>
      </c>
      <c r="BT24" s="171">
        <f t="shared" si="1"/>
        <v>3.0329999999999999</v>
      </c>
      <c r="BU24" s="171">
        <f t="shared" si="1"/>
        <v>3.04</v>
      </c>
      <c r="BV24" s="171">
        <f t="shared" si="1"/>
        <v>3.0489999999999999</v>
      </c>
      <c r="BW24" s="181"/>
      <c r="BX24" s="185">
        <f>AVERAGE(BO24:BV24)</f>
        <v>3.0149999999999997</v>
      </c>
    </row>
    <row r="25" spans="3:76">
      <c r="BM25" s="179"/>
      <c r="BN25" s="181"/>
      <c r="BO25" s="181"/>
      <c r="BP25" s="181"/>
      <c r="BQ25" s="181"/>
      <c r="BR25" s="181"/>
      <c r="BS25" s="181"/>
      <c r="BT25" s="181"/>
      <c r="BU25" s="181"/>
      <c r="BV25" s="181"/>
      <c r="BW25" s="181"/>
      <c r="BX25" s="186"/>
    </row>
    <row r="26" spans="3:76">
      <c r="BM26" s="179"/>
      <c r="BN26" s="181"/>
      <c r="BO26" s="181"/>
      <c r="BP26" s="181"/>
      <c r="BQ26" s="181"/>
      <c r="BR26" s="181"/>
      <c r="BS26" s="181"/>
      <c r="BT26" s="181"/>
      <c r="BU26" s="181"/>
      <c r="BV26" s="181"/>
      <c r="BW26" s="188" t="s">
        <v>101</v>
      </c>
      <c r="BX26" s="189">
        <f>(BX24-BX20)/BX20</f>
        <v>1.9959404600811814E-2</v>
      </c>
    </row>
    <row r="27" spans="3:76">
      <c r="BM27" s="190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2"/>
    </row>
  </sheetData>
  <phoneticPr fontId="61" type="noConversion"/>
  <pageMargins left="0.25" right="0.2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4"/>
  <sheetViews>
    <sheetView topLeftCell="A3" zoomScale="80" zoomScaleNormal="80" workbookViewId="0">
      <selection activeCell="F10" sqref="F10"/>
    </sheetView>
  </sheetViews>
  <sheetFormatPr defaultColWidth="8.88671875" defaultRowHeight="14.4"/>
  <cols>
    <col min="1" max="1" width="5.5546875" style="261" customWidth="1"/>
    <col min="2" max="2" width="58" style="261" customWidth="1"/>
    <col min="3" max="3" width="16.109375" style="261" customWidth="1"/>
    <col min="4" max="4" width="10" style="261" hidden="1" customWidth="1"/>
    <col min="5" max="5" width="1.6640625" style="261" customWidth="1"/>
    <col min="6" max="6" width="57.109375" style="261" customWidth="1"/>
    <col min="7" max="7" width="62.109375" style="286" customWidth="1"/>
    <col min="8" max="8" width="14.77734375" style="261" hidden="1" customWidth="1"/>
    <col min="9" max="9" width="0" style="261" hidden="1" customWidth="1"/>
    <col min="10" max="10" width="11" style="261" hidden="1" customWidth="1"/>
    <col min="11" max="11" width="0" style="261" hidden="1" customWidth="1"/>
    <col min="12" max="16384" width="8.88671875" style="261"/>
  </cols>
  <sheetData>
    <row r="1" spans="2:10" hidden="1">
      <c r="C1" s="460" t="s">
        <v>304</v>
      </c>
    </row>
    <row r="2" spans="2:10" hidden="1">
      <c r="C2" s="287" t="s">
        <v>305</v>
      </c>
    </row>
    <row r="3" spans="2:10" ht="21">
      <c r="B3" s="461"/>
      <c r="C3" s="462" t="s">
        <v>306</v>
      </c>
      <c r="D3" s="462" t="s">
        <v>307</v>
      </c>
      <c r="E3" s="463"/>
      <c r="F3" s="463"/>
      <c r="G3" s="464"/>
    </row>
    <row r="4" spans="2:10" ht="42.6" thickBot="1">
      <c r="B4" s="465" t="s">
        <v>92</v>
      </c>
      <c r="C4" s="466" t="s">
        <v>260</v>
      </c>
      <c r="D4" s="462" t="s">
        <v>261</v>
      </c>
      <c r="E4" s="463"/>
      <c r="F4" s="465" t="s">
        <v>308</v>
      </c>
      <c r="G4" s="467" t="s">
        <v>309</v>
      </c>
      <c r="H4" s="287" t="s">
        <v>310</v>
      </c>
      <c r="J4" s="261" t="s">
        <v>311</v>
      </c>
    </row>
    <row r="5" spans="2:10" ht="31.2" customHeight="1">
      <c r="B5" s="468" t="s">
        <v>312</v>
      </c>
      <c r="C5" s="469">
        <v>15.48</v>
      </c>
      <c r="D5" s="469" t="e">
        <f>'[9]Direct Care'!#REF!</f>
        <v>#REF!</v>
      </c>
      <c r="E5" s="470"/>
      <c r="F5" s="594" t="s">
        <v>313</v>
      </c>
      <c r="G5" s="596" t="s">
        <v>262</v>
      </c>
      <c r="H5" s="471">
        <f>H6/2080</f>
        <v>15.480288461538462</v>
      </c>
      <c r="J5" s="472" t="e">
        <f>D5-H5</f>
        <v>#REF!</v>
      </c>
    </row>
    <row r="6" spans="2:10" ht="31.2" customHeight="1" thickBot="1">
      <c r="B6" s="473" t="s">
        <v>314</v>
      </c>
      <c r="C6" s="474">
        <f>C5*2080</f>
        <v>32198.400000000001</v>
      </c>
      <c r="D6" s="475" t="e">
        <f>D5*2080</f>
        <v>#REF!</v>
      </c>
      <c r="E6" s="476"/>
      <c r="F6" s="595"/>
      <c r="G6" s="597"/>
      <c r="H6" s="477">
        <v>32199</v>
      </c>
      <c r="J6" s="472"/>
    </row>
    <row r="7" spans="2:10" ht="21">
      <c r="B7" s="468" t="s">
        <v>263</v>
      </c>
      <c r="C7" s="469">
        <v>19.96</v>
      </c>
      <c r="D7" s="478" t="e">
        <f>'[9]Direct Care III '!#REF!</f>
        <v>#REF!</v>
      </c>
      <c r="E7" s="470"/>
      <c r="F7" s="470" t="s">
        <v>264</v>
      </c>
      <c r="G7" s="596" t="s">
        <v>265</v>
      </c>
      <c r="H7" s="471">
        <f>H8/2080</f>
        <v>18.400480769230768</v>
      </c>
      <c r="J7" s="472" t="e">
        <f>D7-H7</f>
        <v>#REF!</v>
      </c>
    </row>
    <row r="8" spans="2:10" ht="21.6" thickBot="1">
      <c r="B8" s="479" t="s">
        <v>266</v>
      </c>
      <c r="C8" s="480">
        <f>C7*2080</f>
        <v>41516.800000000003</v>
      </c>
      <c r="D8" s="481" t="e">
        <f>D7*2080</f>
        <v>#REF!</v>
      </c>
      <c r="E8" s="482"/>
      <c r="F8" s="482"/>
      <c r="G8" s="597"/>
      <c r="H8" s="477">
        <v>38273</v>
      </c>
      <c r="J8" s="472"/>
    </row>
    <row r="9" spans="2:10" ht="21">
      <c r="B9" s="468" t="s">
        <v>267</v>
      </c>
      <c r="C9" s="469">
        <v>15.53</v>
      </c>
      <c r="D9" s="478" t="e">
        <f>[9]CNA!#REF!</f>
        <v>#REF!</v>
      </c>
      <c r="E9" s="470"/>
      <c r="F9" s="483"/>
      <c r="G9" s="596" t="s">
        <v>268</v>
      </c>
      <c r="H9" s="471">
        <f>H10/2080</f>
        <v>20.43028846153846</v>
      </c>
      <c r="J9" s="484" t="e">
        <f>D9-H9</f>
        <v>#REF!</v>
      </c>
    </row>
    <row r="10" spans="2:10" ht="21.6" thickBot="1">
      <c r="B10" s="479" t="s">
        <v>269</v>
      </c>
      <c r="C10" s="480">
        <f>C9*2080</f>
        <v>32302.399999999998</v>
      </c>
      <c r="D10" s="481" t="e">
        <f>D9*2080</f>
        <v>#REF!</v>
      </c>
      <c r="E10" s="482"/>
      <c r="F10" s="482"/>
      <c r="G10" s="597"/>
      <c r="H10" s="477">
        <v>42495</v>
      </c>
      <c r="J10" s="472"/>
    </row>
    <row r="11" spans="2:10" ht="21">
      <c r="B11" s="468" t="s">
        <v>270</v>
      </c>
      <c r="C11" s="469">
        <v>21.14</v>
      </c>
      <c r="D11" s="478" t="e">
        <f>'[9]Caseworker BA'!#REF!</f>
        <v>#REF!</v>
      </c>
      <c r="E11" s="470"/>
      <c r="F11" s="470" t="s">
        <v>271</v>
      </c>
      <c r="G11" s="596" t="s">
        <v>272</v>
      </c>
      <c r="H11" s="592" t="s">
        <v>315</v>
      </c>
      <c r="J11" s="472"/>
    </row>
    <row r="12" spans="2:10" ht="21.6" thickBot="1">
      <c r="B12" s="479" t="s">
        <v>273</v>
      </c>
      <c r="C12" s="480">
        <f>C11*2080</f>
        <v>43971.200000000004</v>
      </c>
      <c r="D12" s="481" t="e">
        <f>D11*2080</f>
        <v>#REF!</v>
      </c>
      <c r="E12" s="482"/>
      <c r="F12" s="482" t="s">
        <v>316</v>
      </c>
      <c r="G12" s="597"/>
      <c r="H12" s="593"/>
      <c r="J12" s="472"/>
    </row>
    <row r="13" spans="2:10" ht="42">
      <c r="B13" s="485" t="s">
        <v>274</v>
      </c>
      <c r="C13" s="486">
        <v>25.32</v>
      </c>
      <c r="D13" s="487" t="e">
        <f>'[9]Casemanager MA '!#REF!</f>
        <v>#REF!</v>
      </c>
      <c r="E13" s="476"/>
      <c r="F13" s="476" t="s">
        <v>317</v>
      </c>
      <c r="G13" s="598" t="s">
        <v>275</v>
      </c>
      <c r="H13" s="471">
        <f>H14/2080</f>
        <v>19.703365384615385</v>
      </c>
      <c r="J13" s="472" t="e">
        <f>D13-H13</f>
        <v>#REF!</v>
      </c>
    </row>
    <row r="14" spans="2:10" ht="42.6" thickBot="1">
      <c r="B14" s="485" t="s">
        <v>276</v>
      </c>
      <c r="C14" s="480">
        <f>C13*2080</f>
        <v>52665.599999999999</v>
      </c>
      <c r="D14" s="481" t="e">
        <f>D13*2080</f>
        <v>#REF!</v>
      </c>
      <c r="E14" s="482"/>
      <c r="F14" s="482" t="s">
        <v>277</v>
      </c>
      <c r="G14" s="597"/>
      <c r="H14" s="477">
        <v>40983</v>
      </c>
      <c r="J14" s="472"/>
    </row>
    <row r="15" spans="2:10" ht="21">
      <c r="B15" s="468" t="s">
        <v>278</v>
      </c>
      <c r="C15" s="469">
        <v>29.29</v>
      </c>
      <c r="D15" s="478" t="e">
        <f>'[9]Clinician w indep Lic'!#REF!</f>
        <v>#REF!</v>
      </c>
      <c r="E15" s="470"/>
      <c r="F15" s="470" t="s">
        <v>279</v>
      </c>
      <c r="G15" s="596" t="s">
        <v>280</v>
      </c>
      <c r="H15" s="471">
        <f>H16/2080</f>
        <v>27.190865384615385</v>
      </c>
      <c r="J15" s="472" t="e">
        <f>D15-H15</f>
        <v>#REF!</v>
      </c>
    </row>
    <row r="16" spans="2:10" ht="21.6" thickBot="1">
      <c r="B16" s="479" t="s">
        <v>281</v>
      </c>
      <c r="C16" s="480">
        <f>C15*2080</f>
        <v>60923.199999999997</v>
      </c>
      <c r="D16" s="481" t="e">
        <f>D15*2080</f>
        <v>#REF!</v>
      </c>
      <c r="E16" s="482"/>
      <c r="F16" s="482"/>
      <c r="G16" s="597"/>
      <c r="H16" s="477">
        <v>56557</v>
      </c>
      <c r="J16" s="472"/>
    </row>
    <row r="17" spans="2:10" ht="21">
      <c r="B17" s="468" t="s">
        <v>282</v>
      </c>
      <c r="C17" s="469">
        <v>40.06</v>
      </c>
      <c r="D17" s="478" t="e">
        <f>'[9]Clinical Manager'!#REF!</f>
        <v>#REF!</v>
      </c>
      <c r="E17" s="470"/>
      <c r="F17" s="599" t="s">
        <v>318</v>
      </c>
      <c r="G17" s="596" t="s">
        <v>283</v>
      </c>
      <c r="H17" s="471">
        <f>H18/2080</f>
        <v>33.217788461538461</v>
      </c>
      <c r="J17" s="472" t="e">
        <f>D17-H17</f>
        <v>#REF!</v>
      </c>
    </row>
    <row r="18" spans="2:10" ht="21.6" thickBot="1">
      <c r="B18" s="479" t="s">
        <v>284</v>
      </c>
      <c r="C18" s="480">
        <f>C17*2080</f>
        <v>83324.800000000003</v>
      </c>
      <c r="D18" s="481" t="e">
        <f>D17*2080</f>
        <v>#REF!</v>
      </c>
      <c r="E18" s="482"/>
      <c r="F18" s="600"/>
      <c r="G18" s="597"/>
      <c r="H18" s="477">
        <v>69093</v>
      </c>
      <c r="J18" s="472"/>
    </row>
    <row r="19" spans="2:10" ht="21">
      <c r="B19" s="468" t="s">
        <v>285</v>
      </c>
      <c r="C19" s="469">
        <v>27.62</v>
      </c>
      <c r="D19" s="478" t="e">
        <f>[9]LPN!#REF!</f>
        <v>#REF!</v>
      </c>
      <c r="E19" s="470"/>
      <c r="F19" s="470"/>
      <c r="G19" s="596" t="s">
        <v>286</v>
      </c>
      <c r="H19" s="471">
        <f>H20/2080</f>
        <v>25.143750000000001</v>
      </c>
      <c r="J19" s="472" t="e">
        <f>D19-H19</f>
        <v>#REF!</v>
      </c>
    </row>
    <row r="20" spans="2:10" ht="21.6" thickBot="1">
      <c r="B20" s="479" t="s">
        <v>287</v>
      </c>
      <c r="C20" s="480">
        <f>C19*2080</f>
        <v>57449.599999999999</v>
      </c>
      <c r="D20" s="481" t="e">
        <f>D19*2080</f>
        <v>#REF!</v>
      </c>
      <c r="E20" s="482"/>
      <c r="F20" s="482"/>
      <c r="G20" s="597"/>
      <c r="H20" s="477">
        <v>52299</v>
      </c>
      <c r="J20" s="472"/>
    </row>
    <row r="21" spans="2:10" ht="21">
      <c r="B21" s="468" t="s">
        <v>288</v>
      </c>
      <c r="C21" s="469">
        <v>41.76</v>
      </c>
      <c r="D21" s="478" t="e">
        <f>'[9]BS RN'!#REF!</f>
        <v>#REF!</v>
      </c>
      <c r="E21" s="470"/>
      <c r="F21" s="470"/>
      <c r="G21" s="596" t="s">
        <v>289</v>
      </c>
      <c r="H21" s="488">
        <f>H22/2080</f>
        <v>33.460576923076921</v>
      </c>
      <c r="J21" s="472" t="e">
        <f>D21-H21</f>
        <v>#REF!</v>
      </c>
    </row>
    <row r="22" spans="2:10" ht="21.6" thickBot="1">
      <c r="B22" s="479" t="s">
        <v>290</v>
      </c>
      <c r="C22" s="480">
        <f>C21*2080</f>
        <v>86860.800000000003</v>
      </c>
      <c r="D22" s="481" t="e">
        <f>D21*2080</f>
        <v>#REF!</v>
      </c>
      <c r="E22" s="482"/>
      <c r="F22" s="482"/>
      <c r="G22" s="597"/>
      <c r="H22" s="477">
        <v>69598</v>
      </c>
      <c r="J22" s="472"/>
    </row>
    <row r="23" spans="2:10" ht="21">
      <c r="B23" s="468" t="s">
        <v>291</v>
      </c>
      <c r="C23" s="469">
        <v>57.41</v>
      </c>
      <c r="D23" s="478" t="e">
        <f>'[9]MA RN. APRN'!#REF!</f>
        <v>#REF!</v>
      </c>
      <c r="E23" s="470"/>
      <c r="F23" s="470"/>
      <c r="G23" s="596" t="s">
        <v>292</v>
      </c>
      <c r="H23" s="471">
        <f>H24/2080</f>
        <v>48.354326923076925</v>
      </c>
      <c r="J23" s="472" t="e">
        <f>D23-H23</f>
        <v>#REF!</v>
      </c>
    </row>
    <row r="24" spans="2:10" ht="21.6" thickBot="1">
      <c r="B24" s="479" t="s">
        <v>293</v>
      </c>
      <c r="C24" s="480">
        <f>C23*2080</f>
        <v>119412.79999999999</v>
      </c>
      <c r="D24" s="481" t="e">
        <f>D23*2080</f>
        <v>#REF!</v>
      </c>
      <c r="E24" s="482"/>
      <c r="F24" s="482"/>
      <c r="G24" s="597"/>
      <c r="H24" s="477">
        <v>100577</v>
      </c>
      <c r="J24" s="472"/>
    </row>
    <row r="25" spans="2:10" ht="21">
      <c r="B25" s="463"/>
      <c r="C25" s="463"/>
      <c r="D25" s="463"/>
      <c r="E25" s="463"/>
      <c r="F25" s="463"/>
      <c r="G25" s="464"/>
    </row>
    <row r="26" spans="2:10" ht="42">
      <c r="B26" s="489" t="s">
        <v>319</v>
      </c>
      <c r="C26" s="490">
        <v>32198</v>
      </c>
      <c r="D26" s="463"/>
      <c r="E26" s="463"/>
      <c r="F26" s="463"/>
      <c r="G26" s="464"/>
    </row>
    <row r="27" spans="2:10" ht="21">
      <c r="B27" s="463"/>
      <c r="C27" s="463"/>
      <c r="D27" s="463"/>
      <c r="E27" s="463"/>
      <c r="F27" s="463"/>
      <c r="G27" s="464"/>
    </row>
    <row r="28" spans="2:10" ht="42">
      <c r="B28" s="489" t="s">
        <v>320</v>
      </c>
      <c r="C28" s="490">
        <v>29640</v>
      </c>
      <c r="D28" s="463"/>
      <c r="E28" s="463"/>
      <c r="F28" s="463" t="s">
        <v>321</v>
      </c>
      <c r="G28" s="464"/>
    </row>
    <row r="29" spans="2:10" ht="21">
      <c r="B29" s="463"/>
      <c r="C29" s="463"/>
      <c r="D29" s="463"/>
      <c r="E29" s="463"/>
      <c r="F29" s="463"/>
      <c r="G29" s="464"/>
    </row>
    <row r="30" spans="2:10" ht="21">
      <c r="B30" s="491" t="s">
        <v>322</v>
      </c>
      <c r="C30" s="492">
        <v>0.224</v>
      </c>
      <c r="D30" s="463"/>
      <c r="E30" s="463"/>
      <c r="F30" s="463" t="s">
        <v>323</v>
      </c>
      <c r="G30" s="464"/>
    </row>
    <row r="31" spans="2:10" ht="21">
      <c r="B31" s="491"/>
      <c r="C31" s="492"/>
      <c r="D31" s="463"/>
      <c r="E31" s="463"/>
      <c r="F31" s="463" t="s">
        <v>324</v>
      </c>
      <c r="G31" s="464"/>
    </row>
    <row r="32" spans="2:10" ht="21">
      <c r="B32" s="491"/>
      <c r="C32" s="492">
        <v>0.224</v>
      </c>
      <c r="D32" s="463"/>
      <c r="E32" s="463"/>
      <c r="F32" s="463" t="s">
        <v>325</v>
      </c>
      <c r="G32" s="464"/>
    </row>
    <row r="33" spans="2:7" ht="21">
      <c r="B33" s="493"/>
      <c r="C33" s="492"/>
      <c r="D33" s="463"/>
      <c r="E33" s="463"/>
      <c r="F33" s="463" t="s">
        <v>324</v>
      </c>
      <c r="G33" s="464"/>
    </row>
    <row r="34" spans="2:7" ht="21">
      <c r="B34" s="493" t="s">
        <v>300</v>
      </c>
      <c r="C34" s="492">
        <v>3.7000000000000002E-3</v>
      </c>
      <c r="D34" s="463"/>
      <c r="E34" s="463"/>
      <c r="F34" s="463"/>
      <c r="G34" s="464"/>
    </row>
  </sheetData>
  <mergeCells count="13">
    <mergeCell ref="G23:G24"/>
    <mergeCell ref="G13:G14"/>
    <mergeCell ref="G15:G16"/>
    <mergeCell ref="F17:F18"/>
    <mergeCell ref="G17:G18"/>
    <mergeCell ref="G19:G20"/>
    <mergeCell ref="G21:G22"/>
    <mergeCell ref="H11:H12"/>
    <mergeCell ref="F5:F6"/>
    <mergeCell ref="G5:G6"/>
    <mergeCell ref="G7:G8"/>
    <mergeCell ref="G9:G10"/>
    <mergeCell ref="G11:G12"/>
  </mergeCells>
  <pageMargins left="0.25" right="0.25" top="0.25" bottom="0.25" header="0.05" footer="0.05"/>
  <pageSetup scale="66" fitToHeight="0" orientation="landscape" cellComments="asDisplayed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5"/>
  <sheetViews>
    <sheetView workbookViewId="0">
      <selection activeCell="F11" sqref="F11"/>
    </sheetView>
  </sheetViews>
  <sheetFormatPr defaultRowHeight="14.4"/>
  <cols>
    <col min="1" max="1" width="9.88671875" style="501" customWidth="1"/>
    <col min="2" max="2" width="18.6640625" style="501" customWidth="1"/>
    <col min="3" max="3" width="16" style="512" customWidth="1"/>
    <col min="4" max="4" width="15.5546875" style="518" bestFit="1" customWidth="1"/>
    <col min="5" max="7" width="12.109375" style="518" bestFit="1" customWidth="1"/>
    <col min="8" max="8" width="12.109375" style="522" bestFit="1" customWidth="1"/>
    <col min="9" max="9" width="12.109375" style="526" bestFit="1" customWidth="1"/>
    <col min="10" max="10" width="11.109375" style="518" bestFit="1" customWidth="1"/>
    <col min="11" max="11" width="13.6640625" style="518" bestFit="1" customWidth="1"/>
    <col min="12" max="12" width="12.109375" style="518" bestFit="1" customWidth="1"/>
    <col min="13" max="13" width="13.6640625" style="518" bestFit="1" customWidth="1"/>
    <col min="14" max="14" width="12.109375" style="518" bestFit="1" customWidth="1"/>
    <col min="15" max="15" width="14.6640625" style="501" bestFit="1" customWidth="1"/>
    <col min="16" max="16384" width="8.88671875" style="501"/>
  </cols>
  <sheetData>
    <row r="1" spans="1:15" s="502" customFormat="1" ht="72">
      <c r="A1" s="502" t="s">
        <v>330</v>
      </c>
      <c r="B1" s="502" t="s">
        <v>331</v>
      </c>
      <c r="C1" s="503" t="s">
        <v>332</v>
      </c>
      <c r="D1" s="516" t="s">
        <v>333</v>
      </c>
      <c r="E1" s="516" t="s">
        <v>334</v>
      </c>
      <c r="F1" s="516" t="s">
        <v>335</v>
      </c>
      <c r="G1" s="516" t="s">
        <v>336</v>
      </c>
      <c r="H1" s="519" t="s">
        <v>337</v>
      </c>
      <c r="I1" s="523" t="s">
        <v>338</v>
      </c>
      <c r="J1" s="516" t="s">
        <v>339</v>
      </c>
      <c r="K1" s="516" t="s">
        <v>340</v>
      </c>
      <c r="L1" s="516" t="s">
        <v>341</v>
      </c>
      <c r="M1" s="516" t="s">
        <v>342</v>
      </c>
      <c r="N1" s="516" t="s">
        <v>343</v>
      </c>
      <c r="O1" s="514" t="s">
        <v>344</v>
      </c>
    </row>
    <row r="2" spans="1:15">
      <c r="A2" s="504">
        <v>3163</v>
      </c>
      <c r="B2" s="505">
        <v>29987</v>
      </c>
      <c r="C2" s="513">
        <v>31811</v>
      </c>
      <c r="D2" s="511">
        <v>284</v>
      </c>
      <c r="E2" s="511"/>
      <c r="F2" s="511"/>
      <c r="G2" s="511"/>
      <c r="H2" s="520">
        <v>857</v>
      </c>
      <c r="I2" s="524">
        <v>7953</v>
      </c>
      <c r="J2" s="511">
        <v>450</v>
      </c>
      <c r="K2" s="511"/>
      <c r="L2" s="511"/>
      <c r="M2" s="511">
        <v>5665</v>
      </c>
      <c r="N2" s="511">
        <v>2194</v>
      </c>
      <c r="O2" s="82">
        <v>120338</v>
      </c>
    </row>
    <row r="3" spans="1:15">
      <c r="A3" s="504">
        <v>3163</v>
      </c>
      <c r="B3" s="505">
        <v>50018</v>
      </c>
      <c r="C3" s="513">
        <v>0</v>
      </c>
      <c r="D3" s="511">
        <v>1628</v>
      </c>
      <c r="E3" s="511">
        <v>32020</v>
      </c>
      <c r="F3" s="511"/>
      <c r="G3" s="511"/>
      <c r="H3" s="520">
        <v>78</v>
      </c>
      <c r="I3" s="524">
        <v>6417</v>
      </c>
      <c r="J3" s="511">
        <v>364</v>
      </c>
      <c r="K3" s="511"/>
      <c r="L3" s="511"/>
      <c r="M3" s="511">
        <v>3883</v>
      </c>
      <c r="N3" s="511">
        <v>5</v>
      </c>
      <c r="O3" s="82">
        <v>115275</v>
      </c>
    </row>
    <row r="4" spans="1:15">
      <c r="A4" s="504">
        <v>3163</v>
      </c>
      <c r="B4" s="505">
        <v>127544</v>
      </c>
      <c r="C4" s="513">
        <v>71951</v>
      </c>
      <c r="D4" s="511"/>
      <c r="E4" s="511"/>
      <c r="F4" s="511"/>
      <c r="G4" s="511"/>
      <c r="H4" s="520">
        <v>369</v>
      </c>
      <c r="I4" s="524">
        <v>1486</v>
      </c>
      <c r="J4" s="511">
        <v>19</v>
      </c>
      <c r="K4" s="511">
        <v>4596</v>
      </c>
      <c r="L4" s="511"/>
      <c r="M4" s="511">
        <v>18588</v>
      </c>
      <c r="N4" s="511">
        <v>417</v>
      </c>
      <c r="O4" s="82">
        <v>225122</v>
      </c>
    </row>
    <row r="5" spans="1:15">
      <c r="A5" s="504">
        <v>3163</v>
      </c>
      <c r="B5" s="505">
        <v>217657.73</v>
      </c>
      <c r="C5" s="513">
        <v>162138</v>
      </c>
      <c r="D5" s="511">
        <v>133472.57999999999</v>
      </c>
      <c r="E5" s="511"/>
      <c r="F5" s="511"/>
      <c r="G5" s="511"/>
      <c r="H5" s="520">
        <v>1214.06</v>
      </c>
      <c r="I5" s="524">
        <v>23290.43</v>
      </c>
      <c r="J5" s="511"/>
      <c r="K5" s="511"/>
      <c r="L5" s="511"/>
      <c r="M5" s="511">
        <v>59572.53</v>
      </c>
      <c r="N5" s="511"/>
      <c r="O5" s="82">
        <v>335873.6</v>
      </c>
    </row>
    <row r="6" spans="1:15">
      <c r="A6" s="504">
        <v>3163</v>
      </c>
      <c r="B6" s="505">
        <v>87244</v>
      </c>
      <c r="C6" s="513">
        <v>179260</v>
      </c>
      <c r="D6" s="511">
        <v>7502</v>
      </c>
      <c r="E6" s="511"/>
      <c r="F6" s="511"/>
      <c r="G6" s="511"/>
      <c r="H6" s="520">
        <v>801</v>
      </c>
      <c r="I6" s="524">
        <v>386</v>
      </c>
      <c r="J6" s="511"/>
      <c r="K6" s="511"/>
      <c r="L6" s="511"/>
      <c r="M6" s="511">
        <v>12599</v>
      </c>
      <c r="N6" s="511">
        <v>31</v>
      </c>
      <c r="O6" s="82">
        <v>59770</v>
      </c>
    </row>
    <row r="7" spans="1:15">
      <c r="A7" s="504">
        <v>3163</v>
      </c>
      <c r="B7" s="505">
        <v>60382</v>
      </c>
      <c r="C7" s="513">
        <v>357285</v>
      </c>
      <c r="D7" s="511"/>
      <c r="E7" s="511"/>
      <c r="F7" s="511"/>
      <c r="G7" s="511"/>
      <c r="H7" s="520">
        <v>983</v>
      </c>
      <c r="I7" s="524">
        <v>25713</v>
      </c>
      <c r="J7" s="511"/>
      <c r="K7" s="511"/>
      <c r="L7" s="511"/>
      <c r="M7" s="511">
        <v>26333</v>
      </c>
      <c r="N7" s="511"/>
      <c r="O7" s="82">
        <v>80483</v>
      </c>
    </row>
    <row r="8" spans="1:15">
      <c r="A8" s="504">
        <v>3163</v>
      </c>
      <c r="B8" s="505">
        <v>206879</v>
      </c>
      <c r="C8" s="513">
        <v>76052</v>
      </c>
      <c r="D8" s="511">
        <v>107504</v>
      </c>
      <c r="E8" s="511"/>
      <c r="F8" s="511"/>
      <c r="G8" s="511"/>
      <c r="H8" s="520">
        <v>5092</v>
      </c>
      <c r="I8" s="524">
        <v>4916</v>
      </c>
      <c r="J8" s="511"/>
      <c r="K8" s="511"/>
      <c r="L8" s="511"/>
      <c r="M8" s="511">
        <v>31891</v>
      </c>
      <c r="N8" s="511">
        <v>2272</v>
      </c>
      <c r="O8" s="82">
        <v>187558</v>
      </c>
    </row>
    <row r="9" spans="1:15">
      <c r="A9" s="504">
        <v>3163</v>
      </c>
      <c r="B9" s="505">
        <v>190247</v>
      </c>
      <c r="C9" s="513">
        <v>68084</v>
      </c>
      <c r="D9" s="511">
        <v>81</v>
      </c>
      <c r="E9" s="511"/>
      <c r="F9" s="511"/>
      <c r="G9" s="511"/>
      <c r="H9" s="520">
        <v>494</v>
      </c>
      <c r="I9" s="524">
        <v>719</v>
      </c>
      <c r="J9" s="511"/>
      <c r="K9" s="511"/>
      <c r="L9" s="511"/>
      <c r="M9" s="511">
        <v>38566</v>
      </c>
      <c r="N9" s="511">
        <v>47663</v>
      </c>
      <c r="O9" s="82">
        <v>172562</v>
      </c>
    </row>
    <row r="10" spans="1:15">
      <c r="A10" s="504">
        <v>3163</v>
      </c>
      <c r="B10" s="505">
        <v>400822</v>
      </c>
      <c r="C10" s="513">
        <v>182680</v>
      </c>
      <c r="D10" s="511">
        <v>34614</v>
      </c>
      <c r="E10" s="511"/>
      <c r="F10" s="511"/>
      <c r="G10" s="511"/>
      <c r="H10" s="520">
        <v>894</v>
      </c>
      <c r="I10" s="524">
        <v>4905</v>
      </c>
      <c r="J10" s="511"/>
      <c r="K10" s="511">
        <v>22600</v>
      </c>
      <c r="L10" s="511"/>
      <c r="M10" s="511">
        <v>69955</v>
      </c>
      <c r="N10" s="511"/>
      <c r="O10" s="82">
        <v>245419</v>
      </c>
    </row>
    <row r="11" spans="1:15">
      <c r="A11" s="504">
        <v>3163</v>
      </c>
      <c r="B11" s="505">
        <v>255200</v>
      </c>
      <c r="C11" s="513">
        <v>104057</v>
      </c>
      <c r="D11" s="511"/>
      <c r="E11" s="511"/>
      <c r="F11" s="511"/>
      <c r="G11" s="511"/>
      <c r="H11" s="520">
        <v>5597</v>
      </c>
      <c r="I11" s="524">
        <v>167</v>
      </c>
      <c r="J11" s="511">
        <v>731</v>
      </c>
      <c r="K11" s="511"/>
      <c r="L11" s="511"/>
      <c r="M11" s="511">
        <v>26086</v>
      </c>
      <c r="N11" s="511"/>
      <c r="O11" s="82">
        <v>48155</v>
      </c>
    </row>
    <row r="12" spans="1:15">
      <c r="A12" s="504">
        <v>3163</v>
      </c>
      <c r="B12" s="505">
        <v>42268</v>
      </c>
      <c r="C12" s="513">
        <v>8140</v>
      </c>
      <c r="D12" s="511">
        <v>50017</v>
      </c>
      <c r="E12" s="511"/>
      <c r="F12" s="511"/>
      <c r="G12" s="511"/>
      <c r="H12" s="520">
        <v>994</v>
      </c>
      <c r="I12" s="524">
        <v>5525</v>
      </c>
      <c r="J12" s="511"/>
      <c r="K12" s="511">
        <v>293</v>
      </c>
      <c r="L12" s="511"/>
      <c r="M12" s="511">
        <v>53</v>
      </c>
      <c r="N12" s="511"/>
      <c r="O12" s="82">
        <v>75674</v>
      </c>
    </row>
    <row r="13" spans="1:15">
      <c r="A13" s="504">
        <v>3163</v>
      </c>
      <c r="B13" s="505">
        <v>2080</v>
      </c>
      <c r="C13" s="513">
        <v>3596</v>
      </c>
      <c r="D13" s="511">
        <v>29611</v>
      </c>
      <c r="E13" s="511"/>
      <c r="F13" s="511"/>
      <c r="G13" s="511">
        <v>1061</v>
      </c>
      <c r="H13" s="520">
        <v>41</v>
      </c>
      <c r="I13" s="524">
        <v>2117</v>
      </c>
      <c r="J13" s="511">
        <v>2</v>
      </c>
      <c r="K13" s="511">
        <v>2551</v>
      </c>
      <c r="L13" s="511">
        <v>2200</v>
      </c>
      <c r="M13" s="511">
        <v>759</v>
      </c>
      <c r="N13" s="511"/>
      <c r="O13" s="82">
        <v>39530</v>
      </c>
    </row>
    <row r="14" spans="1:15">
      <c r="A14" s="504">
        <v>3163</v>
      </c>
      <c r="B14" s="505">
        <v>61039</v>
      </c>
      <c r="C14" s="513">
        <v>14938</v>
      </c>
      <c r="D14" s="511">
        <v>8651</v>
      </c>
      <c r="E14" s="511"/>
      <c r="F14" s="511"/>
      <c r="G14" s="511"/>
      <c r="H14" s="520">
        <v>20</v>
      </c>
      <c r="I14" s="524">
        <v>2334</v>
      </c>
      <c r="J14" s="511">
        <v>6</v>
      </c>
      <c r="K14" s="511"/>
      <c r="L14" s="511"/>
      <c r="M14" s="511">
        <v>10958</v>
      </c>
      <c r="N14" s="511"/>
      <c r="O14" s="82">
        <v>27264</v>
      </c>
    </row>
    <row r="15" spans="1:15">
      <c r="A15" s="504">
        <v>3163</v>
      </c>
      <c r="B15" s="505">
        <v>37012</v>
      </c>
      <c r="C15" s="513">
        <v>25385</v>
      </c>
      <c r="D15" s="511"/>
      <c r="E15" s="511"/>
      <c r="F15" s="511"/>
      <c r="G15" s="511"/>
      <c r="H15" s="520">
        <v>260</v>
      </c>
      <c r="I15" s="524">
        <v>4964</v>
      </c>
      <c r="J15" s="511">
        <v>82</v>
      </c>
      <c r="K15" s="511">
        <v>196</v>
      </c>
      <c r="L15" s="511">
        <v>374</v>
      </c>
      <c r="M15" s="511"/>
      <c r="N15" s="511"/>
      <c r="O15" s="82">
        <v>18657</v>
      </c>
    </row>
    <row r="16" spans="1:15">
      <c r="A16" s="504">
        <v>3163</v>
      </c>
      <c r="B16" s="505"/>
      <c r="C16" s="513">
        <v>0</v>
      </c>
      <c r="D16" s="511"/>
      <c r="E16" s="511"/>
      <c r="F16" s="511"/>
      <c r="G16" s="511"/>
      <c r="H16" s="520">
        <v>2033</v>
      </c>
      <c r="I16" s="524">
        <v>3709</v>
      </c>
      <c r="J16" s="511"/>
      <c r="K16" s="511"/>
      <c r="L16" s="511"/>
      <c r="M16" s="511">
        <v>15028</v>
      </c>
      <c r="N16" s="511"/>
      <c r="O16" s="82">
        <v>34327</v>
      </c>
    </row>
    <row r="17" spans="1:15">
      <c r="A17" s="504">
        <v>3163</v>
      </c>
      <c r="B17" s="505">
        <v>703</v>
      </c>
      <c r="C17" s="513">
        <v>521</v>
      </c>
      <c r="D17" s="511"/>
      <c r="E17" s="511"/>
      <c r="F17" s="511"/>
      <c r="G17" s="511"/>
      <c r="H17" s="520"/>
      <c r="I17" s="524">
        <v>1591</v>
      </c>
      <c r="J17" s="511"/>
      <c r="K17" s="511"/>
      <c r="L17" s="511"/>
      <c r="M17" s="511"/>
      <c r="N17" s="511"/>
      <c r="O17" s="82">
        <v>1591</v>
      </c>
    </row>
    <row r="18" spans="1:15">
      <c r="A18" s="504">
        <v>3163</v>
      </c>
      <c r="B18" s="505">
        <v>294362</v>
      </c>
      <c r="C18" s="513">
        <v>47585</v>
      </c>
      <c r="D18" s="511">
        <v>32788</v>
      </c>
      <c r="E18" s="511">
        <v>17860</v>
      </c>
      <c r="F18" s="511"/>
      <c r="G18" s="511"/>
      <c r="H18" s="520"/>
      <c r="I18" s="524">
        <v>972</v>
      </c>
      <c r="J18" s="511">
        <v>784</v>
      </c>
      <c r="K18" s="511">
        <v>3474</v>
      </c>
      <c r="L18" s="511"/>
      <c r="M18" s="511">
        <v>14798</v>
      </c>
      <c r="N18" s="511">
        <v>136</v>
      </c>
      <c r="O18" s="82">
        <v>103832</v>
      </c>
    </row>
    <row r="19" spans="1:15">
      <c r="A19" s="504">
        <v>3163</v>
      </c>
      <c r="B19" s="505">
        <v>41901</v>
      </c>
      <c r="C19" s="513">
        <v>50372</v>
      </c>
      <c r="D19" s="511">
        <v>15575</v>
      </c>
      <c r="E19" s="511"/>
      <c r="F19" s="511"/>
      <c r="G19" s="511"/>
      <c r="H19" s="520">
        <v>2612</v>
      </c>
      <c r="I19" s="524">
        <v>1887</v>
      </c>
      <c r="J19" s="511"/>
      <c r="K19" s="511"/>
      <c r="L19" s="511">
        <v>43</v>
      </c>
      <c r="M19" s="511">
        <v>13339</v>
      </c>
      <c r="N19" s="511"/>
      <c r="O19" s="82">
        <v>53702</v>
      </c>
    </row>
    <row r="20" spans="1:15">
      <c r="A20" s="504">
        <v>3163</v>
      </c>
      <c r="B20" s="505">
        <v>64203</v>
      </c>
      <c r="C20" s="513">
        <v>38440</v>
      </c>
      <c r="D20" s="511">
        <v>6886</v>
      </c>
      <c r="E20" s="511">
        <v>334</v>
      </c>
      <c r="F20" s="511"/>
      <c r="G20" s="511"/>
      <c r="H20" s="520">
        <v>1014</v>
      </c>
      <c r="I20" s="524"/>
      <c r="J20" s="511"/>
      <c r="K20" s="511"/>
      <c r="L20" s="511"/>
      <c r="M20" s="511">
        <v>4963</v>
      </c>
      <c r="N20" s="511"/>
      <c r="O20" s="82">
        <v>51838</v>
      </c>
    </row>
    <row r="21" spans="1:15">
      <c r="A21" s="504">
        <v>3163</v>
      </c>
      <c r="B21" s="505">
        <v>261491</v>
      </c>
      <c r="C21" s="513">
        <v>92956</v>
      </c>
      <c r="D21" s="511"/>
      <c r="E21" s="511"/>
      <c r="F21" s="511"/>
      <c r="G21" s="511"/>
      <c r="H21" s="520">
        <v>4106</v>
      </c>
      <c r="I21" s="524">
        <v>3667</v>
      </c>
      <c r="J21" s="511">
        <v>66</v>
      </c>
      <c r="K21" s="511"/>
      <c r="L21" s="511"/>
      <c r="M21" s="511">
        <v>27160</v>
      </c>
      <c r="N21" s="511">
        <v>1677</v>
      </c>
      <c r="O21" s="82">
        <v>166683</v>
      </c>
    </row>
    <row r="22" spans="1:15">
      <c r="A22" s="504">
        <v>3163</v>
      </c>
      <c r="B22" s="505">
        <v>22698</v>
      </c>
      <c r="C22" s="513">
        <v>34449</v>
      </c>
      <c r="D22" s="511"/>
      <c r="E22" s="511"/>
      <c r="F22" s="511"/>
      <c r="G22" s="511"/>
      <c r="H22" s="520">
        <v>229</v>
      </c>
      <c r="I22" s="524">
        <v>2496</v>
      </c>
      <c r="J22" s="511">
        <v>668</v>
      </c>
      <c r="K22" s="511"/>
      <c r="L22" s="511"/>
      <c r="M22" s="511">
        <v>2512</v>
      </c>
      <c r="N22" s="511"/>
      <c r="O22" s="82">
        <v>36098</v>
      </c>
    </row>
    <row r="23" spans="1:15">
      <c r="A23" s="504">
        <v>3163</v>
      </c>
      <c r="B23" s="505">
        <v>5933</v>
      </c>
      <c r="C23" s="513">
        <v>61474</v>
      </c>
      <c r="D23" s="511">
        <v>20</v>
      </c>
      <c r="E23" s="511"/>
      <c r="F23" s="511"/>
      <c r="G23" s="511"/>
      <c r="H23" s="520">
        <v>78</v>
      </c>
      <c r="I23" s="524">
        <v>1995</v>
      </c>
      <c r="J23" s="511"/>
      <c r="K23" s="511"/>
      <c r="L23" s="511"/>
      <c r="M23" s="511">
        <v>1874</v>
      </c>
      <c r="N23" s="511"/>
      <c r="O23" s="82">
        <v>9769</v>
      </c>
    </row>
    <row r="24" spans="1:15">
      <c r="A24" s="504">
        <v>3163</v>
      </c>
      <c r="B24" s="505">
        <v>17682</v>
      </c>
      <c r="C24" s="513">
        <v>20950</v>
      </c>
      <c r="D24" s="511"/>
      <c r="E24" s="511"/>
      <c r="F24" s="511"/>
      <c r="G24" s="511"/>
      <c r="H24" s="520">
        <v>75</v>
      </c>
      <c r="I24" s="524">
        <v>1296</v>
      </c>
      <c r="J24" s="511"/>
      <c r="K24" s="511"/>
      <c r="L24" s="511"/>
      <c r="M24" s="511">
        <v>4</v>
      </c>
      <c r="N24" s="511"/>
      <c r="O24" s="82">
        <v>21447</v>
      </c>
    </row>
    <row r="25" spans="1:15">
      <c r="A25" s="504">
        <v>3163</v>
      </c>
      <c r="B25" s="505">
        <v>360948</v>
      </c>
      <c r="C25" s="513">
        <v>227055</v>
      </c>
      <c r="D25" s="511">
        <v>24810</v>
      </c>
      <c r="E25" s="511"/>
      <c r="F25" s="511"/>
      <c r="G25" s="511"/>
      <c r="H25" s="520">
        <v>9102</v>
      </c>
      <c r="I25" s="524">
        <v>4185</v>
      </c>
      <c r="J25" s="511">
        <v>2864</v>
      </c>
      <c r="K25" s="511"/>
      <c r="L25" s="511"/>
      <c r="M25" s="511">
        <v>10806</v>
      </c>
      <c r="N25" s="511">
        <v>6063</v>
      </c>
      <c r="O25" s="82">
        <v>163082</v>
      </c>
    </row>
    <row r="26" spans="1:15">
      <c r="A26" s="504">
        <v>3163</v>
      </c>
      <c r="B26" s="505">
        <v>247284</v>
      </c>
      <c r="C26" s="513">
        <v>59053</v>
      </c>
      <c r="D26" s="511">
        <v>172254</v>
      </c>
      <c r="E26" s="511"/>
      <c r="F26" s="511"/>
      <c r="G26" s="511"/>
      <c r="H26" s="520">
        <v>2924</v>
      </c>
      <c r="I26" s="524">
        <v>3317</v>
      </c>
      <c r="J26" s="511">
        <v>816</v>
      </c>
      <c r="K26" s="511"/>
      <c r="L26" s="511"/>
      <c r="M26" s="511">
        <v>19073</v>
      </c>
      <c r="N26" s="511">
        <v>4337</v>
      </c>
      <c r="O26" s="82">
        <v>210708</v>
      </c>
    </row>
    <row r="27" spans="1:15">
      <c r="A27" s="504">
        <v>3163</v>
      </c>
      <c r="B27" s="505">
        <v>308629</v>
      </c>
      <c r="C27" s="513">
        <v>104159</v>
      </c>
      <c r="D27" s="511">
        <v>60168</v>
      </c>
      <c r="E27" s="511"/>
      <c r="F27" s="511"/>
      <c r="G27" s="511"/>
      <c r="H27" s="520">
        <v>2525</v>
      </c>
      <c r="I27" s="524">
        <v>3410</v>
      </c>
      <c r="J27" s="511">
        <v>985</v>
      </c>
      <c r="K27" s="511"/>
      <c r="L27" s="511"/>
      <c r="M27" s="511">
        <v>43815</v>
      </c>
      <c r="N27" s="511">
        <v>2698</v>
      </c>
      <c r="O27" s="82">
        <v>136738</v>
      </c>
    </row>
    <row r="28" spans="1:15">
      <c r="A28" s="504">
        <v>3163</v>
      </c>
      <c r="B28" s="505">
        <v>44544</v>
      </c>
      <c r="C28" s="515"/>
      <c r="D28" s="511"/>
      <c r="E28" s="511">
        <v>2103</v>
      </c>
      <c r="F28" s="511"/>
      <c r="G28" s="511"/>
      <c r="H28" s="520"/>
      <c r="I28" s="524"/>
      <c r="J28" s="511"/>
      <c r="K28" s="511"/>
      <c r="L28" s="511"/>
      <c r="M28" s="511">
        <v>21801</v>
      </c>
      <c r="N28" s="511"/>
      <c r="O28" s="82">
        <v>39556</v>
      </c>
    </row>
    <row r="29" spans="1:15">
      <c r="A29" s="504">
        <v>3163</v>
      </c>
      <c r="B29" s="505">
        <v>29369</v>
      </c>
      <c r="C29" s="513">
        <v>40570</v>
      </c>
      <c r="D29" s="511">
        <v>25818</v>
      </c>
      <c r="E29" s="511"/>
      <c r="F29" s="511"/>
      <c r="G29" s="511"/>
      <c r="H29" s="520">
        <v>88</v>
      </c>
      <c r="I29" s="524">
        <v>308</v>
      </c>
      <c r="J29" s="511"/>
      <c r="K29" s="511"/>
      <c r="L29" s="511"/>
      <c r="M29" s="511">
        <v>3427</v>
      </c>
      <c r="N29" s="511"/>
      <c r="O29" s="82">
        <v>33173</v>
      </c>
    </row>
    <row r="30" spans="1:15">
      <c r="A30" s="504">
        <v>3163</v>
      </c>
      <c r="B30" s="505">
        <v>57931</v>
      </c>
      <c r="C30" s="513">
        <v>69990</v>
      </c>
      <c r="D30" s="511">
        <v>10965</v>
      </c>
      <c r="E30" s="511"/>
      <c r="F30" s="511"/>
      <c r="G30" s="511"/>
      <c r="H30" s="520">
        <v>407</v>
      </c>
      <c r="I30" s="524">
        <v>2867</v>
      </c>
      <c r="J30" s="511"/>
      <c r="K30" s="511"/>
      <c r="L30" s="511"/>
      <c r="M30" s="511"/>
      <c r="N30" s="511"/>
      <c r="O30" s="82">
        <v>101334</v>
      </c>
    </row>
    <row r="31" spans="1:15">
      <c r="A31" s="504">
        <v>3163</v>
      </c>
      <c r="B31" s="505">
        <v>125</v>
      </c>
      <c r="C31" s="513">
        <v>14</v>
      </c>
      <c r="D31" s="511"/>
      <c r="E31" s="511">
        <v>17474</v>
      </c>
      <c r="F31" s="511"/>
      <c r="G31" s="511"/>
      <c r="H31" s="520">
        <v>199</v>
      </c>
      <c r="I31" s="524"/>
      <c r="J31" s="511"/>
      <c r="K31" s="511"/>
      <c r="L31" s="511">
        <v>65279</v>
      </c>
      <c r="M31" s="511">
        <v>527</v>
      </c>
      <c r="N31" s="511">
        <v>390</v>
      </c>
      <c r="O31" s="82">
        <v>83886</v>
      </c>
    </row>
    <row r="32" spans="1:15">
      <c r="A32" s="504">
        <v>3163</v>
      </c>
      <c r="B32" s="505">
        <v>63</v>
      </c>
      <c r="C32" s="513">
        <v>1023</v>
      </c>
      <c r="D32" s="511"/>
      <c r="E32" s="511"/>
      <c r="F32" s="511"/>
      <c r="G32" s="511"/>
      <c r="H32" s="520"/>
      <c r="I32" s="524">
        <v>2556</v>
      </c>
      <c r="J32" s="511"/>
      <c r="K32" s="511"/>
      <c r="L32" s="511"/>
      <c r="M32" s="511">
        <v>64</v>
      </c>
      <c r="N32" s="511"/>
      <c r="O32" s="82">
        <v>2620</v>
      </c>
    </row>
    <row r="33" spans="1:15">
      <c r="A33" s="504">
        <v>3163</v>
      </c>
      <c r="B33" s="505">
        <v>23292</v>
      </c>
      <c r="C33" s="513">
        <v>20786</v>
      </c>
      <c r="D33" s="511"/>
      <c r="E33" s="511"/>
      <c r="F33" s="511"/>
      <c r="G33" s="511"/>
      <c r="H33" s="520">
        <v>380</v>
      </c>
      <c r="I33" s="524">
        <v>1151</v>
      </c>
      <c r="J33" s="511"/>
      <c r="K33" s="511"/>
      <c r="L33" s="511"/>
      <c r="M33" s="511">
        <v>4379</v>
      </c>
      <c r="N33" s="511"/>
      <c r="O33" s="82">
        <v>5910</v>
      </c>
    </row>
    <row r="34" spans="1:15">
      <c r="A34" s="504">
        <v>3163</v>
      </c>
      <c r="B34" s="505"/>
      <c r="C34" s="513">
        <v>9409</v>
      </c>
      <c r="D34" s="511"/>
      <c r="E34" s="511"/>
      <c r="F34" s="511"/>
      <c r="G34" s="511"/>
      <c r="H34" s="520">
        <v>201</v>
      </c>
      <c r="I34" s="524">
        <v>1754</v>
      </c>
      <c r="J34" s="511"/>
      <c r="K34" s="511"/>
      <c r="L34" s="511"/>
      <c r="M34" s="511"/>
      <c r="N34" s="511"/>
      <c r="O34" s="82">
        <v>2629</v>
      </c>
    </row>
    <row r="35" spans="1:15">
      <c r="A35" s="504">
        <v>3163</v>
      </c>
      <c r="B35" s="505">
        <v>158</v>
      </c>
      <c r="C35" s="515"/>
      <c r="D35" s="511">
        <v>475</v>
      </c>
      <c r="E35" s="511"/>
      <c r="F35" s="511"/>
      <c r="G35" s="511"/>
      <c r="H35" s="520"/>
      <c r="I35" s="524"/>
      <c r="J35" s="511"/>
      <c r="K35" s="511"/>
      <c r="L35" s="511"/>
      <c r="M35" s="511"/>
      <c r="N35" s="511"/>
      <c r="O35" s="82">
        <v>21254</v>
      </c>
    </row>
    <row r="36" spans="1:15">
      <c r="A36" s="504">
        <v>3163</v>
      </c>
      <c r="B36" s="505">
        <v>132635</v>
      </c>
      <c r="C36" s="513">
        <v>44865</v>
      </c>
      <c r="D36" s="511">
        <v>3855</v>
      </c>
      <c r="E36" s="511"/>
      <c r="F36" s="511"/>
      <c r="G36" s="511"/>
      <c r="H36" s="520">
        <v>555</v>
      </c>
      <c r="I36" s="524">
        <v>7535</v>
      </c>
      <c r="J36" s="511"/>
      <c r="K36" s="511">
        <v>2315</v>
      </c>
      <c r="L36" s="511"/>
      <c r="M36" s="511">
        <v>9026</v>
      </c>
      <c r="N36" s="511">
        <v>95</v>
      </c>
      <c r="O36" s="82">
        <v>34485</v>
      </c>
    </row>
    <row r="37" spans="1:15">
      <c r="A37" s="504">
        <v>3163</v>
      </c>
      <c r="B37" s="505">
        <v>14575</v>
      </c>
      <c r="C37" s="513">
        <v>41383</v>
      </c>
      <c r="D37" s="511"/>
      <c r="E37" s="511"/>
      <c r="F37" s="511"/>
      <c r="G37" s="511"/>
      <c r="H37" s="520">
        <v>79</v>
      </c>
      <c r="I37" s="524">
        <v>506</v>
      </c>
      <c r="J37" s="511"/>
      <c r="K37" s="511"/>
      <c r="L37" s="511"/>
      <c r="M37" s="511">
        <v>3936</v>
      </c>
      <c r="N37" s="511"/>
      <c r="O37" s="82">
        <v>439759</v>
      </c>
    </row>
    <row r="38" spans="1:15">
      <c r="A38" s="504">
        <v>3163</v>
      </c>
      <c r="B38" s="505">
        <v>125452</v>
      </c>
      <c r="C38" s="513">
        <v>73711</v>
      </c>
      <c r="D38" s="511">
        <v>42385</v>
      </c>
      <c r="E38" s="511"/>
      <c r="F38" s="511">
        <v>2115</v>
      </c>
      <c r="G38" s="511"/>
      <c r="H38" s="520">
        <v>40</v>
      </c>
      <c r="I38" s="524">
        <v>868</v>
      </c>
      <c r="J38" s="511">
        <v>40</v>
      </c>
      <c r="K38" s="511"/>
      <c r="L38" s="511"/>
      <c r="M38" s="511">
        <v>7936</v>
      </c>
      <c r="N38" s="511"/>
      <c r="O38" s="82">
        <v>198676</v>
      </c>
    </row>
    <row r="39" spans="1:15">
      <c r="A39" s="504">
        <v>3163</v>
      </c>
      <c r="B39" s="505">
        <v>37716</v>
      </c>
      <c r="C39" s="513">
        <v>12782</v>
      </c>
      <c r="D39" s="511"/>
      <c r="E39" s="511"/>
      <c r="F39" s="511"/>
      <c r="G39" s="511"/>
      <c r="H39" s="520">
        <v>5743</v>
      </c>
      <c r="I39" s="524">
        <v>76</v>
      </c>
      <c r="J39" s="511">
        <v>1834</v>
      </c>
      <c r="K39" s="511">
        <v>236</v>
      </c>
      <c r="L39" s="511"/>
      <c r="M39" s="511">
        <v>7665</v>
      </c>
      <c r="N39" s="511"/>
      <c r="O39" s="82">
        <v>275766</v>
      </c>
    </row>
    <row r="40" spans="1:15">
      <c r="A40" s="504">
        <v>3163</v>
      </c>
      <c r="B40" s="505">
        <v>35737</v>
      </c>
      <c r="C40" s="513">
        <v>14858</v>
      </c>
      <c r="D40" s="511">
        <v>8984</v>
      </c>
      <c r="E40" s="511"/>
      <c r="F40" s="511"/>
      <c r="G40" s="511"/>
      <c r="H40" s="520">
        <v>96</v>
      </c>
      <c r="I40" s="524">
        <v>974</v>
      </c>
      <c r="J40" s="511">
        <v>395</v>
      </c>
      <c r="K40" s="511"/>
      <c r="L40" s="511"/>
      <c r="M40" s="511">
        <v>712</v>
      </c>
      <c r="N40" s="511"/>
      <c r="O40" s="82">
        <v>38245</v>
      </c>
    </row>
    <row r="41" spans="1:15">
      <c r="A41" s="504">
        <v>3163</v>
      </c>
      <c r="B41" s="505">
        <v>355</v>
      </c>
      <c r="C41" s="513">
        <v>84227</v>
      </c>
      <c r="D41" s="511"/>
      <c r="E41" s="511"/>
      <c r="F41" s="511"/>
      <c r="G41" s="511"/>
      <c r="H41" s="520">
        <v>264</v>
      </c>
      <c r="I41" s="524">
        <v>10245</v>
      </c>
      <c r="J41" s="511">
        <v>196</v>
      </c>
      <c r="K41" s="511"/>
      <c r="L41" s="511"/>
      <c r="M41" s="511">
        <v>14463</v>
      </c>
      <c r="N41" s="511"/>
      <c r="O41" s="82">
        <v>33449</v>
      </c>
    </row>
    <row r="42" spans="1:15">
      <c r="A42" s="504">
        <v>3163</v>
      </c>
      <c r="B42" s="505">
        <v>139859</v>
      </c>
      <c r="C42" s="513">
        <v>145653</v>
      </c>
      <c r="D42" s="511"/>
      <c r="E42" s="511"/>
      <c r="F42" s="511"/>
      <c r="G42" s="511"/>
      <c r="H42" s="520">
        <v>7570</v>
      </c>
      <c r="I42" s="524">
        <v>82830</v>
      </c>
      <c r="J42" s="511"/>
      <c r="K42" s="511"/>
      <c r="L42" s="511"/>
      <c r="M42" s="511">
        <v>41879</v>
      </c>
      <c r="N42" s="511"/>
      <c r="O42" s="82">
        <v>132384</v>
      </c>
    </row>
    <row r="43" spans="1:15">
      <c r="A43" s="504">
        <v>3163</v>
      </c>
      <c r="B43" s="505">
        <v>80478</v>
      </c>
      <c r="C43" s="513">
        <v>54803</v>
      </c>
      <c r="D43" s="511"/>
      <c r="E43" s="511"/>
      <c r="F43" s="511"/>
      <c r="G43" s="511"/>
      <c r="H43" s="520">
        <v>371</v>
      </c>
      <c r="I43" s="524">
        <v>5577</v>
      </c>
      <c r="J43" s="511"/>
      <c r="K43" s="511"/>
      <c r="L43" s="511"/>
      <c r="M43" s="511">
        <v>18673</v>
      </c>
      <c r="N43" s="511">
        <v>1334</v>
      </c>
      <c r="O43" s="82">
        <v>52059</v>
      </c>
    </row>
    <row r="44" spans="1:15">
      <c r="A44" s="504">
        <v>3163</v>
      </c>
      <c r="B44" s="505">
        <v>51339</v>
      </c>
      <c r="C44" s="513">
        <v>375172</v>
      </c>
      <c r="D44" s="511">
        <v>15480</v>
      </c>
      <c r="E44" s="511"/>
      <c r="F44" s="511"/>
      <c r="G44" s="511"/>
      <c r="H44" s="520">
        <v>3798</v>
      </c>
      <c r="I44" s="524">
        <v>6699</v>
      </c>
      <c r="J44" s="511">
        <v>389</v>
      </c>
      <c r="K44" s="511"/>
      <c r="L44" s="511">
        <v>2397</v>
      </c>
      <c r="M44" s="511">
        <v>3738</v>
      </c>
      <c r="N44" s="511">
        <v>648</v>
      </c>
      <c r="O44" s="82">
        <v>39280</v>
      </c>
    </row>
    <row r="45" spans="1:15">
      <c r="A45" s="504">
        <v>3163</v>
      </c>
      <c r="B45" s="505">
        <v>221032</v>
      </c>
      <c r="C45" s="513">
        <v>0</v>
      </c>
      <c r="D45" s="511"/>
      <c r="E45" s="511"/>
      <c r="F45" s="511">
        <v>470819</v>
      </c>
      <c r="G45" s="511"/>
      <c r="H45" s="520">
        <v>1612</v>
      </c>
      <c r="I45" s="524">
        <v>9875</v>
      </c>
      <c r="J45" s="511"/>
      <c r="K45" s="511"/>
      <c r="L45" s="511"/>
      <c r="M45" s="511">
        <v>3140</v>
      </c>
      <c r="N45" s="511"/>
      <c r="O45" s="82">
        <v>925029</v>
      </c>
    </row>
    <row r="46" spans="1:15">
      <c r="A46" s="504">
        <v>3163</v>
      </c>
      <c r="B46" s="505">
        <v>133965</v>
      </c>
      <c r="C46" s="513">
        <v>153680</v>
      </c>
      <c r="D46" s="511">
        <v>17393</v>
      </c>
      <c r="E46" s="511"/>
      <c r="F46" s="511">
        <v>552</v>
      </c>
      <c r="G46" s="511"/>
      <c r="H46" s="520">
        <v>4448</v>
      </c>
      <c r="I46" s="524">
        <v>2514</v>
      </c>
      <c r="J46" s="511">
        <v>2146</v>
      </c>
      <c r="K46" s="511">
        <v>1510</v>
      </c>
      <c r="L46" s="511"/>
      <c r="M46" s="511">
        <v>12812</v>
      </c>
      <c r="N46" s="511"/>
      <c r="O46" s="82">
        <v>88591</v>
      </c>
    </row>
    <row r="47" spans="1:15">
      <c r="A47" s="504">
        <v>3163</v>
      </c>
      <c r="B47" s="505">
        <v>85813.87</v>
      </c>
      <c r="C47" s="513">
        <v>10212</v>
      </c>
      <c r="D47" s="511">
        <v>57235</v>
      </c>
      <c r="E47" s="511"/>
      <c r="F47" s="511"/>
      <c r="G47" s="511"/>
      <c r="H47" s="520"/>
      <c r="I47" s="524"/>
      <c r="J47" s="511"/>
      <c r="K47" s="511"/>
      <c r="L47" s="511"/>
      <c r="M47" s="511"/>
      <c r="N47" s="511"/>
      <c r="O47" s="82">
        <v>62143.31</v>
      </c>
    </row>
    <row r="48" spans="1:15">
      <c r="A48" s="504">
        <v>3163</v>
      </c>
      <c r="B48" s="505">
        <v>274330</v>
      </c>
      <c r="C48" s="513">
        <v>96793</v>
      </c>
      <c r="D48" s="511">
        <v>12405</v>
      </c>
      <c r="E48" s="511"/>
      <c r="F48" s="511"/>
      <c r="G48" s="511"/>
      <c r="H48" s="520">
        <v>3485</v>
      </c>
      <c r="I48" s="524">
        <v>3729</v>
      </c>
      <c r="J48" s="511"/>
      <c r="K48" s="511">
        <v>68</v>
      </c>
      <c r="L48" s="511"/>
      <c r="M48" s="511">
        <v>8685</v>
      </c>
      <c r="N48" s="511"/>
      <c r="O48" s="82">
        <v>161111</v>
      </c>
    </row>
    <row r="49" spans="1:15">
      <c r="A49" s="504">
        <v>3163</v>
      </c>
      <c r="B49" s="505">
        <v>206746.5</v>
      </c>
      <c r="C49" s="513">
        <v>125644</v>
      </c>
      <c r="D49" s="511">
        <v>8133.2</v>
      </c>
      <c r="E49" s="511"/>
      <c r="F49" s="511"/>
      <c r="G49" s="511"/>
      <c r="H49" s="520">
        <v>197.96</v>
      </c>
      <c r="I49" s="524">
        <v>63658.16</v>
      </c>
      <c r="J49" s="511">
        <v>587.03</v>
      </c>
      <c r="K49" s="511">
        <v>54750.21</v>
      </c>
      <c r="L49" s="511"/>
      <c r="M49" s="511">
        <v>36013.32</v>
      </c>
      <c r="N49" s="511"/>
      <c r="O49" s="82">
        <v>264498.46000000002</v>
      </c>
    </row>
    <row r="50" spans="1:15">
      <c r="A50" s="504">
        <v>3163</v>
      </c>
      <c r="B50" s="505">
        <v>12538.941699999999</v>
      </c>
      <c r="C50" s="513">
        <v>16252</v>
      </c>
      <c r="D50" s="511">
        <v>15.5594</v>
      </c>
      <c r="E50" s="511"/>
      <c r="F50" s="511"/>
      <c r="G50" s="511"/>
      <c r="H50" s="520">
        <v>94.572100000000006</v>
      </c>
      <c r="I50" s="524">
        <v>504.98140000000001</v>
      </c>
      <c r="J50" s="511"/>
      <c r="K50" s="511"/>
      <c r="L50" s="511"/>
      <c r="M50" s="511">
        <v>1213.0608</v>
      </c>
      <c r="N50" s="511">
        <v>586.45259999999996</v>
      </c>
      <c r="O50" s="82">
        <v>18191.470499999999</v>
      </c>
    </row>
    <row r="51" spans="1:15">
      <c r="A51" s="504">
        <v>3163</v>
      </c>
      <c r="B51" s="505">
        <v>213895</v>
      </c>
      <c r="C51" s="513">
        <v>190938</v>
      </c>
      <c r="D51" s="511">
        <v>23715</v>
      </c>
      <c r="E51" s="511"/>
      <c r="F51" s="511"/>
      <c r="G51" s="511"/>
      <c r="H51" s="520">
        <v>19689</v>
      </c>
      <c r="I51" s="524">
        <v>14633</v>
      </c>
      <c r="J51" s="511"/>
      <c r="K51" s="511">
        <v>4896</v>
      </c>
      <c r="L51" s="511"/>
      <c r="M51" s="511">
        <v>18126</v>
      </c>
      <c r="N51" s="511">
        <v>68716</v>
      </c>
      <c r="O51" s="82">
        <v>206839</v>
      </c>
    </row>
    <row r="52" spans="1:15">
      <c r="A52" s="504">
        <v>3163</v>
      </c>
      <c r="B52" s="505">
        <v>55568</v>
      </c>
      <c r="C52" s="513">
        <v>86212</v>
      </c>
      <c r="D52" s="511"/>
      <c r="E52" s="511"/>
      <c r="F52" s="511"/>
      <c r="G52" s="511"/>
      <c r="H52" s="520"/>
      <c r="I52" s="524"/>
      <c r="J52" s="511"/>
      <c r="K52" s="511"/>
      <c r="L52" s="511"/>
      <c r="M52" s="511">
        <v>6572.42</v>
      </c>
      <c r="N52" s="511">
        <v>3161.73</v>
      </c>
      <c r="O52" s="82">
        <v>26334.15</v>
      </c>
    </row>
    <row r="53" spans="1:15">
      <c r="A53" s="504">
        <v>3163</v>
      </c>
      <c r="B53" s="505">
        <v>394105</v>
      </c>
      <c r="C53" s="513">
        <v>0</v>
      </c>
      <c r="D53" s="511"/>
      <c r="E53" s="511"/>
      <c r="F53" s="511"/>
      <c r="G53" s="511"/>
      <c r="H53" s="520">
        <v>3330</v>
      </c>
      <c r="I53" s="524">
        <v>57029</v>
      </c>
      <c r="J53" s="511">
        <v>201</v>
      </c>
      <c r="K53" s="511"/>
      <c r="L53" s="511"/>
      <c r="M53" s="511">
        <v>8069</v>
      </c>
      <c r="N53" s="511">
        <v>57010</v>
      </c>
      <c r="O53" s="82">
        <v>260790</v>
      </c>
    </row>
    <row r="54" spans="1:15">
      <c r="A54" s="504">
        <v>3163</v>
      </c>
      <c r="B54" s="505">
        <v>60597</v>
      </c>
      <c r="C54" s="513">
        <v>0</v>
      </c>
      <c r="D54" s="511"/>
      <c r="E54" s="511"/>
      <c r="F54" s="511"/>
      <c r="G54" s="511"/>
      <c r="H54" s="520">
        <v>9236</v>
      </c>
      <c r="I54" s="524">
        <v>1111</v>
      </c>
      <c r="J54" s="511"/>
      <c r="K54" s="511">
        <v>34</v>
      </c>
      <c r="L54" s="511"/>
      <c r="M54" s="511">
        <v>27163</v>
      </c>
      <c r="N54" s="511"/>
      <c r="O54" s="82">
        <v>75707</v>
      </c>
    </row>
    <row r="55" spans="1:15">
      <c r="A55" s="504">
        <v>3163</v>
      </c>
      <c r="B55" s="505">
        <v>264646.1018</v>
      </c>
      <c r="C55" s="513">
        <v>43019</v>
      </c>
      <c r="D55" s="511">
        <v>27903.5831</v>
      </c>
      <c r="E55" s="511"/>
      <c r="F55" s="511"/>
      <c r="G55" s="511"/>
      <c r="H55" s="520">
        <v>5630.9377000000004</v>
      </c>
      <c r="I55" s="524">
        <v>586.80859999999996</v>
      </c>
      <c r="J55" s="511">
        <v>367.8877</v>
      </c>
      <c r="K55" s="511"/>
      <c r="L55" s="511"/>
      <c r="M55" s="511">
        <v>10055.6448</v>
      </c>
      <c r="N55" s="511">
        <v>6497.2525999999998</v>
      </c>
      <c r="O55" s="82">
        <v>86788.297500000001</v>
      </c>
    </row>
    <row r="56" spans="1:15">
      <c r="A56" s="504">
        <v>3163</v>
      </c>
      <c r="B56" s="505">
        <v>141143.65</v>
      </c>
      <c r="C56" s="513">
        <v>6110</v>
      </c>
      <c r="D56" s="511"/>
      <c r="E56" s="511"/>
      <c r="F56" s="511"/>
      <c r="G56" s="511"/>
      <c r="H56" s="520"/>
      <c r="I56" s="524"/>
      <c r="J56" s="511"/>
      <c r="K56" s="511"/>
      <c r="L56" s="511"/>
      <c r="M56" s="511">
        <v>9830</v>
      </c>
      <c r="N56" s="511"/>
      <c r="O56" s="82">
        <v>11738</v>
      </c>
    </row>
    <row r="57" spans="1:15">
      <c r="A57" s="504">
        <v>3163</v>
      </c>
      <c r="B57" s="505">
        <v>57195</v>
      </c>
      <c r="C57" s="513">
        <v>271876</v>
      </c>
      <c r="D57" s="511">
        <v>25594</v>
      </c>
      <c r="E57" s="511"/>
      <c r="F57" s="511"/>
      <c r="G57" s="511"/>
      <c r="H57" s="520">
        <v>1926</v>
      </c>
      <c r="I57" s="524">
        <v>3093</v>
      </c>
      <c r="J57" s="511"/>
      <c r="K57" s="511"/>
      <c r="L57" s="511"/>
      <c r="M57" s="511">
        <v>1362</v>
      </c>
      <c r="N57" s="511">
        <v>2166</v>
      </c>
      <c r="O57" s="82">
        <v>90919</v>
      </c>
    </row>
    <row r="58" spans="1:15">
      <c r="A58" s="504">
        <v>3163</v>
      </c>
      <c r="B58" s="505">
        <v>59781</v>
      </c>
      <c r="C58" s="513">
        <v>0</v>
      </c>
      <c r="D58" s="511"/>
      <c r="E58" s="511"/>
      <c r="F58" s="511">
        <v>740</v>
      </c>
      <c r="G58" s="511"/>
      <c r="H58" s="520">
        <v>83</v>
      </c>
      <c r="I58" s="524">
        <v>454</v>
      </c>
      <c r="J58" s="511"/>
      <c r="K58" s="511"/>
      <c r="L58" s="511"/>
      <c r="M58" s="511">
        <v>4355</v>
      </c>
      <c r="N58" s="511"/>
      <c r="O58" s="82">
        <v>10280</v>
      </c>
    </row>
    <row r="59" spans="1:15">
      <c r="A59" s="504">
        <v>3163</v>
      </c>
      <c r="B59" s="505">
        <v>86695</v>
      </c>
      <c r="C59" s="513">
        <v>107</v>
      </c>
      <c r="D59" s="511"/>
      <c r="E59" s="511"/>
      <c r="F59" s="511"/>
      <c r="G59" s="511"/>
      <c r="H59" s="520">
        <v>9274</v>
      </c>
      <c r="I59" s="524">
        <v>49345</v>
      </c>
      <c r="J59" s="511"/>
      <c r="K59" s="511">
        <v>1280</v>
      </c>
      <c r="L59" s="511"/>
      <c r="M59" s="511">
        <v>338</v>
      </c>
      <c r="N59" s="511"/>
      <c r="O59" s="82">
        <v>86133</v>
      </c>
    </row>
    <row r="60" spans="1:15">
      <c r="A60" s="504">
        <v>3163</v>
      </c>
      <c r="B60" s="505">
        <v>61985</v>
      </c>
      <c r="C60" s="513">
        <v>43402</v>
      </c>
      <c r="D60" s="511"/>
      <c r="E60" s="511"/>
      <c r="F60" s="511"/>
      <c r="G60" s="511"/>
      <c r="H60" s="520">
        <v>481</v>
      </c>
      <c r="I60" s="524">
        <v>575</v>
      </c>
      <c r="J60" s="511">
        <v>22</v>
      </c>
      <c r="K60" s="511"/>
      <c r="L60" s="511"/>
      <c r="M60" s="511">
        <v>8950</v>
      </c>
      <c r="N60" s="511"/>
      <c r="O60" s="82">
        <v>17142</v>
      </c>
    </row>
    <row r="61" spans="1:15">
      <c r="A61" s="504">
        <v>3163</v>
      </c>
      <c r="B61" s="505">
        <v>14546</v>
      </c>
      <c r="C61" s="513">
        <v>9300</v>
      </c>
      <c r="D61" s="511"/>
      <c r="E61" s="511"/>
      <c r="F61" s="511"/>
      <c r="G61" s="511"/>
      <c r="H61" s="520">
        <v>68</v>
      </c>
      <c r="I61" s="524">
        <v>5355</v>
      </c>
      <c r="J61" s="511"/>
      <c r="K61" s="511"/>
      <c r="L61" s="511"/>
      <c r="M61" s="511">
        <v>1755</v>
      </c>
      <c r="N61" s="511"/>
      <c r="O61" s="82">
        <v>15391</v>
      </c>
    </row>
    <row r="62" spans="1:15">
      <c r="A62" s="504">
        <v>3163</v>
      </c>
      <c r="B62" s="505"/>
      <c r="C62" s="513">
        <v>10736</v>
      </c>
      <c r="D62" s="511"/>
      <c r="E62" s="511"/>
      <c r="F62" s="511"/>
      <c r="G62" s="511"/>
      <c r="H62" s="520">
        <v>382</v>
      </c>
      <c r="I62" s="524">
        <v>12533</v>
      </c>
      <c r="J62" s="511"/>
      <c r="K62" s="511"/>
      <c r="L62" s="511"/>
      <c r="M62" s="511">
        <v>1449</v>
      </c>
      <c r="N62" s="511"/>
      <c r="O62" s="82">
        <v>14364</v>
      </c>
    </row>
    <row r="63" spans="1:15">
      <c r="A63" s="504">
        <v>3163</v>
      </c>
      <c r="B63" s="505">
        <v>128063</v>
      </c>
      <c r="C63" s="513">
        <v>56166</v>
      </c>
      <c r="D63" s="511">
        <v>1440</v>
      </c>
      <c r="E63" s="511"/>
      <c r="F63" s="511"/>
      <c r="G63" s="511"/>
      <c r="H63" s="520">
        <v>2813</v>
      </c>
      <c r="I63" s="524">
        <v>6405</v>
      </c>
      <c r="J63" s="511">
        <v>8383</v>
      </c>
      <c r="K63" s="511"/>
      <c r="L63" s="511"/>
      <c r="M63" s="511">
        <v>26875</v>
      </c>
      <c r="N63" s="511"/>
      <c r="O63" s="82">
        <v>127678</v>
      </c>
    </row>
    <row r="64" spans="1:15">
      <c r="A64" s="504">
        <v>3163</v>
      </c>
      <c r="B64" s="505">
        <v>289196</v>
      </c>
      <c r="C64" s="513">
        <v>125256</v>
      </c>
      <c r="D64" s="511">
        <v>170627</v>
      </c>
      <c r="E64" s="511"/>
      <c r="F64" s="511"/>
      <c r="G64" s="511"/>
      <c r="H64" s="520">
        <v>3578</v>
      </c>
      <c r="I64" s="524">
        <v>13709</v>
      </c>
      <c r="J64" s="511">
        <v>5610</v>
      </c>
      <c r="K64" s="511">
        <v>4019</v>
      </c>
      <c r="L64" s="511"/>
      <c r="M64" s="511">
        <v>21742</v>
      </c>
      <c r="N64" s="511"/>
      <c r="O64" s="82">
        <v>326648</v>
      </c>
    </row>
    <row r="65" spans="1:15">
      <c r="A65" s="504">
        <v>3163</v>
      </c>
      <c r="B65" s="505">
        <v>338474</v>
      </c>
      <c r="C65" s="513">
        <v>260740</v>
      </c>
      <c r="D65" s="511">
        <v>39039</v>
      </c>
      <c r="E65" s="511"/>
      <c r="F65" s="511"/>
      <c r="G65" s="511"/>
      <c r="H65" s="520">
        <v>11774</v>
      </c>
      <c r="I65" s="524">
        <v>11392</v>
      </c>
      <c r="J65" s="511"/>
      <c r="K65" s="511"/>
      <c r="L65" s="511"/>
      <c r="M65" s="511">
        <v>63824</v>
      </c>
      <c r="N65" s="511"/>
      <c r="O65" s="82">
        <v>149944</v>
      </c>
    </row>
    <row r="66" spans="1:15">
      <c r="A66" s="504">
        <v>3163</v>
      </c>
      <c r="B66" s="505">
        <v>13643</v>
      </c>
      <c r="C66" s="513">
        <v>15880</v>
      </c>
      <c r="D66" s="511">
        <v>1778</v>
      </c>
      <c r="E66" s="511"/>
      <c r="F66" s="511"/>
      <c r="G66" s="511"/>
      <c r="H66" s="520">
        <v>151</v>
      </c>
      <c r="I66" s="524">
        <v>27</v>
      </c>
      <c r="J66" s="511"/>
      <c r="K66" s="511">
        <v>20</v>
      </c>
      <c r="L66" s="511"/>
      <c r="M66" s="511">
        <v>104</v>
      </c>
      <c r="N66" s="511"/>
      <c r="O66" s="82">
        <v>3078</v>
      </c>
    </row>
    <row r="67" spans="1:15">
      <c r="A67" s="504">
        <v>3163</v>
      </c>
      <c r="B67" s="505">
        <v>309322</v>
      </c>
      <c r="C67" s="513">
        <v>120393</v>
      </c>
      <c r="D67" s="511"/>
      <c r="E67" s="511">
        <v>281579</v>
      </c>
      <c r="F67" s="511"/>
      <c r="G67" s="511"/>
      <c r="H67" s="520">
        <v>5351</v>
      </c>
      <c r="I67" s="524">
        <v>6257</v>
      </c>
      <c r="J67" s="511"/>
      <c r="K67" s="511"/>
      <c r="L67" s="511"/>
      <c r="M67" s="511">
        <v>9001</v>
      </c>
      <c r="N67" s="511"/>
      <c r="O67" s="82">
        <v>302188</v>
      </c>
    </row>
    <row r="68" spans="1:15">
      <c r="A68" s="504">
        <v>3163</v>
      </c>
      <c r="B68" s="505">
        <v>109973</v>
      </c>
      <c r="C68" s="513">
        <v>39546</v>
      </c>
      <c r="D68" s="511">
        <v>37278</v>
      </c>
      <c r="E68" s="511"/>
      <c r="F68" s="511"/>
      <c r="G68" s="511"/>
      <c r="H68" s="520">
        <v>1300</v>
      </c>
      <c r="I68" s="524">
        <v>3973</v>
      </c>
      <c r="J68" s="511">
        <v>961</v>
      </c>
      <c r="K68" s="511"/>
      <c r="L68" s="511"/>
      <c r="M68" s="511">
        <v>9954</v>
      </c>
      <c r="N68" s="511">
        <v>25907</v>
      </c>
      <c r="O68" s="82">
        <v>93906</v>
      </c>
    </row>
    <row r="69" spans="1:15">
      <c r="A69" s="504">
        <v>3163</v>
      </c>
      <c r="B69" s="505">
        <v>40849</v>
      </c>
      <c r="C69" s="513">
        <v>41476</v>
      </c>
      <c r="D69" s="511">
        <v>7325</v>
      </c>
      <c r="E69" s="511"/>
      <c r="F69" s="511"/>
      <c r="G69" s="511"/>
      <c r="H69" s="520">
        <v>1819</v>
      </c>
      <c r="I69" s="524">
        <v>13326</v>
      </c>
      <c r="J69" s="511"/>
      <c r="K69" s="511"/>
      <c r="L69" s="511"/>
      <c r="M69" s="511">
        <v>3220</v>
      </c>
      <c r="N69" s="511"/>
      <c r="O69" s="82">
        <v>168906</v>
      </c>
    </row>
    <row r="70" spans="1:15">
      <c r="A70" s="504">
        <v>3163</v>
      </c>
      <c r="B70" s="505">
        <v>15609</v>
      </c>
      <c r="C70" s="513">
        <v>552</v>
      </c>
      <c r="D70" s="511"/>
      <c r="E70" s="511"/>
      <c r="F70" s="511"/>
      <c r="G70" s="511"/>
      <c r="H70" s="520"/>
      <c r="I70" s="524">
        <v>13</v>
      </c>
      <c r="J70" s="511"/>
      <c r="K70" s="511"/>
      <c r="L70" s="511"/>
      <c r="M70" s="511"/>
      <c r="N70" s="511"/>
      <c r="O70" s="82">
        <v>18979</v>
      </c>
    </row>
    <row r="71" spans="1:15">
      <c r="A71" s="504">
        <v>3163</v>
      </c>
      <c r="B71" s="505">
        <v>85300</v>
      </c>
      <c r="C71" s="513">
        <v>54737</v>
      </c>
      <c r="D71" s="511"/>
      <c r="E71" s="511"/>
      <c r="F71" s="511"/>
      <c r="G71" s="511"/>
      <c r="H71" s="520"/>
      <c r="I71" s="524">
        <v>1414</v>
      </c>
      <c r="J71" s="511"/>
      <c r="K71" s="511"/>
      <c r="L71" s="511">
        <v>5226</v>
      </c>
      <c r="M71" s="511"/>
      <c r="N71" s="511"/>
      <c r="O71" s="82">
        <v>357434</v>
      </c>
    </row>
    <row r="72" spans="1:15">
      <c r="A72" s="504">
        <v>3163</v>
      </c>
      <c r="B72" s="505">
        <v>47234</v>
      </c>
      <c r="C72" s="513">
        <v>17670</v>
      </c>
      <c r="D72" s="511"/>
      <c r="E72" s="511"/>
      <c r="F72" s="511"/>
      <c r="G72" s="511">
        <v>9204</v>
      </c>
      <c r="H72" s="520"/>
      <c r="I72" s="524"/>
      <c r="J72" s="511">
        <v>21</v>
      </c>
      <c r="K72" s="511"/>
      <c r="L72" s="511">
        <v>8709</v>
      </c>
      <c r="M72" s="511">
        <v>799</v>
      </c>
      <c r="N72" s="511">
        <v>389</v>
      </c>
      <c r="O72" s="82">
        <v>37102</v>
      </c>
    </row>
    <row r="73" spans="1:15">
      <c r="A73" s="504">
        <v>3163</v>
      </c>
      <c r="B73" s="505">
        <v>84259</v>
      </c>
      <c r="C73" s="513">
        <v>102020</v>
      </c>
      <c r="D73" s="511">
        <v>62611</v>
      </c>
      <c r="E73" s="511"/>
      <c r="F73" s="511"/>
      <c r="G73" s="511"/>
      <c r="H73" s="520">
        <v>10330</v>
      </c>
      <c r="I73" s="524">
        <v>23312</v>
      </c>
      <c r="J73" s="511"/>
      <c r="K73" s="511"/>
      <c r="L73" s="511"/>
      <c r="M73" s="511">
        <v>61304</v>
      </c>
      <c r="N73" s="511"/>
      <c r="O73" s="82">
        <v>189511</v>
      </c>
    </row>
    <row r="74" spans="1:15">
      <c r="A74" s="504">
        <v>3163</v>
      </c>
      <c r="B74" s="505">
        <v>929050</v>
      </c>
      <c r="C74" s="513">
        <v>280661</v>
      </c>
      <c r="D74" s="511">
        <v>213444</v>
      </c>
      <c r="E74" s="511"/>
      <c r="F74" s="511"/>
      <c r="G74" s="511"/>
      <c r="H74" s="520">
        <v>14837</v>
      </c>
      <c r="I74" s="524">
        <v>9311</v>
      </c>
      <c r="J74" s="511">
        <v>2441</v>
      </c>
      <c r="K74" s="511">
        <v>15071</v>
      </c>
      <c r="L74" s="511">
        <v>-30</v>
      </c>
      <c r="M74" s="511">
        <v>63883</v>
      </c>
      <c r="N74" s="511"/>
      <c r="O74" s="82">
        <v>620139</v>
      </c>
    </row>
    <row r="75" spans="1:15">
      <c r="A75" s="504">
        <v>3163</v>
      </c>
      <c r="B75" s="505">
        <v>54854.03</v>
      </c>
      <c r="C75" s="513">
        <v>153012</v>
      </c>
      <c r="D75" s="511"/>
      <c r="E75" s="511"/>
      <c r="F75" s="511"/>
      <c r="G75" s="511"/>
      <c r="H75" s="520">
        <v>1558.96</v>
      </c>
      <c r="I75" s="524">
        <v>23067.66</v>
      </c>
      <c r="J75" s="511"/>
      <c r="K75" s="511"/>
      <c r="L75" s="511">
        <v>1545.16</v>
      </c>
      <c r="M75" s="511">
        <v>4821.43</v>
      </c>
      <c r="N75" s="511"/>
      <c r="O75" s="82">
        <v>42118.96</v>
      </c>
    </row>
    <row r="76" spans="1:15">
      <c r="A76" s="504">
        <v>3163</v>
      </c>
      <c r="B76" s="505">
        <v>5314.22</v>
      </c>
      <c r="C76" s="513">
        <v>8994</v>
      </c>
      <c r="D76" s="511"/>
      <c r="E76" s="511"/>
      <c r="F76" s="511"/>
      <c r="G76" s="511"/>
      <c r="H76" s="520"/>
      <c r="I76" s="524"/>
      <c r="J76" s="511"/>
      <c r="K76" s="511"/>
      <c r="L76" s="511"/>
      <c r="M76" s="511"/>
      <c r="N76" s="511"/>
      <c r="O76" s="82">
        <v>14174</v>
      </c>
    </row>
    <row r="77" spans="1:15">
      <c r="A77" s="504">
        <v>3163</v>
      </c>
      <c r="B77" s="505">
        <v>70487</v>
      </c>
      <c r="C77" s="513">
        <v>11569</v>
      </c>
      <c r="D77" s="511"/>
      <c r="E77" s="511"/>
      <c r="F77" s="511"/>
      <c r="G77" s="511"/>
      <c r="H77" s="520">
        <v>1444</v>
      </c>
      <c r="I77" s="524">
        <v>8006</v>
      </c>
      <c r="J77" s="511"/>
      <c r="K77" s="511"/>
      <c r="L77" s="511"/>
      <c r="M77" s="511">
        <v>27259</v>
      </c>
      <c r="N77" s="511"/>
      <c r="O77" s="82">
        <v>47884</v>
      </c>
    </row>
    <row r="78" spans="1:15">
      <c r="A78" s="504">
        <v>3163</v>
      </c>
      <c r="B78" s="505">
        <v>954970</v>
      </c>
      <c r="C78" s="513">
        <v>226861</v>
      </c>
      <c r="D78" s="511">
        <v>6150</v>
      </c>
      <c r="E78" s="511"/>
      <c r="F78" s="511"/>
      <c r="G78" s="511"/>
      <c r="H78" s="520">
        <v>765</v>
      </c>
      <c r="I78" s="524">
        <v>21226</v>
      </c>
      <c r="J78" s="511"/>
      <c r="K78" s="511"/>
      <c r="L78" s="511"/>
      <c r="M78" s="511">
        <v>45004</v>
      </c>
      <c r="N78" s="511">
        <v>27190</v>
      </c>
      <c r="O78" s="82">
        <v>855271</v>
      </c>
    </row>
    <row r="79" spans="1:15">
      <c r="A79" s="504">
        <v>3163</v>
      </c>
      <c r="B79" s="505">
        <v>115598</v>
      </c>
      <c r="C79" s="513">
        <v>16237</v>
      </c>
      <c r="D79" s="511"/>
      <c r="E79" s="511"/>
      <c r="F79" s="511"/>
      <c r="G79" s="511"/>
      <c r="H79" s="520">
        <v>568</v>
      </c>
      <c r="I79" s="524">
        <v>6970</v>
      </c>
      <c r="J79" s="511"/>
      <c r="K79" s="511"/>
      <c r="L79" s="511"/>
      <c r="M79" s="511">
        <v>9771</v>
      </c>
      <c r="N79" s="511">
        <v>2597</v>
      </c>
      <c r="O79" s="82">
        <v>51618</v>
      </c>
    </row>
    <row r="80" spans="1:15">
      <c r="A80" s="504">
        <v>3163</v>
      </c>
      <c r="B80" s="505">
        <v>43153</v>
      </c>
      <c r="C80" s="513">
        <v>25688</v>
      </c>
      <c r="D80" s="511"/>
      <c r="E80" s="511"/>
      <c r="F80" s="511"/>
      <c r="G80" s="511"/>
      <c r="H80" s="520">
        <v>1143</v>
      </c>
      <c r="I80" s="524">
        <v>76</v>
      </c>
      <c r="J80" s="511"/>
      <c r="K80" s="511"/>
      <c r="L80" s="511"/>
      <c r="M80" s="511">
        <v>5136</v>
      </c>
      <c r="N80" s="511"/>
      <c r="O80" s="82">
        <v>9175</v>
      </c>
    </row>
    <row r="81" spans="1:15">
      <c r="A81" s="504">
        <v>3163</v>
      </c>
      <c r="B81" s="505">
        <v>49958</v>
      </c>
      <c r="C81" s="513">
        <v>18875</v>
      </c>
      <c r="D81" s="511"/>
      <c r="E81" s="511"/>
      <c r="F81" s="511">
        <v>3152</v>
      </c>
      <c r="G81" s="511"/>
      <c r="H81" s="520">
        <v>424</v>
      </c>
      <c r="I81" s="524">
        <v>6331</v>
      </c>
      <c r="J81" s="511"/>
      <c r="K81" s="511"/>
      <c r="L81" s="511">
        <v>10645</v>
      </c>
      <c r="M81" s="511">
        <v>19147</v>
      </c>
      <c r="N81" s="511"/>
      <c r="O81" s="82">
        <v>52106</v>
      </c>
    </row>
    <row r="82" spans="1:15">
      <c r="A82" s="504">
        <v>3163</v>
      </c>
      <c r="B82" s="505"/>
      <c r="C82" s="513">
        <v>740</v>
      </c>
      <c r="D82" s="511"/>
      <c r="E82" s="511"/>
      <c r="F82" s="511"/>
      <c r="G82" s="511"/>
      <c r="H82" s="520"/>
      <c r="I82" s="524"/>
      <c r="J82" s="511"/>
      <c r="K82" s="511"/>
      <c r="L82" s="511"/>
      <c r="M82" s="511"/>
      <c r="N82" s="511"/>
      <c r="O82" s="82"/>
    </row>
    <row r="83" spans="1:15">
      <c r="A83" s="504">
        <v>3163</v>
      </c>
      <c r="B83" s="505">
        <v>1395</v>
      </c>
      <c r="C83" s="513">
        <v>6880</v>
      </c>
      <c r="D83" s="511"/>
      <c r="E83" s="511"/>
      <c r="F83" s="511"/>
      <c r="G83" s="511"/>
      <c r="H83" s="520">
        <v>59</v>
      </c>
      <c r="I83" s="524">
        <v>1283</v>
      </c>
      <c r="J83" s="511"/>
      <c r="K83" s="511"/>
      <c r="L83" s="511"/>
      <c r="M83" s="511">
        <v>260</v>
      </c>
      <c r="N83" s="511">
        <v>3901</v>
      </c>
      <c r="O83" s="82">
        <v>10488</v>
      </c>
    </row>
    <row r="84" spans="1:15">
      <c r="A84" s="504">
        <v>3163</v>
      </c>
      <c r="B84" s="505">
        <v>113812</v>
      </c>
      <c r="C84" s="513">
        <v>70859</v>
      </c>
      <c r="D84" s="511"/>
      <c r="E84" s="511"/>
      <c r="F84" s="511">
        <v>604</v>
      </c>
      <c r="G84" s="511"/>
      <c r="H84" s="520">
        <v>2608</v>
      </c>
      <c r="I84" s="524">
        <v>3126</v>
      </c>
      <c r="J84" s="511"/>
      <c r="K84" s="511"/>
      <c r="L84" s="511">
        <v>20217</v>
      </c>
      <c r="M84" s="511">
        <v>19314</v>
      </c>
      <c r="N84" s="511"/>
      <c r="O84" s="82">
        <v>56935</v>
      </c>
    </row>
    <row r="85" spans="1:15">
      <c r="A85" s="504">
        <v>3163</v>
      </c>
      <c r="B85" s="505">
        <v>146511</v>
      </c>
      <c r="C85" s="513">
        <v>88511</v>
      </c>
      <c r="D85" s="511">
        <v>880</v>
      </c>
      <c r="E85" s="511"/>
      <c r="F85" s="511"/>
      <c r="G85" s="511"/>
      <c r="H85" s="520">
        <v>4804</v>
      </c>
      <c r="I85" s="524">
        <v>604</v>
      </c>
      <c r="J85" s="511"/>
      <c r="K85" s="511"/>
      <c r="L85" s="511"/>
      <c r="M85" s="511">
        <v>16565</v>
      </c>
      <c r="N85" s="511">
        <v>5101</v>
      </c>
      <c r="O85" s="82">
        <v>70518</v>
      </c>
    </row>
    <row r="86" spans="1:15">
      <c r="A86" s="504">
        <v>3163</v>
      </c>
      <c r="B86" s="505">
        <v>37936</v>
      </c>
      <c r="C86" s="513">
        <v>50166</v>
      </c>
      <c r="D86" s="511">
        <v>29</v>
      </c>
      <c r="E86" s="511"/>
      <c r="F86" s="511"/>
      <c r="G86" s="511">
        <v>22708</v>
      </c>
      <c r="H86" s="520">
        <v>524</v>
      </c>
      <c r="I86" s="524">
        <v>1094</v>
      </c>
      <c r="J86" s="511"/>
      <c r="K86" s="511"/>
      <c r="L86" s="511"/>
      <c r="M86" s="511">
        <v>8382</v>
      </c>
      <c r="N86" s="511">
        <v>1188</v>
      </c>
      <c r="O86" s="82">
        <v>34612</v>
      </c>
    </row>
    <row r="87" spans="1:15">
      <c r="A87" s="504">
        <v>3163</v>
      </c>
      <c r="B87" s="505">
        <v>153149.26</v>
      </c>
      <c r="C87" s="513">
        <v>127882</v>
      </c>
      <c r="D87" s="511">
        <v>23817.5</v>
      </c>
      <c r="E87" s="511"/>
      <c r="F87" s="511"/>
      <c r="G87" s="511"/>
      <c r="H87" s="520">
        <v>12503.08</v>
      </c>
      <c r="I87" s="524">
        <v>1827.12</v>
      </c>
      <c r="J87" s="511">
        <v>2182.7800000000002</v>
      </c>
      <c r="K87" s="511"/>
      <c r="L87" s="511">
        <v>420.75</v>
      </c>
      <c r="M87" s="511">
        <v>12589.21</v>
      </c>
      <c r="N87" s="511"/>
      <c r="O87" s="82">
        <v>184811.58</v>
      </c>
    </row>
    <row r="88" spans="1:15">
      <c r="A88" s="504">
        <v>3163</v>
      </c>
      <c r="B88" s="505">
        <v>57585</v>
      </c>
      <c r="C88" s="513">
        <v>628</v>
      </c>
      <c r="D88" s="511">
        <v>10145</v>
      </c>
      <c r="E88" s="511"/>
      <c r="F88" s="511"/>
      <c r="G88" s="511"/>
      <c r="H88" s="520">
        <v>887</v>
      </c>
      <c r="I88" s="524"/>
      <c r="J88" s="511">
        <v>35</v>
      </c>
      <c r="K88" s="511"/>
      <c r="L88" s="511"/>
      <c r="M88" s="511">
        <v>11026</v>
      </c>
      <c r="N88" s="511"/>
      <c r="O88" s="82">
        <v>41351</v>
      </c>
    </row>
    <row r="89" spans="1:15">
      <c r="A89" s="504">
        <v>3163</v>
      </c>
      <c r="B89" s="505">
        <v>8847</v>
      </c>
      <c r="C89" s="513">
        <v>6600</v>
      </c>
      <c r="D89" s="511"/>
      <c r="E89" s="511"/>
      <c r="F89" s="511">
        <v>764</v>
      </c>
      <c r="G89" s="511"/>
      <c r="H89" s="520">
        <v>243</v>
      </c>
      <c r="I89" s="524"/>
      <c r="J89" s="511"/>
      <c r="K89" s="511"/>
      <c r="L89" s="511">
        <v>26091</v>
      </c>
      <c r="M89" s="511">
        <v>208</v>
      </c>
      <c r="N89" s="511"/>
      <c r="O89" s="82">
        <v>39331</v>
      </c>
    </row>
    <row r="90" spans="1:15">
      <c r="A90" s="504">
        <v>3163</v>
      </c>
      <c r="B90" s="505">
        <v>40955</v>
      </c>
      <c r="C90" s="513">
        <v>20490</v>
      </c>
      <c r="D90" s="511"/>
      <c r="E90" s="511"/>
      <c r="F90" s="511"/>
      <c r="G90" s="511"/>
      <c r="H90" s="520"/>
      <c r="I90" s="524"/>
      <c r="J90" s="511"/>
      <c r="K90" s="511"/>
      <c r="L90" s="511"/>
      <c r="M90" s="511">
        <v>15252</v>
      </c>
      <c r="N90" s="511"/>
      <c r="O90" s="82">
        <v>48781</v>
      </c>
    </row>
    <row r="91" spans="1:15">
      <c r="A91" s="504">
        <v>3163</v>
      </c>
      <c r="B91" s="505">
        <v>48097</v>
      </c>
      <c r="C91" s="513">
        <v>19710</v>
      </c>
      <c r="D91" s="511"/>
      <c r="E91" s="511"/>
      <c r="F91" s="511"/>
      <c r="G91" s="511"/>
      <c r="H91" s="520">
        <v>8111</v>
      </c>
      <c r="I91" s="524">
        <v>17083</v>
      </c>
      <c r="J91" s="511"/>
      <c r="K91" s="511"/>
      <c r="L91" s="511">
        <v>596</v>
      </c>
      <c r="M91" s="511">
        <v>4131</v>
      </c>
      <c r="N91" s="511"/>
      <c r="O91" s="82">
        <v>30448</v>
      </c>
    </row>
    <row r="92" spans="1:15">
      <c r="A92" s="504">
        <v>3163</v>
      </c>
      <c r="B92" s="505">
        <v>106286</v>
      </c>
      <c r="C92" s="513">
        <v>106620</v>
      </c>
      <c r="D92" s="511"/>
      <c r="E92" s="511"/>
      <c r="F92" s="511"/>
      <c r="G92" s="511">
        <v>69376</v>
      </c>
      <c r="H92" s="520">
        <v>1835</v>
      </c>
      <c r="I92" s="524">
        <v>26703</v>
      </c>
      <c r="J92" s="511"/>
      <c r="K92" s="511">
        <v>641</v>
      </c>
      <c r="L92" s="511"/>
      <c r="M92" s="511">
        <v>13839</v>
      </c>
      <c r="N92" s="511">
        <v>1158</v>
      </c>
      <c r="O92" s="82">
        <v>116050</v>
      </c>
    </row>
    <row r="93" spans="1:15">
      <c r="A93" s="504">
        <v>3163</v>
      </c>
      <c r="B93" s="505">
        <v>68859</v>
      </c>
      <c r="C93" s="513">
        <v>0</v>
      </c>
      <c r="D93" s="511"/>
      <c r="E93" s="511"/>
      <c r="F93" s="511"/>
      <c r="G93" s="511"/>
      <c r="H93" s="520"/>
      <c r="I93" s="524"/>
      <c r="J93" s="511"/>
      <c r="K93" s="511"/>
      <c r="L93" s="511"/>
      <c r="M93" s="511">
        <v>5538</v>
      </c>
      <c r="N93" s="511">
        <v>382</v>
      </c>
      <c r="O93" s="82">
        <v>43636</v>
      </c>
    </row>
    <row r="94" spans="1:15">
      <c r="A94" s="504">
        <v>3163</v>
      </c>
      <c r="B94" s="505"/>
      <c r="C94" s="513">
        <v>17225</v>
      </c>
      <c r="D94" s="511"/>
      <c r="E94" s="511"/>
      <c r="F94" s="511"/>
      <c r="G94" s="511"/>
      <c r="H94" s="520"/>
      <c r="I94" s="524"/>
      <c r="J94" s="511"/>
      <c r="K94" s="511"/>
      <c r="L94" s="511"/>
      <c r="M94" s="511"/>
      <c r="N94" s="511"/>
      <c r="O94" s="82"/>
    </row>
    <row r="95" spans="1:15">
      <c r="A95" s="504">
        <v>3163</v>
      </c>
      <c r="B95" s="505">
        <v>272222</v>
      </c>
      <c r="C95" s="513">
        <v>4662</v>
      </c>
      <c r="D95" s="511"/>
      <c r="E95" s="511"/>
      <c r="F95" s="511">
        <v>9182</v>
      </c>
      <c r="G95" s="511"/>
      <c r="H95" s="520">
        <v>1455</v>
      </c>
      <c r="I95" s="524">
        <v>6680</v>
      </c>
      <c r="J95" s="511">
        <v>139</v>
      </c>
      <c r="K95" s="511">
        <v>6377</v>
      </c>
      <c r="L95" s="511"/>
      <c r="M95" s="511">
        <v>6373</v>
      </c>
      <c r="N95" s="511"/>
      <c r="O95" s="82">
        <v>75268</v>
      </c>
    </row>
    <row r="96" spans="1:15">
      <c r="A96" s="504">
        <v>3163</v>
      </c>
      <c r="B96" s="505">
        <v>265585</v>
      </c>
      <c r="C96" s="513">
        <v>104541</v>
      </c>
      <c r="D96" s="511"/>
      <c r="E96" s="511"/>
      <c r="F96" s="511"/>
      <c r="G96" s="511"/>
      <c r="H96" s="520">
        <v>8954</v>
      </c>
      <c r="I96" s="524">
        <v>9400</v>
      </c>
      <c r="J96" s="511"/>
      <c r="K96" s="511"/>
      <c r="L96" s="511"/>
      <c r="M96" s="511">
        <v>27261</v>
      </c>
      <c r="N96" s="511">
        <v>5105</v>
      </c>
      <c r="O96" s="82">
        <v>417010</v>
      </c>
    </row>
    <row r="97" spans="1:15">
      <c r="A97" s="504">
        <v>3163</v>
      </c>
      <c r="B97" s="505">
        <v>239634</v>
      </c>
      <c r="C97" s="513">
        <v>99449</v>
      </c>
      <c r="D97" s="511"/>
      <c r="E97" s="511"/>
      <c r="F97" s="511"/>
      <c r="G97" s="511"/>
      <c r="H97" s="520">
        <v>3146</v>
      </c>
      <c r="I97" s="524">
        <v>12205</v>
      </c>
      <c r="J97" s="511"/>
      <c r="K97" s="511"/>
      <c r="L97" s="511"/>
      <c r="M97" s="511">
        <v>30786</v>
      </c>
      <c r="N97" s="511"/>
      <c r="O97" s="82">
        <v>75909</v>
      </c>
    </row>
    <row r="98" spans="1:15">
      <c r="A98" s="504">
        <v>3163</v>
      </c>
      <c r="B98" s="505">
        <v>169238</v>
      </c>
      <c r="C98" s="513">
        <v>131868</v>
      </c>
      <c r="D98" s="511">
        <v>25889</v>
      </c>
      <c r="E98" s="511"/>
      <c r="F98" s="511"/>
      <c r="G98" s="511"/>
      <c r="H98" s="520">
        <v>1003</v>
      </c>
      <c r="I98" s="524">
        <v>35653</v>
      </c>
      <c r="J98" s="511"/>
      <c r="K98" s="511">
        <v>9869</v>
      </c>
      <c r="L98" s="511"/>
      <c r="M98" s="511">
        <v>33689</v>
      </c>
      <c r="N98" s="511"/>
      <c r="O98" s="82">
        <v>159931</v>
      </c>
    </row>
    <row r="99" spans="1:15">
      <c r="A99" s="504">
        <v>3163</v>
      </c>
      <c r="B99" s="505">
        <v>272638.24</v>
      </c>
      <c r="C99" s="513">
        <v>65788</v>
      </c>
      <c r="D99" s="511">
        <v>97964</v>
      </c>
      <c r="E99" s="511"/>
      <c r="F99" s="511"/>
      <c r="G99" s="511"/>
      <c r="H99" s="520">
        <v>11992.05</v>
      </c>
      <c r="I99" s="524">
        <v>1955.45</v>
      </c>
      <c r="J99" s="511">
        <v>1547.3</v>
      </c>
      <c r="K99" s="511"/>
      <c r="L99" s="511"/>
      <c r="M99" s="511">
        <v>22456.81</v>
      </c>
      <c r="N99" s="511"/>
      <c r="O99" s="82">
        <v>156043.32</v>
      </c>
    </row>
    <row r="100" spans="1:15">
      <c r="A100" s="504">
        <v>3163</v>
      </c>
      <c r="B100" s="505">
        <v>50974</v>
      </c>
      <c r="C100" s="513">
        <v>10336</v>
      </c>
      <c r="D100" s="511">
        <v>3272</v>
      </c>
      <c r="E100" s="511"/>
      <c r="F100" s="511"/>
      <c r="G100" s="511"/>
      <c r="H100" s="520">
        <v>2948</v>
      </c>
      <c r="I100" s="524">
        <v>1797</v>
      </c>
      <c r="J100" s="511"/>
      <c r="K100" s="511"/>
      <c r="L100" s="511">
        <v>924</v>
      </c>
      <c r="M100" s="511">
        <v>10003</v>
      </c>
      <c r="N100" s="511"/>
      <c r="O100" s="82">
        <v>32981</v>
      </c>
    </row>
    <row r="101" spans="1:15">
      <c r="A101" s="504">
        <v>3163</v>
      </c>
      <c r="B101" s="505">
        <v>138526.39000000001</v>
      </c>
      <c r="C101" s="513">
        <v>37165</v>
      </c>
      <c r="D101" s="511">
        <v>19785.5</v>
      </c>
      <c r="E101" s="511"/>
      <c r="F101" s="511"/>
      <c r="G101" s="511"/>
      <c r="H101" s="520">
        <v>8110.42</v>
      </c>
      <c r="I101" s="524">
        <v>1037.26</v>
      </c>
      <c r="J101" s="511"/>
      <c r="K101" s="511"/>
      <c r="L101" s="511">
        <v>18.96</v>
      </c>
      <c r="M101" s="511">
        <v>15539.65</v>
      </c>
      <c r="N101" s="511"/>
      <c r="O101" s="82">
        <v>67610.960000000006</v>
      </c>
    </row>
    <row r="102" spans="1:15">
      <c r="A102" s="504">
        <v>3163</v>
      </c>
      <c r="B102" s="505">
        <v>31849.06</v>
      </c>
      <c r="C102" s="513">
        <v>18900</v>
      </c>
      <c r="D102" s="511">
        <v>20351.52</v>
      </c>
      <c r="E102" s="511"/>
      <c r="F102" s="511"/>
      <c r="G102" s="511"/>
      <c r="H102" s="520">
        <v>4927.32</v>
      </c>
      <c r="I102" s="524">
        <v>413.86</v>
      </c>
      <c r="J102" s="511">
        <v>563.77</v>
      </c>
      <c r="K102" s="511"/>
      <c r="L102" s="511"/>
      <c r="M102" s="511">
        <v>4841.6499999999996</v>
      </c>
      <c r="N102" s="511"/>
      <c r="O102" s="82">
        <v>37031.949999999997</v>
      </c>
    </row>
    <row r="103" spans="1:15">
      <c r="A103" s="504">
        <v>3163</v>
      </c>
      <c r="B103" s="505">
        <v>97756</v>
      </c>
      <c r="C103" s="513">
        <v>59115</v>
      </c>
      <c r="D103" s="511">
        <v>6103</v>
      </c>
      <c r="E103" s="511"/>
      <c r="F103" s="511"/>
      <c r="G103" s="511"/>
      <c r="H103" s="520">
        <v>282</v>
      </c>
      <c r="I103" s="524">
        <v>323</v>
      </c>
      <c r="J103" s="511"/>
      <c r="K103" s="511"/>
      <c r="L103" s="511"/>
      <c r="M103" s="511">
        <v>10334</v>
      </c>
      <c r="N103" s="511"/>
      <c r="O103" s="82">
        <v>39081</v>
      </c>
    </row>
    <row r="104" spans="1:15">
      <c r="A104" s="504">
        <v>3163</v>
      </c>
      <c r="B104" s="505">
        <v>132328</v>
      </c>
      <c r="C104" s="513">
        <v>251761</v>
      </c>
      <c r="D104" s="511">
        <v>34705</v>
      </c>
      <c r="E104" s="511"/>
      <c r="F104" s="511"/>
      <c r="G104" s="511"/>
      <c r="H104" s="520">
        <v>5316</v>
      </c>
      <c r="I104" s="524">
        <v>4154</v>
      </c>
      <c r="J104" s="511"/>
      <c r="K104" s="511">
        <v>1172</v>
      </c>
      <c r="L104" s="511"/>
      <c r="M104" s="511">
        <v>8928</v>
      </c>
      <c r="N104" s="511"/>
      <c r="O104" s="82">
        <v>71442</v>
      </c>
    </row>
    <row r="105" spans="1:15">
      <c r="A105" s="504">
        <v>3163</v>
      </c>
      <c r="B105" s="505">
        <v>121068</v>
      </c>
      <c r="C105" s="513">
        <v>84055</v>
      </c>
      <c r="D105" s="511"/>
      <c r="E105" s="511"/>
      <c r="F105" s="511"/>
      <c r="G105" s="511"/>
      <c r="H105" s="520">
        <v>248</v>
      </c>
      <c r="I105" s="524">
        <v>623</v>
      </c>
      <c r="J105" s="511"/>
      <c r="K105" s="511"/>
      <c r="L105" s="511"/>
      <c r="M105" s="511">
        <v>6212</v>
      </c>
      <c r="N105" s="511"/>
      <c r="O105" s="82">
        <v>429673</v>
      </c>
    </row>
    <row r="106" spans="1:15">
      <c r="A106" s="504">
        <v>3163</v>
      </c>
      <c r="B106" s="505">
        <v>126406</v>
      </c>
      <c r="C106" s="513">
        <v>124454</v>
      </c>
      <c r="D106" s="511">
        <v>250</v>
      </c>
      <c r="E106" s="511">
        <v>607</v>
      </c>
      <c r="F106" s="511"/>
      <c r="G106" s="511"/>
      <c r="H106" s="520">
        <v>6135</v>
      </c>
      <c r="I106" s="524">
        <v>8541</v>
      </c>
      <c r="J106" s="511"/>
      <c r="K106" s="511"/>
      <c r="L106" s="511"/>
      <c r="M106" s="511">
        <v>4415</v>
      </c>
      <c r="N106" s="511"/>
      <c r="O106" s="82">
        <v>34420</v>
      </c>
    </row>
    <row r="107" spans="1:15">
      <c r="A107" s="504">
        <v>3163</v>
      </c>
      <c r="B107" s="505">
        <v>38000</v>
      </c>
      <c r="C107" s="513">
        <v>14577</v>
      </c>
      <c r="D107" s="511"/>
      <c r="E107" s="511"/>
      <c r="F107" s="511"/>
      <c r="G107" s="511"/>
      <c r="H107" s="520">
        <v>820</v>
      </c>
      <c r="I107" s="524">
        <v>4725</v>
      </c>
      <c r="J107" s="511"/>
      <c r="K107" s="511"/>
      <c r="L107" s="511"/>
      <c r="M107" s="511">
        <v>1347</v>
      </c>
      <c r="N107" s="511"/>
      <c r="O107" s="82">
        <v>29616</v>
      </c>
    </row>
    <row r="108" spans="1:15">
      <c r="A108" s="506">
        <v>2251</v>
      </c>
      <c r="B108" s="507">
        <v>12373</v>
      </c>
      <c r="C108" s="513">
        <v>12086</v>
      </c>
      <c r="D108" s="511">
        <v>36</v>
      </c>
      <c r="E108" s="511"/>
      <c r="F108" s="511"/>
      <c r="G108" s="511"/>
      <c r="H108" s="520">
        <v>190</v>
      </c>
      <c r="I108" s="524">
        <v>3273</v>
      </c>
      <c r="J108" s="511"/>
      <c r="K108" s="511"/>
      <c r="L108" s="511"/>
      <c r="M108" s="511">
        <v>238</v>
      </c>
      <c r="N108" s="511">
        <v>2411</v>
      </c>
      <c r="O108" s="82">
        <v>6363</v>
      </c>
    </row>
    <row r="109" spans="1:15">
      <c r="A109" s="506">
        <v>2251</v>
      </c>
      <c r="B109" s="507">
        <v>3264</v>
      </c>
      <c r="C109" s="513">
        <v>1335</v>
      </c>
      <c r="D109" s="511">
        <v>154</v>
      </c>
      <c r="E109" s="511"/>
      <c r="F109" s="511"/>
      <c r="G109" s="511"/>
      <c r="H109" s="520">
        <v>81</v>
      </c>
      <c r="I109" s="524"/>
      <c r="J109" s="511"/>
      <c r="K109" s="511"/>
      <c r="L109" s="511"/>
      <c r="M109" s="511">
        <v>445</v>
      </c>
      <c r="N109" s="511"/>
      <c r="O109" s="82">
        <v>680</v>
      </c>
    </row>
    <row r="110" spans="1:15">
      <c r="A110" s="506">
        <v>2251</v>
      </c>
      <c r="B110" s="507">
        <v>16437</v>
      </c>
      <c r="C110" s="513">
        <v>23081</v>
      </c>
      <c r="D110" s="511"/>
      <c r="E110" s="511"/>
      <c r="F110" s="511"/>
      <c r="G110" s="511"/>
      <c r="H110" s="520">
        <v>265</v>
      </c>
      <c r="I110" s="524"/>
      <c r="J110" s="511"/>
      <c r="K110" s="511"/>
      <c r="L110" s="511"/>
      <c r="M110" s="511">
        <v>328</v>
      </c>
      <c r="N110" s="511"/>
      <c r="O110" s="82">
        <v>3406</v>
      </c>
    </row>
    <row r="111" spans="1:15">
      <c r="A111" s="506">
        <v>2251</v>
      </c>
      <c r="B111" s="507"/>
      <c r="C111" s="513">
        <v>984</v>
      </c>
      <c r="D111" s="511"/>
      <c r="E111" s="511"/>
      <c r="F111" s="511"/>
      <c r="G111" s="511"/>
      <c r="H111" s="520"/>
      <c r="I111" s="524"/>
      <c r="J111" s="511"/>
      <c r="K111" s="511"/>
      <c r="L111" s="511"/>
      <c r="M111" s="511"/>
      <c r="N111" s="511"/>
      <c r="O111" s="82"/>
    </row>
    <row r="112" spans="1:15">
      <c r="A112" s="506">
        <v>2251</v>
      </c>
      <c r="B112" s="507">
        <v>4446</v>
      </c>
      <c r="C112" s="513">
        <v>1800</v>
      </c>
      <c r="D112" s="511">
        <v>435</v>
      </c>
      <c r="E112" s="511"/>
      <c r="F112" s="511"/>
      <c r="G112" s="511"/>
      <c r="H112" s="520">
        <v>152</v>
      </c>
      <c r="I112" s="524">
        <v>78</v>
      </c>
      <c r="J112" s="511">
        <v>50</v>
      </c>
      <c r="K112" s="511"/>
      <c r="L112" s="511"/>
      <c r="M112" s="511">
        <v>189</v>
      </c>
      <c r="N112" s="511">
        <v>5</v>
      </c>
      <c r="O112" s="82">
        <v>3199</v>
      </c>
    </row>
    <row r="113" spans="1:15">
      <c r="A113" s="506">
        <v>2251</v>
      </c>
      <c r="B113" s="507">
        <v>7416</v>
      </c>
      <c r="C113" s="513">
        <v>1994</v>
      </c>
      <c r="D113" s="511">
        <v>3646</v>
      </c>
      <c r="E113" s="511"/>
      <c r="F113" s="511"/>
      <c r="G113" s="511"/>
      <c r="H113" s="520">
        <v>89</v>
      </c>
      <c r="I113" s="524">
        <v>100</v>
      </c>
      <c r="J113" s="511">
        <v>24</v>
      </c>
      <c r="K113" s="511"/>
      <c r="L113" s="511"/>
      <c r="M113" s="511">
        <v>873</v>
      </c>
      <c r="N113" s="511">
        <v>101</v>
      </c>
      <c r="O113" s="82">
        <v>5236</v>
      </c>
    </row>
    <row r="114" spans="1:15">
      <c r="A114" s="506">
        <v>2251</v>
      </c>
      <c r="B114" s="507">
        <v>89665</v>
      </c>
      <c r="C114" s="513">
        <v>0</v>
      </c>
      <c r="D114" s="511"/>
      <c r="E114" s="511"/>
      <c r="F114" s="511"/>
      <c r="G114" s="511"/>
      <c r="H114" s="520">
        <v>679</v>
      </c>
      <c r="I114" s="524">
        <v>6040</v>
      </c>
      <c r="J114" s="511"/>
      <c r="K114" s="511">
        <v>7000</v>
      </c>
      <c r="L114" s="511"/>
      <c r="M114" s="511">
        <v>217</v>
      </c>
      <c r="N114" s="511"/>
      <c r="O114" s="82">
        <v>34776</v>
      </c>
    </row>
    <row r="115" spans="1:15">
      <c r="A115" s="506">
        <v>2251</v>
      </c>
      <c r="B115" s="507">
        <v>5985</v>
      </c>
      <c r="C115" s="513">
        <v>2904</v>
      </c>
      <c r="D115" s="511"/>
      <c r="E115" s="511"/>
      <c r="F115" s="511"/>
      <c r="G115" s="511"/>
      <c r="H115" s="520">
        <v>324</v>
      </c>
      <c r="I115" s="524">
        <v>2640</v>
      </c>
      <c r="J115" s="511"/>
      <c r="K115" s="511"/>
      <c r="L115" s="511"/>
      <c r="M115" s="511">
        <v>1792</v>
      </c>
      <c r="N115" s="511"/>
      <c r="O115" s="82">
        <v>15236</v>
      </c>
    </row>
    <row r="116" spans="1:15">
      <c r="A116" s="506">
        <v>2251</v>
      </c>
      <c r="B116" s="507"/>
      <c r="C116" s="513">
        <v>1441</v>
      </c>
      <c r="D116" s="511"/>
      <c r="E116" s="511"/>
      <c r="F116" s="511"/>
      <c r="G116" s="511"/>
      <c r="H116" s="520"/>
      <c r="I116" s="524"/>
      <c r="J116" s="511"/>
      <c r="K116" s="511"/>
      <c r="L116" s="511"/>
      <c r="M116" s="511"/>
      <c r="N116" s="511"/>
      <c r="O116" s="82"/>
    </row>
    <row r="117" spans="1:15">
      <c r="A117" s="506">
        <v>2251</v>
      </c>
      <c r="B117" s="507">
        <v>9669.2999999999993</v>
      </c>
      <c r="C117" s="513">
        <v>1621</v>
      </c>
      <c r="D117" s="511">
        <v>770.11009999999999</v>
      </c>
      <c r="E117" s="511"/>
      <c r="F117" s="511"/>
      <c r="G117" s="511"/>
      <c r="H117" s="520">
        <v>202.5256</v>
      </c>
      <c r="I117" s="524">
        <v>21.105499999999999</v>
      </c>
      <c r="J117" s="511">
        <v>13.4414</v>
      </c>
      <c r="K117" s="511"/>
      <c r="L117" s="511"/>
      <c r="M117" s="511">
        <v>367.40030000000002</v>
      </c>
      <c r="N117" s="511">
        <v>237.38829999999999</v>
      </c>
      <c r="O117" s="82">
        <v>3242.9202</v>
      </c>
    </row>
    <row r="118" spans="1:15">
      <c r="A118" s="506">
        <v>2251</v>
      </c>
      <c r="B118" s="507">
        <v>3427.2795000000001</v>
      </c>
      <c r="C118" s="513">
        <v>92</v>
      </c>
      <c r="D118" s="511">
        <v>284704.18900000001</v>
      </c>
      <c r="E118" s="511"/>
      <c r="F118" s="511"/>
      <c r="G118" s="511"/>
      <c r="H118" s="520">
        <v>256.57139999999998</v>
      </c>
      <c r="I118" s="524">
        <v>7009.68</v>
      </c>
      <c r="J118" s="511"/>
      <c r="K118" s="511">
        <v>26272.173299999999</v>
      </c>
      <c r="L118" s="511"/>
      <c r="M118" s="511">
        <v>1199.9513999999999</v>
      </c>
      <c r="N118" s="511"/>
      <c r="O118" s="82">
        <v>319442.56520000001</v>
      </c>
    </row>
    <row r="119" spans="1:15">
      <c r="A119" s="506">
        <v>2251</v>
      </c>
      <c r="B119" s="507">
        <v>26722</v>
      </c>
      <c r="C119" s="513">
        <v>6684</v>
      </c>
      <c r="D119" s="511">
        <v>3082</v>
      </c>
      <c r="E119" s="511"/>
      <c r="F119" s="511"/>
      <c r="G119" s="511"/>
      <c r="H119" s="520">
        <v>930</v>
      </c>
      <c r="I119" s="524">
        <v>899</v>
      </c>
      <c r="J119" s="511"/>
      <c r="K119" s="511"/>
      <c r="L119" s="511"/>
      <c r="M119" s="511">
        <v>5056</v>
      </c>
      <c r="N119" s="511"/>
      <c r="O119" s="82">
        <v>11857</v>
      </c>
    </row>
    <row r="120" spans="1:15">
      <c r="A120" s="506">
        <v>2251</v>
      </c>
      <c r="B120" s="507">
        <v>18661</v>
      </c>
      <c r="C120" s="513">
        <v>15892</v>
      </c>
      <c r="D120" s="511">
        <v>127</v>
      </c>
      <c r="E120" s="511"/>
      <c r="F120" s="511"/>
      <c r="G120" s="511"/>
      <c r="H120" s="520">
        <v>169</v>
      </c>
      <c r="I120" s="524">
        <v>126</v>
      </c>
      <c r="J120" s="511">
        <v>26</v>
      </c>
      <c r="K120" s="511">
        <v>242</v>
      </c>
      <c r="L120" s="511"/>
      <c r="M120" s="511">
        <v>800</v>
      </c>
      <c r="N120" s="511"/>
      <c r="O120" s="82">
        <v>5170</v>
      </c>
    </row>
    <row r="121" spans="1:15">
      <c r="A121" s="506">
        <v>2251</v>
      </c>
      <c r="B121" s="507">
        <v>23288</v>
      </c>
      <c r="C121" s="513">
        <v>3412</v>
      </c>
      <c r="D121" s="511"/>
      <c r="E121" s="511"/>
      <c r="F121" s="511"/>
      <c r="G121" s="511"/>
      <c r="H121" s="520"/>
      <c r="I121" s="524">
        <v>2220</v>
      </c>
      <c r="J121" s="511"/>
      <c r="K121" s="511"/>
      <c r="L121" s="511"/>
      <c r="M121" s="511"/>
      <c r="N121" s="511"/>
      <c r="O121" s="82">
        <v>11531</v>
      </c>
    </row>
    <row r="122" spans="1:15">
      <c r="A122" s="506">
        <v>2251</v>
      </c>
      <c r="B122" s="507">
        <v>897089</v>
      </c>
      <c r="C122" s="513">
        <v>283500</v>
      </c>
      <c r="D122" s="511">
        <v>427173</v>
      </c>
      <c r="E122" s="511"/>
      <c r="F122" s="511">
        <v>700</v>
      </c>
      <c r="G122" s="511"/>
      <c r="H122" s="520">
        <v>186150</v>
      </c>
      <c r="I122" s="524">
        <v>45857</v>
      </c>
      <c r="J122" s="511">
        <v>23868</v>
      </c>
      <c r="K122" s="511">
        <v>76919</v>
      </c>
      <c r="L122" s="511"/>
      <c r="M122" s="511">
        <v>29843</v>
      </c>
      <c r="N122" s="511"/>
      <c r="O122" s="82">
        <v>884427</v>
      </c>
    </row>
    <row r="123" spans="1:15">
      <c r="A123" s="506">
        <v>2251</v>
      </c>
      <c r="B123" s="507">
        <v>506</v>
      </c>
      <c r="C123" s="513">
        <v>719</v>
      </c>
      <c r="D123" s="511">
        <v>2</v>
      </c>
      <c r="E123" s="511"/>
      <c r="F123" s="511"/>
      <c r="G123" s="511"/>
      <c r="H123" s="520">
        <v>52</v>
      </c>
      <c r="I123" s="524">
        <v>72</v>
      </c>
      <c r="J123" s="511"/>
      <c r="K123" s="511"/>
      <c r="L123" s="511"/>
      <c r="M123" s="511">
        <v>37</v>
      </c>
      <c r="N123" s="511"/>
      <c r="O123" s="82">
        <v>286</v>
      </c>
    </row>
    <row r="124" spans="1:15">
      <c r="A124" s="506">
        <v>2251</v>
      </c>
      <c r="B124" s="507">
        <v>25</v>
      </c>
      <c r="C124" s="513">
        <v>15</v>
      </c>
      <c r="D124" s="511"/>
      <c r="E124" s="511"/>
      <c r="F124" s="511"/>
      <c r="G124" s="511"/>
      <c r="H124" s="520">
        <v>8</v>
      </c>
      <c r="I124" s="524">
        <v>38</v>
      </c>
      <c r="J124" s="511"/>
      <c r="K124" s="511"/>
      <c r="L124" s="511"/>
      <c r="M124" s="511">
        <v>3</v>
      </c>
      <c r="N124" s="511"/>
      <c r="O124" s="82">
        <v>1319</v>
      </c>
    </row>
    <row r="125" spans="1:15">
      <c r="A125" s="508">
        <v>2253</v>
      </c>
      <c r="B125" s="509">
        <v>14485</v>
      </c>
      <c r="C125" s="513">
        <v>16631</v>
      </c>
      <c r="D125" s="511">
        <v>6465</v>
      </c>
      <c r="E125" s="511"/>
      <c r="F125" s="511"/>
      <c r="G125" s="511"/>
      <c r="H125" s="520">
        <v>1067</v>
      </c>
      <c r="I125" s="524">
        <v>22031</v>
      </c>
      <c r="J125" s="511">
        <v>418</v>
      </c>
      <c r="K125" s="511">
        <v>1427</v>
      </c>
      <c r="L125" s="511"/>
      <c r="M125" s="511">
        <v>2688</v>
      </c>
      <c r="N125" s="511">
        <v>7308</v>
      </c>
      <c r="O125" s="82">
        <v>48388</v>
      </c>
    </row>
    <row r="126" spans="1:15">
      <c r="A126" s="508">
        <v>2253</v>
      </c>
      <c r="B126" s="509">
        <v>3941</v>
      </c>
      <c r="C126" s="513">
        <v>3163</v>
      </c>
      <c r="D126" s="511"/>
      <c r="E126" s="511"/>
      <c r="F126" s="511"/>
      <c r="G126" s="511"/>
      <c r="H126" s="520">
        <v>50</v>
      </c>
      <c r="I126" s="524"/>
      <c r="J126" s="511"/>
      <c r="K126" s="511"/>
      <c r="L126" s="511"/>
      <c r="M126" s="511">
        <v>63</v>
      </c>
      <c r="N126" s="511"/>
      <c r="O126" s="82">
        <v>443</v>
      </c>
    </row>
    <row r="127" spans="1:15">
      <c r="A127" s="508">
        <v>2253</v>
      </c>
      <c r="B127" s="509">
        <v>7416</v>
      </c>
      <c r="C127" s="513">
        <v>1994</v>
      </c>
      <c r="D127" s="511">
        <v>3646</v>
      </c>
      <c r="E127" s="511"/>
      <c r="F127" s="511"/>
      <c r="G127" s="511"/>
      <c r="H127" s="520">
        <v>89</v>
      </c>
      <c r="I127" s="524">
        <v>100</v>
      </c>
      <c r="J127" s="511">
        <v>24</v>
      </c>
      <c r="K127" s="511"/>
      <c r="L127" s="511"/>
      <c r="M127" s="511">
        <v>873</v>
      </c>
      <c r="N127" s="511">
        <v>101</v>
      </c>
      <c r="O127" s="82">
        <v>5236</v>
      </c>
    </row>
    <row r="128" spans="1:15">
      <c r="A128" s="508">
        <v>2253</v>
      </c>
      <c r="B128" s="509">
        <v>172485</v>
      </c>
      <c r="C128" s="513">
        <v>4164</v>
      </c>
      <c r="D128" s="511">
        <v>8760</v>
      </c>
      <c r="E128" s="511"/>
      <c r="F128" s="511"/>
      <c r="G128" s="511"/>
      <c r="H128" s="520">
        <v>996</v>
      </c>
      <c r="I128" s="524">
        <v>3693</v>
      </c>
      <c r="J128" s="511"/>
      <c r="K128" s="511">
        <v>5674</v>
      </c>
      <c r="L128" s="511"/>
      <c r="M128" s="511">
        <v>21664</v>
      </c>
      <c r="N128" s="511"/>
      <c r="O128" s="82">
        <v>144684</v>
      </c>
    </row>
    <row r="129" spans="1:15">
      <c r="A129" s="508">
        <v>2253</v>
      </c>
      <c r="B129" s="509">
        <v>89665</v>
      </c>
      <c r="C129" s="513">
        <v>0</v>
      </c>
      <c r="D129" s="511"/>
      <c r="E129" s="511"/>
      <c r="F129" s="511"/>
      <c r="G129" s="511"/>
      <c r="H129" s="520">
        <v>679</v>
      </c>
      <c r="I129" s="524">
        <v>6040</v>
      </c>
      <c r="J129" s="511"/>
      <c r="K129" s="511">
        <v>7000</v>
      </c>
      <c r="L129" s="511"/>
      <c r="M129" s="511">
        <v>217</v>
      </c>
      <c r="N129" s="511"/>
      <c r="O129" s="82">
        <v>34776</v>
      </c>
    </row>
    <row r="130" spans="1:15">
      <c r="A130" s="508">
        <v>2253</v>
      </c>
      <c r="B130" s="509">
        <v>42411.303500000002</v>
      </c>
      <c r="C130" s="513">
        <v>7110</v>
      </c>
      <c r="D130" s="511">
        <v>3377.8424</v>
      </c>
      <c r="E130" s="511"/>
      <c r="F130" s="511"/>
      <c r="G130" s="511"/>
      <c r="H130" s="520">
        <v>888.31420000000003</v>
      </c>
      <c r="I130" s="524">
        <v>92.572599999999994</v>
      </c>
      <c r="J130" s="511">
        <v>58.956499999999998</v>
      </c>
      <c r="K130" s="511"/>
      <c r="L130" s="511"/>
      <c r="M130" s="511">
        <v>1611.4842000000001</v>
      </c>
      <c r="N130" s="511">
        <v>1041.2281</v>
      </c>
      <c r="O130" s="82">
        <v>14224.036099999999</v>
      </c>
    </row>
    <row r="131" spans="1:15">
      <c r="A131" s="508">
        <v>2253</v>
      </c>
      <c r="B131" s="509"/>
      <c r="C131" s="513">
        <v>852</v>
      </c>
      <c r="D131" s="511"/>
      <c r="E131" s="511"/>
      <c r="F131" s="511"/>
      <c r="G131" s="511"/>
      <c r="H131" s="520"/>
      <c r="I131" s="524">
        <v>726</v>
      </c>
      <c r="J131" s="511"/>
      <c r="K131" s="511"/>
      <c r="L131" s="511"/>
      <c r="M131" s="511"/>
      <c r="N131" s="511"/>
      <c r="O131" s="82">
        <v>726</v>
      </c>
    </row>
    <row r="132" spans="1:15">
      <c r="A132" s="510">
        <v>2144</v>
      </c>
      <c r="B132" s="511">
        <v>51693.73</v>
      </c>
      <c r="C132" s="513">
        <v>34441</v>
      </c>
      <c r="D132" s="511">
        <v>31699.74</v>
      </c>
      <c r="E132" s="511"/>
      <c r="F132" s="511"/>
      <c r="G132" s="511"/>
      <c r="H132" s="520">
        <v>288.33999999999997</v>
      </c>
      <c r="I132" s="524">
        <v>5531.48</v>
      </c>
      <c r="J132" s="511"/>
      <c r="K132" s="511"/>
      <c r="L132" s="511"/>
      <c r="M132" s="511">
        <v>14606.14</v>
      </c>
      <c r="N132" s="511"/>
      <c r="O132" s="82">
        <v>83999.75</v>
      </c>
    </row>
    <row r="133" spans="1:15">
      <c r="A133" s="510">
        <v>2144</v>
      </c>
      <c r="B133" s="511"/>
      <c r="C133" s="513">
        <v>11960</v>
      </c>
      <c r="D133" s="511"/>
      <c r="E133" s="511"/>
      <c r="F133" s="511"/>
      <c r="G133" s="511"/>
      <c r="H133" s="520"/>
      <c r="I133" s="524"/>
      <c r="J133" s="511"/>
      <c r="K133" s="511"/>
      <c r="L133" s="511"/>
      <c r="M133" s="511"/>
      <c r="N133" s="511"/>
      <c r="O133" s="82"/>
    </row>
    <row r="134" spans="1:15">
      <c r="A134" s="510">
        <v>2144</v>
      </c>
      <c r="B134" s="511">
        <v>11104</v>
      </c>
      <c r="C134" s="513">
        <v>1148</v>
      </c>
      <c r="D134" s="511">
        <v>3115</v>
      </c>
      <c r="E134" s="511"/>
      <c r="F134" s="511"/>
      <c r="G134" s="511"/>
      <c r="H134" s="520">
        <v>2</v>
      </c>
      <c r="I134" s="524">
        <v>38</v>
      </c>
      <c r="J134" s="511">
        <v>57</v>
      </c>
      <c r="K134" s="511"/>
      <c r="L134" s="511"/>
      <c r="M134" s="511">
        <v>2634</v>
      </c>
      <c r="N134" s="511">
        <v>27</v>
      </c>
      <c r="O134" s="82">
        <v>6189</v>
      </c>
    </row>
    <row r="135" spans="1:15">
      <c r="A135" s="510">
        <v>2144</v>
      </c>
      <c r="B135" s="511">
        <v>57931</v>
      </c>
      <c r="C135" s="513">
        <v>69990</v>
      </c>
      <c r="D135" s="511">
        <v>10965</v>
      </c>
      <c r="E135" s="511"/>
      <c r="F135" s="511"/>
      <c r="G135" s="511"/>
      <c r="H135" s="520">
        <v>407</v>
      </c>
      <c r="I135" s="524">
        <v>2867</v>
      </c>
      <c r="J135" s="511"/>
      <c r="K135" s="511"/>
      <c r="L135" s="511"/>
      <c r="M135" s="511"/>
      <c r="N135" s="511"/>
      <c r="O135" s="82">
        <v>101334</v>
      </c>
    </row>
    <row r="136" spans="1:15">
      <c r="A136" s="510">
        <v>2144</v>
      </c>
      <c r="B136" s="511"/>
      <c r="C136" s="513">
        <v>4344</v>
      </c>
      <c r="D136" s="511"/>
      <c r="E136" s="511"/>
      <c r="F136" s="511"/>
      <c r="G136" s="511"/>
      <c r="H136" s="520"/>
      <c r="I136" s="524"/>
      <c r="J136" s="511"/>
      <c r="K136" s="511"/>
      <c r="L136" s="511"/>
      <c r="M136" s="511"/>
      <c r="N136" s="511"/>
      <c r="O136" s="82"/>
    </row>
    <row r="137" spans="1:15">
      <c r="A137" s="510">
        <v>2144</v>
      </c>
      <c r="B137" s="511"/>
      <c r="C137" s="513">
        <v>5478</v>
      </c>
      <c r="D137" s="511"/>
      <c r="E137" s="511"/>
      <c r="F137" s="511"/>
      <c r="G137" s="511"/>
      <c r="H137" s="520"/>
      <c r="I137" s="524"/>
      <c r="J137" s="511"/>
      <c r="K137" s="511"/>
      <c r="L137" s="511"/>
      <c r="M137" s="511">
        <v>22756</v>
      </c>
      <c r="N137" s="511"/>
      <c r="O137" s="82">
        <v>22756</v>
      </c>
    </row>
    <row r="138" spans="1:15">
      <c r="A138" s="510">
        <v>2144</v>
      </c>
      <c r="B138" s="511">
        <v>4270.9555</v>
      </c>
      <c r="C138" s="513">
        <v>716</v>
      </c>
      <c r="D138" s="511">
        <v>340.15969999999999</v>
      </c>
      <c r="E138" s="511"/>
      <c r="F138" s="511"/>
      <c r="G138" s="511"/>
      <c r="H138" s="520">
        <v>89.456100000000006</v>
      </c>
      <c r="I138" s="524">
        <v>9.3224</v>
      </c>
      <c r="J138" s="511">
        <v>5.9371</v>
      </c>
      <c r="K138" s="511"/>
      <c r="L138" s="511"/>
      <c r="M138" s="511">
        <v>162.2817</v>
      </c>
      <c r="N138" s="511">
        <v>104.855</v>
      </c>
      <c r="O138" s="82">
        <v>1432.4065000000001</v>
      </c>
    </row>
    <row r="139" spans="1:15">
      <c r="A139" s="510">
        <v>2144</v>
      </c>
      <c r="B139" s="511">
        <v>42.482799999999997</v>
      </c>
      <c r="C139" s="513">
        <v>2523</v>
      </c>
      <c r="D139" s="511">
        <v>1349.0911000000001</v>
      </c>
      <c r="E139" s="511"/>
      <c r="F139" s="511"/>
      <c r="G139" s="511"/>
      <c r="H139" s="520">
        <v>98.270399999999995</v>
      </c>
      <c r="I139" s="524">
        <v>264.20229999999998</v>
      </c>
      <c r="J139" s="511"/>
      <c r="K139" s="511"/>
      <c r="L139" s="511"/>
      <c r="M139" s="511">
        <v>47.578000000000003</v>
      </c>
      <c r="N139" s="511"/>
      <c r="O139" s="82">
        <v>1787.8334</v>
      </c>
    </row>
    <row r="140" spans="1:15">
      <c r="A140" s="510">
        <v>2144</v>
      </c>
      <c r="B140" s="511">
        <v>1732</v>
      </c>
      <c r="C140" s="513">
        <v>3181</v>
      </c>
      <c r="D140" s="511"/>
      <c r="E140" s="511"/>
      <c r="F140" s="511">
        <v>166475</v>
      </c>
      <c r="G140" s="511"/>
      <c r="H140" s="520">
        <v>99</v>
      </c>
      <c r="I140" s="524">
        <v>896</v>
      </c>
      <c r="J140" s="511"/>
      <c r="K140" s="511"/>
      <c r="L140" s="511"/>
      <c r="M140" s="511">
        <v>1000</v>
      </c>
      <c r="N140" s="511"/>
      <c r="O140" s="82">
        <v>177230</v>
      </c>
    </row>
    <row r="141" spans="1:15">
      <c r="A141" s="510">
        <v>2144</v>
      </c>
      <c r="B141" s="511">
        <v>3570.36</v>
      </c>
      <c r="C141" s="513">
        <v>3920</v>
      </c>
      <c r="D141" s="511"/>
      <c r="E141" s="511"/>
      <c r="F141" s="511"/>
      <c r="G141" s="511"/>
      <c r="H141" s="520"/>
      <c r="I141" s="524"/>
      <c r="J141" s="511"/>
      <c r="K141" s="511"/>
      <c r="L141" s="511">
        <v>54.57</v>
      </c>
      <c r="M141" s="511"/>
      <c r="N141" s="511"/>
      <c r="O141" s="82">
        <v>3292.38</v>
      </c>
    </row>
    <row r="142" spans="1:15">
      <c r="A142" s="510">
        <v>2144</v>
      </c>
      <c r="B142" s="511">
        <v>20506.060000000001</v>
      </c>
      <c r="C142" s="513">
        <v>12082</v>
      </c>
      <c r="D142" s="511"/>
      <c r="E142" s="511"/>
      <c r="F142" s="511"/>
      <c r="G142" s="511"/>
      <c r="H142" s="520">
        <v>663.52</v>
      </c>
      <c r="I142" s="524">
        <v>133.84</v>
      </c>
      <c r="J142" s="511">
        <v>202.52</v>
      </c>
      <c r="K142" s="511"/>
      <c r="L142" s="511">
        <v>4.57</v>
      </c>
      <c r="M142" s="511">
        <v>3199.9</v>
      </c>
      <c r="N142" s="511"/>
      <c r="O142" s="82">
        <v>31213.119999999999</v>
      </c>
    </row>
    <row r="143" spans="1:15">
      <c r="A143" s="510">
        <v>2144</v>
      </c>
      <c r="B143" s="511"/>
      <c r="C143" s="513">
        <v>144</v>
      </c>
      <c r="D143" s="511"/>
      <c r="E143" s="511"/>
      <c r="F143" s="511"/>
      <c r="G143" s="511"/>
      <c r="H143" s="520"/>
      <c r="I143" s="524"/>
      <c r="J143" s="511"/>
      <c r="K143" s="511"/>
      <c r="L143" s="511">
        <v>251</v>
      </c>
      <c r="M143" s="511"/>
      <c r="N143" s="511"/>
      <c r="O143" s="82">
        <v>251</v>
      </c>
    </row>
    <row r="144" spans="1:15">
      <c r="A144" s="510">
        <v>2144</v>
      </c>
      <c r="B144" s="511">
        <v>2893</v>
      </c>
      <c r="C144" s="513">
        <v>474</v>
      </c>
      <c r="D144" s="511">
        <v>186</v>
      </c>
      <c r="E144" s="511"/>
      <c r="F144" s="511"/>
      <c r="G144" s="511"/>
      <c r="H144" s="520">
        <v>167</v>
      </c>
      <c r="I144" s="524">
        <v>102</v>
      </c>
      <c r="J144" s="511"/>
      <c r="K144" s="511"/>
      <c r="L144" s="511">
        <v>52</v>
      </c>
      <c r="M144" s="511">
        <v>568</v>
      </c>
      <c r="N144" s="511"/>
      <c r="O144" s="82">
        <v>1871</v>
      </c>
    </row>
    <row r="145" spans="1:15">
      <c r="A145" s="510">
        <v>2144</v>
      </c>
      <c r="B145" s="511">
        <v>11433</v>
      </c>
      <c r="C145" s="513">
        <v>21367</v>
      </c>
      <c r="D145" s="511">
        <v>2998</v>
      </c>
      <c r="E145" s="511"/>
      <c r="F145" s="511"/>
      <c r="G145" s="511"/>
      <c r="H145" s="520">
        <v>459</v>
      </c>
      <c r="I145" s="524">
        <v>359</v>
      </c>
      <c r="J145" s="511"/>
      <c r="K145" s="511">
        <v>101</v>
      </c>
      <c r="L145" s="511"/>
      <c r="M145" s="511">
        <v>771</v>
      </c>
      <c r="N145" s="511"/>
      <c r="O145" s="82">
        <v>6216</v>
      </c>
    </row>
    <row r="146" spans="1:15">
      <c r="A146" s="510">
        <v>2144</v>
      </c>
      <c r="B146" s="511">
        <v>3666</v>
      </c>
      <c r="C146" s="513">
        <v>1618</v>
      </c>
      <c r="D146" s="511"/>
      <c r="E146" s="511"/>
      <c r="F146" s="511"/>
      <c r="G146" s="511"/>
      <c r="H146" s="520">
        <v>165</v>
      </c>
      <c r="I146" s="524">
        <v>1179</v>
      </c>
      <c r="J146" s="511"/>
      <c r="K146" s="511"/>
      <c r="L146" s="511"/>
      <c r="M146" s="511">
        <v>54</v>
      </c>
      <c r="N146" s="511"/>
      <c r="O146" s="82">
        <v>1461</v>
      </c>
    </row>
    <row r="148" spans="1:15">
      <c r="D148" s="517">
        <f>SUM(D2:D147)</f>
        <v>2542136.5748000001</v>
      </c>
      <c r="E148" s="517">
        <f t="shared" ref="E148:N148" si="0">SUM(E2:E147)</f>
        <v>351977</v>
      </c>
      <c r="F148" s="517">
        <f t="shared" si="0"/>
        <v>655103</v>
      </c>
      <c r="G148" s="517">
        <f t="shared" si="0"/>
        <v>102349</v>
      </c>
      <c r="H148" s="521">
        <f t="shared" si="0"/>
        <v>462643.35750000004</v>
      </c>
      <c r="I148" s="525">
        <f t="shared" si="0"/>
        <v>874838.93279999972</v>
      </c>
      <c r="J148" s="517">
        <f t="shared" si="0"/>
        <v>60646.6227</v>
      </c>
      <c r="K148" s="517">
        <f t="shared" si="0"/>
        <v>260603.38329999999</v>
      </c>
      <c r="L148" s="517">
        <f t="shared" si="0"/>
        <v>145018.01</v>
      </c>
      <c r="M148" s="517">
        <f t="shared" si="0"/>
        <v>1531833.4611999998</v>
      </c>
      <c r="N148" s="517">
        <f t="shared" si="0"/>
        <v>292351.90660000005</v>
      </c>
      <c r="O148" s="262">
        <f>SUM(O2:O147)</f>
        <v>14462471.069399999</v>
      </c>
    </row>
    <row r="149" spans="1:15">
      <c r="O149" s="262">
        <f>O148/145</f>
        <v>99741.179788965514</v>
      </c>
    </row>
    <row r="150" spans="1:15">
      <c r="O150" s="262">
        <f>O149/5000</f>
        <v>19.948235957793102</v>
      </c>
    </row>
    <row r="153" spans="1:15">
      <c r="H153" s="521">
        <f>H148/145</f>
        <v>3190.6438448275867</v>
      </c>
      <c r="I153" s="525">
        <f>I148/145</f>
        <v>6033.3719503448256</v>
      </c>
      <c r="K153" s="517">
        <f>D148+E148+F148+G148+J148+K148+L148+M148+N148</f>
        <v>5942018.9586000005</v>
      </c>
    </row>
    <row r="154" spans="1:15">
      <c r="H154" s="521">
        <f>H153/5000</f>
        <v>0.63812876896551729</v>
      </c>
      <c r="I154" s="525">
        <f>I153/5000</f>
        <v>1.2066743900689652</v>
      </c>
      <c r="K154" s="517">
        <f>K153/145</f>
        <v>40979.44109379311</v>
      </c>
    </row>
    <row r="155" spans="1:15">
      <c r="K155" s="517">
        <f>K154/5000</f>
        <v>8.1958882187586219</v>
      </c>
    </row>
  </sheetData>
  <autoFilter ref="A1:D156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Fall 2018</vt:lpstr>
      <vt:lpstr>CBDS</vt:lpstr>
      <vt:lpstr>DDS Active Treatment</vt:lpstr>
      <vt:lpstr>Transportation Model</vt:lpstr>
      <vt:lpstr>Fall 2020 CAF</vt:lpstr>
      <vt:lpstr>Chart</vt:lpstr>
      <vt:lpstr>FY19 CBDS UFR Units</vt:lpstr>
      <vt:lpstr>CBDS!Print_Area</vt:lpstr>
      <vt:lpstr>Chart!Print_Area</vt:lpstr>
      <vt:lpstr>'DDS Active Treatment'!Print_Area</vt:lpstr>
      <vt:lpstr>'Transportation Model'!Print_Area</vt:lpstr>
      <vt:lpstr>'Fall 2018'!Print_Titles</vt:lpstr>
      <vt:lpstr>'Fall 2020 CAF'!Print_Titles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EHS</dc:creator>
  <cp:lastModifiedBy>kara</cp:lastModifiedBy>
  <cp:lastPrinted>2019-01-03T12:22:13Z</cp:lastPrinted>
  <dcterms:created xsi:type="dcterms:W3CDTF">2018-09-12T17:58:22Z</dcterms:created>
  <dcterms:modified xsi:type="dcterms:W3CDTF">2021-03-31T15:50:24Z</dcterms:modified>
</cp:coreProperties>
</file>