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287C979E-12C7-4384-870F-90D03D59F0CE}" xr6:coauthVersionLast="47" xr6:coauthVersionMax="47" xr10:uidLastSave="{00000000-0000-0000-0000-000000000000}"/>
  <bookViews>
    <workbookView xWindow="3435" yWindow="3990" windowWidth="17340" windowHeight="10995" xr2:uid="{8BD01E4F-D081-4885-946F-A73E5F20BEE8}"/>
  </bookViews>
  <sheets>
    <sheet name="CBDS Models" sheetId="3" r:id="rId1"/>
    <sheet name="Active Treatment Models" sheetId="1" r:id="rId2"/>
    <sheet name="Transportation calc" sheetId="4" r:id="rId3"/>
    <sheet name="Training Calc" sheetId="6" r:id="rId4"/>
    <sheet name="Add on Rates" sheetId="7" state="hidden" r:id="rId5"/>
    <sheet name="M2021 BLS SALARY CHART (53_ (2)" sheetId="8" r:id="rId6"/>
    <sheet name="Master Lookup" sheetId="2" r:id="rId7"/>
    <sheet name="FALL CAF 202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lldata" localSheetId="7">#REF!</definedName>
    <definedName name="alldata" localSheetId="5">#REF!</definedName>
    <definedName name="alldata">#REF!</definedName>
    <definedName name="alled" localSheetId="7">#REF!</definedName>
    <definedName name="alled" localSheetId="5">#REF!</definedName>
    <definedName name="alled">#REF!</definedName>
    <definedName name="allstem" localSheetId="7">#REF!</definedName>
    <definedName name="allstem" localSheetId="5">#REF!</definedName>
    <definedName name="allstem">#REF!</definedName>
    <definedName name="asdfasdf" localSheetId="7">#REF!</definedName>
    <definedName name="asdfasdf">#REF!</definedName>
    <definedName name="Average" localSheetId="7">#REF!</definedName>
    <definedName name="Average">#REF!</definedName>
    <definedName name="Break">'[1]Tech Stuff'!$E$4</definedName>
    <definedName name="CAF_NEW" localSheetId="7">[2]RawDataCalcs!$L$70:$DB$70</definedName>
    <definedName name="CAF_NEW">[3]RawDataCalcs!$L$70:$DB$70</definedName>
    <definedName name="Cap" localSheetId="7">[4]RawDataCalcs!$L$70:$DB$70</definedName>
    <definedName name="Cap" localSheetId="5">[5]RawDataCalcs!$L$35:$DB$35</definedName>
    <definedName name="Cap">[6]RawDataCalcs!$L$13:$DB$13</definedName>
    <definedName name="Data" localSheetId="7">#REF!</definedName>
    <definedName name="Data">#REF!</definedName>
    <definedName name="Floor" localSheetId="7">[4]RawDataCalcs!$L$69:$DB$69</definedName>
    <definedName name="Floor" localSheetId="5">[5]RawDataCalcs!$L$34:$DB$34</definedName>
    <definedName name="Floor">[6]RawDataCalcs!$L$12:$DB$12</definedName>
    <definedName name="Funds" localSheetId="7">'[7]RawDataCalcs3386&amp;3401'!$L$68:$DB$68</definedName>
    <definedName name="Funds">'[8]RawDataCalcs3386&amp;3401'!$L$68:$DB$68</definedName>
    <definedName name="gk" localSheetId="7">#REF!</definedName>
    <definedName name="gk">#REF!</definedName>
    <definedName name="hhh" localSheetId="7">#REF!</definedName>
    <definedName name="hhh">#REF!</definedName>
    <definedName name="JailDAverage" localSheetId="7">#REF!</definedName>
    <definedName name="JailDAverage">#REF!</definedName>
    <definedName name="JailDCap" localSheetId="7">[9]ALLRawDataCalcs!$L$80:$DB$80</definedName>
    <definedName name="JailDCap">[10]ALLRawDataCalcs!$L$80:$DB$80</definedName>
    <definedName name="JailDFloor" localSheetId="7">[9]ALLRawDataCalcs!$L$79:$DB$79</definedName>
    <definedName name="JailDFloor">[10]ALLRawDataCalcs!$L$79:$DB$79</definedName>
    <definedName name="JailDgk" localSheetId="7">#REF!</definedName>
    <definedName name="JailDgk">#REF!</definedName>
    <definedName name="JailDMax" localSheetId="7">#REF!</definedName>
    <definedName name="JailDMax">#REF!</definedName>
    <definedName name="JailDMedian" localSheetId="7">#REF!</definedName>
    <definedName name="JailDMedian">#REF!</definedName>
    <definedName name="kls" localSheetId="7">#REF!</definedName>
    <definedName name="kls">#REF!</definedName>
    <definedName name="ListProviders">'[11]List of Programs'!$A$24:$A$29</definedName>
    <definedName name="Max" localSheetId="7">#REF!</definedName>
    <definedName name="Max">#REF!</definedName>
    <definedName name="Median" localSheetId="7">#REF!</definedName>
    <definedName name="Median">#REF!</definedName>
    <definedName name="Min" localSheetId="7">#REF!</definedName>
    <definedName name="Min">#REF!</definedName>
    <definedName name="MT" localSheetId="7">#REF!</definedName>
    <definedName name="MT">#REF!</definedName>
    <definedName name="new" localSheetId="7">#REF!</definedName>
    <definedName name="new">#REF!</definedName>
    <definedName name="ok" localSheetId="7">#REF!</definedName>
    <definedName name="ok">#REF!</definedName>
    <definedName name="_xlnm.Print_Area" localSheetId="5">'M2021 BLS SALARY CHART (53_ (2)'!$B$1:$E$46</definedName>
    <definedName name="_xlnm.Print_Area" localSheetId="2">'Transportation calc'!$A$2:$H$37</definedName>
    <definedName name="_xlnm.Print_Titles" localSheetId="7">'FALL CAF 2022'!$A:$A</definedName>
    <definedName name="Program_File" localSheetId="7">#REF!</definedName>
    <definedName name="Program_File">#REF!</definedName>
    <definedName name="Programs">'[11]List of Programs'!$B$3:$B$19</definedName>
    <definedName name="ProvFTE">'[12]FTE Data'!$A$3:$AW$56</definedName>
    <definedName name="PurchasedBy">'[12]FTE Data'!$C$263:$AZ$657</definedName>
    <definedName name="resmay2007" localSheetId="7">#REF!</definedName>
    <definedName name="resmay2007">#REF!</definedName>
    <definedName name="sheet1" localSheetId="7">#REF!</definedName>
    <definedName name="sheet1" localSheetId="5">#REF!</definedName>
    <definedName name="sheet1">#REF!</definedName>
    <definedName name="Site_list">[12]Lists!$A$2:$A$53</definedName>
    <definedName name="Source" localSheetId="7">#REF!</definedName>
    <definedName name="Source">#REF!</definedName>
    <definedName name="Source_2" localSheetId="7">#REF!</definedName>
    <definedName name="Source_2">#REF!</definedName>
    <definedName name="SourcePathAndFileName" localSheetId="7">#REF!</definedName>
    <definedName name="SourcePathAndFileName">#REF!</definedName>
    <definedName name="Total_UFR" localSheetId="7">#REF!</definedName>
    <definedName name="Total_UFR">#REF!</definedName>
    <definedName name="Total_UFRs" localSheetId="7">#REF!</definedName>
    <definedName name="Total_UFRs">#REF!</definedName>
    <definedName name="Total_UFRs_" localSheetId="7">#REF!</definedName>
    <definedName name="Total_UFRs_">#REF!</definedName>
    <definedName name="UFR" localSheetId="7">'[13]Complete UFR List'!#REF!</definedName>
    <definedName name="UFR">'[13]Complete UFR List'!#REF!</definedName>
    <definedName name="UFRS" localSheetId="7">'[13]Complete UFR List'!#REF!</definedName>
    <definedName name="UFRS">'[13]Complete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K13" i="1" s="1"/>
  <c r="E12" i="1"/>
  <c r="K12" i="1" s="1"/>
  <c r="CG22" i="9"/>
  <c r="CF22" i="9"/>
  <c r="CE22" i="9"/>
  <c r="CD22" i="9"/>
  <c r="CC22" i="9"/>
  <c r="CB22" i="9"/>
  <c r="CA22" i="9"/>
  <c r="BZ22" i="9"/>
  <c r="CG21" i="9"/>
  <c r="CF21" i="9"/>
  <c r="CE21" i="9"/>
  <c r="CD21" i="9"/>
  <c r="CC21" i="9"/>
  <c r="CB21" i="9"/>
  <c r="CA21" i="9"/>
  <c r="BZ21" i="9"/>
  <c r="BZ18" i="9"/>
  <c r="CI18" i="9" s="1"/>
  <c r="BZ17" i="9"/>
  <c r="CI22" i="9" l="1"/>
  <c r="CI24" i="9" s="1"/>
  <c r="C16" i="1"/>
  <c r="C46" i="8" l="1"/>
  <c r="C38" i="8"/>
  <c r="C33" i="8"/>
  <c r="C34" i="8" s="1"/>
  <c r="C31" i="8"/>
  <c r="C32" i="8" s="1"/>
  <c r="C29" i="8"/>
  <c r="C30" i="8" s="1"/>
  <c r="C27" i="8"/>
  <c r="C28" i="8" s="1"/>
  <c r="C25" i="8"/>
  <c r="C26" i="8" s="1"/>
  <c r="C23" i="8"/>
  <c r="C24" i="8" s="1"/>
  <c r="C21" i="8"/>
  <c r="C22" i="8" s="1"/>
  <c r="C19" i="8"/>
  <c r="C20" i="8" s="1"/>
  <c r="C17" i="8"/>
  <c r="C18" i="8" s="1"/>
  <c r="C15" i="8"/>
  <c r="C16" i="8" s="1"/>
  <c r="C13" i="8"/>
  <c r="C14" i="8" s="1"/>
  <c r="C11" i="8"/>
  <c r="C12" i="8" s="1"/>
  <c r="C9" i="8"/>
  <c r="C10" i="8" s="1"/>
  <c r="C7" i="8"/>
  <c r="C8" i="8" s="1"/>
  <c r="C5" i="8"/>
  <c r="C6" i="8" s="1"/>
  <c r="E28" i="7"/>
  <c r="E27" i="7"/>
  <c r="E29" i="7" s="1"/>
  <c r="E30" i="7" s="1"/>
  <c r="D17" i="7"/>
  <c r="C17" i="7"/>
  <c r="D8" i="7"/>
  <c r="C8" i="7"/>
  <c r="D6" i="7"/>
  <c r="D5" i="7"/>
  <c r="C5" i="7"/>
  <c r="D4" i="7"/>
  <c r="C4" i="7"/>
  <c r="J6" i="6"/>
  <c r="J5" i="6"/>
  <c r="J4" i="6"/>
  <c r="G38" i="4"/>
  <c r="F38" i="4"/>
  <c r="E38" i="4"/>
  <c r="G37" i="4"/>
  <c r="F37" i="4"/>
  <c r="E37" i="4"/>
  <c r="M35" i="4"/>
  <c r="D35" i="4"/>
  <c r="G35" i="4" s="1"/>
  <c r="C35" i="4"/>
  <c r="B35" i="4"/>
  <c r="E35" i="4" s="1"/>
  <c r="M34" i="4"/>
  <c r="K34" i="4"/>
  <c r="J34" i="4"/>
  <c r="G34" i="4"/>
  <c r="F34" i="4"/>
  <c r="E34" i="4"/>
  <c r="M33" i="4"/>
  <c r="K33" i="4"/>
  <c r="J33" i="4"/>
  <c r="G33" i="4"/>
  <c r="L33" i="4" s="1"/>
  <c r="N33" i="4" s="1"/>
  <c r="F33" i="4"/>
  <c r="E33" i="4"/>
  <c r="M32" i="4"/>
  <c r="K32" i="4"/>
  <c r="J32" i="4"/>
  <c r="G32" i="4"/>
  <c r="L32" i="4" s="1"/>
  <c r="F32" i="4"/>
  <c r="E32" i="4"/>
  <c r="M31" i="4"/>
  <c r="K31" i="4"/>
  <c r="N31" i="4" s="1"/>
  <c r="J31" i="4"/>
  <c r="G31" i="4"/>
  <c r="L31" i="4" s="1"/>
  <c r="F31" i="4"/>
  <c r="E31" i="4"/>
  <c r="M28" i="4"/>
  <c r="F28" i="4"/>
  <c r="D28" i="4"/>
  <c r="G28" i="4" s="1"/>
  <c r="C28" i="4"/>
  <c r="B28" i="4"/>
  <c r="E28" i="4" s="1"/>
  <c r="M27" i="4"/>
  <c r="K27" i="4"/>
  <c r="J27" i="4"/>
  <c r="G27" i="4"/>
  <c r="F27" i="4"/>
  <c r="E27" i="4"/>
  <c r="I26" i="4"/>
  <c r="G26" i="4"/>
  <c r="F26" i="4"/>
  <c r="E26" i="4"/>
  <c r="M25" i="4"/>
  <c r="K25" i="4"/>
  <c r="J25" i="4"/>
  <c r="G25" i="4"/>
  <c r="F25" i="4"/>
  <c r="E25" i="4"/>
  <c r="M24" i="4"/>
  <c r="K24" i="4"/>
  <c r="J24" i="4"/>
  <c r="G24" i="4"/>
  <c r="L24" i="4" s="1"/>
  <c r="F24" i="4"/>
  <c r="E24" i="4"/>
  <c r="E21" i="4"/>
  <c r="C21" i="4"/>
  <c r="F21" i="4" s="1"/>
  <c r="H21" i="4" s="1"/>
  <c r="C9" i="4" s="1"/>
  <c r="B21" i="4"/>
  <c r="D21" i="4" s="1"/>
  <c r="F20" i="4"/>
  <c r="E20" i="4"/>
  <c r="D20" i="4"/>
  <c r="F19" i="4"/>
  <c r="E19" i="4"/>
  <c r="D19" i="4"/>
  <c r="F18" i="4"/>
  <c r="E18" i="4"/>
  <c r="D18" i="4"/>
  <c r="F17" i="4"/>
  <c r="E17" i="4"/>
  <c r="D17" i="4"/>
  <c r="B13" i="4"/>
  <c r="AC44" i="3"/>
  <c r="X44" i="3"/>
  <c r="S44" i="3"/>
  <c r="N44" i="3"/>
  <c r="I44" i="3"/>
  <c r="D44" i="3"/>
  <c r="E16" i="1" s="1"/>
  <c r="AC43" i="3"/>
  <c r="X43" i="3"/>
  <c r="S43" i="3"/>
  <c r="N43" i="3"/>
  <c r="I43" i="3"/>
  <c r="D43" i="3"/>
  <c r="AC34" i="3"/>
  <c r="AB34" i="3"/>
  <c r="W34" i="3"/>
  <c r="X34" i="3" s="1"/>
  <c r="S34" i="3"/>
  <c r="R34" i="3"/>
  <c r="M34" i="3"/>
  <c r="N34" i="3" s="1"/>
  <c r="H34" i="3"/>
  <c r="I34" i="3" s="1"/>
  <c r="C34" i="3"/>
  <c r="D34" i="3" s="1"/>
  <c r="AB33" i="3"/>
  <c r="AC33" i="3" s="1"/>
  <c r="X33" i="3"/>
  <c r="W33" i="3"/>
  <c r="R33" i="3"/>
  <c r="S33" i="3" s="1"/>
  <c r="M33" i="3"/>
  <c r="N33" i="3" s="1"/>
  <c r="I33" i="3"/>
  <c r="H33" i="3"/>
  <c r="C33" i="3"/>
  <c r="D33" i="3" s="1"/>
  <c r="AB32" i="3"/>
  <c r="AC32" i="3" s="1"/>
  <c r="W32" i="3"/>
  <c r="X32" i="3" s="1"/>
  <c r="R32" i="3"/>
  <c r="S32" i="3" s="1"/>
  <c r="M32" i="3"/>
  <c r="N32" i="3" s="1"/>
  <c r="H32" i="3"/>
  <c r="I32" i="3" s="1"/>
  <c r="C32" i="3"/>
  <c r="D32" i="3" s="1"/>
  <c r="AC31" i="3"/>
  <c r="AB31" i="3"/>
  <c r="W31" i="3"/>
  <c r="X31" i="3" s="1"/>
  <c r="R31" i="3"/>
  <c r="S31" i="3" s="1"/>
  <c r="M31" i="3"/>
  <c r="N31" i="3" s="1"/>
  <c r="H31" i="3"/>
  <c r="I31" i="3" s="1"/>
  <c r="D31" i="3"/>
  <c r="C31" i="3"/>
  <c r="AB30" i="3"/>
  <c r="AC30" i="3" s="1"/>
  <c r="W30" i="3"/>
  <c r="X30" i="3" s="1"/>
  <c r="R30" i="3"/>
  <c r="S30" i="3" s="1"/>
  <c r="M30" i="3"/>
  <c r="N30" i="3" s="1"/>
  <c r="H30" i="3"/>
  <c r="I30" i="3" s="1"/>
  <c r="C30" i="3"/>
  <c r="D30" i="3" s="1"/>
  <c r="AB28" i="3"/>
  <c r="W28" i="3"/>
  <c r="Y28" i="3" s="1"/>
  <c r="R28" i="3"/>
  <c r="M28" i="3"/>
  <c r="O28" i="3" s="1"/>
  <c r="H28" i="3"/>
  <c r="C28" i="3"/>
  <c r="E28" i="3" s="1"/>
  <c r="AB27" i="3"/>
  <c r="AC27" i="3" s="1"/>
  <c r="W27" i="3"/>
  <c r="X27" i="3" s="1"/>
  <c r="R27" i="3"/>
  <c r="S27" i="3" s="1"/>
  <c r="M27" i="3"/>
  <c r="N27" i="3" s="1"/>
  <c r="I27" i="3"/>
  <c r="H27" i="3"/>
  <c r="C27" i="3"/>
  <c r="D27" i="3" s="1"/>
  <c r="AB26" i="3"/>
  <c r="AC26" i="3" s="1"/>
  <c r="W26" i="3"/>
  <c r="X26" i="3" s="1"/>
  <c r="R26" i="3"/>
  <c r="S26" i="3" s="1"/>
  <c r="M26" i="3"/>
  <c r="N26" i="3" s="1"/>
  <c r="H26" i="3"/>
  <c r="I26" i="3" s="1"/>
  <c r="C26" i="3"/>
  <c r="D26" i="3" s="1"/>
  <c r="AB25" i="3"/>
  <c r="W25" i="3"/>
  <c r="R25" i="3"/>
  <c r="M25" i="3"/>
  <c r="H25" i="3"/>
  <c r="C25" i="3"/>
  <c r="AB24" i="3"/>
  <c r="W24" i="3"/>
  <c r="R24" i="3"/>
  <c r="M24" i="3"/>
  <c r="H24" i="3"/>
  <c r="C24" i="3"/>
  <c r="AB23" i="3"/>
  <c r="W23" i="3"/>
  <c r="R23" i="3"/>
  <c r="M23" i="3"/>
  <c r="H23" i="3"/>
  <c r="C23" i="3"/>
  <c r="AB22" i="3"/>
  <c r="W22" i="3"/>
  <c r="R22" i="3"/>
  <c r="M22" i="3"/>
  <c r="H22" i="3"/>
  <c r="C22" i="3"/>
  <c r="AB21" i="3"/>
  <c r="W21" i="3"/>
  <c r="R21" i="3"/>
  <c r="M21" i="3"/>
  <c r="H21" i="3"/>
  <c r="C21" i="3"/>
  <c r="AC17" i="3"/>
  <c r="X17" i="3"/>
  <c r="S17" i="3"/>
  <c r="N17" i="3"/>
  <c r="I17" i="3"/>
  <c r="D17" i="3"/>
  <c r="AC16" i="3"/>
  <c r="X16" i="3"/>
  <c r="S16" i="3"/>
  <c r="N16" i="3"/>
  <c r="K16" i="3"/>
  <c r="K17" i="3" s="1"/>
  <c r="I16" i="3"/>
  <c r="D16" i="3"/>
  <c r="AE15" i="3"/>
  <c r="AE16" i="3" s="1"/>
  <c r="AD15" i="3"/>
  <c r="Z15" i="3"/>
  <c r="Y15" i="3"/>
  <c r="U15" i="3"/>
  <c r="T15" i="3"/>
  <c r="P15" i="3"/>
  <c r="O15" i="3"/>
  <c r="K15" i="3"/>
  <c r="J15" i="3"/>
  <c r="F15" i="3"/>
  <c r="E15" i="3"/>
  <c r="AB14" i="3"/>
  <c r="W14" i="3"/>
  <c r="X14" i="3" s="1"/>
  <c r="R14" i="3"/>
  <c r="M14" i="3"/>
  <c r="N14" i="3" s="1"/>
  <c r="H14" i="3"/>
  <c r="C14" i="3"/>
  <c r="D14" i="3" s="1"/>
  <c r="AB13" i="3"/>
  <c r="W13" i="3"/>
  <c r="X13" i="3" s="1"/>
  <c r="R13" i="3"/>
  <c r="M13" i="3"/>
  <c r="N13" i="3" s="1"/>
  <c r="H13" i="3"/>
  <c r="C13" i="3"/>
  <c r="D13" i="3" s="1"/>
  <c r="AB12" i="3"/>
  <c r="W12" i="3"/>
  <c r="X12" i="3" s="1"/>
  <c r="R12" i="3"/>
  <c r="M12" i="3"/>
  <c r="N12" i="3" s="1"/>
  <c r="H12" i="3"/>
  <c r="C12" i="3"/>
  <c r="D12" i="3" s="1"/>
  <c r="AB11" i="3"/>
  <c r="W11" i="3"/>
  <c r="X11" i="3" s="1"/>
  <c r="R11" i="3"/>
  <c r="M11" i="3"/>
  <c r="N11" i="3" s="1"/>
  <c r="H11" i="3"/>
  <c r="C11" i="3"/>
  <c r="D11" i="3" s="1"/>
  <c r="AB10" i="3"/>
  <c r="W10" i="3"/>
  <c r="X10" i="3" s="1"/>
  <c r="R10" i="3"/>
  <c r="M10" i="3"/>
  <c r="N10" i="3" s="1"/>
  <c r="H10" i="3"/>
  <c r="C10" i="3"/>
  <c r="D10" i="3" s="1"/>
  <c r="AB9" i="3"/>
  <c r="W9" i="3"/>
  <c r="X9" i="3" s="1"/>
  <c r="R9" i="3"/>
  <c r="M9" i="3"/>
  <c r="N9" i="3" s="1"/>
  <c r="H9" i="3"/>
  <c r="C9" i="3"/>
  <c r="D9" i="3" s="1"/>
  <c r="B44" i="2"/>
  <c r="K3" i="3" s="1"/>
  <c r="B25" i="2"/>
  <c r="B24" i="2"/>
  <c r="C24" i="2" s="1"/>
  <c r="B23" i="2"/>
  <c r="C23" i="2" s="1"/>
  <c r="AC23" i="3" s="1"/>
  <c r="B22" i="2"/>
  <c r="S22" i="3" s="1"/>
  <c r="B21" i="2"/>
  <c r="C20" i="2"/>
  <c r="N16" i="2"/>
  <c r="C16" i="2"/>
  <c r="N15" i="2"/>
  <c r="C15" i="2"/>
  <c r="N14" i="2"/>
  <c r="C14" i="2"/>
  <c r="N13" i="2"/>
  <c r="C13" i="2"/>
  <c r="N12" i="2"/>
  <c r="C12" i="2"/>
  <c r="N11" i="2"/>
  <c r="I6" i="2"/>
  <c r="I9" i="2" s="1"/>
  <c r="H6" i="2"/>
  <c r="H9" i="2" s="1"/>
  <c r="G6" i="2"/>
  <c r="G9" i="2" s="1"/>
  <c r="F6" i="2"/>
  <c r="F9" i="2" s="1"/>
  <c r="E6" i="2"/>
  <c r="E9" i="2" s="1"/>
  <c r="D6" i="2"/>
  <c r="D9" i="2" s="1"/>
  <c r="K16" i="1"/>
  <c r="K15" i="1"/>
  <c r="E15" i="1"/>
  <c r="E10" i="1"/>
  <c r="K10" i="1" s="1"/>
  <c r="R9" i="1"/>
  <c r="R8" i="1"/>
  <c r="Q6" i="1"/>
  <c r="R6" i="1" s="1"/>
  <c r="R5" i="1"/>
  <c r="Q5" i="1"/>
  <c r="N24" i="4" l="1"/>
  <c r="X21" i="3"/>
  <c r="Z21" i="3" s="1"/>
  <c r="P3" i="3"/>
  <c r="Z16" i="3"/>
  <c r="Z17" i="3" s="1"/>
  <c r="D22" i="3"/>
  <c r="H17" i="4"/>
  <c r="I25" i="4"/>
  <c r="I28" i="4"/>
  <c r="F35" i="4"/>
  <c r="I35" i="4" s="1"/>
  <c r="U3" i="3"/>
  <c r="C22" i="2"/>
  <c r="AC22" i="3" s="1"/>
  <c r="AE22" i="3" s="1"/>
  <c r="Z3" i="3"/>
  <c r="I22" i="3"/>
  <c r="AE3" i="3"/>
  <c r="N22" i="3"/>
  <c r="P22" i="3" s="1"/>
  <c r="X23" i="3"/>
  <c r="P26" i="3"/>
  <c r="H20" i="4"/>
  <c r="I32" i="4"/>
  <c r="I33" i="4"/>
  <c r="J7" i="6"/>
  <c r="J9" i="6" s="1"/>
  <c r="C29" i="2" s="1"/>
  <c r="F16" i="3"/>
  <c r="F17" i="3" s="1"/>
  <c r="E9" i="1"/>
  <c r="K9" i="1" s="1"/>
  <c r="F3" i="3"/>
  <c r="Z30" i="3" s="1"/>
  <c r="F32" i="3"/>
  <c r="P16" i="3"/>
  <c r="X22" i="3"/>
  <c r="N25" i="3"/>
  <c r="P25" i="3" s="1"/>
  <c r="H18" i="4"/>
  <c r="I37" i="4"/>
  <c r="D7" i="7"/>
  <c r="K27" i="3"/>
  <c r="H19" i="4"/>
  <c r="I24" i="4"/>
  <c r="R11" i="1"/>
  <c r="R12" i="1" s="1"/>
  <c r="R14" i="1" s="1"/>
  <c r="M3" i="1" s="1"/>
  <c r="O9" i="3"/>
  <c r="E10" i="3"/>
  <c r="F10" i="3" s="1"/>
  <c r="Y10" i="3"/>
  <c r="Z10" i="3" s="1"/>
  <c r="O11" i="3"/>
  <c r="P11" i="3" s="1"/>
  <c r="E12" i="3"/>
  <c r="F12" i="3" s="1"/>
  <c r="Y12" i="3"/>
  <c r="O13" i="3"/>
  <c r="P13" i="3" s="1"/>
  <c r="E14" i="3"/>
  <c r="F14" i="3" s="1"/>
  <c r="Y14" i="3"/>
  <c r="Z14" i="3" s="1"/>
  <c r="P17" i="3"/>
  <c r="P18" i="3" s="1"/>
  <c r="S21" i="3"/>
  <c r="U21" i="3" s="1"/>
  <c r="N24" i="3"/>
  <c r="P24" i="3" s="1"/>
  <c r="P27" i="3"/>
  <c r="N38" i="4"/>
  <c r="C12" i="4" s="1"/>
  <c r="J10" i="3"/>
  <c r="I10" i="3"/>
  <c r="T11" i="3"/>
  <c r="S11" i="3"/>
  <c r="AD12" i="3"/>
  <c r="AC12" i="3"/>
  <c r="J14" i="3"/>
  <c r="I14" i="3"/>
  <c r="J28" i="3"/>
  <c r="AD28" i="3"/>
  <c r="L27" i="4"/>
  <c r="I27" i="4"/>
  <c r="L28" i="4"/>
  <c r="L34" i="4"/>
  <c r="N34" i="4" s="1"/>
  <c r="I34" i="4"/>
  <c r="L35" i="4"/>
  <c r="D11" i="7"/>
  <c r="C11" i="7"/>
  <c r="P9" i="3"/>
  <c r="T9" i="3"/>
  <c r="S9" i="3"/>
  <c r="AD10" i="3"/>
  <c r="AC10" i="3"/>
  <c r="J12" i="3"/>
  <c r="I12" i="3"/>
  <c r="T13" i="3"/>
  <c r="S13" i="3"/>
  <c r="AD14" i="3"/>
  <c r="AC14" i="3"/>
  <c r="D21" i="3"/>
  <c r="I25" i="3"/>
  <c r="C25" i="2"/>
  <c r="AC25" i="3" s="1"/>
  <c r="U16" i="3"/>
  <c r="D23" i="3"/>
  <c r="S24" i="3"/>
  <c r="K26" i="3"/>
  <c r="P32" i="3"/>
  <c r="B29" i="2"/>
  <c r="D29" i="3" s="1"/>
  <c r="D24" i="3"/>
  <c r="X24" i="3"/>
  <c r="F31" i="3"/>
  <c r="K33" i="3"/>
  <c r="N27" i="4"/>
  <c r="C36" i="8"/>
  <c r="Z12" i="3"/>
  <c r="E9" i="3"/>
  <c r="F9" i="3" s="1"/>
  <c r="Y9" i="3"/>
  <c r="Z9" i="3" s="1"/>
  <c r="O10" i="3"/>
  <c r="P10" i="3" s="1"/>
  <c r="E11" i="3"/>
  <c r="F11" i="3" s="1"/>
  <c r="Y11" i="3"/>
  <c r="Z11" i="3" s="1"/>
  <c r="O12" i="3"/>
  <c r="P12" i="3" s="1"/>
  <c r="E13" i="3"/>
  <c r="F13" i="3" s="1"/>
  <c r="Y13" i="3"/>
  <c r="Z13" i="3" s="1"/>
  <c r="O14" i="3"/>
  <c r="P14" i="3" s="1"/>
  <c r="I23" i="3"/>
  <c r="K23" i="3" s="1"/>
  <c r="AC24" i="3"/>
  <c r="AE24" i="3" s="1"/>
  <c r="S25" i="3"/>
  <c r="N32" i="4"/>
  <c r="I21" i="3"/>
  <c r="C21" i="2"/>
  <c r="AC21" i="3" s="1"/>
  <c r="AE21" i="3" s="1"/>
  <c r="AD9" i="3"/>
  <c r="AC9" i="3"/>
  <c r="J11" i="3"/>
  <c r="I11" i="3"/>
  <c r="K11" i="3" s="1"/>
  <c r="T12" i="3"/>
  <c r="S12" i="3"/>
  <c r="AD13" i="3"/>
  <c r="AC13" i="3"/>
  <c r="N21" i="3"/>
  <c r="P21" i="3" s="1"/>
  <c r="N23" i="3"/>
  <c r="P23" i="3" s="1"/>
  <c r="D25" i="3"/>
  <c r="T28" i="3"/>
  <c r="Z32" i="3"/>
  <c r="P33" i="3"/>
  <c r="J9" i="3"/>
  <c r="I9" i="3"/>
  <c r="T10" i="3"/>
  <c r="S10" i="3"/>
  <c r="AD11" i="3"/>
  <c r="AC11" i="3"/>
  <c r="J13" i="3"/>
  <c r="I13" i="3"/>
  <c r="T14" i="3"/>
  <c r="S14" i="3"/>
  <c r="K18" i="3"/>
  <c r="AE17" i="3"/>
  <c r="AE18" i="3" s="1"/>
  <c r="F18" i="3"/>
  <c r="F22" i="3"/>
  <c r="S23" i="3"/>
  <c r="I24" i="3"/>
  <c r="X25" i="3"/>
  <c r="K28" i="4"/>
  <c r="J28" i="4"/>
  <c r="N28" i="4" s="1"/>
  <c r="C10" i="4" s="1"/>
  <c r="K35" i="4"/>
  <c r="J35" i="4"/>
  <c r="I31" i="4"/>
  <c r="L25" i="4"/>
  <c r="N25" i="4" s="1"/>
  <c r="C6" i="7"/>
  <c r="C7" i="7" s="1"/>
  <c r="U22" i="3" l="1"/>
  <c r="Z18" i="3"/>
  <c r="K31" i="3"/>
  <c r="Z27" i="3"/>
  <c r="AE32" i="3"/>
  <c r="U30" i="3"/>
  <c r="AE26" i="3"/>
  <c r="F23" i="3"/>
  <c r="Z23" i="3"/>
  <c r="Z26" i="3"/>
  <c r="P31" i="3"/>
  <c r="F34" i="3"/>
  <c r="Z24" i="3"/>
  <c r="K32" i="3"/>
  <c r="F30" i="3"/>
  <c r="P30" i="3"/>
  <c r="Z34" i="3"/>
  <c r="U26" i="3"/>
  <c r="U24" i="3"/>
  <c r="F27" i="3"/>
  <c r="U32" i="3"/>
  <c r="F24" i="3"/>
  <c r="AE25" i="3"/>
  <c r="D9" i="7"/>
  <c r="D10" i="7" s="1"/>
  <c r="D12" i="7" s="1"/>
  <c r="D18" i="7" s="1"/>
  <c r="Z33" i="3"/>
  <c r="K30" i="3"/>
  <c r="AE27" i="3"/>
  <c r="F33" i="3"/>
  <c r="P34" i="3"/>
  <c r="Z25" i="3"/>
  <c r="K24" i="3"/>
  <c r="F25" i="3"/>
  <c r="AE31" i="3"/>
  <c r="K25" i="3"/>
  <c r="Z31" i="3"/>
  <c r="Z22" i="3"/>
  <c r="AE23" i="3"/>
  <c r="U27" i="3"/>
  <c r="U33" i="3"/>
  <c r="U31" i="3"/>
  <c r="AE34" i="3"/>
  <c r="K21" i="3"/>
  <c r="U23" i="3"/>
  <c r="K34" i="3"/>
  <c r="U25" i="3"/>
  <c r="AE33" i="3"/>
  <c r="U34" i="3"/>
  <c r="F21" i="3"/>
  <c r="AE30" i="3"/>
  <c r="K22" i="3"/>
  <c r="F26" i="3"/>
  <c r="U13" i="3"/>
  <c r="AE14" i="3"/>
  <c r="U9" i="3"/>
  <c r="K13" i="3"/>
  <c r="AE9" i="3"/>
  <c r="AE11" i="3"/>
  <c r="AE12" i="3"/>
  <c r="AE13" i="3"/>
  <c r="U11" i="3"/>
  <c r="M12" i="1"/>
  <c r="G8" i="1"/>
  <c r="C9" i="7"/>
  <c r="C10" i="7" s="1"/>
  <c r="C12" i="7" s="1"/>
  <c r="C18" i="7" s="1"/>
  <c r="U10" i="3"/>
  <c r="U17" i="3"/>
  <c r="U18" i="3" s="1"/>
  <c r="K12" i="3"/>
  <c r="K10" i="3"/>
  <c r="X29" i="3"/>
  <c r="Z29" i="3" s="1"/>
  <c r="S29" i="3"/>
  <c r="U29" i="3" s="1"/>
  <c r="AC29" i="3"/>
  <c r="AE29" i="3" s="1"/>
  <c r="N29" i="3"/>
  <c r="P29" i="3" s="1"/>
  <c r="I29" i="3"/>
  <c r="K29" i="3" s="1"/>
  <c r="N35" i="4"/>
  <c r="C11" i="4" s="1"/>
  <c r="U14" i="3"/>
  <c r="K9" i="3"/>
  <c r="AE10" i="3"/>
  <c r="K14" i="3"/>
  <c r="C13" i="4"/>
  <c r="C14" i="4" s="1"/>
  <c r="B28" i="2" s="1"/>
  <c r="F29" i="3"/>
  <c r="U12" i="3"/>
  <c r="M8" i="1"/>
  <c r="M9" i="1" l="1"/>
  <c r="M10" i="1" s="1"/>
  <c r="G9" i="1"/>
  <c r="G10" i="1" s="1"/>
  <c r="M13" i="1"/>
  <c r="M16" i="1" s="1"/>
  <c r="G13" i="1"/>
  <c r="G12" i="1"/>
  <c r="C13" i="7"/>
  <c r="S28" i="3"/>
  <c r="U28" i="3" s="1"/>
  <c r="X28" i="3"/>
  <c r="Z28" i="3" s="1"/>
  <c r="D28" i="3"/>
  <c r="F28" i="3" s="1"/>
  <c r="I28" i="3"/>
  <c r="K28" i="3" s="1"/>
  <c r="N28" i="3"/>
  <c r="P28" i="3" s="1"/>
  <c r="AC28" i="3"/>
  <c r="AE28" i="3" s="1"/>
  <c r="G16" i="1" l="1"/>
  <c r="M11" i="1"/>
  <c r="M14" i="1" s="1"/>
  <c r="M15" i="1" s="1"/>
  <c r="G11" i="1"/>
  <c r="G14" i="1" s="1"/>
  <c r="K44" i="3"/>
  <c r="K35" i="3"/>
  <c r="K38" i="3" s="1"/>
  <c r="Z35" i="3"/>
  <c r="Z38" i="3" s="1"/>
  <c r="Z44" i="3"/>
  <c r="U44" i="3"/>
  <c r="U35" i="3"/>
  <c r="U38" i="3" s="1"/>
  <c r="F35" i="3"/>
  <c r="F38" i="3" s="1"/>
  <c r="F44" i="3"/>
  <c r="C16" i="7"/>
  <c r="C15" i="7"/>
  <c r="C14" i="7"/>
  <c r="AE35" i="3"/>
  <c r="AE38" i="3" s="1"/>
  <c r="AE44" i="3"/>
  <c r="P35" i="3"/>
  <c r="P38" i="3" s="1"/>
  <c r="P43" i="3" s="1"/>
  <c r="P44" i="3"/>
  <c r="P45" i="3" s="1"/>
  <c r="P47" i="3" s="1"/>
  <c r="P48" i="3" s="1"/>
  <c r="P49" i="3" s="1"/>
  <c r="G15" i="1" l="1"/>
  <c r="G17" i="1" s="1"/>
  <c r="G18" i="1" s="1"/>
  <c r="G19" i="1" s="1"/>
  <c r="M17" i="1"/>
  <c r="M18" i="1" s="1"/>
  <c r="M19" i="1" s="1"/>
  <c r="U43" i="3"/>
  <c r="U45" i="3"/>
  <c r="U47" i="3" s="1"/>
  <c r="U48" i="3" s="1"/>
  <c r="U49" i="3" s="1"/>
  <c r="F43" i="3"/>
  <c r="F45" i="3" s="1"/>
  <c r="F47" i="3" s="1"/>
  <c r="F48" i="3" s="1"/>
  <c r="F49" i="3" s="1"/>
  <c r="AE43" i="3"/>
  <c r="AE45" i="3"/>
  <c r="AE47" i="3" s="1"/>
  <c r="AE48" i="3" s="1"/>
  <c r="AE49" i="3" s="1"/>
  <c r="Z43" i="3"/>
  <c r="Z45" i="3" s="1"/>
  <c r="Z47" i="3" s="1"/>
  <c r="Z48" i="3" s="1"/>
  <c r="Z49" i="3" s="1"/>
  <c r="K43" i="3"/>
  <c r="K45" i="3" s="1"/>
  <c r="K47" i="3" s="1"/>
  <c r="K48" i="3" s="1"/>
  <c r="K49" i="3" s="1"/>
</calcChain>
</file>

<file path=xl/sharedStrings.xml><?xml version="1.0" encoding="utf-8"?>
<sst xmlns="http://schemas.openxmlformats.org/spreadsheetml/2006/main" count="611" uniqueCount="392">
  <si>
    <t xml:space="preserve">Pediatric Nursing Facility Active Treatment 3777 </t>
  </si>
  <si>
    <t>Adult- Nursing Facility Active Treatment 3777</t>
  </si>
  <si>
    <t>Billable Hours</t>
  </si>
  <si>
    <t>Hours</t>
  </si>
  <si>
    <t>Total</t>
  </si>
  <si>
    <t>Service Unit - Hour</t>
  </si>
  <si>
    <t>Maximum Available DC Hours</t>
  </si>
  <si>
    <t>Position</t>
  </si>
  <si>
    <t>Salary</t>
  </si>
  <si>
    <t>FTE</t>
  </si>
  <si>
    <t>Expense</t>
  </si>
  <si>
    <t>Non-direct service hours</t>
  </si>
  <si>
    <t>Vacation/Sick/Personal (3 Weeks)</t>
  </si>
  <si>
    <t>Holidays (11 Days)</t>
  </si>
  <si>
    <t xml:space="preserve">Travel </t>
  </si>
  <si>
    <t>Admin/Supervision/Misc</t>
  </si>
  <si>
    <t>Training</t>
  </si>
  <si>
    <t>Subtotal non-direct hours</t>
  </si>
  <si>
    <t>Total Available Hours per DC FTE</t>
  </si>
  <si>
    <t>Total DC FTEs</t>
  </si>
  <si>
    <t>TOTAL PRODUCTIVE HOURS</t>
  </si>
  <si>
    <t>Total Staff</t>
  </si>
  <si>
    <t>Tax &amp; Fringe</t>
  </si>
  <si>
    <t>Total Compensation</t>
  </si>
  <si>
    <t>OCCUPANCY</t>
  </si>
  <si>
    <t>OTHER EXP</t>
  </si>
  <si>
    <t>Total Reimb Excl M &amp; G</t>
  </si>
  <si>
    <t>Admin. Allocation</t>
  </si>
  <si>
    <t>CAF</t>
  </si>
  <si>
    <t>TOTAL PROGRAM EXPENSE</t>
  </si>
  <si>
    <t>Hourly Rate</t>
  </si>
  <si>
    <t>Rate for 15 Minutes - FY24</t>
  </si>
  <si>
    <t>CBDS</t>
  </si>
  <si>
    <t>Active Treatment - 3777</t>
  </si>
  <si>
    <t>TITLE</t>
  </si>
  <si>
    <t>LEVEL and FTE</t>
  </si>
  <si>
    <t>LEVEL and FTE - 3777</t>
  </si>
  <si>
    <t>Functional Title</t>
  </si>
  <si>
    <t>Benchmark Title</t>
  </si>
  <si>
    <t>A</t>
  </si>
  <si>
    <t>B</t>
  </si>
  <si>
    <t>C</t>
  </si>
  <si>
    <t>D</t>
  </si>
  <si>
    <t>I</t>
  </si>
  <si>
    <t>W</t>
  </si>
  <si>
    <t>Pediatric</t>
  </si>
  <si>
    <t>Adult</t>
  </si>
  <si>
    <t>Management</t>
  </si>
  <si>
    <t>Program Management</t>
  </si>
  <si>
    <t>Direct Care</t>
  </si>
  <si>
    <t>Support</t>
  </si>
  <si>
    <t>Clinical (MA Level)</t>
  </si>
  <si>
    <t>Clinical w/ Independent licensure</t>
  </si>
  <si>
    <t>Support Staff</t>
  </si>
  <si>
    <t>Direct Care III</t>
  </si>
  <si>
    <t>Community Connector</t>
  </si>
  <si>
    <t>Case Worker</t>
  </si>
  <si>
    <t>**This column shows on model**</t>
  </si>
  <si>
    <t>Original DC FTEs:</t>
  </si>
  <si>
    <t>Non-Salary expenses</t>
  </si>
  <si>
    <t>Amount / Percentage</t>
  </si>
  <si>
    <t>Amount / Percentage
Level W only</t>
  </si>
  <si>
    <t>Source</t>
  </si>
  <si>
    <t>FY23 Commonwealth (office of the Comptroller)</t>
  </si>
  <si>
    <t>UFR - FY19 Wt. AVG per unit</t>
  </si>
  <si>
    <t>FY21 UFR Wt Avg (Less Outlier)</t>
  </si>
  <si>
    <t>STAFF TRAINING</t>
  </si>
  <si>
    <t>FY21 UFR Wt Avg (Supp Employment)</t>
  </si>
  <si>
    <t>STAFF MILEAGE</t>
  </si>
  <si>
    <t>SUP &amp; MAT</t>
  </si>
  <si>
    <t xml:space="preserve">C. 257 Benchmark </t>
  </si>
  <si>
    <t>Community Activities</t>
  </si>
  <si>
    <t>Fall 2022 CAF Report</t>
  </si>
  <si>
    <t>Technology</t>
  </si>
  <si>
    <t>Transportation</t>
  </si>
  <si>
    <t>New Staff Trainings</t>
  </si>
  <si>
    <t>New - Department Reccomendation</t>
  </si>
  <si>
    <t>Admin Allocation</t>
  </si>
  <si>
    <t>C. 257 Benchmark</t>
  </si>
  <si>
    <t>Fall 2022 CAF report</t>
  </si>
  <si>
    <t xml:space="preserve">Capacity </t>
  </si>
  <si>
    <t>Days</t>
  </si>
  <si>
    <t>Total Units</t>
  </si>
  <si>
    <t>Level I</t>
  </si>
  <si>
    <t>Level A</t>
  </si>
  <si>
    <t>Level B</t>
  </si>
  <si>
    <t>Level C</t>
  </si>
  <si>
    <t>Level D</t>
  </si>
  <si>
    <t>Level W</t>
  </si>
  <si>
    <t>Service Unit: Per Client Per Day</t>
  </si>
  <si>
    <t>Total Units:</t>
  </si>
  <si>
    <t>SALARY COSTS</t>
  </si>
  <si>
    <t>Model FTEs</t>
  </si>
  <si>
    <t>Management Staff</t>
  </si>
  <si>
    <t>Clinical Staff (MA Lvl)</t>
  </si>
  <si>
    <t>Direct Services &amp; Support Staff</t>
  </si>
  <si>
    <t>Total Staffing</t>
  </si>
  <si>
    <t>CAF on Compensation</t>
  </si>
  <si>
    <t>Total Salary</t>
  </si>
  <si>
    <t>NON-SALARY COSTS</t>
  </si>
  <si>
    <r>
      <t xml:space="preserve">New Staff Trainings </t>
    </r>
    <r>
      <rPr>
        <sz val="8"/>
        <color theme="1"/>
        <rFont val="Calibri"/>
        <family val="2"/>
        <scheme val="minor"/>
      </rPr>
      <t>(excl Mgmt and Support)</t>
    </r>
  </si>
  <si>
    <t>Total Non-Salary</t>
  </si>
  <si>
    <t>Total Expenses</t>
  </si>
  <si>
    <t>OTHER EXPENSES</t>
  </si>
  <si>
    <t>CAF on Program Expenses</t>
  </si>
  <si>
    <t>TOTAL</t>
  </si>
  <si>
    <t>RATE:</t>
  </si>
  <si>
    <t>FY24 Rate</t>
  </si>
  <si>
    <t>Gas Price</t>
  </si>
  <si>
    <t>As of 1/4/23, AAA state average gas is 3.355</t>
  </si>
  <si>
    <t>Mileage Assumption</t>
  </si>
  <si>
    <t>Depreciable Life</t>
  </si>
  <si>
    <t>Maintanence Factor</t>
  </si>
  <si>
    <t>Useage Adjustment</t>
  </si>
  <si>
    <t>Vehicle Mix</t>
  </si>
  <si>
    <t>Annual Cost</t>
  </si>
  <si>
    <t>Sedan</t>
  </si>
  <si>
    <t>Minivan</t>
  </si>
  <si>
    <t>Van</t>
  </si>
  <si>
    <t>WC Van</t>
  </si>
  <si>
    <t>Per Unit</t>
  </si>
  <si>
    <t>Sedans</t>
  </si>
  <si>
    <t>2018 MSRP</t>
  </si>
  <si>
    <t>MPG (City)</t>
  </si>
  <si>
    <t>Maint</t>
  </si>
  <si>
    <t>Depreciation</t>
  </si>
  <si>
    <t>Gas</t>
  </si>
  <si>
    <t>Insurance</t>
  </si>
  <si>
    <t>Total Annual</t>
  </si>
  <si>
    <t>Honda Civic</t>
  </si>
  <si>
    <t>Toyota Corolla</t>
  </si>
  <si>
    <t>Nissan Altima</t>
  </si>
  <si>
    <t>Chevy Cruze</t>
  </si>
  <si>
    <t>Average</t>
  </si>
  <si>
    <t>Minivans</t>
  </si>
  <si>
    <t>2020 MSRP</t>
  </si>
  <si>
    <t>2022 MSRP</t>
  </si>
  <si>
    <t>2022 Value</t>
  </si>
  <si>
    <t>Toyota Sienna</t>
  </si>
  <si>
    <t>Honda Odyssey</t>
  </si>
  <si>
    <t>Dodge Grand Caravan</t>
  </si>
  <si>
    <t>N/A</t>
  </si>
  <si>
    <t>Kia Sedona</t>
  </si>
  <si>
    <t>Vans</t>
  </si>
  <si>
    <t>Chevy Express</t>
  </si>
  <si>
    <t>Ford Transit Wagon</t>
  </si>
  <si>
    <t>Nissan NV Passenger</t>
  </si>
  <si>
    <t>GMC Savana</t>
  </si>
  <si>
    <t>Wheelchair Van</t>
  </si>
  <si>
    <t>One-time costs per FTE</t>
  </si>
  <si>
    <t>Nationally Accredited Professional Certification for an Employment Support Professional (CESP)</t>
  </si>
  <si>
    <t>CESP</t>
  </si>
  <si>
    <t>Recertification every 3 years (CESP)</t>
  </si>
  <si>
    <t>CESP - recert (every 3 years)</t>
  </si>
  <si>
    <t>The Association of Community Rehabilitation Educators provides two certificate trainings, Employment Services or Customized Employment</t>
  </si>
  <si>
    <t>$300 - $800</t>
  </si>
  <si>
    <t>**only 1 person needed</t>
  </si>
  <si>
    <t>EE services / Customized Employment</t>
  </si>
  <si>
    <t>LifeCourse Ambassador - only for 1 employee</t>
  </si>
  <si>
    <t xml:space="preserve">CBDS only - Charting the Lifecourse Ambassador Series </t>
  </si>
  <si>
    <t>Turnover</t>
  </si>
  <si>
    <t>Cost per FTE</t>
  </si>
  <si>
    <t>Average number of FTEs from all models</t>
  </si>
  <si>
    <t>Commonwealth FY23 Rate</t>
  </si>
  <si>
    <t>Total Tax &amp; Fringe</t>
  </si>
  <si>
    <t>TOTAL COMPENSATION</t>
  </si>
  <si>
    <t>CAF %</t>
  </si>
  <si>
    <t>Total CAF</t>
  </si>
  <si>
    <t>Total w/CAF</t>
  </si>
  <si>
    <t xml:space="preserve"> Rates (per hour)</t>
  </si>
  <si>
    <t>Monthly Rate (1.0 FTE Add-on)</t>
  </si>
  <si>
    <t>Monthly Rate (0.75 FTE Add-on)</t>
  </si>
  <si>
    <t>Monthly Rate (0.50 FTE Add-on)</t>
  </si>
  <si>
    <t>Monthly Rate (0.25 FTE Add-on)</t>
  </si>
  <si>
    <t xml:space="preserve"> Rates (per 1/4 hour)</t>
  </si>
  <si>
    <t>Direct Care Productivity Chart</t>
  </si>
  <si>
    <t>Paid Time Off (PTO)</t>
  </si>
  <si>
    <t>Training (not OJT)</t>
  </si>
  <si>
    <t>Total Hours per FTE:</t>
  </si>
  <si>
    <t>Source:</t>
  </si>
  <si>
    <t>BLS / OES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</si>
  <si>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</si>
  <si>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</si>
  <si>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</si>
  <si>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</si>
  <si>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</si>
  <si>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</si>
  <si>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</si>
  <si>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</si>
  <si>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</si>
  <si>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</si>
  <si>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</si>
  <si>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</si>
  <si>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</si>
  <si>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</si>
  <si>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</si>
  <si>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</si>
  <si>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</si>
  <si>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</si>
  <si>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</si>
  <si>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</si>
  <si>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</si>
  <si>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</si>
  <si>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</si>
  <si>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</si>
  <si>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</si>
  <si>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</si>
  <si>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</si>
  <si>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</si>
  <si>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</si>
  <si>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</si>
  <si>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</si>
  <si>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</si>
  <si>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</si>
  <si>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</si>
  <si>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</si>
  <si>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</si>
  <si>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</si>
  <si>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</si>
  <si>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</si>
  <si>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</si>
  <si>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</si>
  <si>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</si>
  <si>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</si>
  <si>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</si>
  <si>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</si>
  <si>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</si>
  <si>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</si>
  <si>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</si>
  <si>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</si>
  <si>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</si>
  <si>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</si>
  <si>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</si>
  <si>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</si>
  <si>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</si>
  <si>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</si>
  <si>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</si>
  <si>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</si>
  <si>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</si>
  <si>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</si>
  <si>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</si>
  <si>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</si>
  <si>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</si>
  <si>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</si>
  <si>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</si>
  <si>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</si>
  <si>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</si>
  <si>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</si>
  <si>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</si>
  <si>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</si>
  <si>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</si>
  <si>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</si>
  <si>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</si>
  <si>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</si>
  <si>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</si>
  <si>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</si>
  <si>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</si>
  <si>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</si>
  <si>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</si>
  <si>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</si>
  <si>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</si>
  <si>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</si>
  <si>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</si>
  <si>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</si>
  <si>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</si>
  <si>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</si>
  <si>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</si>
  <si>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</si>
  <si>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 xml:space="preserve">BLS /OES M2021 Massachusetts 53rd percentile </t>
  </si>
  <si>
    <t>Direct Service Staff</t>
  </si>
  <si>
    <t>Clinical Staff (MA Level)</t>
  </si>
  <si>
    <t>Massachusetts Economic Indicators</t>
  </si>
  <si>
    <t>IHS Markit, Fall 2022 Forecast</t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</si>
  <si>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</si>
  <si>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</si>
  <si>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</si>
  <si>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</si>
  <si>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</si>
  <si>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</si>
  <si>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</si>
  <si>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</si>
  <si>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</si>
  <si>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</si>
  <si>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</si>
  <si>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</si>
  <si>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</si>
  <si>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</si>
  <si>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</si>
  <si>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</si>
  <si>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</si>
  <si>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</si>
  <si>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</si>
  <si>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</si>
  <si>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</si>
  <si>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</si>
  <si>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</si>
  <si>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</si>
  <si>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</si>
  <si>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</si>
  <si>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</si>
  <si>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</si>
  <si>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</si>
  <si>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</si>
  <si>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</si>
  <si>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</si>
  <si>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</si>
  <si>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</si>
  <si>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</si>
  <si>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</si>
  <si>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</si>
  <si>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</si>
  <si>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</si>
  <si>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</si>
  <si>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</si>
  <si>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</si>
  <si>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</si>
  <si>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</si>
  <si>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</si>
  <si>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</si>
  <si>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</si>
  <si>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</si>
  <si>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</si>
  <si>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</si>
  <si>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</si>
  <si>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</si>
  <si>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</si>
  <si>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</si>
  <si>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</si>
  <si>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</si>
  <si>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</si>
  <si>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</si>
  <si>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</si>
  <si>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</si>
  <si>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</si>
  <si>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</si>
  <si>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</si>
  <si>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</si>
  <si>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</si>
  <si>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</si>
  <si>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</si>
  <si>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</si>
  <si>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</si>
  <si>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</si>
  <si>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</si>
  <si>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</si>
  <si>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</si>
  <si>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</si>
  <si>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</si>
  <si>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</si>
  <si>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</si>
  <si>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</si>
  <si>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</si>
  <si>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</si>
  <si>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</si>
  <si>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</si>
  <si>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</si>
  <si>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</si>
  <si>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</si>
  <si>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</si>
  <si>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</si>
  <si>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</si>
  <si>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</si>
  <si>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</si>
  <si>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</si>
  <si>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</si>
  <si>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</si>
  <si>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</si>
  <si>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</si>
  <si>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</si>
  <si>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</si>
  <si>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</si>
  <si>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</si>
  <si>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</si>
  <si>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</si>
  <si>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</si>
  <si>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</si>
  <si>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</si>
  <si>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</si>
  <si>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</si>
  <si>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</si>
  <si>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</si>
  <si>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</si>
  <si>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</si>
  <si>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</si>
  <si>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</si>
  <si>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</si>
  <si>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 xml:space="preserve">Prospective rate period: </t>
  </si>
  <si>
    <t>July 1, 2023 - June 30, 2024</t>
  </si>
  <si>
    <t>CAF:</t>
  </si>
  <si>
    <t xml:space="preserve"> </t>
  </si>
  <si>
    <t>OCCUPANCY (Per FTE)</t>
  </si>
  <si>
    <t>OTHER EXP (Per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</si>
</sst>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&quot;$&quot;#,##0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&quot;$&quot;#,##0.00"/>
    <numFmt numFmtId="170" formatCode="_(&quot;$&quot;* #,##0.000_);_(&quot;$&quot;* \(#,##0.000\);_(&quot;$&quot;* &quot;-&quot;??_);_(@_)"/>
    <numFmt numFmtId="171" formatCode="0.000"/>
    <numFmt numFmtId="172" formatCode="[$-409]mmmm\ d\,\ yyyy;@"/>
    <numFmt numFmtId="173" formatCode="0.00000"/>
    <numFmt numFmtId="17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DE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34" fillId="0" borderId="0">
      <alignment horizontal="left" vertical="center" wrapText="1"/>
    </xf>
    <xf numFmtId="9" fontId="4" fillId="0" borderId="0" applyFont="0" applyFill="0" applyBorder="0" applyAlignment="0" applyProtection="0"/>
  </cellStyleXfs>
  <cellXfs count="440">
    <xf numFmtId="0" fontId="0" fillId="0" borderId="0" xfId="0"/>
    <xf numFmtId="0" fontId="5" fillId="0" borderId="0" xfId="4" applyFont="1" applyAlignment="1">
      <alignment horizontal="center"/>
    </xf>
    <xf numFmtId="0" fontId="6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horizontal="right" vertical="center"/>
    </xf>
    <xf numFmtId="2" fontId="6" fillId="3" borderId="6" xfId="5" applyNumberFormat="1" applyFont="1" applyFill="1" applyBorder="1" applyAlignment="1">
      <alignment horizontal="right" vertical="center"/>
    </xf>
    <xf numFmtId="3" fontId="5" fillId="0" borderId="0" xfId="4" applyNumberFormat="1" applyFont="1" applyAlignment="1">
      <alignment horizontal="center"/>
    </xf>
    <xf numFmtId="0" fontId="6" fillId="4" borderId="9" xfId="5" applyFont="1" applyFill="1" applyBorder="1" applyAlignment="1">
      <alignment vertical="center"/>
    </xf>
    <xf numFmtId="3" fontId="6" fillId="4" borderId="10" xfId="5" applyNumberFormat="1" applyFont="1" applyFill="1" applyBorder="1" applyAlignment="1">
      <alignment vertical="center"/>
    </xf>
    <xf numFmtId="3" fontId="6" fillId="4" borderId="11" xfId="5" applyNumberFormat="1" applyFont="1" applyFill="1" applyBorder="1" applyAlignment="1">
      <alignment vertical="center"/>
    </xf>
    <xf numFmtId="0" fontId="7" fillId="4" borderId="9" xfId="5" applyFont="1" applyFill="1" applyBorder="1" applyAlignment="1">
      <alignment vertical="center"/>
    </xf>
    <xf numFmtId="3" fontId="7" fillId="4" borderId="10" xfId="5" applyNumberFormat="1" applyFont="1" applyFill="1" applyBorder="1" applyAlignment="1">
      <alignment vertical="center"/>
    </xf>
    <xf numFmtId="3" fontId="7" fillId="4" borderId="15" xfId="5" applyNumberFormat="1" applyFont="1" applyFill="1" applyBorder="1" applyAlignment="1">
      <alignment vertical="center"/>
    </xf>
    <xf numFmtId="6" fontId="8" fillId="0" borderId="0" xfId="4" applyNumberFormat="1" applyFont="1"/>
    <xf numFmtId="0" fontId="7" fillId="4" borderId="16" xfId="5" applyFont="1" applyFill="1" applyBorder="1" applyAlignment="1">
      <alignment horizontal="right" vertical="center"/>
    </xf>
    <xf numFmtId="3" fontId="7" fillId="4" borderId="18" xfId="5" applyNumberFormat="1" applyFont="1" applyFill="1" applyBorder="1" applyAlignment="1">
      <alignment vertical="center"/>
    </xf>
    <xf numFmtId="3" fontId="7" fillId="4" borderId="17" xfId="5" applyNumberFormat="1" applyFont="1" applyFill="1" applyBorder="1" applyAlignment="1">
      <alignment vertical="center"/>
    </xf>
    <xf numFmtId="0" fontId="7" fillId="4" borderId="16" xfId="5" applyFont="1" applyFill="1" applyBorder="1" applyAlignment="1">
      <alignment horizontal="right" vertical="center" wrapText="1"/>
    </xf>
    <xf numFmtId="3" fontId="7" fillId="4" borderId="17" xfId="5" applyNumberFormat="1" applyFont="1" applyFill="1" applyBorder="1" applyAlignment="1">
      <alignment vertical="center" wrapText="1"/>
    </xf>
    <xf numFmtId="0" fontId="7" fillId="4" borderId="12" xfId="5" applyFont="1" applyFill="1" applyBorder="1" applyAlignment="1">
      <alignment horizontal="right" vertical="center"/>
    </xf>
    <xf numFmtId="3" fontId="7" fillId="4" borderId="19" xfId="5" applyNumberFormat="1" applyFont="1" applyFill="1" applyBorder="1" applyAlignment="1">
      <alignment vertical="center"/>
    </xf>
    <xf numFmtId="3" fontId="7" fillId="4" borderId="14" xfId="5" applyNumberFormat="1" applyFont="1" applyFill="1" applyBorder="1" applyAlignment="1">
      <alignment vertical="center"/>
    </xf>
    <xf numFmtId="0" fontId="9" fillId="4" borderId="16" xfId="5" applyFont="1" applyFill="1" applyBorder="1" applyAlignment="1">
      <alignment horizontal="left" vertical="center"/>
    </xf>
    <xf numFmtId="3" fontId="9" fillId="4" borderId="0" xfId="5" applyNumberFormat="1" applyFont="1" applyFill="1" applyAlignment="1">
      <alignment vertical="center"/>
    </xf>
    <xf numFmtId="3" fontId="9" fillId="4" borderId="17" xfId="5" applyNumberFormat="1" applyFont="1" applyFill="1" applyBorder="1" applyAlignment="1">
      <alignment vertical="center"/>
    </xf>
    <xf numFmtId="0" fontId="9" fillId="4" borderId="12" xfId="5" applyFont="1" applyFill="1" applyBorder="1" applyAlignment="1">
      <alignment vertical="center"/>
    </xf>
    <xf numFmtId="3" fontId="10" fillId="4" borderId="13" xfId="5" applyNumberFormat="1" applyFont="1" applyFill="1" applyBorder="1" applyAlignment="1">
      <alignment vertical="center"/>
    </xf>
    <xf numFmtId="3" fontId="10" fillId="4" borderId="14" xfId="5" applyNumberFormat="1" applyFont="1" applyFill="1" applyBorder="1" applyAlignment="1">
      <alignment vertical="center"/>
    </xf>
    <xf numFmtId="0" fontId="9" fillId="4" borderId="16" xfId="5" applyFont="1" applyFill="1" applyBorder="1" applyAlignment="1">
      <alignment vertical="center"/>
    </xf>
    <xf numFmtId="4" fontId="9" fillId="4" borderId="0" xfId="6" applyNumberFormat="1" applyFont="1" applyFill="1" applyAlignment="1">
      <alignment vertical="center"/>
    </xf>
    <xf numFmtId="4" fontId="9" fillId="4" borderId="17" xfId="6" applyNumberFormat="1" applyFont="1" applyFill="1" applyBorder="1" applyAlignment="1">
      <alignment vertical="center"/>
    </xf>
    <xf numFmtId="0" fontId="9" fillId="4" borderId="1" xfId="5" applyFont="1" applyFill="1" applyBorder="1" applyAlignment="1">
      <alignment vertical="center"/>
    </xf>
    <xf numFmtId="0" fontId="9" fillId="4" borderId="2" xfId="5" applyFont="1" applyFill="1" applyBorder="1" applyAlignment="1">
      <alignment vertical="center"/>
    </xf>
    <xf numFmtId="3" fontId="9" fillId="4" borderId="3" xfId="5" applyNumberFormat="1" applyFont="1" applyFill="1" applyBorder="1" applyAlignment="1">
      <alignment vertical="center"/>
    </xf>
    <xf numFmtId="6" fontId="5" fillId="0" borderId="0" xfId="4" applyNumberFormat="1" applyFont="1"/>
    <xf numFmtId="0" fontId="8" fillId="0" borderId="0" xfId="4" applyFont="1"/>
    <xf numFmtId="0" fontId="6" fillId="0" borderId="13" xfId="4" applyFont="1" applyBorder="1" applyAlignment="1">
      <alignment horizontal="center"/>
    </xf>
    <xf numFmtId="8" fontId="8" fillId="0" borderId="0" xfId="4" applyNumberFormat="1" applyFont="1"/>
    <xf numFmtId="8" fontId="11" fillId="0" borderId="0" xfId="4" applyNumberFormat="1" applyFont="1"/>
    <xf numFmtId="44" fontId="8" fillId="0" borderId="0" xfId="2" applyFont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3" xfId="0" applyFont="1" applyBorder="1"/>
    <xf numFmtId="0" fontId="0" fillId="0" borderId="19" xfId="0" applyBorder="1" applyAlignment="1">
      <alignment horizontal="center" vertical="center"/>
    </xf>
    <xf numFmtId="164" fontId="7" fillId="0" borderId="23" xfId="7" applyNumberFormat="1" applyFont="1" applyBorder="1" applyAlignment="1">
      <alignment horizontal="center" vertical="center"/>
    </xf>
    <xf numFmtId="6" fontId="7" fillId="0" borderId="19" xfId="7" applyNumberFormat="1" applyFont="1" applyBorder="1" applyAlignment="1">
      <alignment horizontal="center" vertical="center"/>
    </xf>
    <xf numFmtId="6" fontId="7" fillId="0" borderId="34" xfId="7" applyNumberFormat="1" applyFont="1" applyBorder="1" applyAlignment="1">
      <alignment horizontal="center" vertical="center"/>
    </xf>
    <xf numFmtId="6" fontId="7" fillId="0" borderId="24" xfId="7" applyNumberFormat="1" applyFont="1" applyBorder="1" applyAlignment="1">
      <alignment horizontal="center" vertical="center"/>
    </xf>
    <xf numFmtId="6" fontId="7" fillId="0" borderId="0" xfId="7" applyNumberFormat="1" applyFont="1" applyAlignment="1">
      <alignment horizontal="center" vertical="center"/>
    </xf>
    <xf numFmtId="0" fontId="0" fillId="0" borderId="19" xfId="0" applyBorder="1"/>
    <xf numFmtId="0" fontId="0" fillId="0" borderId="18" xfId="0" applyBorder="1"/>
    <xf numFmtId="164" fontId="7" fillId="0" borderId="18" xfId="7" applyNumberFormat="1" applyFont="1" applyBorder="1"/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10" xfId="7" applyFont="1" applyBorder="1"/>
    <xf numFmtId="0" fontId="0" fillId="0" borderId="21" xfId="0" applyBorder="1"/>
    <xf numFmtId="44" fontId="0" fillId="0" borderId="10" xfId="2" applyFont="1" applyBorder="1"/>
    <xf numFmtId="4" fontId="7" fillId="0" borderId="10" xfId="7" applyNumberFormat="1" applyFont="1" applyBorder="1" applyAlignment="1">
      <alignment horizontal="center"/>
    </xf>
    <xf numFmtId="4" fontId="7" fillId="0" borderId="0" xfId="7" applyNumberFormat="1" applyFont="1" applyAlignment="1">
      <alignment horizontal="center"/>
    </xf>
    <xf numFmtId="0" fontId="7" fillId="0" borderId="21" xfId="7" applyFont="1" applyBorder="1"/>
    <xf numFmtId="0" fontId="0" fillId="0" borderId="10" xfId="0" applyBorder="1"/>
    <xf numFmtId="44" fontId="0" fillId="0" borderId="21" xfId="2" applyFont="1" applyBorder="1"/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31" xfId="0" applyBorder="1"/>
    <xf numFmtId="44" fontId="0" fillId="0" borderId="18" xfId="2" applyFont="1" applyBorder="1"/>
    <xf numFmtId="4" fontId="7" fillId="0" borderId="18" xfId="7" applyNumberFormat="1" applyFont="1" applyBorder="1" applyAlignment="1">
      <alignment horizontal="center"/>
    </xf>
    <xf numFmtId="164" fontId="7" fillId="0" borderId="31" xfId="7" applyNumberFormat="1" applyFont="1" applyBorder="1"/>
    <xf numFmtId="44" fontId="0" fillId="0" borderId="31" xfId="2" applyFont="1" applyBorder="1"/>
    <xf numFmtId="2" fontId="0" fillId="0" borderId="31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164" fontId="7" fillId="0" borderId="19" xfId="7" applyNumberFormat="1" applyFont="1" applyBorder="1"/>
    <xf numFmtId="0" fontId="0" fillId="0" borderId="23" xfId="0" applyBorder="1"/>
    <xf numFmtId="44" fontId="0" fillId="0" borderId="19" xfId="2" applyFont="1" applyBorder="1"/>
    <xf numFmtId="44" fontId="0" fillId="0" borderId="23" xfId="2" applyFont="1" applyBorder="1"/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4" fontId="7" fillId="0" borderId="21" xfId="7" applyNumberFormat="1" applyFont="1" applyBorder="1" applyAlignment="1">
      <alignment horizontal="center"/>
    </xf>
    <xf numFmtId="4" fontId="7" fillId="0" borderId="20" xfId="7" applyNumberFormat="1" applyFont="1" applyBorder="1" applyAlignment="1">
      <alignment horizontal="center"/>
    </xf>
    <xf numFmtId="4" fontId="7" fillId="0" borderId="22" xfId="7" applyNumberFormat="1" applyFont="1" applyBorder="1" applyAlignment="1">
      <alignment horizontal="center"/>
    </xf>
    <xf numFmtId="164" fontId="7" fillId="0" borderId="21" xfId="7" applyNumberFormat="1" applyFont="1" applyBorder="1"/>
    <xf numFmtId="4" fontId="7" fillId="0" borderId="31" xfId="7" applyNumberFormat="1" applyFont="1" applyBorder="1" applyAlignment="1">
      <alignment horizontal="center"/>
    </xf>
    <xf numFmtId="4" fontId="7" fillId="0" borderId="35" xfId="7" applyNumberFormat="1" applyFont="1" applyBorder="1" applyAlignment="1">
      <alignment horizontal="center"/>
    </xf>
    <xf numFmtId="0" fontId="0" fillId="0" borderId="35" xfId="0" applyBorder="1"/>
    <xf numFmtId="0" fontId="0" fillId="0" borderId="13" xfId="0" applyBorder="1"/>
    <xf numFmtId="0" fontId="0" fillId="0" borderId="24" xfId="0" applyBorder="1"/>
    <xf numFmtId="0" fontId="14" fillId="0" borderId="36" xfId="0" applyFont="1" applyBorder="1"/>
    <xf numFmtId="0" fontId="0" fillId="0" borderId="36" xfId="0" applyBorder="1"/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13" xfId="0" applyFont="1" applyBorder="1"/>
    <xf numFmtId="2" fontId="3" fillId="0" borderId="24" xfId="0" applyNumberFormat="1" applyFont="1" applyBorder="1"/>
    <xf numFmtId="2" fontId="3" fillId="0" borderId="0" xfId="0" applyNumberFormat="1" applyFont="1"/>
    <xf numFmtId="0" fontId="14" fillId="0" borderId="37" xfId="0" applyFont="1" applyBorder="1"/>
    <xf numFmtId="0" fontId="0" fillId="0" borderId="37" xfId="0" applyBorder="1"/>
    <xf numFmtId="0" fontId="0" fillId="0" borderId="38" xfId="0" applyBorder="1"/>
    <xf numFmtId="0" fontId="14" fillId="0" borderId="0" xfId="0" applyFont="1"/>
    <xf numFmtId="0" fontId="3" fillId="0" borderId="0" xfId="0" applyFont="1" applyAlignment="1">
      <alignment wrapText="1"/>
    </xf>
    <xf numFmtId="0" fontId="3" fillId="0" borderId="33" xfId="0" applyFont="1" applyBorder="1" applyAlignment="1">
      <alignment horizontal="center" vertical="center" wrapText="1"/>
    </xf>
    <xf numFmtId="10" fontId="0" fillId="0" borderId="19" xfId="3" applyNumberFormat="1" applyFont="1" applyBorder="1"/>
    <xf numFmtId="10" fontId="0" fillId="0" borderId="13" xfId="0" applyNumberFormat="1" applyBorder="1"/>
    <xf numFmtId="10" fontId="0" fillId="0" borderId="18" xfId="3" applyNumberFormat="1" applyFont="1" applyBorder="1"/>
    <xf numFmtId="0" fontId="7" fillId="0" borderId="10" xfId="0" applyFont="1" applyBorder="1"/>
    <xf numFmtId="44" fontId="0" fillId="0" borderId="10" xfId="0" applyNumberFormat="1" applyBorder="1"/>
    <xf numFmtId="164" fontId="7" fillId="0" borderId="10" xfId="7" applyNumberFormat="1" applyFont="1" applyBorder="1"/>
    <xf numFmtId="0" fontId="7" fillId="0" borderId="18" xfId="0" applyFont="1" applyBorder="1"/>
    <xf numFmtId="44" fontId="0" fillId="0" borderId="18" xfId="0" applyNumberFormat="1" applyBorder="1"/>
    <xf numFmtId="10" fontId="0" fillId="0" borderId="10" xfId="3" applyNumberFormat="1" applyFont="1" applyBorder="1"/>
    <xf numFmtId="164" fontId="15" fillId="0" borderId="19" xfId="7" applyNumberFormat="1" applyFont="1" applyBorder="1"/>
    <xf numFmtId="44" fontId="0" fillId="0" borderId="19" xfId="0" applyNumberFormat="1" applyBorder="1"/>
    <xf numFmtId="164" fontId="7" fillId="0" borderId="23" xfId="7" applyNumberFormat="1" applyFont="1" applyBorder="1"/>
    <xf numFmtId="164" fontId="7" fillId="0" borderId="13" xfId="7" applyNumberFormat="1" applyFont="1" applyBorder="1"/>
    <xf numFmtId="164" fontId="7" fillId="0" borderId="24" xfId="7" applyNumberFormat="1" applyFont="1" applyBorder="1"/>
    <xf numFmtId="164" fontId="15" fillId="0" borderId="10" xfId="7" applyNumberFormat="1" applyFont="1" applyBorder="1"/>
    <xf numFmtId="6" fontId="6" fillId="0" borderId="36" xfId="7" applyNumberFormat="1" applyFont="1" applyBorder="1" applyAlignment="1">
      <alignment horizontal="center"/>
    </xf>
    <xf numFmtId="164" fontId="15" fillId="0" borderId="18" xfId="7" applyNumberFormat="1" applyFont="1" applyBorder="1"/>
    <xf numFmtId="44" fontId="1" fillId="0" borderId="36" xfId="2" applyBorder="1" applyAlignment="1">
      <alignment horizontal="center" vertical="center"/>
    </xf>
    <xf numFmtId="9" fontId="0" fillId="0" borderId="19" xfId="3" applyFont="1" applyBorder="1" applyAlignment="1">
      <alignment horizontal="center" vertical="center"/>
    </xf>
    <xf numFmtId="10" fontId="0" fillId="0" borderId="0" xfId="3" applyNumberFormat="1" applyFont="1"/>
    <xf numFmtId="10" fontId="0" fillId="0" borderId="13" xfId="3" applyNumberFormat="1" applyFont="1" applyBorder="1"/>
    <xf numFmtId="166" fontId="0" fillId="0" borderId="0" xfId="1" applyNumberFormat="1" applyFont="1" applyAlignment="1">
      <alignment horizontal="left"/>
    </xf>
    <xf numFmtId="166" fontId="0" fillId="0" borderId="13" xfId="1" applyNumberFormat="1" applyFont="1" applyBorder="1" applyAlignment="1">
      <alignment horizontal="left"/>
    </xf>
    <xf numFmtId="0" fontId="3" fillId="0" borderId="29" xfId="0" applyFont="1" applyBorder="1"/>
    <xf numFmtId="166" fontId="3" fillId="0" borderId="29" xfId="1" applyNumberFormat="1" applyFont="1" applyBorder="1" applyAlignment="1">
      <alignment horizontal="left"/>
    </xf>
    <xf numFmtId="166" fontId="0" fillId="0" borderId="0" xfId="1" applyNumberFormat="1" applyFont="1"/>
    <xf numFmtId="44" fontId="0" fillId="0" borderId="0" xfId="2" applyFont="1"/>
    <xf numFmtId="0" fontId="3" fillId="0" borderId="39" xfId="0" applyFont="1" applyBorder="1"/>
    <xf numFmtId="2" fontId="3" fillId="0" borderId="39" xfId="0" applyNumberFormat="1" applyFont="1" applyBorder="1"/>
    <xf numFmtId="10" fontId="16" fillId="0" borderId="13" xfId="0" applyNumberFormat="1" applyFont="1" applyBorder="1"/>
    <xf numFmtId="0" fontId="14" fillId="0" borderId="39" xfId="0" applyFont="1" applyBorder="1"/>
    <xf numFmtId="9" fontId="0" fillId="0" borderId="0" xfId="3" applyFont="1"/>
    <xf numFmtId="0" fontId="0" fillId="0" borderId="39" xfId="0" applyBorder="1"/>
    <xf numFmtId="0" fontId="3" fillId="0" borderId="40" xfId="0" applyFont="1" applyBorder="1"/>
    <xf numFmtId="44" fontId="0" fillId="0" borderId="0" xfId="0" applyNumberFormat="1"/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36" xfId="0" applyNumberFormat="1" applyBorder="1"/>
    <xf numFmtId="44" fontId="0" fillId="6" borderId="36" xfId="0" applyNumberFormat="1" applyFill="1" applyBorder="1"/>
    <xf numFmtId="168" fontId="2" fillId="0" borderId="0" xfId="3" applyNumberFormat="1" applyFont="1"/>
    <xf numFmtId="0" fontId="2" fillId="0" borderId="0" xfId="0" applyFont="1"/>
    <xf numFmtId="0" fontId="3" fillId="7" borderId="0" xfId="0" applyFont="1" applyFill="1"/>
    <xf numFmtId="0" fontId="3" fillId="0" borderId="0" xfId="0" applyFont="1"/>
    <xf numFmtId="0" fontId="0" fillId="7" borderId="0" xfId="0" applyFill="1"/>
    <xf numFmtId="44" fontId="0" fillId="7" borderId="0" xfId="8" applyFont="1" applyFill="1"/>
    <xf numFmtId="44" fontId="0" fillId="7" borderId="0" xfId="0" applyNumberFormat="1" applyFill="1"/>
    <xf numFmtId="44" fontId="0" fillId="7" borderId="0" xfId="2" applyFont="1" applyFill="1"/>
    <xf numFmtId="44" fontId="3" fillId="7" borderId="0" xfId="8" applyFont="1" applyFill="1"/>
    <xf numFmtId="2" fontId="3" fillId="7" borderId="0" xfId="9" applyNumberFormat="1" applyFont="1" applyFill="1"/>
    <xf numFmtId="44" fontId="3" fillId="7" borderId="0" xfId="0" applyNumberFormat="1" applyFont="1" applyFill="1"/>
    <xf numFmtId="44" fontId="3" fillId="7" borderId="0" xfId="2" applyFont="1" applyFill="1"/>
    <xf numFmtId="44" fontId="0" fillId="0" borderId="0" xfId="8" applyFont="1"/>
    <xf numFmtId="44" fontId="1" fillId="0" borderId="0" xfId="8" applyFont="1"/>
    <xf numFmtId="44" fontId="3" fillId="0" borderId="0" xfId="8" applyFont="1"/>
    <xf numFmtId="44" fontId="3" fillId="0" borderId="0" xfId="0" applyNumberFormat="1" applyFont="1"/>
    <xf numFmtId="44" fontId="3" fillId="0" borderId="0" xfId="2" applyFont="1"/>
    <xf numFmtId="44" fontId="1" fillId="0" borderId="0" xfId="2"/>
    <xf numFmtId="0" fontId="0" fillId="0" borderId="17" xfId="0" applyBorder="1"/>
    <xf numFmtId="0" fontId="0" fillId="0" borderId="16" xfId="0" applyBorder="1"/>
    <xf numFmtId="0" fontId="0" fillId="0" borderId="32" xfId="0" applyBorder="1"/>
    <xf numFmtId="0" fontId="0" fillId="0" borderId="41" xfId="0" applyBorder="1"/>
    <xf numFmtId="6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44" fontId="0" fillId="0" borderId="36" xfId="2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2" applyFont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4" fontId="14" fillId="0" borderId="36" xfId="0" applyNumberFormat="1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9" fontId="0" fillId="0" borderId="36" xfId="0" applyNumberForma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44" fontId="14" fillId="2" borderId="36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165" fontId="7" fillId="0" borderId="8" xfId="0" applyNumberFormat="1" applyFont="1" applyBorder="1" applyAlignment="1">
      <alignment horizontal="center"/>
    </xf>
    <xf numFmtId="0" fontId="7" fillId="0" borderId="16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6" fillId="0" borderId="42" xfId="0" applyFont="1" applyBorder="1" applyAlignment="1">
      <alignment horizontal="right"/>
    </xf>
    <xf numFmtId="169" fontId="0" fillId="0" borderId="32" xfId="0" applyNumberFormat="1" applyBorder="1"/>
    <xf numFmtId="0" fontId="23" fillId="0" borderId="0" xfId="0" applyFont="1" applyAlignment="1">
      <alignment horizontal="right"/>
    </xf>
    <xf numFmtId="5" fontId="16" fillId="0" borderId="0" xfId="11" applyNumberFormat="1" applyFont="1" applyAlignment="1">
      <alignment horizontal="center"/>
    </xf>
    <xf numFmtId="170" fontId="1" fillId="0" borderId="0" xfId="12" applyNumberFormat="1" applyFont="1"/>
    <xf numFmtId="171" fontId="0" fillId="0" borderId="0" xfId="0" applyNumberFormat="1"/>
    <xf numFmtId="0" fontId="6" fillId="0" borderId="1" xfId="0" applyFont="1" applyBorder="1" applyAlignment="1">
      <alignment horizontal="right"/>
    </xf>
    <xf numFmtId="169" fontId="3" fillId="6" borderId="2" xfId="12" applyNumberFormat="1" applyFont="1" applyFill="1" applyBorder="1" applyAlignment="1">
      <alignment horizontal="center"/>
    </xf>
    <xf numFmtId="169" fontId="3" fillId="6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right"/>
    </xf>
    <xf numFmtId="169" fontId="3" fillId="0" borderId="0" xfId="12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0" fontId="3" fillId="0" borderId="0" xfId="3" applyNumberFormat="1" applyFont="1" applyAlignment="1">
      <alignment horizontal="center"/>
    </xf>
    <xf numFmtId="0" fontId="7" fillId="9" borderId="0" xfId="0" applyFont="1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wrapText="1"/>
    </xf>
    <xf numFmtId="0" fontId="24" fillId="10" borderId="7" xfId="13" applyFont="1" applyFill="1" applyBorder="1"/>
    <xf numFmtId="0" fontId="24" fillId="10" borderId="8" xfId="13" applyFont="1" applyFill="1" applyBorder="1"/>
    <xf numFmtId="0" fontId="24" fillId="10" borderId="8" xfId="13" applyFont="1" applyFill="1" applyBorder="1" applyAlignment="1">
      <alignment horizontal="center"/>
    </xf>
    <xf numFmtId="164" fontId="24" fillId="10" borderId="6" xfId="13" applyNumberFormat="1" applyFont="1" applyFill="1" applyBorder="1" applyAlignment="1">
      <alignment horizontal="center"/>
    </xf>
    <xf numFmtId="0" fontId="25" fillId="10" borderId="16" xfId="13" applyFont="1" applyFill="1" applyBorder="1"/>
    <xf numFmtId="0" fontId="25" fillId="10" borderId="0" xfId="13" applyFont="1" applyFill="1" applyAlignment="1">
      <alignment horizontal="right"/>
    </xf>
    <xf numFmtId="0" fontId="26" fillId="10" borderId="0" xfId="13" applyFont="1" applyFill="1" applyAlignment="1">
      <alignment horizontal="center"/>
    </xf>
    <xf numFmtId="0" fontId="25" fillId="10" borderId="17" xfId="13" applyFont="1" applyFill="1" applyBorder="1" applyAlignment="1">
      <alignment horizontal="center"/>
    </xf>
    <xf numFmtId="0" fontId="25" fillId="10" borderId="12" xfId="13" applyFont="1" applyFill="1" applyBorder="1"/>
    <xf numFmtId="0" fontId="25" fillId="10" borderId="13" xfId="13" applyFont="1" applyFill="1" applyBorder="1" applyAlignment="1">
      <alignment horizontal="right"/>
    </xf>
    <xf numFmtId="1" fontId="26" fillId="10" borderId="13" xfId="13" applyNumberFormat="1" applyFont="1" applyFill="1" applyBorder="1" applyAlignment="1">
      <alignment horizontal="center"/>
    </xf>
    <xf numFmtId="1" fontId="25" fillId="10" borderId="14" xfId="13" applyNumberFormat="1" applyFont="1" applyFill="1" applyBorder="1" applyAlignment="1">
      <alignment horizontal="center"/>
    </xf>
    <xf numFmtId="0" fontId="25" fillId="10" borderId="0" xfId="13" applyFont="1" applyFill="1"/>
    <xf numFmtId="1" fontId="25" fillId="10" borderId="17" xfId="13" applyNumberFormat="1" applyFont="1" applyFill="1" applyBorder="1" applyAlignment="1">
      <alignment horizontal="center"/>
    </xf>
    <xf numFmtId="0" fontId="25" fillId="10" borderId="42" xfId="13" applyFont="1" applyFill="1" applyBorder="1"/>
    <xf numFmtId="0" fontId="25" fillId="10" borderId="32" xfId="13" applyFont="1" applyFill="1" applyBorder="1"/>
    <xf numFmtId="0" fontId="25" fillId="10" borderId="32" xfId="13" applyFont="1" applyFill="1" applyBorder="1" applyAlignment="1">
      <alignment horizontal="right"/>
    </xf>
    <xf numFmtId="1" fontId="25" fillId="10" borderId="41" xfId="13" applyNumberFormat="1" applyFont="1" applyFill="1" applyBorder="1" applyAlignment="1">
      <alignment horizontal="center"/>
    </xf>
    <xf numFmtId="0" fontId="27" fillId="0" borderId="0" xfId="14" applyFont="1"/>
    <xf numFmtId="0" fontId="28" fillId="0" borderId="0" xfId="14" applyFont="1" applyAlignment="1">
      <alignment horizontal="center"/>
    </xf>
    <xf numFmtId="0" fontId="27" fillId="0" borderId="0" xfId="14" applyFont="1" applyAlignment="1">
      <alignment wrapText="1"/>
    </xf>
    <xf numFmtId="17" fontId="29" fillId="0" borderId="0" xfId="14" applyNumberFormat="1" applyFont="1" applyAlignment="1">
      <alignment horizontal="center"/>
    </xf>
    <xf numFmtId="172" fontId="12" fillId="0" borderId="0" xfId="14" applyNumberFormat="1" applyFont="1" applyAlignment="1">
      <alignment horizontal="left" vertical="top"/>
    </xf>
    <xf numFmtId="0" fontId="12" fillId="0" borderId="0" xfId="14" applyFont="1" applyAlignment="1">
      <alignment horizontal="center"/>
    </xf>
    <xf numFmtId="0" fontId="12" fillId="0" borderId="0" xfId="14" applyFont="1"/>
    <xf numFmtId="9" fontId="29" fillId="0" borderId="0" xfId="14" applyNumberFormat="1" applyFont="1" applyAlignment="1">
      <alignment horizontal="center" wrapText="1"/>
    </xf>
    <xf numFmtId="0" fontId="12" fillId="0" borderId="0" xfId="14" applyFont="1" applyAlignment="1">
      <alignment horizontal="left" wrapText="1"/>
    </xf>
    <xf numFmtId="0" fontId="27" fillId="0" borderId="7" xfId="14" applyFont="1" applyBorder="1"/>
    <xf numFmtId="169" fontId="27" fillId="0" borderId="43" xfId="14" applyNumberFormat="1" applyFont="1" applyBorder="1" applyAlignment="1">
      <alignment horizontal="center"/>
    </xf>
    <xf numFmtId="0" fontId="27" fillId="0" borderId="42" xfId="14" applyFont="1" applyBorder="1"/>
    <xf numFmtId="165" fontId="27" fillId="0" borderId="32" xfId="14" applyNumberFormat="1" applyFont="1" applyBorder="1" applyAlignment="1">
      <alignment horizontal="center"/>
    </xf>
    <xf numFmtId="0" fontId="27" fillId="0" borderId="8" xfId="14" applyFont="1" applyBorder="1"/>
    <xf numFmtId="0" fontId="27" fillId="0" borderId="16" xfId="14" applyFont="1" applyBorder="1"/>
    <xf numFmtId="165" fontId="27" fillId="0" borderId="0" xfId="14" applyNumberFormat="1" applyFont="1" applyAlignment="1">
      <alignment horizontal="center"/>
    </xf>
    <xf numFmtId="0" fontId="27" fillId="0" borderId="32" xfId="14" applyFont="1" applyBorder="1"/>
    <xf numFmtId="0" fontId="27" fillId="0" borderId="7" xfId="14" applyFont="1" applyBorder="1" applyAlignment="1">
      <alignment wrapText="1"/>
    </xf>
    <xf numFmtId="0" fontId="27" fillId="0" borderId="42" xfId="14" applyFont="1" applyBorder="1" applyAlignment="1">
      <alignment wrapText="1"/>
    </xf>
    <xf numFmtId="169" fontId="27" fillId="0" borderId="8" xfId="14" applyNumberFormat="1" applyFont="1" applyBorder="1" applyAlignment="1">
      <alignment horizontal="center"/>
    </xf>
    <xf numFmtId="169" fontId="27" fillId="0" borderId="0" xfId="14" applyNumberFormat="1" applyFont="1" applyAlignment="1">
      <alignment horizontal="center"/>
    </xf>
    <xf numFmtId="0" fontId="27" fillId="0" borderId="0" xfId="14" applyFont="1" applyAlignment="1">
      <alignment horizontal="right" wrapText="1"/>
    </xf>
    <xf numFmtId="0" fontId="27" fillId="0" borderId="0" xfId="14" applyFont="1" applyAlignment="1">
      <alignment horizontal="center"/>
    </xf>
    <xf numFmtId="0" fontId="27" fillId="0" borderId="0" xfId="14" applyFont="1" applyAlignment="1">
      <alignment horizontal="right"/>
    </xf>
    <xf numFmtId="10" fontId="27" fillId="0" borderId="0" xfId="3" applyNumberFormat="1" applyFont="1" applyAlignment="1">
      <alignment horizontal="center"/>
    </xf>
    <xf numFmtId="9" fontId="27" fillId="0" borderId="0" xfId="3" applyFont="1" applyAlignment="1">
      <alignment horizontal="center"/>
    </xf>
    <xf numFmtId="9" fontId="27" fillId="0" borderId="0" xfId="3" applyFont="1"/>
    <xf numFmtId="173" fontId="0" fillId="0" borderId="0" xfId="0" applyNumberFormat="1"/>
    <xf numFmtId="0" fontId="4" fillId="0" borderId="0" xfId="15"/>
    <xf numFmtId="0" fontId="20" fillId="11" borderId="0" xfId="15" applyFont="1" applyFill="1"/>
    <xf numFmtId="0" fontId="31" fillId="11" borderId="17" xfId="15" applyFont="1" applyFill="1" applyBorder="1"/>
    <xf numFmtId="0" fontId="32" fillId="11" borderId="32" xfId="15" applyFont="1" applyFill="1" applyBorder="1"/>
    <xf numFmtId="0" fontId="31" fillId="11" borderId="41" xfId="15" applyFont="1" applyFill="1" applyBorder="1"/>
    <xf numFmtId="0" fontId="31" fillId="0" borderId="0" xfId="15" applyFont="1"/>
    <xf numFmtId="0" fontId="33" fillId="12" borderId="0" xfId="16" applyFont="1" applyFill="1"/>
    <xf numFmtId="0" fontId="33" fillId="13" borderId="0" xfId="16" applyFont="1" applyFill="1"/>
    <xf numFmtId="0" fontId="33" fillId="14" borderId="0" xfId="16" applyFont="1" applyFill="1"/>
    <xf numFmtId="0" fontId="33" fillId="15" borderId="0" xfId="15" applyFont="1" applyFill="1" applyAlignment="1">
      <alignment horizontal="center"/>
    </xf>
    <xf numFmtId="0" fontId="33" fillId="16" borderId="0" xfId="15" applyFont="1" applyFill="1" applyAlignment="1">
      <alignment horizontal="center"/>
    </xf>
    <xf numFmtId="14" fontId="31" fillId="0" borderId="0" xfId="15" applyNumberFormat="1" applyFont="1"/>
    <xf numFmtId="171" fontId="4" fillId="0" borderId="0" xfId="15" applyNumberFormat="1"/>
    <xf numFmtId="2" fontId="4" fillId="0" borderId="0" xfId="15" applyNumberFormat="1"/>
    <xf numFmtId="0" fontId="31" fillId="0" borderId="0" xfId="17" applyFont="1" applyAlignment="1"/>
    <xf numFmtId="0" fontId="34" fillId="0" borderId="0" xfId="17" applyAlignment="1"/>
    <xf numFmtId="0" fontId="35" fillId="0" borderId="0" xfId="17" applyFont="1" applyAlignment="1"/>
    <xf numFmtId="0" fontId="36" fillId="0" borderId="0" xfId="17" applyFont="1" applyAlignment="1"/>
    <xf numFmtId="0" fontId="34" fillId="0" borderId="21" xfId="17" applyBorder="1" applyAlignment="1"/>
    <xf numFmtId="0" fontId="34" fillId="0" borderId="20" xfId="17" applyBorder="1" applyAlignment="1"/>
    <xf numFmtId="0" fontId="34" fillId="0" borderId="22" xfId="17" applyBorder="1" applyAlignment="1"/>
    <xf numFmtId="0" fontId="34" fillId="0" borderId="31" xfId="17" applyBorder="1" applyAlignment="1"/>
    <xf numFmtId="0" fontId="34" fillId="0" borderId="0" xfId="17" applyAlignment="1">
      <alignment horizontal="right"/>
    </xf>
    <xf numFmtId="0" fontId="31" fillId="0" borderId="0" xfId="17" applyFont="1" applyAlignment="1">
      <alignment horizontal="center"/>
    </xf>
    <xf numFmtId="0" fontId="34" fillId="0" borderId="35" xfId="17" applyBorder="1" applyAlignment="1"/>
    <xf numFmtId="174" fontId="4" fillId="0" borderId="0" xfId="15" applyNumberFormat="1"/>
    <xf numFmtId="14" fontId="31" fillId="0" borderId="0" xfId="15" applyNumberFormat="1" applyFont="1" applyAlignment="1">
      <alignment horizontal="center"/>
    </xf>
    <xf numFmtId="0" fontId="37" fillId="0" borderId="35" xfId="17" applyFont="1" applyBorder="1" applyAlignment="1">
      <alignment horizontal="center"/>
    </xf>
    <xf numFmtId="171" fontId="4" fillId="0" borderId="36" xfId="15" applyNumberFormat="1" applyBorder="1"/>
    <xf numFmtId="171" fontId="34" fillId="0" borderId="35" xfId="17" applyNumberFormat="1" applyBorder="1" applyAlignment="1">
      <alignment horizontal="center"/>
    </xf>
    <xf numFmtId="0" fontId="34" fillId="0" borderId="35" xfId="17" applyBorder="1" applyAlignment="1">
      <alignment horizontal="center"/>
    </xf>
    <xf numFmtId="0" fontId="34" fillId="0" borderId="31" xfId="17" applyBorder="1" applyAlignment="1">
      <alignment horizontal="right"/>
    </xf>
    <xf numFmtId="0" fontId="31" fillId="6" borderId="0" xfId="17" applyFont="1" applyFill="1" applyAlignment="1">
      <alignment horizontal="right"/>
    </xf>
    <xf numFmtId="10" fontId="31" fillId="6" borderId="35" xfId="18" applyNumberFormat="1" applyFont="1" applyFill="1" applyBorder="1" applyAlignment="1">
      <alignment horizontal="center"/>
    </xf>
    <xf numFmtId="0" fontId="34" fillId="0" borderId="23" xfId="17" applyBorder="1" applyAlignment="1"/>
    <xf numFmtId="0" fontId="34" fillId="0" borderId="13" xfId="17" applyBorder="1" applyAlignment="1"/>
    <xf numFmtId="0" fontId="34" fillId="0" borderId="24" xfId="17" applyBorder="1" applyAlignment="1"/>
    <xf numFmtId="0" fontId="16" fillId="0" borderId="12" xfId="0" applyFont="1" applyBorder="1"/>
    <xf numFmtId="0" fontId="0" fillId="0" borderId="12" xfId="0" applyBorder="1"/>
    <xf numFmtId="0" fontId="1" fillId="0" borderId="0" xfId="0" applyFont="1"/>
    <xf numFmtId="0" fontId="1" fillId="0" borderId="12" xfId="0" applyFont="1" applyBorder="1"/>
    <xf numFmtId="0" fontId="6" fillId="0" borderId="7" xfId="4" applyFont="1" applyBorder="1" applyAlignment="1">
      <alignment horizontal="center"/>
    </xf>
    <xf numFmtId="37" fontId="6" fillId="0" borderId="8" xfId="4" applyNumberFormat="1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3" fontId="6" fillId="0" borderId="6" xfId="4" applyNumberFormat="1" applyFont="1" applyBorder="1" applyAlignment="1">
      <alignment horizontal="center"/>
    </xf>
    <xf numFmtId="0" fontId="6" fillId="0" borderId="12" xfId="4" applyFont="1" applyBorder="1"/>
    <xf numFmtId="0" fontId="6" fillId="0" borderId="14" xfId="4" applyFont="1" applyBorder="1" applyAlignment="1">
      <alignment horizontal="center"/>
    </xf>
    <xf numFmtId="164" fontId="7" fillId="0" borderId="16" xfId="4" applyNumberFormat="1" applyFont="1" applyBorder="1"/>
    <xf numFmtId="2" fontId="7" fillId="0" borderId="0" xfId="4" applyNumberFormat="1" applyFont="1" applyAlignment="1">
      <alignment horizontal="center"/>
    </xf>
    <xf numFmtId="6" fontId="7" fillId="0" borderId="0" xfId="4" applyNumberFormat="1" applyFont="1" applyAlignment="1">
      <alignment horizontal="center"/>
    </xf>
    <xf numFmtId="6" fontId="7" fillId="0" borderId="17" xfId="4" applyNumberFormat="1" applyFont="1" applyBorder="1"/>
    <xf numFmtId="0" fontId="6" fillId="0" borderId="1" xfId="4" applyFont="1" applyBorder="1"/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2" fontId="6" fillId="0" borderId="2" xfId="4" applyNumberFormat="1" applyFont="1" applyBorder="1" applyAlignment="1">
      <alignment horizontal="center"/>
    </xf>
    <xf numFmtId="6" fontId="6" fillId="0" borderId="3" xfId="4" applyNumberFormat="1" applyFont="1" applyBorder="1"/>
    <xf numFmtId="0" fontId="7" fillId="0" borderId="0" xfId="4" applyFont="1"/>
    <xf numFmtId="10" fontId="7" fillId="0" borderId="0" xfId="4" applyNumberFormat="1" applyFont="1" applyAlignment="1">
      <alignment horizontal="center"/>
    </xf>
    <xf numFmtId="0" fontId="7" fillId="0" borderId="9" xfId="4" applyFont="1" applyBorder="1"/>
    <xf numFmtId="0" fontId="7" fillId="0" borderId="20" xfId="4" applyFont="1" applyBorder="1"/>
    <xf numFmtId="10" fontId="7" fillId="0" borderId="20" xfId="4" applyNumberFormat="1" applyFont="1" applyBorder="1" applyAlignment="1">
      <alignment horizontal="center"/>
    </xf>
    <xf numFmtId="6" fontId="7" fillId="0" borderId="15" xfId="4" applyNumberFormat="1" applyFont="1" applyBorder="1"/>
    <xf numFmtId="0" fontId="7" fillId="0" borderId="13" xfId="4" applyFont="1" applyBorder="1"/>
    <xf numFmtId="6" fontId="7" fillId="0" borderId="14" xfId="4" applyNumberFormat="1" applyFont="1" applyBorder="1"/>
    <xf numFmtId="0" fontId="6" fillId="0" borderId="25" xfId="4" applyFont="1" applyBorder="1"/>
    <xf numFmtId="0" fontId="6" fillId="0" borderId="26" xfId="4" applyFont="1" applyBorder="1"/>
    <xf numFmtId="0" fontId="7" fillId="0" borderId="26" xfId="4" applyFont="1" applyBorder="1" applyAlignment="1">
      <alignment horizontal="center"/>
    </xf>
    <xf numFmtId="0" fontId="7" fillId="0" borderId="26" xfId="4" applyFont="1" applyBorder="1"/>
    <xf numFmtId="6" fontId="6" fillId="0" borderId="27" xfId="4" applyNumberFormat="1" applyFont="1" applyBorder="1"/>
    <xf numFmtId="0" fontId="7" fillId="0" borderId="16" xfId="0" applyFont="1" applyBorder="1" applyAlignment="1">
      <alignment horizontal="left"/>
    </xf>
    <xf numFmtId="165" fontId="7" fillId="0" borderId="0" xfId="4" applyNumberFormat="1" applyFont="1"/>
    <xf numFmtId="167" fontId="7" fillId="0" borderId="0" xfId="4" applyNumberFormat="1" applyFont="1" applyAlignment="1">
      <alignment horizontal="center"/>
    </xf>
    <xf numFmtId="8" fontId="7" fillId="0" borderId="0" xfId="4" applyNumberFormat="1" applyFont="1" applyAlignment="1">
      <alignment horizontal="center"/>
    </xf>
    <xf numFmtId="167" fontId="7" fillId="0" borderId="13" xfId="4" applyNumberFormat="1" applyFont="1" applyBorder="1" applyAlignment="1">
      <alignment horizontal="center"/>
    </xf>
    <xf numFmtId="8" fontId="7" fillId="0" borderId="13" xfId="4" applyNumberFormat="1" applyFont="1" applyBorder="1" applyAlignment="1">
      <alignment horizontal="center"/>
    </xf>
    <xf numFmtId="0" fontId="7" fillId="0" borderId="28" xfId="4" applyFont="1" applyBorder="1"/>
    <xf numFmtId="0" fontId="7" fillId="0" borderId="29" xfId="4" applyFont="1" applyBorder="1"/>
    <xf numFmtId="0" fontId="7" fillId="0" borderId="29" xfId="4" applyFont="1" applyBorder="1" applyAlignment="1">
      <alignment horizontal="center"/>
    </xf>
    <xf numFmtId="6" fontId="6" fillId="0" borderId="30" xfId="4" applyNumberFormat="1" applyFont="1" applyBorder="1"/>
    <xf numFmtId="0" fontId="6" fillId="0" borderId="25" xfId="7" applyFont="1" applyBorder="1"/>
    <xf numFmtId="10" fontId="7" fillId="0" borderId="26" xfId="3" applyNumberFormat="1" applyFont="1" applyBorder="1" applyAlignment="1">
      <alignment horizontal="center"/>
    </xf>
    <xf numFmtId="8" fontId="23" fillId="0" borderId="26" xfId="4" applyNumberFormat="1" applyFont="1" applyBorder="1"/>
    <xf numFmtId="6" fontId="7" fillId="0" borderId="27" xfId="4" applyNumberFormat="1" applyFont="1" applyBorder="1"/>
    <xf numFmtId="0" fontId="6" fillId="0" borderId="16" xfId="4" applyFont="1" applyBorder="1"/>
    <xf numFmtId="0" fontId="6" fillId="0" borderId="0" xfId="4" applyFont="1"/>
    <xf numFmtId="10" fontId="7" fillId="0" borderId="0" xfId="4" applyNumberFormat="1" applyFont="1" applyAlignment="1">
      <alignment horizontal="right"/>
    </xf>
    <xf numFmtId="6" fontId="6" fillId="0" borderId="17" xfId="4" applyNumberFormat="1" applyFont="1" applyBorder="1"/>
    <xf numFmtId="0" fontId="7" fillId="0" borderId="16" xfId="4" applyFont="1" applyBorder="1"/>
    <xf numFmtId="8" fontId="7" fillId="0" borderId="17" xfId="4" applyNumberFormat="1" applyFont="1" applyBorder="1"/>
    <xf numFmtId="0" fontId="15" fillId="0" borderId="1" xfId="4" applyFont="1" applyBorder="1"/>
    <xf numFmtId="0" fontId="15" fillId="0" borderId="2" xfId="4" applyFont="1" applyBorder="1"/>
    <xf numFmtId="8" fontId="15" fillId="6" borderId="3" xfId="4" applyNumberFormat="1" applyFont="1" applyFill="1" applyBorder="1"/>
    <xf numFmtId="166" fontId="0" fillId="0" borderId="17" xfId="1" applyNumberFormat="1" applyFont="1" applyBorder="1"/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44" fontId="0" fillId="0" borderId="0" xfId="2" applyFont="1" applyBorder="1"/>
    <xf numFmtId="2" fontId="0" fillId="0" borderId="0" xfId="0" applyNumberFormat="1"/>
    <xf numFmtId="167" fontId="0" fillId="0" borderId="17" xfId="0" applyNumberFormat="1" applyBorder="1"/>
    <xf numFmtId="0" fontId="3" fillId="0" borderId="45" xfId="0" applyFont="1" applyBorder="1"/>
    <xf numFmtId="167" fontId="3" fillId="0" borderId="46" xfId="0" applyNumberFormat="1" applyFont="1" applyBorder="1"/>
    <xf numFmtId="0" fontId="14" fillId="0" borderId="45" xfId="0" applyFont="1" applyBorder="1"/>
    <xf numFmtId="0" fontId="14" fillId="0" borderId="16" xfId="0" applyFont="1" applyBorder="1"/>
    <xf numFmtId="44" fontId="14" fillId="0" borderId="17" xfId="0" applyNumberFormat="1" applyFont="1" applyBorder="1"/>
    <xf numFmtId="44" fontId="0" fillId="0" borderId="17" xfId="2" applyFont="1" applyBorder="1"/>
    <xf numFmtId="9" fontId="0" fillId="0" borderId="0" xfId="0" applyNumberFormat="1"/>
    <xf numFmtId="9" fontId="0" fillId="0" borderId="0" xfId="3" applyFont="1" applyBorder="1"/>
    <xf numFmtId="0" fontId="3" fillId="0" borderId="47" xfId="0" applyFont="1" applyBorder="1"/>
    <xf numFmtId="10" fontId="0" fillId="0" borderId="0" xfId="3" applyNumberFormat="1" applyFont="1" applyBorder="1"/>
    <xf numFmtId="44" fontId="0" fillId="0" borderId="17" xfId="0" applyNumberFormat="1" applyBorder="1"/>
    <xf numFmtId="0" fontId="0" fillId="0" borderId="42" xfId="0" applyBorder="1"/>
    <xf numFmtId="44" fontId="0" fillId="0" borderId="41" xfId="0" applyNumberFormat="1" applyBorder="1"/>
    <xf numFmtId="0" fontId="14" fillId="0" borderId="42" xfId="0" applyFont="1" applyBorder="1"/>
    <xf numFmtId="0" fontId="14" fillId="0" borderId="32" xfId="0" applyFont="1" applyBorder="1"/>
    <xf numFmtId="44" fontId="14" fillId="6" borderId="41" xfId="0" applyNumberFormat="1" applyFont="1" applyFill="1" applyBorder="1"/>
    <xf numFmtId="2" fontId="16" fillId="0" borderId="13" xfId="0" applyNumberFormat="1" applyFont="1" applyBorder="1"/>
    <xf numFmtId="10" fontId="1" fillId="0" borderId="13" xfId="3" applyNumberFormat="1" applyFont="1" applyBorder="1"/>
    <xf numFmtId="167" fontId="16" fillId="0" borderId="14" xfId="0" applyNumberFormat="1" applyFont="1" applyBorder="1"/>
    <xf numFmtId="167" fontId="0" fillId="0" borderId="14" xfId="0" applyNumberFormat="1" applyBorder="1"/>
    <xf numFmtId="167" fontId="14" fillId="0" borderId="46" xfId="0" applyNumberFormat="1" applyFont="1" applyBorder="1"/>
    <xf numFmtId="167" fontId="0" fillId="0" borderId="17" xfId="2" applyNumberFormat="1" applyFont="1" applyBorder="1"/>
    <xf numFmtId="167" fontId="14" fillId="0" borderId="17" xfId="0" applyNumberFormat="1" applyFont="1" applyBorder="1"/>
    <xf numFmtId="167" fontId="3" fillId="0" borderId="44" xfId="0" applyNumberFormat="1" applyFont="1" applyBorder="1"/>
    <xf numFmtId="167" fontId="0" fillId="0" borderId="10" xfId="2" applyNumberFormat="1" applyFont="1" applyBorder="1"/>
    <xf numFmtId="167" fontId="0" fillId="0" borderId="18" xfId="2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7" fillId="5" borderId="1" xfId="7" applyNumberFormat="1" applyFont="1" applyFill="1" applyBorder="1" applyAlignment="1">
      <alignment horizontal="center" vertical="center"/>
    </xf>
    <xf numFmtId="164" fontId="7" fillId="5" borderId="2" xfId="7" applyNumberFormat="1" applyFont="1" applyFill="1" applyBorder="1" applyAlignment="1">
      <alignment horizontal="center" vertical="center"/>
    </xf>
    <xf numFmtId="164" fontId="7" fillId="5" borderId="3" xfId="7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2" fontId="7" fillId="0" borderId="0" xfId="4" applyNumberFormat="1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21" fillId="0" borderId="36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0" fontId="7" fillId="8" borderId="3" xfId="0" applyFont="1" applyFill="1" applyBorder="1"/>
    <xf numFmtId="0" fontId="7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7" xfId="0" applyFont="1" applyBorder="1"/>
    <xf numFmtId="0" fontId="27" fillId="0" borderId="0" xfId="14" applyFont="1" applyAlignment="1">
      <alignment horizontal="left" vertical="top" wrapText="1"/>
    </xf>
    <xf numFmtId="0" fontId="27" fillId="0" borderId="0" xfId="14" applyFont="1" applyAlignment="1">
      <alignment horizontal="center"/>
    </xf>
    <xf numFmtId="0" fontId="27" fillId="0" borderId="6" xfId="14" applyFont="1" applyBorder="1" applyAlignment="1">
      <alignment horizontal="left" vertical="center" wrapText="1"/>
    </xf>
    <xf numFmtId="0" fontId="27" fillId="0" borderId="41" xfId="14" applyFont="1" applyBorder="1" applyAlignment="1">
      <alignment horizontal="left" vertical="center" wrapText="1"/>
    </xf>
    <xf numFmtId="0" fontId="27" fillId="0" borderId="8" xfId="14" applyFont="1" applyBorder="1" applyAlignment="1">
      <alignment vertical="top" wrapText="1"/>
    </xf>
    <xf numFmtId="0" fontId="27" fillId="0" borderId="32" xfId="14" applyFont="1" applyBorder="1" applyAlignment="1">
      <alignment vertical="top" wrapText="1"/>
    </xf>
    <xf numFmtId="49" fontId="27" fillId="0" borderId="6" xfId="14" applyNumberFormat="1" applyFont="1" applyBorder="1" applyAlignment="1">
      <alignment horizontal="left" vertical="center" wrapText="1"/>
    </xf>
    <xf numFmtId="49" fontId="27" fillId="0" borderId="41" xfId="14" applyNumberFormat="1" applyFont="1" applyBorder="1" applyAlignment="1">
      <alignment horizontal="left" vertical="center" wrapText="1"/>
    </xf>
    <xf numFmtId="0" fontId="27" fillId="0" borderId="17" xfId="14" applyFont="1" applyBorder="1" applyAlignment="1">
      <alignment horizontal="left" vertical="center" wrapText="1"/>
    </xf>
    <xf numFmtId="0" fontId="27" fillId="0" borderId="8" xfId="14" applyFont="1" applyBorder="1" applyAlignment="1">
      <alignment horizontal="left" vertical="top" wrapText="1"/>
    </xf>
    <xf numFmtId="0" fontId="27" fillId="0" borderId="32" xfId="14" applyFont="1" applyBorder="1" applyAlignment="1">
      <alignment horizontal="left" vertical="top" wrapText="1"/>
    </xf>
    <xf numFmtId="0" fontId="7" fillId="0" borderId="13" xfId="7" applyFont="1" applyBorder="1" applyAlignment="1">
      <alignment horizontal="center" vertical="center" wrapText="1"/>
    </xf>
    <xf numFmtId="0" fontId="7" fillId="0" borderId="24" xfId="7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7" fillId="0" borderId="31" xfId="7" applyNumberFormat="1" applyFont="1" applyBorder="1" applyAlignment="1">
      <alignment horizontal="center"/>
    </xf>
    <xf numFmtId="164" fontId="7" fillId="0" borderId="0" xfId="7" applyNumberFormat="1" applyFont="1" applyAlignment="1">
      <alignment horizontal="center"/>
    </xf>
    <xf numFmtId="164" fontId="7" fillId="0" borderId="35" xfId="7" applyNumberFormat="1" applyFont="1" applyBorder="1" applyAlignment="1">
      <alignment horizontal="center"/>
    </xf>
    <xf numFmtId="0" fontId="7" fillId="0" borderId="0" xfId="7" applyFont="1" applyAlignment="1">
      <alignment horizontal="center" vertical="center" wrapText="1"/>
    </xf>
    <xf numFmtId="0" fontId="7" fillId="0" borderId="35" xfId="7" applyFont="1" applyBorder="1" applyAlignment="1">
      <alignment horizontal="center" vertical="center" wrapText="1"/>
    </xf>
    <xf numFmtId="0" fontId="7" fillId="0" borderId="20" xfId="7" applyFont="1" applyBorder="1" applyAlignment="1">
      <alignment horizontal="center" vertical="center" wrapText="1"/>
    </xf>
    <xf numFmtId="0" fontId="7" fillId="0" borderId="22" xfId="7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7" fillId="0" borderId="21" xfId="7" applyNumberFormat="1" applyFont="1" applyBorder="1" applyAlignment="1">
      <alignment horizontal="center"/>
    </xf>
    <xf numFmtId="164" fontId="7" fillId="0" borderId="20" xfId="7" applyNumberFormat="1" applyFont="1" applyBorder="1" applyAlignment="1">
      <alignment horizontal="center"/>
    </xf>
    <xf numFmtId="164" fontId="7" fillId="0" borderId="22" xfId="7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0" fillId="11" borderId="8" xfId="15" applyFont="1" applyFill="1" applyBorder="1" applyAlignment="1">
      <alignment horizontal="left"/>
    </xf>
    <xf numFmtId="0" fontId="30" fillId="11" borderId="6" xfId="15" applyFont="1" applyFill="1" applyBorder="1" applyAlignment="1">
      <alignment horizontal="left"/>
    </xf>
    <xf numFmtId="0" fontId="34" fillId="0" borderId="31" xfId="17" applyBorder="1" applyAlignment="1">
      <alignment horizontal="right"/>
    </xf>
    <xf numFmtId="0" fontId="34" fillId="0" borderId="0" xfId="17" applyAlignment="1">
      <alignment horizontal="right"/>
    </xf>
  </cellXfs>
  <cellStyles count="19">
    <cellStyle name="Comma" xfId="1" builtinId="3"/>
    <cellStyle name="Comma 2 2" xfId="6" xr:uid="{69AFCCC2-B08D-47DE-A63D-00DB4B1321D7}"/>
    <cellStyle name="Comma 4" xfId="9" xr:uid="{845CA0F7-3EDC-4A70-AB25-81BEFE393C46}"/>
    <cellStyle name="Currency" xfId="2" builtinId="4"/>
    <cellStyle name="Currency 2" xfId="10" xr:uid="{24DCBEFB-7C93-41C7-8BC2-F9C8AEAFC987}"/>
    <cellStyle name="Currency 2 2" xfId="8" xr:uid="{8A019A86-E15D-448B-969D-8E72D2469116}"/>
    <cellStyle name="Currency 2 2 2" xfId="11" xr:uid="{80809514-2C86-469C-8B36-E6D2B0DFA232}"/>
    <cellStyle name="Currency 2 4 2" xfId="12" xr:uid="{65E67919-306B-4F91-8AEB-68BFB8FB73DB}"/>
    <cellStyle name="Normal" xfId="0" builtinId="0"/>
    <cellStyle name="Normal 10" xfId="15" xr:uid="{A150257B-A554-4A3F-BDB9-8D84B1AF9505}"/>
    <cellStyle name="Normal 2 2 2" xfId="7" xr:uid="{35AC0EB2-E86E-4058-BD46-34E7D4690670}"/>
    <cellStyle name="Normal 2 4" xfId="5" xr:uid="{A69BEC71-87AF-428D-9AB5-70C6C5ABE36B}"/>
    <cellStyle name="Normal 3" xfId="4" xr:uid="{136715F9-EA5C-46C6-9340-552E1986AA94}"/>
    <cellStyle name="Normal 4 5" xfId="17" xr:uid="{588A10F6-26BB-46EE-BCEC-B41839B3A2EB}"/>
    <cellStyle name="Normal 5" xfId="14" xr:uid="{FCCD8411-D08B-4B6A-BAD3-2628A72E08B8}"/>
    <cellStyle name="Normal 6 2" xfId="16" xr:uid="{D26C410E-9F92-4324-B730-6C2A061F451E}"/>
    <cellStyle name="Normal 8 2 2" xfId="13" xr:uid="{F9FCE94C-4BD1-444D-A10C-FC7FFC2F5B1A}"/>
    <cellStyle name="Percent" xfId="3" builtinId="5"/>
    <cellStyle name="Percent 2 2" xfId="18" xr:uid="{87946E08-E1F3-4E01-8875-FD6E324B5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40</xdr:row>
      <xdr:rowOff>76199</xdr:rowOff>
    </xdr:from>
    <xdr:to>
      <xdr:col>71</xdr:col>
      <xdr:colOff>511175</xdr:colOff>
      <xdr:row>53</xdr:row>
      <xdr:rowOff>3174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54C93CFB-C3A4-48AC-8CF0-70275BB0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94499"/>
          <a:ext cx="894080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DDS\Boston_500_Harrison_ave\group\OMF\CONTRACT\Reports\Attendance%20Summaries\Monthly%20Attendance%20Summary%20(Bob%20report)%20FY22%202022_09_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CBDS%20-%20Adult%20Community%20Based%20Supports_%20CMR%20415\FY24%20Rate%20Review\1.%20Strategy%20Materials\FY24%20CBDS%20and%20SE%20Upated%201.4.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CBDS%20-%20Adult%20Community%20Based%20Supports_%20CMR%20415\FY24%20Rate%20Review\3.%20Signoff\Website\101%20CMR%20415%20FOIA%20wip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Util by Contract &amp; Month"/>
      <sheetName val="Util by Claimability, Contr, Mo"/>
      <sheetName val="Util by Month &amp; Attend Code"/>
      <sheetName val="Tech Stuff"/>
    </sheetNames>
    <sheetDataSet>
      <sheetData sheetId="0"/>
      <sheetData sheetId="1"/>
      <sheetData sheetId="2"/>
      <sheetData sheetId="3"/>
      <sheetData sheetId="4">
        <row r="4">
          <cell r="E4" t="str">
            <v xml:space="preserve">
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impact"/>
      <sheetName val="Master Lookup"/>
      <sheetName val="CBDS Models (FOIA)"/>
      <sheetName val="CBDS Models"/>
      <sheetName val="SE Models (FOIA)"/>
      <sheetName val="Indiv SE Models"/>
      <sheetName val="Group SE Models"/>
      <sheetName val="Active Treatment Models (FOIA)"/>
      <sheetName val="Active Treatment Models"/>
      <sheetName val="Rate lookups"/>
      <sheetName val="Transportation"/>
      <sheetName val=" Travel Model"/>
      <sheetName val="Training Add-On"/>
      <sheetName val="Add on Rates"/>
      <sheetName val="Salaries - benchmark"/>
      <sheetName val="M2021 BLS SALARY CHART (53_PCT)"/>
      <sheetName val="FY22 units"/>
      <sheetName val="FY23 units"/>
      <sheetName val="Attendance code and Level look"/>
      <sheetName val="Regional Office lookup"/>
      <sheetName val="FY21-FY22 Reg Flow Chart 8.5.21"/>
      <sheetName val="CBDS &amp; SE Rate Inc FY21-FY22"/>
    </sheetNames>
    <sheetDataSet>
      <sheetData sheetId="0"/>
      <sheetData sheetId="1">
        <row r="20">
          <cell r="R20" t="str">
            <v>Tax &amp; Fringe</v>
          </cell>
          <cell r="S20">
            <v>0.25390000000000001</v>
          </cell>
          <cell r="X20" t="str">
            <v>Tax &amp; Fringe</v>
          </cell>
          <cell r="Y20">
            <v>0.25390000000000001</v>
          </cell>
        </row>
        <row r="21">
          <cell r="R21" t="str">
            <v>OCCUPANCY (GSE 3181)</v>
          </cell>
          <cell r="S21">
            <v>6379.0306086039345</v>
          </cell>
          <cell r="X21" t="str">
            <v>OCCUPANCY</v>
          </cell>
          <cell r="Y21">
            <v>9431.39</v>
          </cell>
        </row>
        <row r="22">
          <cell r="R22" t="str">
            <v>STAFF TRAINING</v>
          </cell>
          <cell r="S22">
            <v>150.1543746880086</v>
          </cell>
          <cell r="X22" t="str">
            <v>OTHER EXP</v>
          </cell>
          <cell r="Y22">
            <v>459.08</v>
          </cell>
        </row>
        <row r="23">
          <cell r="R23" t="str">
            <v>New Staff Trainings</v>
          </cell>
          <cell r="S23">
            <v>187</v>
          </cell>
        </row>
        <row r="24">
          <cell r="R24" t="str">
            <v>STAFF MILEAGE</v>
          </cell>
          <cell r="S24">
            <v>1.0017284583643919</v>
          </cell>
          <cell r="X24" t="str">
            <v>Admin. Allocation</v>
          </cell>
          <cell r="Y24">
            <v>0.12</v>
          </cell>
        </row>
        <row r="25">
          <cell r="R25" t="str">
            <v>SUP &amp; MAT</v>
          </cell>
          <cell r="S25">
            <v>0.92148981834444976</v>
          </cell>
          <cell r="X25" t="str">
            <v>CAF</v>
          </cell>
          <cell r="Y25">
            <v>2.7799999999999998E-2</v>
          </cell>
        </row>
        <row r="26">
          <cell r="R26" t="str">
            <v>OTHER EXP</v>
          </cell>
          <cell r="S26">
            <v>0.19748855562196568</v>
          </cell>
        </row>
        <row r="27">
          <cell r="R27" t="str">
            <v>Technology</v>
          </cell>
          <cell r="S27">
            <v>0.80592000000000008</v>
          </cell>
        </row>
        <row r="28">
          <cell r="R28" t="str">
            <v>Admin. Allocation</v>
          </cell>
          <cell r="S28">
            <v>0.12</v>
          </cell>
        </row>
        <row r="29">
          <cell r="R29" t="str">
            <v>CAF</v>
          </cell>
          <cell r="S29">
            <v>2.7799999999999998E-2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impact"/>
      <sheetName val="Master Lookup"/>
      <sheetName val="CBDS Models (FOIA)"/>
      <sheetName val="CBDS Models"/>
      <sheetName val="SE Models (FOIA)"/>
      <sheetName val="Indiv SE Models"/>
      <sheetName val="Group SE Models"/>
      <sheetName val="Active Treatment Models (FOIA)"/>
      <sheetName val="Active Treatment Models"/>
      <sheetName val="Rate lookups"/>
      <sheetName val="Transportation"/>
      <sheetName val=" Travel Model"/>
      <sheetName val="Training Add-On"/>
      <sheetName val="Add on Rates"/>
      <sheetName val="Salaries - benchmark"/>
      <sheetName val="M2021 BLS SALARY CHART (53_ (2)"/>
      <sheetName val="M2021 BLS SALARY CHART (53_PCT)"/>
      <sheetName val="FY22 units"/>
      <sheetName val="FY23 units"/>
      <sheetName val="Attendance code and Level look"/>
      <sheetName val="Regional Office lookup"/>
      <sheetName val="FY21-FY22 Reg Flow Chart 8.5.21"/>
      <sheetName val="CBDS &amp; SE Rate Inc FY21-FY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>
        <row r="7">
          <cell r="B7" t="str">
            <v>Direct Care</v>
          </cell>
          <cell r="C7">
            <v>15.48</v>
          </cell>
          <cell r="D7">
            <v>32198.400000000001</v>
          </cell>
          <cell r="E7">
            <v>19.000800000000002</v>
          </cell>
          <cell r="F7">
            <v>39521.664000000004</v>
          </cell>
        </row>
        <row r="8">
          <cell r="B8" t="str">
            <v>Direct Care III</v>
          </cell>
          <cell r="C8">
            <v>19.96</v>
          </cell>
          <cell r="D8">
            <v>41516.800000000003</v>
          </cell>
          <cell r="E8">
            <v>24.241120000000002</v>
          </cell>
          <cell r="F8">
            <v>50421.529600000002</v>
          </cell>
        </row>
        <row r="9">
          <cell r="B9" t="str">
            <v>Certified Nursing Assistant</v>
          </cell>
          <cell r="C9">
            <v>15.53</v>
          </cell>
          <cell r="D9">
            <v>32302.399999999998</v>
          </cell>
          <cell r="E9">
            <v>18.008399999999998</v>
          </cell>
          <cell r="F9">
            <v>37457.471999999994</v>
          </cell>
        </row>
        <row r="10">
          <cell r="B10" t="str">
            <v>Case Worker</v>
          </cell>
          <cell r="C10">
            <v>21.14</v>
          </cell>
          <cell r="D10">
            <v>43971.200000000004</v>
          </cell>
          <cell r="E10">
            <v>24.3888</v>
          </cell>
          <cell r="F10">
            <v>50728.703999999998</v>
          </cell>
        </row>
        <row r="11">
          <cell r="B11" t="str">
            <v>Case Manager</v>
          </cell>
          <cell r="C11">
            <v>25.32</v>
          </cell>
          <cell r="D11">
            <v>52665.599999999999</v>
          </cell>
          <cell r="E11">
            <v>30.569499999999998</v>
          </cell>
          <cell r="F11">
            <v>63584.56</v>
          </cell>
        </row>
        <row r="12">
          <cell r="B12" t="str">
            <v>Clinical w/ Independent licensure</v>
          </cell>
          <cell r="C12">
            <v>29.29</v>
          </cell>
          <cell r="D12">
            <v>60923.199999999997</v>
          </cell>
          <cell r="E12">
            <v>35.178200000000004</v>
          </cell>
          <cell r="F12">
            <v>73170.656000000003</v>
          </cell>
        </row>
        <row r="13">
          <cell r="B13" t="str">
            <v>Program Management</v>
          </cell>
          <cell r="C13" t="str">
            <v>N/A</v>
          </cell>
          <cell r="D13" t="str">
            <v>N/A</v>
          </cell>
          <cell r="E13">
            <v>35.084000000000003</v>
          </cell>
          <cell r="F13">
            <v>72974.720000000001</v>
          </cell>
        </row>
        <row r="14">
          <cell r="B14" t="str">
            <v>Clinical Manager</v>
          </cell>
          <cell r="C14">
            <v>40.06</v>
          </cell>
          <cell r="D14">
            <v>83324.800000000003</v>
          </cell>
          <cell r="E14">
            <v>43.1312</v>
          </cell>
          <cell r="F14">
            <v>89712.895999999993</v>
          </cell>
        </row>
        <row r="15">
          <cell r="B15" t="str">
            <v>LPN</v>
          </cell>
          <cell r="C15">
            <v>27.62</v>
          </cell>
          <cell r="D15">
            <v>57449.599999999999</v>
          </cell>
          <cell r="E15">
            <v>29.084</v>
          </cell>
          <cell r="F15">
            <v>60494.720000000001</v>
          </cell>
        </row>
        <row r="16">
          <cell r="B16" t="str">
            <v>Registerd Nurse (BA)</v>
          </cell>
          <cell r="C16">
            <v>41.76</v>
          </cell>
          <cell r="D16">
            <v>86860.800000000003</v>
          </cell>
          <cell r="E16">
            <v>47.109200000000001</v>
          </cell>
          <cell r="F16">
            <v>97987.135999999999</v>
          </cell>
        </row>
        <row r="17">
          <cell r="B17" t="str">
            <v>Registerd Nurse (MA / APRN)</v>
          </cell>
          <cell r="C17">
            <v>57.41</v>
          </cell>
          <cell r="D17">
            <v>119412.79999999999</v>
          </cell>
          <cell r="E17">
            <v>62.008800000000001</v>
          </cell>
          <cell r="F17">
            <v>128978.304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/>
      <sheetData sheetId="1" refreshError="1"/>
      <sheetData sheetId="2" refreshError="1"/>
      <sheetData sheetId="3" refreshError="1"/>
      <sheetData sheetId="4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>
        <row r="4">
          <cell r="J4">
            <v>24.3888</v>
          </cell>
        </row>
        <row r="11">
          <cell r="J11">
            <v>30.569499999999998</v>
          </cell>
        </row>
      </sheetData>
      <sheetData sheetId="6">
        <row r="6">
          <cell r="J6">
            <v>35.178200000000004</v>
          </cell>
        </row>
        <row r="12">
          <cell r="J12">
            <v>43.1312</v>
          </cell>
        </row>
      </sheetData>
      <sheetData sheetId="7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>
        <row r="2">
          <cell r="J2">
            <v>35.084000000000003</v>
          </cell>
        </row>
      </sheetData>
      <sheetData sheetId="9">
        <row r="34">
          <cell r="N34">
            <v>133902.08000000002</v>
          </cell>
        </row>
      </sheetData>
      <sheetData sheetId="10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A1E0-2503-4A99-BB99-8F716B5725FC}">
  <dimension ref="C1:AE50"/>
  <sheetViews>
    <sheetView showGridLines="0" tabSelected="1" zoomScale="80" zoomScaleNormal="80" workbookViewId="0">
      <selection activeCell="I58" sqref="I58"/>
    </sheetView>
  </sheetViews>
  <sheetFormatPr defaultRowHeight="15" x14ac:dyDescent="0.25"/>
  <cols>
    <col min="1" max="1" width="2.85546875" bestFit="1" customWidth="1"/>
    <col min="3" max="3" width="35.140625" customWidth="1"/>
    <col min="4" max="4" width="11.140625" bestFit="1" customWidth="1"/>
    <col min="5" max="5" width="10.28515625" bestFit="1" customWidth="1"/>
    <col min="6" max="6" width="15.140625" bestFit="1" customWidth="1"/>
    <col min="8" max="8" width="26.5703125" bestFit="1" customWidth="1"/>
    <col min="9" max="9" width="11.140625" bestFit="1" customWidth="1"/>
    <col min="10" max="10" width="10.28515625" bestFit="1" customWidth="1"/>
    <col min="11" max="11" width="14.5703125" bestFit="1" customWidth="1"/>
    <col min="13" max="13" width="26.5703125" bestFit="1" customWidth="1"/>
    <col min="14" max="14" width="11.140625" bestFit="1" customWidth="1"/>
    <col min="15" max="15" width="10.28515625" bestFit="1" customWidth="1"/>
    <col min="16" max="16" width="15.42578125" customWidth="1"/>
    <col min="18" max="18" width="26.5703125" bestFit="1" customWidth="1"/>
    <col min="19" max="19" width="11.140625" bestFit="1" customWidth="1"/>
    <col min="20" max="20" width="10.28515625" bestFit="1" customWidth="1"/>
    <col min="21" max="21" width="13.85546875" bestFit="1" customWidth="1"/>
    <col min="23" max="23" width="26.5703125" bestFit="1" customWidth="1"/>
    <col min="24" max="24" width="11.140625" bestFit="1" customWidth="1"/>
    <col min="25" max="25" width="10.28515625" bestFit="1" customWidth="1"/>
    <col min="26" max="26" width="13.85546875" bestFit="1" customWidth="1"/>
    <col min="28" max="28" width="26.5703125" bestFit="1" customWidth="1"/>
    <col min="29" max="29" width="11.140625" bestFit="1" customWidth="1"/>
    <col min="30" max="30" width="10.28515625" bestFit="1" customWidth="1"/>
    <col min="31" max="31" width="14.5703125" bestFit="1" customWidth="1"/>
  </cols>
  <sheetData>
    <row r="1" spans="3:31" ht="15.75" thickBot="1" x14ac:dyDescent="0.3"/>
    <row r="2" spans="3:31" ht="15.75" thickBot="1" x14ac:dyDescent="0.3">
      <c r="C2" s="375" t="s">
        <v>83</v>
      </c>
      <c r="D2" s="376"/>
      <c r="E2" s="376"/>
      <c r="F2" s="377"/>
      <c r="H2" s="375" t="s">
        <v>84</v>
      </c>
      <c r="I2" s="376"/>
      <c r="J2" s="376"/>
      <c r="K2" s="377"/>
      <c r="M2" s="375" t="s">
        <v>85</v>
      </c>
      <c r="N2" s="376"/>
      <c r="O2" s="376"/>
      <c r="P2" s="377"/>
      <c r="R2" s="375" t="s">
        <v>86</v>
      </c>
      <c r="S2" s="376"/>
      <c r="T2" s="376"/>
      <c r="U2" s="377"/>
      <c r="W2" s="375" t="s">
        <v>87</v>
      </c>
      <c r="X2" s="376"/>
      <c r="Y2" s="376"/>
      <c r="Z2" s="377"/>
      <c r="AB2" s="375" t="s">
        <v>88</v>
      </c>
      <c r="AC2" s="376"/>
      <c r="AD2" s="376"/>
      <c r="AE2" s="377"/>
    </row>
    <row r="3" spans="3:31" ht="15.75" thickBot="1" x14ac:dyDescent="0.3">
      <c r="C3" s="157" t="s">
        <v>89</v>
      </c>
      <c r="E3" t="s">
        <v>90</v>
      </c>
      <c r="F3" s="340">
        <f>'Master Lookup'!$B$44</f>
        <v>5000</v>
      </c>
      <c r="H3" s="157" t="s">
        <v>89</v>
      </c>
      <c r="J3" t="s">
        <v>90</v>
      </c>
      <c r="K3" s="340">
        <f>'Master Lookup'!$B$44</f>
        <v>5000</v>
      </c>
      <c r="M3" s="157" t="s">
        <v>89</v>
      </c>
      <c r="O3" t="s">
        <v>90</v>
      </c>
      <c r="P3" s="340">
        <f>'Master Lookup'!$B$44</f>
        <v>5000</v>
      </c>
      <c r="R3" s="157" t="s">
        <v>89</v>
      </c>
      <c r="T3" t="s">
        <v>90</v>
      </c>
      <c r="U3" s="340">
        <f>'Master Lookup'!$B$44</f>
        <v>5000</v>
      </c>
      <c r="W3" s="157" t="s">
        <v>89</v>
      </c>
      <c r="Y3" t="s">
        <v>90</v>
      </c>
      <c r="Z3" s="340">
        <f>'Master Lookup'!$B$44</f>
        <v>5000</v>
      </c>
      <c r="AB3" s="157" t="s">
        <v>89</v>
      </c>
      <c r="AD3" t="s">
        <v>90</v>
      </c>
      <c r="AE3" s="340">
        <f>'Master Lookup'!$B$44</f>
        <v>5000</v>
      </c>
    </row>
    <row r="4" spans="3:31" ht="15.75" thickBot="1" x14ac:dyDescent="0.3">
      <c r="C4" s="372" t="s">
        <v>91</v>
      </c>
      <c r="D4" s="373"/>
      <c r="E4" s="373"/>
      <c r="F4" s="374"/>
      <c r="H4" s="372" t="s">
        <v>91</v>
      </c>
      <c r="I4" s="373"/>
      <c r="J4" s="373"/>
      <c r="K4" s="374"/>
      <c r="M4" s="372" t="s">
        <v>91</v>
      </c>
      <c r="N4" s="373"/>
      <c r="O4" s="373"/>
      <c r="P4" s="374"/>
      <c r="R4" s="372" t="s">
        <v>91</v>
      </c>
      <c r="S4" s="373"/>
      <c r="T4" s="373"/>
      <c r="U4" s="374"/>
      <c r="W4" s="372" t="s">
        <v>91</v>
      </c>
      <c r="X4" s="373"/>
      <c r="Y4" s="373"/>
      <c r="Z4" s="374"/>
      <c r="AB4" s="372" t="s">
        <v>91</v>
      </c>
      <c r="AC4" s="373"/>
      <c r="AD4" s="373"/>
      <c r="AE4" s="374"/>
    </row>
    <row r="5" spans="3:31" x14ac:dyDescent="0.25">
      <c r="C5" s="157"/>
      <c r="E5" s="341" t="s">
        <v>92</v>
      </c>
      <c r="F5" s="342" t="s">
        <v>4</v>
      </c>
      <c r="H5" s="157"/>
      <c r="J5" s="341" t="s">
        <v>92</v>
      </c>
      <c r="K5" s="342" t="s">
        <v>4</v>
      </c>
      <c r="M5" s="157"/>
      <c r="O5" s="341" t="s">
        <v>92</v>
      </c>
      <c r="P5" s="342" t="s">
        <v>4</v>
      </c>
      <c r="R5" s="157"/>
      <c r="T5" s="341" t="s">
        <v>92</v>
      </c>
      <c r="U5" s="342" t="s">
        <v>4</v>
      </c>
      <c r="W5" s="157"/>
      <c r="Y5" s="341" t="s">
        <v>92</v>
      </c>
      <c r="Z5" s="342" t="s">
        <v>4</v>
      </c>
      <c r="AB5" s="157"/>
      <c r="AD5" s="341" t="s">
        <v>92</v>
      </c>
      <c r="AE5" s="342" t="s">
        <v>4</v>
      </c>
    </row>
    <row r="6" spans="3:31" x14ac:dyDescent="0.25">
      <c r="C6" s="157" t="s">
        <v>93</v>
      </c>
      <c r="D6" s="343"/>
      <c r="E6" s="344">
        <v>1</v>
      </c>
      <c r="F6" s="345">
        <v>72974.720000000001</v>
      </c>
      <c r="H6" s="157" t="s">
        <v>93</v>
      </c>
      <c r="I6" s="343"/>
      <c r="J6" s="344">
        <v>1.65</v>
      </c>
      <c r="K6" s="345">
        <v>120408.29</v>
      </c>
      <c r="M6" s="157" t="s">
        <v>93</v>
      </c>
      <c r="N6" s="343"/>
      <c r="O6" s="344">
        <v>1</v>
      </c>
      <c r="P6" s="345">
        <v>72974.720000000001</v>
      </c>
      <c r="R6" s="157" t="s">
        <v>93</v>
      </c>
      <c r="S6" s="343"/>
      <c r="T6" s="344">
        <v>0.8</v>
      </c>
      <c r="U6" s="345">
        <v>58379.78</v>
      </c>
      <c r="W6" s="157" t="s">
        <v>93</v>
      </c>
      <c r="X6" s="343"/>
      <c r="Y6" s="344">
        <v>0.5</v>
      </c>
      <c r="Z6" s="345">
        <v>36487.360000000001</v>
      </c>
      <c r="AB6" s="157" t="s">
        <v>93</v>
      </c>
      <c r="AC6" s="343"/>
      <c r="AD6" s="344">
        <v>1</v>
      </c>
      <c r="AE6" s="345">
        <v>72974.720000000001</v>
      </c>
    </row>
    <row r="7" spans="3:31" x14ac:dyDescent="0.25">
      <c r="C7" s="157" t="s">
        <v>94</v>
      </c>
      <c r="D7" s="343"/>
      <c r="E7" s="344">
        <v>5.2</v>
      </c>
      <c r="F7" s="345">
        <v>380487.42</v>
      </c>
      <c r="H7" s="157" t="s">
        <v>95</v>
      </c>
      <c r="I7" s="343"/>
      <c r="J7" s="344">
        <v>22.73</v>
      </c>
      <c r="K7" s="345">
        <v>970971.06</v>
      </c>
      <c r="M7" s="157" t="s">
        <v>95</v>
      </c>
      <c r="N7" s="343"/>
      <c r="O7" s="344">
        <v>11.5</v>
      </c>
      <c r="P7" s="345">
        <v>492056.11</v>
      </c>
      <c r="R7" s="157" t="s">
        <v>95</v>
      </c>
      <c r="S7" s="343"/>
      <c r="T7" s="344">
        <v>7.29</v>
      </c>
      <c r="U7" s="345">
        <v>311903.37</v>
      </c>
      <c r="W7" s="157" t="s">
        <v>95</v>
      </c>
      <c r="X7" s="343"/>
      <c r="Y7" s="344">
        <v>6.08</v>
      </c>
      <c r="Z7" s="345">
        <v>261651.49</v>
      </c>
      <c r="AB7" s="157" t="s">
        <v>95</v>
      </c>
      <c r="AC7" s="343"/>
      <c r="AD7" s="344">
        <v>7.29</v>
      </c>
      <c r="AE7" s="345">
        <v>340635.42</v>
      </c>
    </row>
    <row r="8" spans="3:31" x14ac:dyDescent="0.25">
      <c r="C8" s="157" t="s">
        <v>95</v>
      </c>
      <c r="D8" s="343"/>
      <c r="E8" s="344">
        <v>7.95</v>
      </c>
      <c r="F8" s="345">
        <v>338510.8</v>
      </c>
      <c r="H8" s="157"/>
      <c r="I8" s="343"/>
      <c r="J8" s="344"/>
      <c r="K8" s="345"/>
      <c r="M8" s="157"/>
      <c r="N8" s="343"/>
      <c r="O8" s="344"/>
      <c r="P8" s="345"/>
      <c r="R8" s="157"/>
      <c r="S8" s="343"/>
      <c r="T8" s="344"/>
      <c r="U8" s="345"/>
      <c r="W8" s="157"/>
      <c r="X8" s="343"/>
      <c r="Y8" s="344"/>
      <c r="Z8" s="345"/>
      <c r="AB8" s="157"/>
      <c r="AC8" s="343"/>
      <c r="AD8" s="344"/>
      <c r="AE8" s="345"/>
    </row>
    <row r="9" spans="3:31" hidden="1" x14ac:dyDescent="0.25">
      <c r="C9" s="157" t="str">
        <f>IF(INDEX('Master Lookup'!$A$5:$A$16,A9)=0,"",INDEX('Master Lookup'!$A$5:$A$16,A9))</f>
        <v>Direct Care III</v>
      </c>
      <c r="D9" s="343">
        <f>IFERROR(INDEX('Master Lookup'!$C$5:$C$16,MATCH(C9,'Master Lookup'!$A$5:$A$16,0)),0)</f>
        <v>0</v>
      </c>
      <c r="E9" s="344">
        <f>IFERROR(INDEX('Master Lookup'!$H$5:$H$16,MATCH(C9,'Master Lookup'!$A$5:$A$16,0)),0)</f>
        <v>2.0250000000000004</v>
      </c>
      <c r="F9" s="345">
        <f t="shared" ref="F9:F14" si="0">D9*E9</f>
        <v>0</v>
      </c>
      <c r="H9" s="157" t="str">
        <f>IF(INDEX('Master Lookup'!$A$5:$A$16,A9)=0,"",INDEX('Master Lookup'!$A$5:$A$16,A9))</f>
        <v>Direct Care III</v>
      </c>
      <c r="I9" s="343">
        <f>IFERROR(INDEX('Master Lookup'!$C$5:$C$16,MATCH(H9,'Master Lookup'!$A$5:$A$16,0)),0)</f>
        <v>0</v>
      </c>
      <c r="J9" s="344">
        <f>IFERROR(INDEX('Master Lookup'!$D$5:$D$16,MATCH(H9,'Master Lookup'!$A$5:$A$16,0)),0)</f>
        <v>6.4590000000000014</v>
      </c>
      <c r="K9" s="345">
        <f t="shared" ref="K9:K14" si="1">I9*J9</f>
        <v>0</v>
      </c>
      <c r="M9" s="157" t="str">
        <f>IF(INDEX('Master Lookup'!$A$5:$A$16,A9)=0,"",INDEX('Master Lookup'!$A$5:$A$16,A9))</f>
        <v>Direct Care III</v>
      </c>
      <c r="N9" s="343">
        <f>IFERROR(INDEX('Master Lookup'!$C$5:$C$16,MATCH(M9,'Master Lookup'!$A$5:$A$16,0)),0)</f>
        <v>0</v>
      </c>
      <c r="O9" s="344">
        <f>IFERROR(INDEX('Master Lookup'!$E$5:$E$16,MATCH(M9,'Master Lookup'!$A$5:$A$16,0)),0)</f>
        <v>3.2400000000000011</v>
      </c>
      <c r="P9" s="345">
        <f t="shared" ref="P9:P14" si="2">N9*O9</f>
        <v>0</v>
      </c>
      <c r="R9" s="157" t="str">
        <f>IF(INDEX('Master Lookup'!$A$5:$A$16,A9)=0,"",INDEX('Master Lookup'!$A$5:$A$16,A9))</f>
        <v>Direct Care III</v>
      </c>
      <c r="S9" s="343">
        <f>IFERROR(INDEX('Master Lookup'!$C$5:$C$16,MATCH(R9,'Master Lookup'!$A$5:$A$16,0)),0)</f>
        <v>0</v>
      </c>
      <c r="T9" s="344">
        <f>IFERROR(INDEX('Master Lookup'!$F$5:$F$16,MATCH(R9,'Master Lookup'!$A$5:$A$16,0)),0)</f>
        <v>1.9770000000000003</v>
      </c>
      <c r="U9" s="345">
        <f t="shared" ref="U9:U14" si="3">S9*T9</f>
        <v>0</v>
      </c>
      <c r="W9" s="157" t="str">
        <f>IF(INDEX('Master Lookup'!$A$5:$A$16,A9)=0,"",INDEX('Master Lookup'!$A$5:$A$16,A9))</f>
        <v>Direct Care III</v>
      </c>
      <c r="X9" s="343">
        <f>IFERROR(INDEX('Master Lookup'!$C$5:$C$16,MATCH(W9,'Master Lookup'!$A$5:$A$16,0)),0)</f>
        <v>0</v>
      </c>
      <c r="Y9" s="344">
        <f>IFERROR(INDEX('Master Lookup'!$G$5:$G$16,MATCH(W9,'Master Lookup'!$A$5:$A$16,0)),0)</f>
        <v>1.7540000000000002</v>
      </c>
      <c r="Z9" s="345">
        <f t="shared" ref="Z9:Z14" si="4">X9*Y9</f>
        <v>0</v>
      </c>
      <c r="AB9" s="157" t="str">
        <f>IF(INDEX('Master Lookup'!$A$5:$A$16,A9)=0,"",INDEX('Master Lookup'!$A$5:$A$16,A9))</f>
        <v>Direct Care III</v>
      </c>
      <c r="AC9" s="343">
        <f>IFERROR(INDEX('Master Lookup'!$C$5:$C$16,MATCH(AB9,'Master Lookup'!$A$5:$A$16,0)),0)</f>
        <v>0</v>
      </c>
      <c r="AD9" s="344">
        <f>IFERROR(INDEX('Master Lookup'!$I$5:$I$16,MATCH(AB9,'Master Lookup'!$A$5:$A$16,0)),0)</f>
        <v>4.6129999999999995</v>
      </c>
      <c r="AE9" s="345">
        <f t="shared" ref="AE9:AE14" si="5">AC9*AD9</f>
        <v>0</v>
      </c>
    </row>
    <row r="10" spans="3:31" hidden="1" x14ac:dyDescent="0.25">
      <c r="C10" s="157" t="str">
        <f>IF(INDEX('Master Lookup'!$A$5:$A$16,A10)=0,"",INDEX('Master Lookup'!$A$5:$A$16,A10))</f>
        <v>Community Connector</v>
      </c>
      <c r="D10" s="343">
        <f>IFERROR(INDEX('Master Lookup'!$C$5:$C$16,MATCH(C10,'Master Lookup'!$A$5:$A$16,0)),0)</f>
        <v>0</v>
      </c>
      <c r="E10" s="344">
        <f>IFERROR(INDEX('Master Lookup'!$H$5:$H$16,MATCH(C10,'Master Lookup'!$A$5:$A$16,0)),0)</f>
        <v>0.2</v>
      </c>
      <c r="F10" s="345">
        <f t="shared" si="0"/>
        <v>0</v>
      </c>
      <c r="H10" s="157" t="str">
        <f>IF(INDEX('Master Lookup'!$A$5:$A$16,A10)=0,"",INDEX('Master Lookup'!$A$5:$A$16,A10))</f>
        <v>Community Connector</v>
      </c>
      <c r="I10" s="343">
        <f>IFERROR(INDEX('Master Lookup'!$C$5:$C$16,MATCH(H10,'Master Lookup'!$A$5:$A$16,0)),0)</f>
        <v>0</v>
      </c>
      <c r="J10" s="344">
        <f>IFERROR(INDEX('Master Lookup'!$D$5:$D$16,MATCH(H10,'Master Lookup'!$A$5:$A$16,0)),0)</f>
        <v>0.2</v>
      </c>
      <c r="K10" s="345">
        <f t="shared" si="1"/>
        <v>0</v>
      </c>
      <c r="M10" s="157" t="str">
        <f>IF(INDEX('Master Lookup'!$A$5:$A$16,A10)=0,"",INDEX('Master Lookup'!$A$5:$A$16,A10))</f>
        <v>Community Connector</v>
      </c>
      <c r="N10" s="343">
        <f>IFERROR(INDEX('Master Lookup'!$C$5:$C$16,MATCH(M10,'Master Lookup'!$A$5:$A$16,0)),0)</f>
        <v>0</v>
      </c>
      <c r="O10" s="344">
        <f>IFERROR(INDEX('Master Lookup'!$E$5:$E$16,MATCH(M10,'Master Lookup'!$A$5:$A$16,0)),0)</f>
        <v>0.2</v>
      </c>
      <c r="P10" s="345">
        <f t="shared" si="2"/>
        <v>0</v>
      </c>
      <c r="R10" s="157" t="str">
        <f>IF(INDEX('Master Lookup'!$A$5:$A$16,A10)=0,"",INDEX('Master Lookup'!$A$5:$A$16,A10))</f>
        <v>Community Connector</v>
      </c>
      <c r="S10" s="343">
        <f>IFERROR(INDEX('Master Lookup'!$C$5:$C$16,MATCH(R10,'Master Lookup'!$A$5:$A$16,0)),0)</f>
        <v>0</v>
      </c>
      <c r="T10" s="344">
        <f>IFERROR(INDEX('Master Lookup'!$F$5:$F$16,MATCH(R10,'Master Lookup'!$A$5:$A$16,0)),0)</f>
        <v>0.2</v>
      </c>
      <c r="U10" s="345">
        <f t="shared" si="3"/>
        <v>0</v>
      </c>
      <c r="W10" s="157" t="str">
        <f>IF(INDEX('Master Lookup'!$A$5:$A$16,A10)=0,"",INDEX('Master Lookup'!$A$5:$A$16,A10))</f>
        <v>Community Connector</v>
      </c>
      <c r="X10" s="343">
        <f>IFERROR(INDEX('Master Lookup'!$C$5:$C$16,MATCH(W10,'Master Lookup'!$A$5:$A$16,0)),0)</f>
        <v>0</v>
      </c>
      <c r="Y10" s="344">
        <f>IFERROR(INDEX('Master Lookup'!$G$5:$G$16,MATCH(W10,'Master Lookup'!$A$5:$A$16,0)),0)</f>
        <v>0.2</v>
      </c>
      <c r="Z10" s="345">
        <f t="shared" si="4"/>
        <v>0</v>
      </c>
      <c r="AB10" s="157" t="str">
        <f>IF(INDEX('Master Lookup'!$A$5:$A$16,A10)=0,"",INDEX('Master Lookup'!$A$5:$A$16,A10))</f>
        <v>Community Connector</v>
      </c>
      <c r="AC10" s="343">
        <f>IFERROR(INDEX('Master Lookup'!$C$5:$C$16,MATCH(AB10,'Master Lookup'!$A$5:$A$16,0)),0)</f>
        <v>0</v>
      </c>
      <c r="AD10" s="344">
        <f>IFERROR(INDEX('Master Lookup'!$I$5:$I$16,MATCH(AB10,'Master Lookup'!$A$5:$A$16,0)),0)</f>
        <v>0.2</v>
      </c>
      <c r="AE10" s="345">
        <f t="shared" si="5"/>
        <v>0</v>
      </c>
    </row>
    <row r="11" spans="3:31" hidden="1" x14ac:dyDescent="0.25">
      <c r="C11" s="157" t="str">
        <f>IF(INDEX('Master Lookup'!$A$5:$A$16,A11)=0,"",INDEX('Master Lookup'!$A$5:$A$16,A11))</f>
        <v/>
      </c>
      <c r="D11" s="343">
        <f>IFERROR(INDEX('Master Lookup'!$C$5:$C$16,MATCH(C11,'Master Lookup'!$A$5:$A$16,0)),0)</f>
        <v>0</v>
      </c>
      <c r="E11" s="344">
        <f>IFERROR(INDEX('Master Lookup'!$H$5:$H$16,MATCH(C11,'Master Lookup'!$A$5:$A$16,0)),0)</f>
        <v>0</v>
      </c>
      <c r="F11" s="345">
        <f t="shared" si="0"/>
        <v>0</v>
      </c>
      <c r="H11" s="157" t="str">
        <f>IF(INDEX('Master Lookup'!$A$5:$A$16,A11)=0,"",INDEX('Master Lookup'!$A$5:$A$16,A11))</f>
        <v/>
      </c>
      <c r="I11" s="343">
        <f>IFERROR(INDEX('Master Lookup'!$C$5:$C$16,MATCH(H11,'Master Lookup'!$A$5:$A$16,0)),0)</f>
        <v>0</v>
      </c>
      <c r="J11" s="344">
        <f>IFERROR(INDEX('Master Lookup'!$D$5:$D$16,MATCH(H11,'Master Lookup'!$A$5:$A$16,0)),0)</f>
        <v>0</v>
      </c>
      <c r="K11" s="345">
        <f t="shared" si="1"/>
        <v>0</v>
      </c>
      <c r="M11" s="157" t="str">
        <f>IF(INDEX('Master Lookup'!$A$5:$A$16,A11)=0,"",INDEX('Master Lookup'!$A$5:$A$16,A11))</f>
        <v/>
      </c>
      <c r="N11" s="343">
        <f>IFERROR(INDEX('Master Lookup'!$C$5:$C$16,MATCH(M11,'Master Lookup'!$A$5:$A$16,0)),0)</f>
        <v>0</v>
      </c>
      <c r="O11" s="344">
        <f>IFERROR(INDEX('Master Lookup'!$E$5:$E$16,MATCH(M11,'Master Lookup'!$A$5:$A$16,0)),0)</f>
        <v>0</v>
      </c>
      <c r="P11" s="345">
        <f t="shared" si="2"/>
        <v>0</v>
      </c>
      <c r="R11" s="157" t="str">
        <f>IF(INDEX('Master Lookup'!$A$5:$A$16,A11)=0,"",INDEX('Master Lookup'!$A$5:$A$16,A11))</f>
        <v/>
      </c>
      <c r="S11" s="343">
        <f>IFERROR(INDEX('Master Lookup'!$C$5:$C$16,MATCH(R11,'Master Lookup'!$A$5:$A$16,0)),0)</f>
        <v>0</v>
      </c>
      <c r="T11" s="344">
        <f>IFERROR(INDEX('Master Lookup'!$F$5:$F$16,MATCH(R11,'Master Lookup'!$A$5:$A$16,0)),0)</f>
        <v>0</v>
      </c>
      <c r="U11" s="345">
        <f t="shared" si="3"/>
        <v>0</v>
      </c>
      <c r="W11" s="157" t="str">
        <f>IF(INDEX('Master Lookup'!$A$5:$A$16,A11)=0,"",INDEX('Master Lookup'!$A$5:$A$16,A11))</f>
        <v/>
      </c>
      <c r="X11" s="343">
        <f>IFERROR(INDEX('Master Lookup'!$C$5:$C$16,MATCH(W11,'Master Lookup'!$A$5:$A$16,0)),0)</f>
        <v>0</v>
      </c>
      <c r="Y11" s="344">
        <f>IFERROR(INDEX('Master Lookup'!$G$5:$G$16,MATCH(W11,'Master Lookup'!$A$5:$A$16,0)),0)</f>
        <v>0</v>
      </c>
      <c r="Z11" s="345">
        <f t="shared" si="4"/>
        <v>0</v>
      </c>
      <c r="AB11" s="157" t="str">
        <f>IF(INDEX('Master Lookup'!$A$5:$A$16,A11)=0,"",INDEX('Master Lookup'!$A$5:$A$16,A11))</f>
        <v/>
      </c>
      <c r="AC11" s="343">
        <f>IFERROR(INDEX('Master Lookup'!$C$5:$C$16,MATCH(AB11,'Master Lookup'!$A$5:$A$16,0)),0)</f>
        <v>0</v>
      </c>
      <c r="AD11" s="344">
        <f>IFERROR(INDEX('Master Lookup'!$I$5:$I$16,MATCH(AB11,'Master Lookup'!$A$5:$A$16,0)),0)</f>
        <v>0</v>
      </c>
      <c r="AE11" s="345">
        <f t="shared" si="5"/>
        <v>0</v>
      </c>
    </row>
    <row r="12" spans="3:31" hidden="1" x14ac:dyDescent="0.25">
      <c r="C12" s="157" t="str">
        <f>IF(INDEX('Master Lookup'!$A$5:$A$16,A12)=0,"",INDEX('Master Lookup'!$A$5:$A$16,A12))</f>
        <v/>
      </c>
      <c r="D12" s="343">
        <f>IFERROR(INDEX('Master Lookup'!$C$5:$C$16,MATCH(C12,'Master Lookup'!$A$5:$A$16,0)),0)</f>
        <v>0</v>
      </c>
      <c r="E12" s="344">
        <f>IFERROR(INDEX('Master Lookup'!$H$5:$H$16,MATCH(C12,'Master Lookup'!$A$5:$A$16,0)),0)</f>
        <v>0</v>
      </c>
      <c r="F12" s="345">
        <f t="shared" si="0"/>
        <v>0</v>
      </c>
      <c r="H12" s="157" t="str">
        <f>IF(INDEX('Master Lookup'!$A$5:$A$16,A12)=0,"",INDEX('Master Lookup'!$A$5:$A$16,A12))</f>
        <v/>
      </c>
      <c r="I12" s="343">
        <f>IFERROR(INDEX('Master Lookup'!$C$5:$C$16,MATCH(H12,'Master Lookup'!$A$5:$A$16,0)),0)</f>
        <v>0</v>
      </c>
      <c r="J12" s="344">
        <f>IFERROR(INDEX('Master Lookup'!$D$5:$D$16,MATCH(H12,'Master Lookup'!$A$5:$A$16,0)),0)</f>
        <v>0</v>
      </c>
      <c r="K12" s="345">
        <f t="shared" si="1"/>
        <v>0</v>
      </c>
      <c r="M12" s="157" t="str">
        <f>IF(INDEX('Master Lookup'!$A$5:$A$16,A12)=0,"",INDEX('Master Lookup'!$A$5:$A$16,A12))</f>
        <v/>
      </c>
      <c r="N12" s="343">
        <f>IFERROR(INDEX('Master Lookup'!$C$5:$C$16,MATCH(M12,'Master Lookup'!$A$5:$A$16,0)),0)</f>
        <v>0</v>
      </c>
      <c r="O12" s="344">
        <f>IFERROR(INDEX('Master Lookup'!$E$5:$E$16,MATCH(M12,'Master Lookup'!$A$5:$A$16,0)),0)</f>
        <v>0</v>
      </c>
      <c r="P12" s="345">
        <f t="shared" si="2"/>
        <v>0</v>
      </c>
      <c r="R12" s="157" t="str">
        <f>IF(INDEX('Master Lookup'!$A$5:$A$16,A12)=0,"",INDEX('Master Lookup'!$A$5:$A$16,A12))</f>
        <v/>
      </c>
      <c r="S12" s="343">
        <f>IFERROR(INDEX('Master Lookup'!$C$5:$C$16,MATCH(R12,'Master Lookup'!$A$5:$A$16,0)),0)</f>
        <v>0</v>
      </c>
      <c r="T12" s="344">
        <f>IFERROR(INDEX('Master Lookup'!$F$5:$F$16,MATCH(R12,'Master Lookup'!$A$5:$A$16,0)),0)</f>
        <v>0</v>
      </c>
      <c r="U12" s="345">
        <f t="shared" si="3"/>
        <v>0</v>
      </c>
      <c r="W12" s="157" t="str">
        <f>IF(INDEX('Master Lookup'!$A$5:$A$16,A12)=0,"",INDEX('Master Lookup'!$A$5:$A$16,A12))</f>
        <v/>
      </c>
      <c r="X12" s="343">
        <f>IFERROR(INDEX('Master Lookup'!$C$5:$C$16,MATCH(W12,'Master Lookup'!$A$5:$A$16,0)),0)</f>
        <v>0</v>
      </c>
      <c r="Y12" s="344">
        <f>IFERROR(INDEX('Master Lookup'!$G$5:$G$16,MATCH(W12,'Master Lookup'!$A$5:$A$16,0)),0)</f>
        <v>0</v>
      </c>
      <c r="Z12" s="345">
        <f t="shared" si="4"/>
        <v>0</v>
      </c>
      <c r="AB12" s="157" t="str">
        <f>IF(INDEX('Master Lookup'!$A$5:$A$16,A12)=0,"",INDEX('Master Lookup'!$A$5:$A$16,A12))</f>
        <v/>
      </c>
      <c r="AC12" s="343">
        <f>IFERROR(INDEX('Master Lookup'!$C$5:$C$16,MATCH(AB12,'Master Lookup'!$A$5:$A$16,0)),0)</f>
        <v>0</v>
      </c>
      <c r="AD12" s="344">
        <f>IFERROR(INDEX('Master Lookup'!$I$5:$I$16,MATCH(AB12,'Master Lookup'!$A$5:$A$16,0)),0)</f>
        <v>0</v>
      </c>
      <c r="AE12" s="345">
        <f t="shared" si="5"/>
        <v>0</v>
      </c>
    </row>
    <row r="13" spans="3:31" hidden="1" x14ac:dyDescent="0.25">
      <c r="C13" s="157" t="str">
        <f>IF(INDEX('Master Lookup'!$A$5:$A$16,A13)=0,"",INDEX('Master Lookup'!$A$5:$A$16,A13))</f>
        <v/>
      </c>
      <c r="D13" s="343">
        <f>IFERROR(INDEX('Master Lookup'!$C$5:$C$16,MATCH(C13,'Master Lookup'!$A$5:$A$16,0)),0)</f>
        <v>0</v>
      </c>
      <c r="E13" s="344">
        <f>IFERROR(INDEX('Master Lookup'!$H$5:$H$16,MATCH(C13,'Master Lookup'!$A$5:$A$16,0)),0)</f>
        <v>0</v>
      </c>
      <c r="F13" s="345">
        <f t="shared" si="0"/>
        <v>0</v>
      </c>
      <c r="H13" s="157" t="str">
        <f>IF(INDEX('Master Lookup'!$A$5:$A$16,A13)=0,"",INDEX('Master Lookup'!$A$5:$A$16,A13))</f>
        <v/>
      </c>
      <c r="I13" s="343">
        <f>IFERROR(INDEX('Master Lookup'!$C$5:$C$16,MATCH(H13,'Master Lookup'!$A$5:$A$16,0)),0)</f>
        <v>0</v>
      </c>
      <c r="J13" s="344">
        <f>IFERROR(INDEX('Master Lookup'!$D$5:$D$16,MATCH(H13,'Master Lookup'!$A$5:$A$16,0)),0)</f>
        <v>0</v>
      </c>
      <c r="K13" s="345">
        <f t="shared" si="1"/>
        <v>0</v>
      </c>
      <c r="M13" s="157" t="str">
        <f>IF(INDEX('Master Lookup'!$A$5:$A$16,A13)=0,"",INDEX('Master Lookup'!$A$5:$A$16,A13))</f>
        <v/>
      </c>
      <c r="N13" s="343">
        <f>IFERROR(INDEX('Master Lookup'!$C$5:$C$16,MATCH(M13,'Master Lookup'!$A$5:$A$16,0)),0)</f>
        <v>0</v>
      </c>
      <c r="O13" s="344">
        <f>IFERROR(INDEX('Master Lookup'!$E$5:$E$16,MATCH(M13,'Master Lookup'!$A$5:$A$16,0)),0)</f>
        <v>0</v>
      </c>
      <c r="P13" s="345">
        <f t="shared" si="2"/>
        <v>0</v>
      </c>
      <c r="R13" s="157" t="str">
        <f>IF(INDEX('Master Lookup'!$A$5:$A$16,A13)=0,"",INDEX('Master Lookup'!$A$5:$A$16,A13))</f>
        <v/>
      </c>
      <c r="S13" s="343">
        <f>IFERROR(INDEX('Master Lookup'!$C$5:$C$16,MATCH(R13,'Master Lookup'!$A$5:$A$16,0)),0)</f>
        <v>0</v>
      </c>
      <c r="T13" s="344">
        <f>IFERROR(INDEX('Master Lookup'!$F$5:$F$16,MATCH(R13,'Master Lookup'!$A$5:$A$16,0)),0)</f>
        <v>0</v>
      </c>
      <c r="U13" s="345">
        <f t="shared" si="3"/>
        <v>0</v>
      </c>
      <c r="W13" s="157" t="str">
        <f>IF(INDEX('Master Lookup'!$A$5:$A$16,A13)=0,"",INDEX('Master Lookup'!$A$5:$A$16,A13))</f>
        <v/>
      </c>
      <c r="X13" s="343">
        <f>IFERROR(INDEX('Master Lookup'!$C$5:$C$16,MATCH(W13,'Master Lookup'!$A$5:$A$16,0)),0)</f>
        <v>0</v>
      </c>
      <c r="Y13" s="344">
        <f>IFERROR(INDEX('Master Lookup'!$G$5:$G$16,MATCH(W13,'Master Lookup'!$A$5:$A$16,0)),0)</f>
        <v>0</v>
      </c>
      <c r="Z13" s="345">
        <f t="shared" si="4"/>
        <v>0</v>
      </c>
      <c r="AB13" s="157" t="str">
        <f>IF(INDEX('Master Lookup'!$A$5:$A$16,A13)=0,"",INDEX('Master Lookup'!$A$5:$A$16,A13))</f>
        <v/>
      </c>
      <c r="AC13" s="343">
        <f>IFERROR(INDEX('Master Lookup'!$C$5:$C$16,MATCH(AB13,'Master Lookup'!$A$5:$A$16,0)),0)</f>
        <v>0</v>
      </c>
      <c r="AD13" s="344">
        <f>IFERROR(INDEX('Master Lookup'!$I$5:$I$16,MATCH(AB13,'Master Lookup'!$A$5:$A$16,0)),0)</f>
        <v>0</v>
      </c>
      <c r="AE13" s="345">
        <f t="shared" si="5"/>
        <v>0</v>
      </c>
    </row>
    <row r="14" spans="3:31" hidden="1" x14ac:dyDescent="0.25">
      <c r="C14" s="157" t="str">
        <f>IF(INDEX('Master Lookup'!$A$5:$A$16,A14)=0,"",INDEX('Master Lookup'!$A$5:$A$16,A14))</f>
        <v/>
      </c>
      <c r="D14" s="343">
        <f>IFERROR(INDEX('Master Lookup'!$C$5:$C$16,MATCH(C14,'Master Lookup'!$A$5:$A$16,0)),0)</f>
        <v>0</v>
      </c>
      <c r="E14" s="344">
        <f>IFERROR(INDEX('Master Lookup'!$H$5:$H$16,MATCH(C14,'Master Lookup'!$A$5:$A$16,0)),0)</f>
        <v>0</v>
      </c>
      <c r="F14" s="345">
        <f t="shared" si="0"/>
        <v>0</v>
      </c>
      <c r="H14" s="157" t="str">
        <f>IF(INDEX('Master Lookup'!$A$5:$A$16,A14)=0,"",INDEX('Master Lookup'!$A$5:$A$16,A14))</f>
        <v/>
      </c>
      <c r="I14" s="343">
        <f>IFERROR(INDEX('Master Lookup'!$C$5:$C$16,MATCH(H14,'Master Lookup'!$A$5:$A$16,0)),0)</f>
        <v>0</v>
      </c>
      <c r="J14" s="344">
        <f>IFERROR(INDEX('Master Lookup'!$D$5:$D$16,MATCH(H14,'Master Lookup'!$A$5:$A$16,0)),0)</f>
        <v>0</v>
      </c>
      <c r="K14" s="345">
        <f t="shared" si="1"/>
        <v>0</v>
      </c>
      <c r="M14" s="157" t="str">
        <f>IF(INDEX('Master Lookup'!$A$5:$A$16,A14)=0,"",INDEX('Master Lookup'!$A$5:$A$16,A14))</f>
        <v/>
      </c>
      <c r="N14" s="343">
        <f>IFERROR(INDEX('Master Lookup'!$C$5:$C$16,MATCH(M14,'Master Lookup'!$A$5:$A$16,0)),0)</f>
        <v>0</v>
      </c>
      <c r="O14" s="344">
        <f>IFERROR(INDEX('Master Lookup'!$E$5:$E$16,MATCH(M14,'Master Lookup'!$A$5:$A$16,0)),0)</f>
        <v>0</v>
      </c>
      <c r="P14" s="345">
        <f t="shared" si="2"/>
        <v>0</v>
      </c>
      <c r="R14" s="157" t="str">
        <f>IF(INDEX('Master Lookup'!$A$5:$A$16,A14)=0,"",INDEX('Master Lookup'!$A$5:$A$16,A14))</f>
        <v/>
      </c>
      <c r="S14" s="343">
        <f>IFERROR(INDEX('Master Lookup'!$C$5:$C$16,MATCH(R14,'Master Lookup'!$A$5:$A$16,0)),0)</f>
        <v>0</v>
      </c>
      <c r="T14" s="344">
        <f>IFERROR(INDEX('Master Lookup'!$F$5:$F$16,MATCH(R14,'Master Lookup'!$A$5:$A$16,0)),0)</f>
        <v>0</v>
      </c>
      <c r="U14" s="345">
        <f t="shared" si="3"/>
        <v>0</v>
      </c>
      <c r="W14" s="157" t="str">
        <f>IF(INDEX('Master Lookup'!$A$5:$A$16,A14)=0,"",INDEX('Master Lookup'!$A$5:$A$16,A14))</f>
        <v/>
      </c>
      <c r="X14" s="343">
        <f>IFERROR(INDEX('Master Lookup'!$C$5:$C$16,MATCH(W14,'Master Lookup'!$A$5:$A$16,0)),0)</f>
        <v>0</v>
      </c>
      <c r="Y14" s="344">
        <f>IFERROR(INDEX('Master Lookup'!$G$5:$G$16,MATCH(W14,'Master Lookup'!$A$5:$A$16,0)),0)</f>
        <v>0</v>
      </c>
      <c r="Z14" s="345">
        <f t="shared" si="4"/>
        <v>0</v>
      </c>
      <c r="AB14" s="157" t="str">
        <f>IF(INDEX('Master Lookup'!$A$5:$A$16,A14)=0,"",INDEX('Master Lookup'!$A$5:$A$16,A14))</f>
        <v/>
      </c>
      <c r="AC14" s="343">
        <f>IFERROR(INDEX('Master Lookup'!$C$5:$C$16,MATCH(AB14,'Master Lookup'!$A$5:$A$16,0)),0)</f>
        <v>0</v>
      </c>
      <c r="AD14" s="344">
        <f>IFERROR(INDEX('Master Lookup'!$I$5:$I$16,MATCH(AB14,'Master Lookup'!$A$5:$A$16,0)),0)</f>
        <v>0</v>
      </c>
      <c r="AE14" s="345">
        <f t="shared" si="5"/>
        <v>0</v>
      </c>
    </row>
    <row r="15" spans="3:31" x14ac:dyDescent="0.25">
      <c r="C15" s="346" t="s">
        <v>96</v>
      </c>
      <c r="D15" s="126"/>
      <c r="E15" s="127">
        <f>SUM(E6:E8)</f>
        <v>14.15</v>
      </c>
      <c r="F15" s="347">
        <f>SUM(F6:F8)</f>
        <v>791972.94</v>
      </c>
      <c r="H15" s="346" t="s">
        <v>96</v>
      </c>
      <c r="I15" s="126"/>
      <c r="J15" s="127">
        <f>J6+J7</f>
        <v>24.38</v>
      </c>
      <c r="K15" s="347">
        <f>SUM(K6:K7)</f>
        <v>1091379.3500000001</v>
      </c>
      <c r="M15" s="346" t="s">
        <v>96</v>
      </c>
      <c r="N15" s="126"/>
      <c r="O15" s="127">
        <f>SUM(O6:O7)</f>
        <v>12.5</v>
      </c>
      <c r="P15" s="347">
        <f>SUM(P6:P7)</f>
        <v>565030.82999999996</v>
      </c>
      <c r="R15" s="346" t="s">
        <v>96</v>
      </c>
      <c r="S15" s="126"/>
      <c r="T15" s="127">
        <f>SUM(T6:T7)</f>
        <v>8.09</v>
      </c>
      <c r="U15" s="347">
        <f>SUM(U6:U7)</f>
        <v>370283.15</v>
      </c>
      <c r="W15" s="346" t="s">
        <v>96</v>
      </c>
      <c r="X15" s="126"/>
      <c r="Y15" s="127">
        <f>SUM(Y6:Y7)</f>
        <v>6.58</v>
      </c>
      <c r="Z15" s="347">
        <f>SUM(Z6:Z7)</f>
        <v>298138.84999999998</v>
      </c>
      <c r="AB15" s="346" t="s">
        <v>96</v>
      </c>
      <c r="AC15" s="126"/>
      <c r="AD15" s="127">
        <f>SUM(AD6:AD7)</f>
        <v>8.2899999999999991</v>
      </c>
      <c r="AE15" s="347">
        <f>SUM(AE6:AE7)</f>
        <v>413610.14</v>
      </c>
    </row>
    <row r="16" spans="3:31" x14ac:dyDescent="0.25">
      <c r="C16" s="285" t="s">
        <v>97</v>
      </c>
      <c r="D16" s="128">
        <f>D44</f>
        <v>2.7799999999999998E-2</v>
      </c>
      <c r="E16" s="362"/>
      <c r="F16" s="364">
        <f>F15*D16</f>
        <v>22016.847731999998</v>
      </c>
      <c r="H16" s="285" t="s">
        <v>97</v>
      </c>
      <c r="I16" s="128">
        <f>'Master Lookup'!B39</f>
        <v>2.7799999999999998E-2</v>
      </c>
      <c r="J16" s="362"/>
      <c r="K16" s="364">
        <f>K15*I16</f>
        <v>30340.345929999999</v>
      </c>
      <c r="M16" s="285" t="s">
        <v>97</v>
      </c>
      <c r="N16" s="128">
        <f>'Master Lookup'!B39</f>
        <v>2.7799999999999998E-2</v>
      </c>
      <c r="O16" s="362"/>
      <c r="P16" s="364">
        <f>P15*N16</f>
        <v>15707.857073999998</v>
      </c>
      <c r="R16" s="285" t="s">
        <v>97</v>
      </c>
      <c r="S16" s="128">
        <f>'Master Lookup'!B39</f>
        <v>2.7799999999999998E-2</v>
      </c>
      <c r="T16" s="362"/>
      <c r="U16" s="364">
        <f>U15*S16</f>
        <v>10293.871569999999</v>
      </c>
      <c r="W16" s="285" t="s">
        <v>97</v>
      </c>
      <c r="X16" s="128">
        <f>'Master Lookup'!B39</f>
        <v>2.7799999999999998E-2</v>
      </c>
      <c r="Y16" s="362"/>
      <c r="Z16" s="364">
        <f>Z15*X16</f>
        <v>8288.2600299999995</v>
      </c>
      <c r="AB16" s="285" t="s">
        <v>97</v>
      </c>
      <c r="AC16" s="128">
        <f>'Master Lookup'!B39</f>
        <v>2.7799999999999998E-2</v>
      </c>
      <c r="AD16" s="362"/>
      <c r="AE16" s="364">
        <f>AE15*AC16</f>
        <v>11498.361891999999</v>
      </c>
    </row>
    <row r="17" spans="3:31" x14ac:dyDescent="0.25">
      <c r="C17" s="286" t="s">
        <v>22</v>
      </c>
      <c r="D17" s="363">
        <f>INDEX('Master Lookup'!$B$20:$B$37,MATCH(C17,'Master Lookup'!$A$20:$A$37,0))</f>
        <v>0.25390000000000001</v>
      </c>
      <c r="E17" s="84"/>
      <c r="F17" s="365">
        <f>(F16+F15)*D17</f>
        <v>206672.0071051548</v>
      </c>
      <c r="H17" s="286" t="s">
        <v>22</v>
      </c>
      <c r="I17" s="363">
        <f>INDEX('Master Lookup'!$B$20:$B$37,MATCH(H17,'Master Lookup'!$A$20:$A$37,0))</f>
        <v>0.25390000000000001</v>
      </c>
      <c r="J17" s="84"/>
      <c r="K17" s="365">
        <f>(K16+K15)*I17</f>
        <v>284804.63079662708</v>
      </c>
      <c r="M17" s="286" t="s">
        <v>22</v>
      </c>
      <c r="N17" s="363">
        <f>INDEX('Master Lookup'!$B$20:$B$37,MATCH(M17,'Master Lookup'!$A$20:$A$37,0))</f>
        <v>0.25390000000000001</v>
      </c>
      <c r="O17" s="84"/>
      <c r="P17" s="365">
        <f>(P16+P15)*N17</f>
        <v>147449.55264808857</v>
      </c>
      <c r="R17" s="286" t="s">
        <v>22</v>
      </c>
      <c r="S17" s="363">
        <f>INDEX('Master Lookup'!$B$20:$B$37,MATCH(R17,'Master Lookup'!$A$20:$A$37,0))</f>
        <v>0.25390000000000001</v>
      </c>
      <c r="T17" s="84"/>
      <c r="U17" s="365">
        <f>(U16+U15)*S17</f>
        <v>96628.505776623017</v>
      </c>
      <c r="W17" s="286" t="s">
        <v>22</v>
      </c>
      <c r="X17" s="363">
        <f>INDEX('Master Lookup'!$B$20:$B$37,MATCH(W17,'Master Lookup'!$A$20:$A$37,0))</f>
        <v>0.25390000000000001</v>
      </c>
      <c r="Y17" s="84"/>
      <c r="Z17" s="365">
        <f>(Z16+Z15)*X17</f>
        <v>77801.843236617002</v>
      </c>
      <c r="AB17" s="286" t="s">
        <v>22</v>
      </c>
      <c r="AC17" s="363">
        <f>INDEX('Master Lookup'!$B$20:$B$37,MATCH(AB17,'Master Lookup'!$A$20:$A$37,0))</f>
        <v>0.25390000000000001</v>
      </c>
      <c r="AD17" s="84"/>
      <c r="AE17" s="365">
        <f>(AE16+AE15)*AC17</f>
        <v>107935.04863037882</v>
      </c>
    </row>
    <row r="18" spans="3:31" x14ac:dyDescent="0.25">
      <c r="C18" s="348" t="s">
        <v>98</v>
      </c>
      <c r="D18" s="129"/>
      <c r="E18" s="129"/>
      <c r="F18" s="366">
        <f>SUM(F15:F17)</f>
        <v>1020661.7948371548</v>
      </c>
      <c r="H18" s="348" t="s">
        <v>98</v>
      </c>
      <c r="I18" s="129"/>
      <c r="J18" s="129"/>
      <c r="K18" s="366">
        <f>SUM(K15:K17)</f>
        <v>1406524.3267266273</v>
      </c>
      <c r="M18" s="348" t="s">
        <v>98</v>
      </c>
      <c r="N18" s="129"/>
      <c r="O18" s="129"/>
      <c r="P18" s="366">
        <f>SUM(P15:P17)</f>
        <v>728188.23972208844</v>
      </c>
      <c r="R18" s="348" t="s">
        <v>98</v>
      </c>
      <c r="S18" s="129"/>
      <c r="T18" s="129"/>
      <c r="U18" s="366">
        <f>SUM(U15:U17)</f>
        <v>477205.52734662307</v>
      </c>
      <c r="W18" s="348" t="s">
        <v>98</v>
      </c>
      <c r="X18" s="129"/>
      <c r="Y18" s="129"/>
      <c r="Z18" s="366">
        <f>SUM(Z15:Z17)</f>
        <v>384228.95326661697</v>
      </c>
      <c r="AB18" s="348" t="s">
        <v>98</v>
      </c>
      <c r="AC18" s="129"/>
      <c r="AD18" s="129"/>
      <c r="AE18" s="366">
        <f>SUM(AE15:AE17)</f>
        <v>533043.55052237888</v>
      </c>
    </row>
    <row r="19" spans="3:31" ht="4.5" customHeight="1" thickBot="1" x14ac:dyDescent="0.3">
      <c r="C19" s="349"/>
      <c r="D19" s="96"/>
      <c r="E19" s="96"/>
      <c r="F19" s="350"/>
      <c r="H19" s="349"/>
      <c r="I19" s="96"/>
      <c r="J19" s="96"/>
      <c r="K19" s="350"/>
      <c r="M19" s="349"/>
      <c r="N19" s="96"/>
      <c r="O19" s="96"/>
      <c r="P19" s="350"/>
      <c r="R19" s="349"/>
      <c r="S19" s="96"/>
      <c r="T19" s="96"/>
      <c r="U19" s="350"/>
      <c r="W19" s="349"/>
      <c r="X19" s="96"/>
      <c r="Y19" s="96"/>
      <c r="Z19" s="350"/>
      <c r="AB19" s="349"/>
      <c r="AC19" s="96"/>
      <c r="AD19" s="96"/>
      <c r="AE19" s="350"/>
    </row>
    <row r="20" spans="3:31" ht="15.75" thickBot="1" x14ac:dyDescent="0.3">
      <c r="C20" s="372" t="s">
        <v>99</v>
      </c>
      <c r="D20" s="373"/>
      <c r="E20" s="373"/>
      <c r="F20" s="374"/>
      <c r="H20" s="372" t="s">
        <v>99</v>
      </c>
      <c r="I20" s="373"/>
      <c r="J20" s="373"/>
      <c r="K20" s="374"/>
      <c r="M20" s="372" t="s">
        <v>99</v>
      </c>
      <c r="N20" s="373"/>
      <c r="O20" s="373"/>
      <c r="P20" s="374"/>
      <c r="R20" s="372" t="s">
        <v>99</v>
      </c>
      <c r="S20" s="373"/>
      <c r="T20" s="373"/>
      <c r="U20" s="374"/>
      <c r="W20" s="372" t="s">
        <v>99</v>
      </c>
      <c r="X20" s="373"/>
      <c r="Y20" s="373"/>
      <c r="Z20" s="374"/>
      <c r="AB20" s="372" t="s">
        <v>99</v>
      </c>
      <c r="AC20" s="373"/>
      <c r="AD20" s="373"/>
      <c r="AE20" s="374"/>
    </row>
    <row r="21" spans="3:31" x14ac:dyDescent="0.25">
      <c r="C21" s="157" t="str">
        <f>IF(INDEX('Master Lookup'!$A$21:$A$37,A21)=0,"",INDEX('Master Lookup'!$A$21:$A$37,A21))</f>
        <v>OCCUPANCY</v>
      </c>
      <c r="D21" s="343">
        <f>IFERROR(INDEX('Master Lookup'!$B$17:$B$36,MATCH(C21,'Master Lookup'!$A$17:$A$36,0)),0)</f>
        <v>13.673261716762692</v>
      </c>
      <c r="F21" s="367">
        <f>D21*$F$3</f>
        <v>68366.308583813458</v>
      </c>
      <c r="H21" s="157" t="str">
        <f>IF(INDEX('Master Lookup'!$A$21:$A$37,A21)=0,"",INDEX('Master Lookup'!$A$21:$A$37,A21))</f>
        <v>OCCUPANCY</v>
      </c>
      <c r="I21" s="343">
        <f>IFERROR(INDEX('Master Lookup'!$B$17:$B$36,MATCH(H21,'Master Lookup'!$A$17:$A$36,0)),0)</f>
        <v>13.673261716762692</v>
      </c>
      <c r="K21" s="367">
        <f>I21*$F$3</f>
        <v>68366.308583813458</v>
      </c>
      <c r="M21" s="157" t="str">
        <f>IF(INDEX('Master Lookup'!$A$21:$A$37,A21)=0,"",INDEX('Master Lookup'!$A$21:$A$37,A21))</f>
        <v>OCCUPANCY</v>
      </c>
      <c r="N21" s="343">
        <f>IFERROR(INDEX('Master Lookup'!$B$17:$B$36,MATCH(M21,'Master Lookup'!$A$17:$A$36,0)),0)</f>
        <v>13.673261716762692</v>
      </c>
      <c r="P21" s="367">
        <f>N21*$P$3</f>
        <v>68366.308583813458</v>
      </c>
      <c r="R21" s="157" t="str">
        <f>IF(INDEX('Master Lookup'!$A$21:$A$37,A21)=0,"",INDEX('Master Lookup'!$A$21:$A$37,A21))</f>
        <v>OCCUPANCY</v>
      </c>
      <c r="S21" s="343">
        <f>IFERROR(INDEX('Master Lookup'!$B$17:$B$36,MATCH(R21,'Master Lookup'!$A$17:$A$36,0)),0)</f>
        <v>13.673261716762692</v>
      </c>
      <c r="U21" s="367">
        <f>S21*$F$3</f>
        <v>68366.308583813458</v>
      </c>
      <c r="W21" s="157" t="str">
        <f>IF(INDEX('Master Lookup'!$A$21:$A$37,A21)=0,"",INDEX('Master Lookup'!$A$21:$A$37,A21))</f>
        <v>OCCUPANCY</v>
      </c>
      <c r="X21" s="343">
        <f>IFERROR(INDEX('Master Lookup'!$B$17:$B$36,MATCH(W21,'Master Lookup'!$A$17:$A$36,0)),0)</f>
        <v>13.673261716762692</v>
      </c>
      <c r="Z21" s="367">
        <f>X21*$F$3</f>
        <v>68366.308583813458</v>
      </c>
      <c r="AB21" s="157" t="str">
        <f>IF(INDEX('Master Lookup'!$A$21:$A$37,A21)=0,"",INDEX('Master Lookup'!$A$21:$A$37,A21))</f>
        <v>OCCUPANCY</v>
      </c>
      <c r="AC21" s="343">
        <f>IFERROR(INDEX('Master Lookup'!$C$17:$C$36,MATCH(AB21,'Master Lookup'!$A$17:$A$36,0)),0)</f>
        <v>3.418315429190673</v>
      </c>
      <c r="AE21" s="367">
        <f>AC21*$F$3</f>
        <v>17091.577145953364</v>
      </c>
    </row>
    <row r="22" spans="3:31" x14ac:dyDescent="0.25">
      <c r="C22" s="157" t="str">
        <f>IF(INDEX('Master Lookup'!$A$21:$A$37,A22)=0,"",INDEX('Master Lookup'!$A$21:$A$37,A22))</f>
        <v>STAFF TRAINING</v>
      </c>
      <c r="D22" s="343">
        <f>IFERROR(INDEX('Master Lookup'!$B$17:$B$36,MATCH(C22,'Master Lookup'!$A$17:$A$36,0)),0)</f>
        <v>0.64285092185586179</v>
      </c>
      <c r="F22" s="367">
        <f t="shared" ref="F22:F27" si="6">D22*$F$3</f>
        <v>3214.2546092793091</v>
      </c>
      <c r="H22" s="157" t="str">
        <f>IF(INDEX('Master Lookup'!$A$21:$A$37,A22)=0,"",INDEX('Master Lookup'!$A$21:$A$37,A22))</f>
        <v>STAFF TRAINING</v>
      </c>
      <c r="I22" s="343">
        <f>IFERROR(INDEX('Master Lookup'!$B$17:$B$36,MATCH(H22,'Master Lookup'!$A$17:$A$36,0)),0)</f>
        <v>0.64285092185586179</v>
      </c>
      <c r="K22" s="367">
        <f t="shared" ref="K22:K27" si="7">I22*$F$3</f>
        <v>3214.2546092793091</v>
      </c>
      <c r="M22" s="157" t="str">
        <f>IF(INDEX('Master Lookup'!$A$21:$A$37,A22)=0,"",INDEX('Master Lookup'!$A$21:$A$37,A22))</f>
        <v>STAFF TRAINING</v>
      </c>
      <c r="N22" s="343">
        <f>IFERROR(INDEX('Master Lookup'!$B$17:$B$36,MATCH(M22,'Master Lookup'!$A$17:$A$36,0)),0)</f>
        <v>0.64285092185586179</v>
      </c>
      <c r="P22" s="367">
        <f t="shared" ref="P22:P27" si="8">N22*$P$3</f>
        <v>3214.2546092793091</v>
      </c>
      <c r="R22" s="157" t="str">
        <f>IF(INDEX('Master Lookup'!$A$21:$A$37,A22)=0,"",INDEX('Master Lookup'!$A$21:$A$37,A22))</f>
        <v>STAFF TRAINING</v>
      </c>
      <c r="S22" s="343">
        <f>IFERROR(INDEX('Master Lookup'!$B$17:$B$36,MATCH(R22,'Master Lookup'!$A$17:$A$36,0)),0)</f>
        <v>0.64285092185586179</v>
      </c>
      <c r="U22" s="367">
        <f t="shared" ref="U22:U27" si="9">S22*$F$3</f>
        <v>3214.2546092793091</v>
      </c>
      <c r="W22" s="157" t="str">
        <f>IF(INDEX('Master Lookup'!$A$21:$A$37,A22)=0,"",INDEX('Master Lookup'!$A$21:$A$37,A22))</f>
        <v>STAFF TRAINING</v>
      </c>
      <c r="X22" s="343">
        <f>IFERROR(INDEX('Master Lookup'!$B$17:$B$36,MATCH(W22,'Master Lookup'!$A$17:$A$36,0)),0)</f>
        <v>0.64285092185586179</v>
      </c>
      <c r="Z22" s="367">
        <f t="shared" ref="Z22:Z27" si="10">X22*$F$3</f>
        <v>3214.2546092793091</v>
      </c>
      <c r="AB22" s="157" t="str">
        <f>IF(INDEX('Master Lookup'!$A$21:$A$37,A22)=0,"",INDEX('Master Lookup'!$A$21:$A$37,A22))</f>
        <v>STAFF TRAINING</v>
      </c>
      <c r="AC22" s="343">
        <f>IFERROR(INDEX('Master Lookup'!$C$17:$C$36,MATCH(AB22,'Master Lookup'!$A$17:$A$36,0)),0)</f>
        <v>0.64285092185586179</v>
      </c>
      <c r="AE22" s="367">
        <f t="shared" ref="AE22:AE27" si="11">AC22*$F$3</f>
        <v>3214.2546092793091</v>
      </c>
    </row>
    <row r="23" spans="3:31" x14ac:dyDescent="0.25">
      <c r="C23" s="157" t="str">
        <f>IF(INDEX('Master Lookup'!$A$21:$A$37,A23)=0,"",INDEX('Master Lookup'!$A$21:$A$37,A23))</f>
        <v>STAFF MILEAGE</v>
      </c>
      <c r="D23" s="343">
        <f>IFERROR(INDEX('Master Lookup'!$B$17:$B$36,MATCH(C23,'Master Lookup'!$A$17:$A$36,0)),0)</f>
        <v>1.2156037805554805</v>
      </c>
      <c r="F23" s="367">
        <f t="shared" si="6"/>
        <v>6078.0189027774022</v>
      </c>
      <c r="H23" s="157" t="str">
        <f>IF(INDEX('Master Lookup'!$A$21:$A$37,A23)=0,"",INDEX('Master Lookup'!$A$21:$A$37,A23))</f>
        <v>STAFF MILEAGE</v>
      </c>
      <c r="I23" s="343">
        <f>IFERROR(INDEX('Master Lookup'!$B$17:$B$36,MATCH(H23,'Master Lookup'!$A$17:$A$36,0)),0)</f>
        <v>1.2156037805554805</v>
      </c>
      <c r="K23" s="367">
        <f t="shared" si="7"/>
        <v>6078.0189027774022</v>
      </c>
      <c r="M23" s="157" t="str">
        <f>IF(INDEX('Master Lookup'!$A$21:$A$37,A23)=0,"",INDEX('Master Lookup'!$A$21:$A$37,A23))</f>
        <v>STAFF MILEAGE</v>
      </c>
      <c r="N23" s="343">
        <f>IFERROR(INDEX('Master Lookup'!$B$17:$B$36,MATCH(M23,'Master Lookup'!$A$17:$A$36,0)),0)</f>
        <v>1.2156037805554805</v>
      </c>
      <c r="P23" s="367">
        <f t="shared" si="8"/>
        <v>6078.0189027774022</v>
      </c>
      <c r="R23" s="157" t="str">
        <f>IF(INDEX('Master Lookup'!$A$21:$A$37,A23)=0,"",INDEX('Master Lookup'!$A$21:$A$37,A23))</f>
        <v>STAFF MILEAGE</v>
      </c>
      <c r="S23" s="343">
        <f>IFERROR(INDEX('Master Lookup'!$B$17:$B$36,MATCH(R23,'Master Lookup'!$A$17:$A$36,0)),0)</f>
        <v>1.2156037805554805</v>
      </c>
      <c r="U23" s="367">
        <f t="shared" si="9"/>
        <v>6078.0189027774022</v>
      </c>
      <c r="W23" s="157" t="str">
        <f>IF(INDEX('Master Lookup'!$A$21:$A$37,A23)=0,"",INDEX('Master Lookup'!$A$21:$A$37,A23))</f>
        <v>STAFF MILEAGE</v>
      </c>
      <c r="X23" s="343">
        <f>IFERROR(INDEX('Master Lookup'!$B$17:$B$36,MATCH(W23,'Master Lookup'!$A$17:$A$36,0)),0)</f>
        <v>1.2156037805554805</v>
      </c>
      <c r="Z23" s="367">
        <f t="shared" si="10"/>
        <v>6078.0189027774022</v>
      </c>
      <c r="AB23" s="157" t="str">
        <f>IF(INDEX('Master Lookup'!$A$21:$A$37,A23)=0,"",INDEX('Master Lookup'!$A$21:$A$37,A23))</f>
        <v>STAFF MILEAGE</v>
      </c>
      <c r="AC23" s="343">
        <f>IFERROR(INDEX('Master Lookup'!$C$17:$C$36,MATCH(AB23,'Master Lookup'!$A$17:$A$36,0)),0)</f>
        <v>1.2156037805554805</v>
      </c>
      <c r="AE23" s="367">
        <f t="shared" si="11"/>
        <v>6078.0189027774022</v>
      </c>
    </row>
    <row r="24" spans="3:31" x14ac:dyDescent="0.25">
      <c r="C24" s="157" t="str">
        <f>IF(INDEX('Master Lookup'!$A$21:$A$37,A24)=0,"",INDEX('Master Lookup'!$A$21:$A$37,A24))</f>
        <v>SUP &amp; MAT</v>
      </c>
      <c r="D24" s="343">
        <f>IFERROR(INDEX('Master Lookup'!$B$17:$B$36,MATCH(C24,'Master Lookup'!$A$17:$A$36,0)),0)</f>
        <v>8.2565377915774345</v>
      </c>
      <c r="F24" s="367">
        <f t="shared" si="6"/>
        <v>41282.688957887171</v>
      </c>
      <c r="H24" s="157" t="str">
        <f>IF(INDEX('Master Lookup'!$A$21:$A$37,A24)=0,"",INDEX('Master Lookup'!$A$21:$A$37,A24))</f>
        <v>SUP &amp; MAT</v>
      </c>
      <c r="I24" s="343">
        <f>IFERROR(INDEX('Master Lookup'!$B$17:$B$36,MATCH(H24,'Master Lookup'!$A$17:$A$36,0)),0)</f>
        <v>8.2565377915774345</v>
      </c>
      <c r="K24" s="367">
        <f t="shared" si="7"/>
        <v>41282.688957887171</v>
      </c>
      <c r="M24" s="157" t="str">
        <f>IF(INDEX('Master Lookup'!$A$21:$A$37,A24)=0,"",INDEX('Master Lookup'!$A$21:$A$37,A24))</f>
        <v>SUP &amp; MAT</v>
      </c>
      <c r="N24" s="343">
        <f>IFERROR(INDEX('Master Lookup'!$B$17:$B$36,MATCH(M24,'Master Lookup'!$A$17:$A$36,0)),0)</f>
        <v>8.2565377915774345</v>
      </c>
      <c r="P24" s="367">
        <f t="shared" si="8"/>
        <v>41282.688957887171</v>
      </c>
      <c r="R24" s="157" t="str">
        <f>IF(INDEX('Master Lookup'!$A$21:$A$37,A24)=0,"",INDEX('Master Lookup'!$A$21:$A$37,A24))</f>
        <v>SUP &amp; MAT</v>
      </c>
      <c r="S24" s="343">
        <f>IFERROR(INDEX('Master Lookup'!$B$17:$B$36,MATCH(R24,'Master Lookup'!$A$17:$A$36,0)),0)</f>
        <v>8.2565377915774345</v>
      </c>
      <c r="U24" s="367">
        <f t="shared" si="9"/>
        <v>41282.688957887171</v>
      </c>
      <c r="W24" s="157" t="str">
        <f>IF(INDEX('Master Lookup'!$A$21:$A$37,A24)=0,"",INDEX('Master Lookup'!$A$21:$A$37,A24))</f>
        <v>SUP &amp; MAT</v>
      </c>
      <c r="X24" s="343">
        <f>IFERROR(INDEX('Master Lookup'!$B$17:$B$36,MATCH(W24,'Master Lookup'!$A$17:$A$36,0)),0)</f>
        <v>8.2565377915774345</v>
      </c>
      <c r="Z24" s="367">
        <f t="shared" si="10"/>
        <v>41282.688957887171</v>
      </c>
      <c r="AB24" s="157" t="str">
        <f>IF(INDEX('Master Lookup'!$A$21:$A$37,A24)=0,"",INDEX('Master Lookup'!$A$21:$A$37,A24))</f>
        <v>SUP &amp; MAT</v>
      </c>
      <c r="AC24" s="343">
        <f>IFERROR(INDEX('Master Lookup'!$C$17:$C$36,MATCH(AB24,'Master Lookup'!$A$17:$A$36,0)),0)</f>
        <v>8.2565377915774345</v>
      </c>
      <c r="AE24" s="367">
        <f t="shared" si="11"/>
        <v>41282.688957887171</v>
      </c>
    </row>
    <row r="25" spans="3:31" x14ac:dyDescent="0.25">
      <c r="C25" s="157" t="str">
        <f>IF(INDEX('Master Lookup'!$A$21:$A$37,A25)=0,"",INDEX('Master Lookup'!$A$21:$A$37,A25))</f>
        <v>Community Activities</v>
      </c>
      <c r="D25" s="343">
        <f>IFERROR(INDEX('Master Lookup'!$B$17:$B$36,MATCH(C25,'Master Lookup'!$A$17:$A$36,0)),0)</f>
        <v>2.0148000000000001</v>
      </c>
      <c r="E25" s="352"/>
      <c r="F25" s="367">
        <f t="shared" si="6"/>
        <v>10074</v>
      </c>
      <c r="H25" s="157" t="str">
        <f>IF(INDEX('Master Lookup'!$A$21:$A$37,A25)=0,"",INDEX('Master Lookup'!$A$21:$A$37,A25))</f>
        <v>Community Activities</v>
      </c>
      <c r="I25" s="343">
        <f>IFERROR(INDEX('Master Lookup'!$B$17:$B$36,MATCH(H25,'Master Lookup'!$A$17:$A$36,0)),0)</f>
        <v>2.0148000000000001</v>
      </c>
      <c r="J25" s="352"/>
      <c r="K25" s="367">
        <f t="shared" si="7"/>
        <v>10074</v>
      </c>
      <c r="M25" s="157" t="str">
        <f>IF(INDEX('Master Lookup'!$A$21:$A$37,A25)=0,"",INDEX('Master Lookup'!$A$21:$A$37,A25))</f>
        <v>Community Activities</v>
      </c>
      <c r="N25" s="343">
        <f>IFERROR(INDEX('Master Lookup'!$B$17:$B$36,MATCH(M25,'Master Lookup'!$A$17:$A$36,0)),0)</f>
        <v>2.0148000000000001</v>
      </c>
      <c r="O25" s="352"/>
      <c r="P25" s="367">
        <f t="shared" si="8"/>
        <v>10074</v>
      </c>
      <c r="R25" s="157" t="str">
        <f>IF(INDEX('Master Lookup'!$A$21:$A$37,A25)=0,"",INDEX('Master Lookup'!$A$21:$A$37,A25))</f>
        <v>Community Activities</v>
      </c>
      <c r="S25" s="343">
        <f>IFERROR(INDEX('Master Lookup'!$B$17:$B$36,MATCH(R25,'Master Lookup'!$A$17:$A$36,0)),0)</f>
        <v>2.0148000000000001</v>
      </c>
      <c r="T25" s="353"/>
      <c r="U25" s="367">
        <f t="shared" si="9"/>
        <v>10074</v>
      </c>
      <c r="W25" s="157" t="str">
        <f>IF(INDEX('Master Lookup'!$A$21:$A$37,A25)=0,"",INDEX('Master Lookup'!$A$21:$A$37,A25))</f>
        <v>Community Activities</v>
      </c>
      <c r="X25" s="343">
        <f>IFERROR(INDEX('Master Lookup'!$B$17:$B$36,MATCH(W25,'Master Lookup'!$A$17:$A$36,0)),0)</f>
        <v>2.0148000000000001</v>
      </c>
      <c r="Y25" s="352"/>
      <c r="Z25" s="367">
        <f t="shared" si="10"/>
        <v>10074</v>
      </c>
      <c r="AB25" s="157" t="str">
        <f>IF(INDEX('Master Lookup'!$A$21:$A$37,A25)=0,"",INDEX('Master Lookup'!$A$21:$A$37,A25))</f>
        <v>Community Activities</v>
      </c>
      <c r="AC25" s="343">
        <f>IFERROR(INDEX('Master Lookup'!$C$17:$C$36,MATCH(AB25,'Master Lookup'!$A$17:$A$36,0)),0)</f>
        <v>3.0148000000000001</v>
      </c>
      <c r="AD25" s="352"/>
      <c r="AE25" s="367">
        <f t="shared" si="11"/>
        <v>15074</v>
      </c>
    </row>
    <row r="26" spans="3:31" ht="9" hidden="1" customHeight="1" x14ac:dyDescent="0.25">
      <c r="C26" s="157" t="str">
        <f>IF(INDEX('Master Lookup'!$A$21:$A$37,A26)=0,"",INDEX('Master Lookup'!$A$21:$A$37,A26))</f>
        <v/>
      </c>
      <c r="D26" s="343">
        <f>IFERROR(INDEX('Master Lookup'!$B$17:$B$36,MATCH(C26,'Master Lookup'!$A$17:$A$36,0)),0)</f>
        <v>0</v>
      </c>
      <c r="F26" s="367">
        <f t="shared" si="6"/>
        <v>0</v>
      </c>
      <c r="H26" s="157" t="str">
        <f>IF(INDEX('Master Lookup'!$A$21:$A$37,A26)=0,"",INDEX('Master Lookup'!$A$21:$A$37,A26))</f>
        <v/>
      </c>
      <c r="I26" s="343">
        <f>IFERROR(INDEX('Master Lookup'!$B$17:$B$36,MATCH(H26,'Master Lookup'!$A$17:$A$36,0)),0)</f>
        <v>0</v>
      </c>
      <c r="K26" s="367">
        <f t="shared" si="7"/>
        <v>0</v>
      </c>
      <c r="M26" s="157" t="str">
        <f>IF(INDEX('Master Lookup'!$A$21:$A$37,A26)=0,"",INDEX('Master Lookup'!$A$21:$A$37,A26))</f>
        <v/>
      </c>
      <c r="N26" s="343">
        <f>IFERROR(INDEX('Master Lookup'!$B$17:$B$36,MATCH(M26,'Master Lookup'!$A$17:$A$36,0)),0)</f>
        <v>0</v>
      </c>
      <c r="P26" s="367">
        <f t="shared" si="8"/>
        <v>0</v>
      </c>
      <c r="R26" s="157" t="str">
        <f>IF(INDEX('Master Lookup'!$A$21:$A$37,A26)=0,"",INDEX('Master Lookup'!$A$21:$A$37,A26))</f>
        <v/>
      </c>
      <c r="S26" s="343">
        <f>IFERROR(INDEX('Master Lookup'!$B$17:$B$36,MATCH(R26,'Master Lookup'!$A$17:$A$36,0)),0)</f>
        <v>0</v>
      </c>
      <c r="U26" s="367">
        <f t="shared" si="9"/>
        <v>0</v>
      </c>
      <c r="W26" s="157" t="str">
        <f>IF(INDEX('Master Lookup'!$A$21:$A$37,A26)=0,"",INDEX('Master Lookup'!$A$21:$A$37,A26))</f>
        <v/>
      </c>
      <c r="X26" s="343">
        <f>IFERROR(INDEX('Master Lookup'!$B$17:$B$36,MATCH(W26,'Master Lookup'!$A$17:$A$36,0)),0)</f>
        <v>0</v>
      </c>
      <c r="Z26" s="367">
        <f t="shared" si="10"/>
        <v>0</v>
      </c>
      <c r="AB26" s="157" t="str">
        <f>IF(INDEX('Master Lookup'!$A$21:$A$37,A26)=0,"",INDEX('Master Lookup'!$A$21:$A$37,A26))</f>
        <v/>
      </c>
      <c r="AC26" s="343">
        <f>IFERROR(INDEX('Master Lookup'!$C$17:$C$36,MATCH(AB26,'Master Lookup'!$A$17:$A$36,0)),0)</f>
        <v>0</v>
      </c>
      <c r="AE26" s="367">
        <f t="shared" si="11"/>
        <v>0</v>
      </c>
    </row>
    <row r="27" spans="3:31" x14ac:dyDescent="0.25">
      <c r="C27" s="157" t="str">
        <f>IF(INDEX('Master Lookup'!$A$21:$A$37,A27)=0,"",INDEX('Master Lookup'!$A$21:$A$37,A27))</f>
        <v>Technology</v>
      </c>
      <c r="D27" s="343">
        <f>IFERROR(INDEX('Master Lookup'!$G$17:$G$36,MATCH(C27,'Master Lookup'!$A$17:$A$36,0)),0)</f>
        <v>1.8</v>
      </c>
      <c r="F27" s="367">
        <f t="shared" si="6"/>
        <v>9000</v>
      </c>
      <c r="H27" s="157" t="str">
        <f>IF(INDEX('Master Lookup'!$A$21:$A$37,A27)=0,"",INDEX('Master Lookup'!$A$21:$A$37,A27))</f>
        <v>Technology</v>
      </c>
      <c r="I27" s="343">
        <f>IFERROR(INDEX('Master Lookup'!$C$17:$C$36,MATCH(H27,'Master Lookup'!$A$17:$A$36,0)),0)</f>
        <v>3.8</v>
      </c>
      <c r="K27" s="367">
        <f t="shared" si="7"/>
        <v>19000</v>
      </c>
      <c r="M27" s="157" t="str">
        <f>IF(INDEX('Master Lookup'!$A$21:$A$37,A27)=0,"",INDEX('Master Lookup'!$A$21:$A$37,A27))</f>
        <v>Technology</v>
      </c>
      <c r="N27" s="343">
        <f>IFERROR(INDEX('Master Lookup'!$D$17:$D$36,MATCH(M27,'Master Lookup'!$A$17:$A$36,0)),0)</f>
        <v>2.4</v>
      </c>
      <c r="P27" s="367">
        <f t="shared" si="8"/>
        <v>12000</v>
      </c>
      <c r="R27" s="157" t="str">
        <f>IF(INDEX('Master Lookup'!$A$21:$A$37,A27)=0,"",INDEX('Master Lookup'!$A$21:$A$37,A27))</f>
        <v>Technology</v>
      </c>
      <c r="S27" s="343">
        <f>IFERROR(INDEX('Master Lookup'!$E$17:$E$36,MATCH(R27,'Master Lookup'!$A$17:$A$36,0)),0)</f>
        <v>1.8</v>
      </c>
      <c r="U27" s="367">
        <f t="shared" si="9"/>
        <v>9000</v>
      </c>
      <c r="W27" s="157" t="str">
        <f>IF(INDEX('Master Lookup'!$A$21:$A$37,A27)=0,"",INDEX('Master Lookup'!$A$21:$A$37,A27))</f>
        <v>Technology</v>
      </c>
      <c r="X27" s="343">
        <f>IFERROR(INDEX('Master Lookup'!$F$17:$F$36,MATCH(W27,'Master Lookup'!$A$17:$A$36,0)),0)</f>
        <v>1.6</v>
      </c>
      <c r="Z27" s="367">
        <f t="shared" si="10"/>
        <v>8000</v>
      </c>
      <c r="AB27" s="157" t="str">
        <f>IF(INDEX('Master Lookup'!$A$21:$A$37,A27)=0,"",INDEX('Master Lookup'!$A$21:$A$37,A27))</f>
        <v>Technology</v>
      </c>
      <c r="AC27" s="343">
        <f>IFERROR(INDEX('Master Lookup'!$H$17:$H$36,MATCH(AB27,'Master Lookup'!$A$17:$A$36,0)),0)</f>
        <v>1.8</v>
      </c>
      <c r="AE27" s="367">
        <f t="shared" si="11"/>
        <v>9000</v>
      </c>
    </row>
    <row r="28" spans="3:31" x14ac:dyDescent="0.25">
      <c r="C28" s="157" t="str">
        <f>IF(INDEX('Master Lookup'!$A$21:$A$37,A28)=0,"",INDEX('Master Lookup'!$A$21:$A$37,A28))</f>
        <v>Transportation</v>
      </c>
      <c r="D28" s="343">
        <f>IFERROR(INDEX('Master Lookup'!$B$17:$B$36,MATCH(C28,'Master Lookup'!$A$17:$A$36,0)),0)</f>
        <v>10.085763552068773</v>
      </c>
      <c r="E28" s="353">
        <f>IFERROR(INDEX('Master Lookup'!$G$28:$G$28,MATCH(C28,'Master Lookup'!$A$28:$A$28,0)),0)</f>
        <v>1</v>
      </c>
      <c r="F28" s="367">
        <f>D28*E28*$F$3</f>
        <v>50428.817760343867</v>
      </c>
      <c r="H28" s="157" t="str">
        <f>IF(INDEX('Master Lookup'!$A$21:$A$37,A28)=0,"",INDEX('Master Lookup'!$A$21:$A$37,A28))</f>
        <v>Transportation</v>
      </c>
      <c r="I28" s="343">
        <f>IFERROR(INDEX('Master Lookup'!$B$17:$B$36,MATCH(H28,'Master Lookup'!$A$17:$A$36,0)),0)</f>
        <v>10.085763552068773</v>
      </c>
      <c r="J28" s="353">
        <f>IFERROR(INDEX('Master Lookup'!$C$28:$C$28,MATCH(H28,'Master Lookup'!$A$28:$A$28,0)),0)</f>
        <v>1</v>
      </c>
      <c r="K28" s="367">
        <f>I28*J28*$F$3</f>
        <v>50428.817760343867</v>
      </c>
      <c r="M28" s="157" t="str">
        <f>IF(INDEX('Master Lookup'!$A$21:$A$37,A28)=0,"",INDEX('Master Lookup'!$A$21:$A$37,A28))</f>
        <v>Transportation</v>
      </c>
      <c r="N28" s="343">
        <f>IFERROR(INDEX('Master Lookup'!$B$17:$B$36,MATCH(M28,'Master Lookup'!$A$17:$A$36,0)),0)</f>
        <v>10.085763552068773</v>
      </c>
      <c r="O28" s="353">
        <f>IFERROR(INDEX('Master Lookup'!$D$28:$D$28,MATCH(M28,'Master Lookup'!$A$28:$A$28,0)),0)</f>
        <v>1</v>
      </c>
      <c r="P28" s="367">
        <f>N28*O28*$F$3</f>
        <v>50428.817760343867</v>
      </c>
      <c r="R28" s="157" t="str">
        <f>IF(INDEX('Master Lookup'!$A$21:$A$37,A28)=0,"",INDEX('Master Lookup'!$A$21:$A$37,A28))</f>
        <v>Transportation</v>
      </c>
      <c r="S28" s="343">
        <f>IFERROR(INDEX('Master Lookup'!$B$17:$B$36,MATCH(R28,'Master Lookup'!$A$17:$A$36,0)),0)</f>
        <v>10.085763552068773</v>
      </c>
      <c r="T28" s="353">
        <f>IFERROR(INDEX('Master Lookup'!$E$28:$E$28,MATCH(R28,'Master Lookup'!$A$28:$A$28,0)),0)</f>
        <v>0.8</v>
      </c>
      <c r="U28" s="367">
        <f>S28*T28*$F$3</f>
        <v>40343.054208275098</v>
      </c>
      <c r="W28" s="157" t="str">
        <f>IF(INDEX('Master Lookup'!$A$21:$A$37,A28)=0,"",INDEX('Master Lookup'!$A$21:$A$37,A28))</f>
        <v>Transportation</v>
      </c>
      <c r="X28" s="343">
        <f>IFERROR(INDEX('Master Lookup'!$B$17:$B$36,MATCH(W28,'Master Lookup'!$A$17:$A$36,0)),0)</f>
        <v>10.085763552068773</v>
      </c>
      <c r="Y28" s="353">
        <f>IFERROR(INDEX('Master Lookup'!$F$28:$F$28,MATCH(W28,'Master Lookup'!$A$28:$A$28,0)),0)</f>
        <v>0.8</v>
      </c>
      <c r="Z28" s="367">
        <f>X28*Y28*$F$3</f>
        <v>40343.054208275098</v>
      </c>
      <c r="AB28" s="157" t="str">
        <f>IF(INDEX('Master Lookup'!$A$21:$A$37,A28)=0,"",INDEX('Master Lookup'!$A$21:$A$37,A28))</f>
        <v>Transportation</v>
      </c>
      <c r="AC28" s="343">
        <f>IFERROR(INDEX('Master Lookup'!$B$17:$B$36,MATCH(AB28,'Master Lookup'!$A$17:$A$36,0)),0)</f>
        <v>10.085763552068773</v>
      </c>
      <c r="AD28" s="353">
        <f>IFERROR(INDEX('Master Lookup'!$H$28:$H$28,MATCH(AB28,'Master Lookup'!$A$28:$A$28,0)),0)</f>
        <v>2.4</v>
      </c>
      <c r="AE28" s="367">
        <f>AC28*AD28*$F$3</f>
        <v>121029.16262482527</v>
      </c>
    </row>
    <row r="29" spans="3:31" x14ac:dyDescent="0.25">
      <c r="C29" s="157" t="s">
        <v>100</v>
      </c>
      <c r="D29" s="343">
        <f>'Master Lookup'!B29</f>
        <v>158.95121951219511</v>
      </c>
      <c r="F29" s="367">
        <f>(E15-2)*D29</f>
        <v>1931.2573170731707</v>
      </c>
      <c r="H29" s="157" t="s">
        <v>100</v>
      </c>
      <c r="I29" s="343">
        <f>D29</f>
        <v>158.95121951219511</v>
      </c>
      <c r="K29" s="367">
        <f>(J15-2.65)*I29</f>
        <v>3454.0099999999998</v>
      </c>
      <c r="M29" s="157" t="s">
        <v>100</v>
      </c>
      <c r="N29" s="343">
        <f>D29</f>
        <v>158.95121951219511</v>
      </c>
      <c r="P29" s="367">
        <f>(O15-1.5)*N29</f>
        <v>1748.4634146341461</v>
      </c>
      <c r="R29" s="157" t="s">
        <v>100</v>
      </c>
      <c r="S29" s="343">
        <f>D29</f>
        <v>158.95121951219511</v>
      </c>
      <c r="U29" s="367">
        <f>(T15-1.3)*S29</f>
        <v>1079.2787804878049</v>
      </c>
      <c r="W29" s="157" t="s">
        <v>100</v>
      </c>
      <c r="X29" s="343">
        <f>D29</f>
        <v>158.95121951219511</v>
      </c>
      <c r="Z29" s="367">
        <f>(Y15-1)*X29</f>
        <v>886.94780487804871</v>
      </c>
      <c r="AB29" s="157" t="s">
        <v>100</v>
      </c>
      <c r="AC29" s="343">
        <f>D29</f>
        <v>158.95121951219511</v>
      </c>
      <c r="AE29" s="367">
        <f>(AD15-1.5)*AC29</f>
        <v>1079.2787804878046</v>
      </c>
    </row>
    <row r="30" spans="3:31" hidden="1" x14ac:dyDescent="0.25">
      <c r="C30" s="157" t="str">
        <f>IF(INDEX('Master Lookup'!$A$21:$A$37,A30)=0,"",INDEX('Master Lookup'!$A$21:$A$37,A30))</f>
        <v/>
      </c>
      <c r="D30" s="343">
        <f>IFERROR(INDEX('Master Lookup'!$B$17:$B$36,MATCH(C30,'Master Lookup'!$A$17:$A$36,0)),0)</f>
        <v>0</v>
      </c>
      <c r="F30" s="367">
        <f t="shared" ref="F30:F34" si="12">D30*$F$3</f>
        <v>0</v>
      </c>
      <c r="H30" s="157" t="str">
        <f>IF(INDEX('Master Lookup'!$A$21:$A$37,A30)=0,"",INDEX('Master Lookup'!$A$21:$A$37,A30))</f>
        <v/>
      </c>
      <c r="I30" s="343">
        <f>IFERROR(INDEX('Master Lookup'!$B$17:$B$36,MATCH(H30,'Master Lookup'!$A$17:$A$36,0)),0)</f>
        <v>0</v>
      </c>
      <c r="K30" s="367">
        <f t="shared" ref="K30:K34" si="13">I30*$F$3</f>
        <v>0</v>
      </c>
      <c r="M30" s="157" t="str">
        <f>IF(INDEX('Master Lookup'!$A$21:$A$37,A30)=0,"",INDEX('Master Lookup'!$A$21:$A$37,A30))</f>
        <v/>
      </c>
      <c r="N30" s="343">
        <f>IFERROR(INDEX('Master Lookup'!$B$17:$B$36,MATCH(M30,'Master Lookup'!$A$17:$A$36,0)),0)</f>
        <v>0</v>
      </c>
      <c r="P30" s="367">
        <f t="shared" ref="P30:P34" si="14">N30*$F$3</f>
        <v>0</v>
      </c>
      <c r="R30" s="157" t="str">
        <f>IF(INDEX('Master Lookup'!$A$21:$A$37,A30)=0,"",INDEX('Master Lookup'!$A$21:$A$37,A30))</f>
        <v/>
      </c>
      <c r="S30" s="343">
        <f>IFERROR(INDEX('Master Lookup'!$B$17:$B$36,MATCH(R30,'Master Lookup'!$A$17:$A$36,0)),0)</f>
        <v>0</v>
      </c>
      <c r="U30" s="367">
        <f t="shared" ref="U30:U34" si="15">S30*$F$3</f>
        <v>0</v>
      </c>
      <c r="W30" s="157" t="str">
        <f>IF(INDEX('Master Lookup'!$A$21:$A$37,A30)=0,"",INDEX('Master Lookup'!$A$21:$A$37,A30))</f>
        <v/>
      </c>
      <c r="X30" s="343">
        <f>IFERROR(INDEX('Master Lookup'!$B$17:$B$36,MATCH(W30,'Master Lookup'!$A$17:$A$36,0)),0)</f>
        <v>0</v>
      </c>
      <c r="Z30" s="367">
        <f t="shared" ref="Z30:Z34" si="16">X30*$F$3</f>
        <v>0</v>
      </c>
      <c r="AB30" s="157" t="str">
        <f>IF(INDEX('Master Lookup'!$A$21:$A$37,A30)=0,"",INDEX('Master Lookup'!$A$21:$A$37,A30))</f>
        <v/>
      </c>
      <c r="AC30" s="343">
        <f>IFERROR(INDEX('Master Lookup'!$C$17:$C$36,MATCH(AB30,'Master Lookup'!$A$17:$A$36,0)),0)</f>
        <v>0</v>
      </c>
      <c r="AE30" s="367">
        <f t="shared" ref="AE30:AE34" si="17">AC30*$F$3</f>
        <v>0</v>
      </c>
    </row>
    <row r="31" spans="3:31" hidden="1" x14ac:dyDescent="0.25">
      <c r="C31" s="157" t="str">
        <f>IF(INDEX('Master Lookup'!$A$21:$A$37,A31)=0,"",INDEX('Master Lookup'!$A$21:$A$37,A31))</f>
        <v/>
      </c>
      <c r="D31" s="343">
        <f>IFERROR(INDEX('Master Lookup'!$B$17:$B$36,MATCH(C31,'Master Lookup'!$A$17:$A$36,0)),0)</f>
        <v>0</v>
      </c>
      <c r="F31" s="367">
        <f t="shared" si="12"/>
        <v>0</v>
      </c>
      <c r="H31" s="157" t="str">
        <f>IF(INDEX('Master Lookup'!$A$21:$A$37,A31)=0,"",INDEX('Master Lookup'!$A$21:$A$37,A31))</f>
        <v/>
      </c>
      <c r="I31" s="343">
        <f>IFERROR(INDEX('Master Lookup'!$B$17:$B$36,MATCH(H31,'Master Lookup'!$A$17:$A$36,0)),0)</f>
        <v>0</v>
      </c>
      <c r="K31" s="367">
        <f t="shared" si="13"/>
        <v>0</v>
      </c>
      <c r="M31" s="157" t="str">
        <f>IF(INDEX('Master Lookup'!$A$21:$A$37,A31)=0,"",INDEX('Master Lookup'!$A$21:$A$37,A31))</f>
        <v/>
      </c>
      <c r="N31" s="343">
        <f>IFERROR(INDEX('Master Lookup'!$B$17:$B$36,MATCH(M31,'Master Lookup'!$A$17:$A$36,0)),0)</f>
        <v>0</v>
      </c>
      <c r="P31" s="367">
        <f t="shared" si="14"/>
        <v>0</v>
      </c>
      <c r="R31" s="157" t="str">
        <f>IF(INDEX('Master Lookup'!$A$21:$A$37,A31)=0,"",INDEX('Master Lookup'!$A$21:$A$37,A31))</f>
        <v/>
      </c>
      <c r="S31" s="343">
        <f>IFERROR(INDEX('Master Lookup'!$B$17:$B$36,MATCH(R31,'Master Lookup'!$A$17:$A$36,0)),0)</f>
        <v>0</v>
      </c>
      <c r="U31" s="367">
        <f t="shared" si="15"/>
        <v>0</v>
      </c>
      <c r="W31" s="157" t="str">
        <f>IF(INDEX('Master Lookup'!$A$21:$A$37,A31)=0,"",INDEX('Master Lookup'!$A$21:$A$37,A31))</f>
        <v/>
      </c>
      <c r="X31" s="343">
        <f>IFERROR(INDEX('Master Lookup'!$B$17:$B$36,MATCH(W31,'Master Lookup'!$A$17:$A$36,0)),0)</f>
        <v>0</v>
      </c>
      <c r="Z31" s="367">
        <f t="shared" si="16"/>
        <v>0</v>
      </c>
      <c r="AB31" s="157" t="str">
        <f>IF(INDEX('Master Lookup'!$A$21:$A$37,A31)=0,"",INDEX('Master Lookup'!$A$21:$A$37,A31))</f>
        <v/>
      </c>
      <c r="AC31" s="343">
        <f>IFERROR(INDEX('Master Lookup'!$C$17:$C$36,MATCH(AB31,'Master Lookup'!$A$17:$A$36,0)),0)</f>
        <v>0</v>
      </c>
      <c r="AE31" s="367">
        <f t="shared" si="17"/>
        <v>0</v>
      </c>
    </row>
    <row r="32" spans="3:31" hidden="1" x14ac:dyDescent="0.25">
      <c r="C32" s="157" t="str">
        <f>IF(INDEX('Master Lookup'!$A$21:$A$37,A32)=0,"",INDEX('Master Lookup'!$A$21:$A$37,A32))</f>
        <v/>
      </c>
      <c r="D32" s="343">
        <f>IFERROR(INDEX('Master Lookup'!$B$17:$B$36,MATCH(C32,'Master Lookup'!$A$17:$A$36,0)),0)</f>
        <v>0</v>
      </c>
      <c r="F32" s="367">
        <f t="shared" si="12"/>
        <v>0</v>
      </c>
      <c r="H32" s="157" t="str">
        <f>IF(INDEX('Master Lookup'!$A$21:$A$37,A32)=0,"",INDEX('Master Lookup'!$A$21:$A$37,A32))</f>
        <v/>
      </c>
      <c r="I32" s="343">
        <f>IFERROR(INDEX('Master Lookup'!$B$17:$B$36,MATCH(H32,'Master Lookup'!$A$17:$A$36,0)),0)</f>
        <v>0</v>
      </c>
      <c r="K32" s="367">
        <f t="shared" si="13"/>
        <v>0</v>
      </c>
      <c r="M32" s="157" t="str">
        <f>IF(INDEX('Master Lookup'!$A$21:$A$37,A32)=0,"",INDEX('Master Lookup'!$A$21:$A$37,A32))</f>
        <v/>
      </c>
      <c r="N32" s="343">
        <f>IFERROR(INDEX('Master Lookup'!$B$17:$B$36,MATCH(M32,'Master Lookup'!$A$17:$A$36,0)),0)</f>
        <v>0</v>
      </c>
      <c r="P32" s="367">
        <f t="shared" si="14"/>
        <v>0</v>
      </c>
      <c r="R32" s="157" t="str">
        <f>IF(INDEX('Master Lookup'!$A$21:$A$37,A32)=0,"",INDEX('Master Lookup'!$A$21:$A$37,A32))</f>
        <v/>
      </c>
      <c r="S32" s="343">
        <f>IFERROR(INDEX('Master Lookup'!$B$17:$B$36,MATCH(R32,'Master Lookup'!$A$17:$A$36,0)),0)</f>
        <v>0</v>
      </c>
      <c r="U32" s="367">
        <f t="shared" si="15"/>
        <v>0</v>
      </c>
      <c r="W32" s="157" t="str">
        <f>IF(INDEX('Master Lookup'!$A$21:$A$37,A32)=0,"",INDEX('Master Lookup'!$A$21:$A$37,A32))</f>
        <v/>
      </c>
      <c r="X32" s="343">
        <f>IFERROR(INDEX('Master Lookup'!$B$17:$B$36,MATCH(W32,'Master Lookup'!$A$17:$A$36,0)),0)</f>
        <v>0</v>
      </c>
      <c r="Z32" s="367">
        <f t="shared" si="16"/>
        <v>0</v>
      </c>
      <c r="AB32" s="157" t="str">
        <f>IF(INDEX('Master Lookup'!$A$21:$A$37,A32)=0,"",INDEX('Master Lookup'!$A$21:$A$37,A32))</f>
        <v/>
      </c>
      <c r="AC32" s="343">
        <f>IFERROR(INDEX('Master Lookup'!$C$17:$C$36,MATCH(AB32,'Master Lookup'!$A$17:$A$36,0)),0)</f>
        <v>0</v>
      </c>
      <c r="AE32" s="367">
        <f t="shared" si="17"/>
        <v>0</v>
      </c>
    </row>
    <row r="33" spans="3:31" hidden="1" x14ac:dyDescent="0.25">
      <c r="C33" s="157" t="str">
        <f>IF(INDEX('Master Lookup'!$A$21:$A$37,A33)=0,"",INDEX('Master Lookup'!$A$21:$A$37,A33))</f>
        <v/>
      </c>
      <c r="D33" s="343">
        <f>IFERROR(INDEX('Master Lookup'!$B$17:$B$36,MATCH(C33,'Master Lookup'!$A$17:$A$36,0)),0)</f>
        <v>0</v>
      </c>
      <c r="F33" s="367">
        <f t="shared" si="12"/>
        <v>0</v>
      </c>
      <c r="H33" s="157" t="str">
        <f>IF(INDEX('Master Lookup'!$A$21:$A$37,A33)=0,"",INDEX('Master Lookup'!$A$21:$A$37,A33))</f>
        <v/>
      </c>
      <c r="I33" s="343">
        <f>IFERROR(INDEX('Master Lookup'!$B$17:$B$36,MATCH(H33,'Master Lookup'!$A$17:$A$36,0)),0)</f>
        <v>0</v>
      </c>
      <c r="K33" s="367">
        <f t="shared" si="13"/>
        <v>0</v>
      </c>
      <c r="M33" s="157" t="str">
        <f>IF(INDEX('Master Lookup'!$A$21:$A$37,A33)=0,"",INDEX('Master Lookup'!$A$21:$A$37,A33))</f>
        <v/>
      </c>
      <c r="N33" s="343">
        <f>IFERROR(INDEX('Master Lookup'!$B$17:$B$36,MATCH(M33,'Master Lookup'!$A$17:$A$36,0)),0)</f>
        <v>0</v>
      </c>
      <c r="P33" s="367">
        <f t="shared" si="14"/>
        <v>0</v>
      </c>
      <c r="R33" s="157" t="str">
        <f>IF(INDEX('Master Lookup'!$A$21:$A$37,A33)=0,"",INDEX('Master Lookup'!$A$21:$A$37,A33))</f>
        <v/>
      </c>
      <c r="S33" s="343">
        <f>IFERROR(INDEX('Master Lookup'!$B$17:$B$36,MATCH(R33,'Master Lookup'!$A$17:$A$36,0)),0)</f>
        <v>0</v>
      </c>
      <c r="U33" s="367">
        <f t="shared" si="15"/>
        <v>0</v>
      </c>
      <c r="W33" s="157" t="str">
        <f>IF(INDEX('Master Lookup'!$A$21:$A$37,A33)=0,"",INDEX('Master Lookup'!$A$21:$A$37,A33))</f>
        <v/>
      </c>
      <c r="X33" s="343">
        <f>IFERROR(INDEX('Master Lookup'!$B$17:$B$36,MATCH(W33,'Master Lookup'!$A$17:$A$36,0)),0)</f>
        <v>0</v>
      </c>
      <c r="Z33" s="367">
        <f t="shared" si="16"/>
        <v>0</v>
      </c>
      <c r="AB33" s="157" t="str">
        <f>IF(INDEX('Master Lookup'!$A$21:$A$37,A33)=0,"",INDEX('Master Lookup'!$A$21:$A$37,A33))</f>
        <v/>
      </c>
      <c r="AC33" s="343">
        <f>IFERROR(INDEX('Master Lookup'!$C$17:$C$36,MATCH(AB33,'Master Lookup'!$A$17:$A$36,0)),0)</f>
        <v>0</v>
      </c>
      <c r="AE33" s="367">
        <f t="shared" si="17"/>
        <v>0</v>
      </c>
    </row>
    <row r="34" spans="3:31" hidden="1" x14ac:dyDescent="0.25">
      <c r="C34" s="157" t="str">
        <f>IF(INDEX('Master Lookup'!$A$21:$A$37,A34)=0,"",INDEX('Master Lookup'!$A$21:$A$37,A34))</f>
        <v/>
      </c>
      <c r="D34" s="343">
        <f>IFERROR(INDEX('Master Lookup'!$B$17:$B$36,MATCH(C34,'Master Lookup'!$A$17:$A$36,0)),0)</f>
        <v>0</v>
      </c>
      <c r="F34" s="367">
        <f t="shared" si="12"/>
        <v>0</v>
      </c>
      <c r="H34" s="157" t="str">
        <f>IF(INDEX('Master Lookup'!$A$21:$A$37,A34)=0,"",INDEX('Master Lookup'!$A$21:$A$37,A34))</f>
        <v/>
      </c>
      <c r="I34" s="343">
        <f>IFERROR(INDEX('Master Lookup'!$B$17:$B$36,MATCH(H34,'Master Lookup'!$A$17:$A$36,0)),0)</f>
        <v>0</v>
      </c>
      <c r="K34" s="367">
        <f t="shared" si="13"/>
        <v>0</v>
      </c>
      <c r="M34" s="157" t="str">
        <f>IF(INDEX('Master Lookup'!$A$21:$A$37,A34)=0,"",INDEX('Master Lookup'!$A$21:$A$37,A34))</f>
        <v/>
      </c>
      <c r="N34" s="343">
        <f>IFERROR(INDEX('Master Lookup'!$B$17:$B$36,MATCH(M34,'Master Lookup'!$A$17:$A$36,0)),0)</f>
        <v>0</v>
      </c>
      <c r="P34" s="367">
        <f t="shared" si="14"/>
        <v>0</v>
      </c>
      <c r="R34" s="157" t="str">
        <f>IF(INDEX('Master Lookup'!$A$21:$A$37,A34)=0,"",INDEX('Master Lookup'!$A$21:$A$37,A34))</f>
        <v/>
      </c>
      <c r="S34" s="343">
        <f>IFERROR(INDEX('Master Lookup'!$B$17:$B$36,MATCH(R34,'Master Lookup'!$A$17:$A$36,0)),0)</f>
        <v>0</v>
      </c>
      <c r="U34" s="367">
        <f t="shared" si="15"/>
        <v>0</v>
      </c>
      <c r="W34" s="157" t="str">
        <f>IF(INDEX('Master Lookup'!$A$21:$A$37,A34)=0,"",INDEX('Master Lookup'!$A$21:$A$37,A34))</f>
        <v/>
      </c>
      <c r="X34" s="343">
        <f>IFERROR(INDEX('Master Lookup'!$B$17:$B$36,MATCH(W34,'Master Lookup'!$A$17:$A$36,0)),0)</f>
        <v>0</v>
      </c>
      <c r="Z34" s="367">
        <f t="shared" si="16"/>
        <v>0</v>
      </c>
      <c r="AB34" s="157" t="str">
        <f>IF(INDEX('Master Lookup'!$A$21:$A$37,A34)=0,"",INDEX('Master Lookup'!$A$21:$A$37,A34))</f>
        <v/>
      </c>
      <c r="AC34" s="343">
        <f>IFERROR(INDEX('Master Lookup'!$C$17:$C$36,MATCH(AB34,'Master Lookup'!$A$17:$A$36,0)),0)</f>
        <v>0</v>
      </c>
      <c r="AE34" s="367">
        <f t="shared" si="17"/>
        <v>0</v>
      </c>
    </row>
    <row r="35" spans="3:31" x14ac:dyDescent="0.25">
      <c r="C35" s="348" t="s">
        <v>101</v>
      </c>
      <c r="D35" s="131"/>
      <c r="E35" s="131"/>
      <c r="F35" s="366">
        <f>SUM(F21:F29)</f>
        <v>190375.34613117439</v>
      </c>
      <c r="H35" s="348" t="s">
        <v>101</v>
      </c>
      <c r="I35" s="131"/>
      <c r="J35" s="131"/>
      <c r="K35" s="366">
        <f>SUM(K21:K34)</f>
        <v>201898.09881410122</v>
      </c>
      <c r="M35" s="348" t="s">
        <v>101</v>
      </c>
      <c r="N35" s="131"/>
      <c r="O35" s="131"/>
      <c r="P35" s="366">
        <f>SUM(P21:P34)</f>
        <v>193192.55222873535</v>
      </c>
      <c r="R35" s="348" t="s">
        <v>101</v>
      </c>
      <c r="S35" s="131"/>
      <c r="T35" s="131"/>
      <c r="U35" s="366">
        <f>SUM(U21:U34)</f>
        <v>179437.60404252025</v>
      </c>
      <c r="W35" s="348" t="s">
        <v>101</v>
      </c>
      <c r="X35" s="131"/>
      <c r="Y35" s="131"/>
      <c r="Z35" s="366">
        <f>SUM(Z21:Z34)</f>
        <v>178245.27306691051</v>
      </c>
      <c r="AB35" s="348" t="s">
        <v>101</v>
      </c>
      <c r="AC35" s="131"/>
      <c r="AD35" s="131"/>
      <c r="AE35" s="366">
        <f>SUM(AE21:AE34)</f>
        <v>213848.98102121032</v>
      </c>
    </row>
    <row r="36" spans="3:31" ht="1.5" customHeight="1" x14ac:dyDescent="0.25">
      <c r="C36" s="349"/>
      <c r="F36" s="368"/>
      <c r="H36" s="349"/>
      <c r="K36" s="368"/>
      <c r="M36" s="349"/>
      <c r="P36" s="368"/>
      <c r="R36" s="349"/>
      <c r="U36" s="368"/>
      <c r="W36" s="349"/>
      <c r="Z36" s="368"/>
      <c r="AB36" s="349"/>
      <c r="AE36" s="368"/>
    </row>
    <row r="37" spans="3:31" ht="4.5" hidden="1" customHeight="1" x14ac:dyDescent="0.25">
      <c r="C37" s="157"/>
      <c r="F37" s="345"/>
      <c r="H37" s="157"/>
      <c r="K37" s="345"/>
      <c r="M37" s="157"/>
      <c r="P37" s="345"/>
      <c r="R37" s="157"/>
      <c r="U37" s="345"/>
      <c r="W37" s="157"/>
      <c r="Z37" s="345"/>
      <c r="AB37" s="157"/>
      <c r="AE37" s="345"/>
    </row>
    <row r="38" spans="3:31" ht="15.75" thickBot="1" x14ac:dyDescent="0.3">
      <c r="C38" s="354" t="s">
        <v>102</v>
      </c>
      <c r="D38" s="132"/>
      <c r="E38" s="132"/>
      <c r="F38" s="369">
        <f>SUM(F18,F35)</f>
        <v>1211037.1409683293</v>
      </c>
      <c r="H38" s="354" t="s">
        <v>102</v>
      </c>
      <c r="I38" s="132"/>
      <c r="J38" s="132"/>
      <c r="K38" s="369">
        <f>SUM(K18,K35)</f>
        <v>1608422.4255407285</v>
      </c>
      <c r="M38" s="354" t="s">
        <v>102</v>
      </c>
      <c r="N38" s="132"/>
      <c r="O38" s="132"/>
      <c r="P38" s="369">
        <f>SUM(P18,P35)</f>
        <v>921380.79195082374</v>
      </c>
      <c r="R38" s="354" t="s">
        <v>102</v>
      </c>
      <c r="S38" s="132"/>
      <c r="T38" s="132"/>
      <c r="U38" s="369">
        <f>SUM(U18,U35)</f>
        <v>656643.13138914329</v>
      </c>
      <c r="W38" s="354" t="s">
        <v>102</v>
      </c>
      <c r="X38" s="132"/>
      <c r="Y38" s="132"/>
      <c r="Z38" s="369">
        <f>SUM(Z18,Z35)</f>
        <v>562474.22633352748</v>
      </c>
      <c r="AB38" s="354" t="s">
        <v>102</v>
      </c>
      <c r="AC38" s="132"/>
      <c r="AD38" s="132"/>
      <c r="AE38" s="369">
        <f>SUM(AE18,AE35)</f>
        <v>746892.5315435892</v>
      </c>
    </row>
    <row r="39" spans="3:31" ht="15.75" thickBot="1" x14ac:dyDescent="0.3">
      <c r="C39" s="157"/>
      <c r="F39" s="156"/>
      <c r="H39" s="157"/>
      <c r="K39" s="345"/>
      <c r="M39" s="157"/>
      <c r="P39" s="156"/>
      <c r="R39" s="157"/>
      <c r="U39" s="156"/>
      <c r="W39" s="157"/>
      <c r="Z39" s="156"/>
      <c r="AB39" s="157"/>
      <c r="AE39" s="156"/>
    </row>
    <row r="40" spans="3:31" ht="15.75" thickBot="1" x14ac:dyDescent="0.3">
      <c r="C40" s="372" t="s">
        <v>103</v>
      </c>
      <c r="D40" s="373"/>
      <c r="E40" s="373"/>
      <c r="F40" s="374"/>
      <c r="H40" s="372" t="s">
        <v>103</v>
      </c>
      <c r="I40" s="373"/>
      <c r="J40" s="373"/>
      <c r="K40" s="374"/>
      <c r="M40" s="372" t="s">
        <v>103</v>
      </c>
      <c r="N40" s="373"/>
      <c r="O40" s="373"/>
      <c r="P40" s="374"/>
      <c r="R40" s="372" t="s">
        <v>103</v>
      </c>
      <c r="S40" s="373"/>
      <c r="T40" s="373"/>
      <c r="U40" s="374"/>
      <c r="W40" s="372" t="s">
        <v>103</v>
      </c>
      <c r="X40" s="373"/>
      <c r="Y40" s="373"/>
      <c r="Z40" s="374"/>
      <c r="AB40" s="372" t="s">
        <v>103</v>
      </c>
      <c r="AC40" s="373"/>
      <c r="AD40" s="373"/>
      <c r="AE40" s="374"/>
    </row>
    <row r="41" spans="3:31" ht="2.1" customHeight="1" x14ac:dyDescent="0.25">
      <c r="C41" s="157"/>
      <c r="F41" s="156"/>
      <c r="H41" s="157"/>
      <c r="K41" s="156"/>
      <c r="M41" s="157"/>
      <c r="P41" s="156"/>
      <c r="R41" s="157"/>
      <c r="U41" s="156"/>
      <c r="W41" s="157"/>
      <c r="Z41" s="156"/>
      <c r="AB41" s="157"/>
      <c r="AE41" s="156"/>
    </row>
    <row r="42" spans="3:31" ht="6" hidden="1" customHeight="1" x14ac:dyDescent="0.25">
      <c r="C42" s="157"/>
      <c r="D42" s="355"/>
      <c r="F42" s="356"/>
      <c r="H42" s="157"/>
      <c r="I42" s="355"/>
      <c r="K42" s="356"/>
      <c r="M42" s="157"/>
      <c r="N42" s="355"/>
      <c r="P42" s="356"/>
      <c r="R42" s="157"/>
      <c r="S42" s="355"/>
      <c r="U42" s="356"/>
      <c r="W42" s="157"/>
      <c r="X42" s="355"/>
      <c r="Z42" s="356"/>
      <c r="AB42" s="157"/>
      <c r="AC42" s="355"/>
      <c r="AE42" s="356"/>
    </row>
    <row r="43" spans="3:31" x14ac:dyDescent="0.25">
      <c r="C43" s="157" t="s">
        <v>77</v>
      </c>
      <c r="D43" s="355">
        <f>INDEX('Master Lookup'!$B$38:$B$39,MATCH(C43,'Master Lookup'!$A$38:$A$39,0))</f>
        <v>0.12</v>
      </c>
      <c r="F43" s="345">
        <f>(F38-F16)*D43</f>
        <v>142682.43518835949</v>
      </c>
      <c r="H43" s="157" t="s">
        <v>77</v>
      </c>
      <c r="I43" s="355">
        <f>INDEX('Master Lookup'!$B$38:$B$39,MATCH(H43,'Master Lookup'!$A$38:$A$39,0))</f>
        <v>0.12</v>
      </c>
      <c r="K43" s="345">
        <f>(K38-K16)*I43</f>
        <v>189369.84955328741</v>
      </c>
      <c r="M43" s="157" t="s">
        <v>77</v>
      </c>
      <c r="N43" s="355">
        <f>INDEX('Master Lookup'!$B$38:$B$39,MATCH(M43,'Master Lookup'!$A$38:$A$39,0))</f>
        <v>0.12</v>
      </c>
      <c r="P43" s="345">
        <f>(P38-P16)*N43</f>
        <v>108680.75218521885</v>
      </c>
      <c r="R43" s="157" t="s">
        <v>77</v>
      </c>
      <c r="S43" s="355">
        <f>INDEX('Master Lookup'!$B$38:$B$39,MATCH(R43,'Master Lookup'!$A$38:$A$39,0))</f>
        <v>0.12</v>
      </c>
      <c r="U43" s="345">
        <f>(U38-U16)*S43</f>
        <v>77561.911178297203</v>
      </c>
      <c r="W43" s="157" t="s">
        <v>77</v>
      </c>
      <c r="X43" s="355">
        <f>INDEX('Master Lookup'!$B$38:$B$39,MATCH(W43,'Master Lookup'!$A$38:$A$39,0))</f>
        <v>0.12</v>
      </c>
      <c r="Z43" s="345">
        <f>(Z38-Z16)*X43</f>
        <v>66502.315956423292</v>
      </c>
      <c r="AB43" s="157" t="s">
        <v>77</v>
      </c>
      <c r="AC43" s="355">
        <f>INDEX('Master Lookup'!$B$38:$B$39,MATCH(AB43,'Master Lookup'!$A$38:$A$39,0))</f>
        <v>0.12</v>
      </c>
      <c r="AE43" s="345">
        <f>(AE38-AE16)*AC43</f>
        <v>88247.300358190711</v>
      </c>
    </row>
    <row r="44" spans="3:31" x14ac:dyDescent="0.25">
      <c r="C44" s="286" t="s">
        <v>104</v>
      </c>
      <c r="D44" s="355">
        <f>'Master Lookup'!B39</f>
        <v>2.7799999999999998E-2</v>
      </c>
      <c r="E44" s="84"/>
      <c r="F44" s="365">
        <f>SUM(F21:F29)*D44</f>
        <v>5292.4346224466481</v>
      </c>
      <c r="H44" s="286" t="s">
        <v>104</v>
      </c>
      <c r="I44" s="355">
        <f>'Master Lookup'!B39</f>
        <v>2.7799999999999998E-2</v>
      </c>
      <c r="J44" s="84"/>
      <c r="K44" s="365">
        <f>SUM(K21:K29)*I44</f>
        <v>5612.7671470320138</v>
      </c>
      <c r="M44" s="286" t="s">
        <v>104</v>
      </c>
      <c r="N44" s="355">
        <f>'Master Lookup'!B39</f>
        <v>2.7799999999999998E-2</v>
      </c>
      <c r="O44" s="84"/>
      <c r="P44" s="365">
        <f>SUM(P21:P29)*N44</f>
        <v>5370.7529519588425</v>
      </c>
      <c r="R44" s="286" t="s">
        <v>104</v>
      </c>
      <c r="S44" s="355">
        <f>'Master Lookup'!B39</f>
        <v>2.7799999999999998E-2</v>
      </c>
      <c r="T44" s="84"/>
      <c r="U44" s="365">
        <f>SUM(U21:U29)*S44</f>
        <v>4988.365392382063</v>
      </c>
      <c r="W44" s="286" t="s">
        <v>104</v>
      </c>
      <c r="X44" s="355">
        <f>'Master Lookup'!B39</f>
        <v>2.7799999999999998E-2</v>
      </c>
      <c r="Y44" s="84"/>
      <c r="Z44" s="365">
        <f>SUM(Z21:Z29)*X44</f>
        <v>4955.2185912601117</v>
      </c>
      <c r="AB44" s="286" t="s">
        <v>104</v>
      </c>
      <c r="AC44" s="355">
        <f>'Master Lookup'!B39</f>
        <v>2.7799999999999998E-2</v>
      </c>
      <c r="AD44" s="84"/>
      <c r="AE44" s="365">
        <f>SUM(AE21:AE29)*AC44</f>
        <v>5945.001672389646</v>
      </c>
    </row>
    <row r="45" spans="3:31" ht="15.75" thickBot="1" x14ac:dyDescent="0.3">
      <c r="C45" s="354" t="s">
        <v>105</v>
      </c>
      <c r="D45" s="132"/>
      <c r="E45" s="132"/>
      <c r="F45" s="369">
        <f>SUM(F38,F43:F44)</f>
        <v>1359012.0107791354</v>
      </c>
      <c r="H45" s="354" t="s">
        <v>105</v>
      </c>
      <c r="I45" s="132"/>
      <c r="J45" s="132"/>
      <c r="K45" s="369">
        <f>SUM(K38,K42:K44)</f>
        <v>1803405.0422410481</v>
      </c>
      <c r="M45" s="354" t="s">
        <v>105</v>
      </c>
      <c r="N45" s="132"/>
      <c r="O45" s="132"/>
      <c r="P45" s="369">
        <f>P44+P43+P38</f>
        <v>1035432.2970880014</v>
      </c>
      <c r="R45" s="354" t="s">
        <v>105</v>
      </c>
      <c r="S45" s="132"/>
      <c r="T45" s="132"/>
      <c r="U45" s="369">
        <f>SUM(U38,U42:U44)</f>
        <v>739193.40795982257</v>
      </c>
      <c r="W45" s="354" t="s">
        <v>105</v>
      </c>
      <c r="X45" s="132"/>
      <c r="Y45" s="132"/>
      <c r="Z45" s="369">
        <f>SUM(Z38,Z42:Z44)</f>
        <v>633931.76088121091</v>
      </c>
      <c r="AB45" s="354" t="s">
        <v>105</v>
      </c>
      <c r="AC45" s="132"/>
      <c r="AD45" s="132"/>
      <c r="AE45" s="369">
        <f>SUM(AE38,AE42:AE44)</f>
        <v>841084.83357416955</v>
      </c>
    </row>
    <row r="46" spans="3:31" x14ac:dyDescent="0.25">
      <c r="C46" s="157"/>
      <c r="F46" s="156"/>
      <c r="H46" s="157"/>
      <c r="K46" s="156"/>
      <c r="M46" s="157"/>
      <c r="P46" s="156"/>
      <c r="R46" s="157"/>
      <c r="U46" s="156"/>
      <c r="W46" s="157"/>
      <c r="Z46" s="156"/>
      <c r="AB46" s="157"/>
      <c r="AE46" s="156"/>
    </row>
    <row r="47" spans="3:31" x14ac:dyDescent="0.25">
      <c r="C47" s="157" t="s">
        <v>106</v>
      </c>
      <c r="F47" s="351">
        <f>F45/F3</f>
        <v>271.80240215582705</v>
      </c>
      <c r="H47" s="157" t="s">
        <v>106</v>
      </c>
      <c r="K47" s="351">
        <f>K45/K3</f>
        <v>360.68100844820964</v>
      </c>
      <c r="M47" s="157" t="s">
        <v>106</v>
      </c>
      <c r="P47" s="351">
        <f>P45/P3</f>
        <v>207.08645941760028</v>
      </c>
      <c r="R47" s="157" t="s">
        <v>106</v>
      </c>
      <c r="U47" s="351">
        <f>U45/U3</f>
        <v>147.8386815919645</v>
      </c>
      <c r="W47" s="157" t="s">
        <v>106</v>
      </c>
      <c r="Z47" s="351">
        <f>Z45/Z3</f>
        <v>126.78635217624218</v>
      </c>
      <c r="AB47" s="157" t="s">
        <v>106</v>
      </c>
      <c r="AE47" s="351">
        <f>AE45/AE3</f>
        <v>168.21696671483392</v>
      </c>
    </row>
    <row r="48" spans="3:31" ht="15.75" thickBot="1" x14ac:dyDescent="0.3">
      <c r="C48" s="357" t="s">
        <v>30</v>
      </c>
      <c r="D48" s="158"/>
      <c r="E48" s="158"/>
      <c r="F48" s="358">
        <f>F47/6</f>
        <v>45.300400359304511</v>
      </c>
      <c r="H48" s="357" t="s">
        <v>30</v>
      </c>
      <c r="I48" s="158"/>
      <c r="J48" s="158"/>
      <c r="K48" s="358">
        <f>K47/6</f>
        <v>60.113501408034942</v>
      </c>
      <c r="M48" s="357" t="s">
        <v>30</v>
      </c>
      <c r="N48" s="158"/>
      <c r="O48" s="158"/>
      <c r="P48" s="358">
        <f>P47/6</f>
        <v>34.51440990293338</v>
      </c>
      <c r="R48" s="357" t="s">
        <v>30</v>
      </c>
      <c r="S48" s="158"/>
      <c r="T48" s="158"/>
      <c r="U48" s="358">
        <f>U47/6</f>
        <v>24.639780265327417</v>
      </c>
      <c r="W48" s="357" t="s">
        <v>30</v>
      </c>
      <c r="X48" s="158"/>
      <c r="Y48" s="158"/>
      <c r="Z48" s="358">
        <f>Z47/6</f>
        <v>21.131058696040363</v>
      </c>
      <c r="AB48" s="357" t="s">
        <v>30</v>
      </c>
      <c r="AC48" s="158"/>
      <c r="AD48" s="158"/>
      <c r="AE48" s="358">
        <f>AE47/6</f>
        <v>28.036161119138985</v>
      </c>
    </row>
    <row r="49" spans="3:31" ht="15.75" thickBot="1" x14ac:dyDescent="0.3">
      <c r="C49" s="359" t="s">
        <v>107</v>
      </c>
      <c r="D49" s="360"/>
      <c r="E49" s="360"/>
      <c r="F49" s="361">
        <f>F48/4-0.01</f>
        <v>11.315100089826128</v>
      </c>
      <c r="H49" s="359" t="s">
        <v>107</v>
      </c>
      <c r="I49" s="360"/>
      <c r="J49" s="360"/>
      <c r="K49" s="361">
        <f>K48/4-0.01</f>
        <v>15.018375352008736</v>
      </c>
      <c r="M49" s="359" t="s">
        <v>107</v>
      </c>
      <c r="N49" s="360"/>
      <c r="O49" s="360"/>
      <c r="P49" s="361">
        <f>P48/4-0.01</f>
        <v>8.6186024757333453</v>
      </c>
      <c r="R49" s="359" t="s">
        <v>107</v>
      </c>
      <c r="S49" s="360"/>
      <c r="T49" s="360"/>
      <c r="U49" s="361">
        <f>U48/4</f>
        <v>6.1599450663318542</v>
      </c>
      <c r="W49" s="359" t="s">
        <v>107</v>
      </c>
      <c r="X49" s="360"/>
      <c r="Y49" s="360"/>
      <c r="Z49" s="361">
        <f>Z48/4</f>
        <v>5.2827646740100906</v>
      </c>
      <c r="AB49" s="359" t="s">
        <v>107</v>
      </c>
      <c r="AC49" s="360"/>
      <c r="AD49" s="360"/>
      <c r="AE49" s="361">
        <f>AE48/4</f>
        <v>7.0090402797847462</v>
      </c>
    </row>
    <row r="50" spans="3:31" x14ac:dyDescent="0.25">
      <c r="F50" s="125"/>
      <c r="K50" s="125"/>
      <c r="P50" s="125"/>
      <c r="U50" s="125"/>
      <c r="Z50" s="125"/>
      <c r="AE50" s="125"/>
    </row>
  </sheetData>
  <mergeCells count="24">
    <mergeCell ref="AB4:AE4"/>
    <mergeCell ref="C2:F2"/>
    <mergeCell ref="H2:K2"/>
    <mergeCell ref="M2:P2"/>
    <mergeCell ref="R2:U2"/>
    <mergeCell ref="W2:Z2"/>
    <mergeCell ref="AB2:AE2"/>
    <mergeCell ref="C4:F4"/>
    <mergeCell ref="H4:K4"/>
    <mergeCell ref="M4:P4"/>
    <mergeCell ref="R4:U4"/>
    <mergeCell ref="W4:Z4"/>
    <mergeCell ref="AB40:AE40"/>
    <mergeCell ref="C20:F20"/>
    <mergeCell ref="H20:K20"/>
    <mergeCell ref="M20:P20"/>
    <mergeCell ref="R20:U20"/>
    <mergeCell ref="W20:Z20"/>
    <mergeCell ref="AB20:AE20"/>
    <mergeCell ref="C40:F40"/>
    <mergeCell ref="H40:K40"/>
    <mergeCell ref="M40:P40"/>
    <mergeCell ref="R40:U40"/>
    <mergeCell ref="W40:Z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577A-AB70-4261-B3AC-E9A7A93DEF88}">
  <dimension ref="A1:R31"/>
  <sheetViews>
    <sheetView topLeftCell="B1" workbookViewId="0">
      <selection activeCell="H25" sqref="H25"/>
    </sheetView>
  </sheetViews>
  <sheetFormatPr defaultRowHeight="15" x14ac:dyDescent="0.25"/>
  <cols>
    <col min="1" max="1" width="9.28515625" hidden="1" customWidth="1"/>
    <col min="3" max="3" width="28.7109375" bestFit="1" customWidth="1"/>
    <col min="4" max="4" width="7.85546875" customWidth="1"/>
    <col min="5" max="5" width="10.140625" bestFit="1" customWidth="1"/>
    <col min="6" max="6" width="13.7109375" bestFit="1" customWidth="1"/>
    <col min="7" max="7" width="13.85546875" bestFit="1" customWidth="1"/>
    <col min="9" max="9" width="28.7109375" bestFit="1" customWidth="1"/>
    <col min="10" max="10" width="12.140625" bestFit="1" customWidth="1"/>
    <col min="11" max="11" width="9.5703125" bestFit="1" customWidth="1"/>
    <col min="12" max="12" width="13.7109375" bestFit="1" customWidth="1"/>
    <col min="13" max="13" width="9.42578125" bestFit="1" customWidth="1"/>
    <col min="14" max="14" width="9.42578125" customWidth="1"/>
    <col min="16" max="16" width="37.140625" bestFit="1" customWidth="1"/>
    <col min="17" max="17" width="9.5703125" customWidth="1"/>
    <col min="18" max="18" width="12.5703125" customWidth="1"/>
  </cols>
  <sheetData>
    <row r="1" spans="1:18" ht="15.75" thickBot="1" x14ac:dyDescent="0.3"/>
    <row r="2" spans="1:18" ht="15.75" thickBot="1" x14ac:dyDescent="0.3">
      <c r="C2" s="378" t="s">
        <v>0</v>
      </c>
      <c r="D2" s="379"/>
      <c r="E2" s="379"/>
      <c r="F2" s="379"/>
      <c r="G2" s="380"/>
      <c r="H2" s="287"/>
      <c r="I2" s="378" t="s">
        <v>1</v>
      </c>
      <c r="J2" s="379"/>
      <c r="K2" s="379"/>
      <c r="L2" s="379"/>
      <c r="M2" s="380"/>
      <c r="N2" s="1"/>
      <c r="P2" s="2" t="s">
        <v>2</v>
      </c>
      <c r="Q2" s="3" t="s">
        <v>3</v>
      </c>
      <c r="R2" s="4" t="s">
        <v>4</v>
      </c>
    </row>
    <row r="3" spans="1:18" x14ac:dyDescent="0.25">
      <c r="C3" s="289" t="s">
        <v>5</v>
      </c>
      <c r="D3" s="290"/>
      <c r="E3" s="291"/>
      <c r="F3" s="291"/>
      <c r="G3" s="292">
        <v>5000</v>
      </c>
      <c r="H3" s="287"/>
      <c r="I3" s="289" t="s">
        <v>5</v>
      </c>
      <c r="J3" s="290"/>
      <c r="K3" s="291"/>
      <c r="L3" s="291"/>
      <c r="M3" s="292">
        <f>R14</f>
        <v>1588</v>
      </c>
      <c r="N3" s="5"/>
      <c r="P3" s="6" t="s">
        <v>6</v>
      </c>
      <c r="Q3" s="7">
        <v>40</v>
      </c>
      <c r="R3" s="8">
        <v>2080</v>
      </c>
    </row>
    <row r="4" spans="1:18" x14ac:dyDescent="0.25">
      <c r="C4" s="293" t="s">
        <v>7</v>
      </c>
      <c r="D4" s="35"/>
      <c r="E4" s="35"/>
      <c r="F4" s="35" t="s">
        <v>9</v>
      </c>
      <c r="G4" s="294" t="s">
        <v>10</v>
      </c>
      <c r="H4" s="287"/>
      <c r="I4" s="293" t="s">
        <v>7</v>
      </c>
      <c r="J4" s="35"/>
      <c r="K4" s="35"/>
      <c r="L4" s="35" t="s">
        <v>9</v>
      </c>
      <c r="M4" s="294" t="s">
        <v>10</v>
      </c>
      <c r="N4" s="1"/>
      <c r="P4" s="9" t="s">
        <v>11</v>
      </c>
      <c r="Q4" s="10"/>
      <c r="R4" s="11"/>
    </row>
    <row r="5" spans="1:18" x14ac:dyDescent="0.25">
      <c r="A5">
        <v>1</v>
      </c>
      <c r="C5" s="295" t="s">
        <v>93</v>
      </c>
      <c r="D5" s="296"/>
      <c r="E5" s="297"/>
      <c r="F5" s="296"/>
      <c r="G5" s="298">
        <v>21892.416000000001</v>
      </c>
      <c r="H5" s="287"/>
      <c r="I5" s="295" t="s">
        <v>93</v>
      </c>
      <c r="J5" s="296"/>
      <c r="K5" s="297"/>
      <c r="L5" s="296"/>
      <c r="M5" s="298">
        <v>10946.21</v>
      </c>
      <c r="N5" s="12"/>
      <c r="P5" s="13" t="s">
        <v>12</v>
      </c>
      <c r="Q5" s="14">
        <f>40*3</f>
        <v>120</v>
      </c>
      <c r="R5" s="15">
        <f>15*8</f>
        <v>120</v>
      </c>
    </row>
    <row r="6" spans="1:18" x14ac:dyDescent="0.25">
      <c r="A6">
        <v>2</v>
      </c>
      <c r="C6" s="295" t="s">
        <v>270</v>
      </c>
      <c r="D6" s="296"/>
      <c r="E6" s="297"/>
      <c r="F6" s="296"/>
      <c r="G6" s="298">
        <v>80245.87927118357</v>
      </c>
      <c r="H6" s="287"/>
      <c r="I6" s="295" t="s">
        <v>270</v>
      </c>
      <c r="J6" s="381"/>
      <c r="K6" s="297"/>
      <c r="L6" s="296"/>
      <c r="M6" s="298">
        <v>29268.26</v>
      </c>
      <c r="N6" s="12"/>
      <c r="P6" s="16" t="s">
        <v>13</v>
      </c>
      <c r="Q6" s="14">
        <f>8*11</f>
        <v>88</v>
      </c>
      <c r="R6" s="17">
        <f>Q6</f>
        <v>88</v>
      </c>
    </row>
    <row r="7" spans="1:18" ht="15.75" thickBot="1" x14ac:dyDescent="0.3">
      <c r="A7">
        <v>3</v>
      </c>
      <c r="C7" s="295" t="s">
        <v>269</v>
      </c>
      <c r="D7" s="296"/>
      <c r="E7" s="297"/>
      <c r="F7" s="296"/>
      <c r="G7" s="298">
        <v>152562.32999999999</v>
      </c>
      <c r="H7" s="287"/>
      <c r="I7" s="295" t="s">
        <v>269</v>
      </c>
      <c r="J7" s="381"/>
      <c r="K7" s="297"/>
      <c r="L7" s="296"/>
      <c r="M7" s="298">
        <v>28959.040000000001</v>
      </c>
      <c r="N7" s="12"/>
      <c r="P7" s="13"/>
      <c r="Q7" s="14"/>
      <c r="R7" s="17"/>
    </row>
    <row r="8" spans="1:18" ht="15.75" thickBot="1" x14ac:dyDescent="0.3">
      <c r="A8">
        <v>4</v>
      </c>
      <c r="C8" s="299" t="s">
        <v>21</v>
      </c>
      <c r="D8" s="300"/>
      <c r="E8" s="301"/>
      <c r="F8" s="302">
        <v>4.75</v>
      </c>
      <c r="G8" s="303">
        <f>SUM(G5:G7)</f>
        <v>254700.62527118356</v>
      </c>
      <c r="H8" s="287"/>
      <c r="I8" s="299" t="s">
        <v>21</v>
      </c>
      <c r="J8" s="300"/>
      <c r="K8" s="301"/>
      <c r="L8" s="302">
        <v>1.2</v>
      </c>
      <c r="M8" s="303">
        <f>SUM(M5:M7)</f>
        <v>69173.510000000009</v>
      </c>
      <c r="N8" s="12"/>
      <c r="P8" s="16" t="s">
        <v>14</v>
      </c>
      <c r="Q8" s="14">
        <v>5</v>
      </c>
      <c r="R8" s="15">
        <f>Q8*46</f>
        <v>230</v>
      </c>
    </row>
    <row r="9" spans="1:18" x14ac:dyDescent="0.25">
      <c r="A9">
        <v>5</v>
      </c>
      <c r="C9" s="288" t="s">
        <v>97</v>
      </c>
      <c r="D9" s="304"/>
      <c r="E9" s="305">
        <f>'CBDS Models'!D16</f>
        <v>2.7799999999999998E-2</v>
      </c>
      <c r="F9" s="296"/>
      <c r="G9" s="298">
        <f>G8*E9</f>
        <v>7080.6773825389027</v>
      </c>
      <c r="H9" s="287"/>
      <c r="I9" s="288" t="s">
        <v>97</v>
      </c>
      <c r="J9" s="304"/>
      <c r="K9" s="305">
        <f>E9</f>
        <v>2.7799999999999998E-2</v>
      </c>
      <c r="L9" s="304"/>
      <c r="M9" s="298">
        <f>K9*M8</f>
        <v>1923.023578</v>
      </c>
      <c r="N9" s="12"/>
      <c r="P9" s="13" t="s">
        <v>15</v>
      </c>
      <c r="Q9" s="14">
        <v>1</v>
      </c>
      <c r="R9" s="15">
        <f>Q9*46</f>
        <v>46</v>
      </c>
    </row>
    <row r="10" spans="1:18" x14ac:dyDescent="0.25">
      <c r="A10">
        <v>6</v>
      </c>
      <c r="C10" s="306" t="s">
        <v>22</v>
      </c>
      <c r="D10" s="307"/>
      <c r="E10" s="308">
        <f>IFERROR(INDEX('[14]Master Lookup'!$Y$20:$Y$25,MATCH(C10,'[14]Master Lookup'!$X$20:$X$25,0)),0)</f>
        <v>0.25390000000000001</v>
      </c>
      <c r="F10" s="307"/>
      <c r="G10" s="309">
        <f>(G9+G8)*E10</f>
        <v>66466.272743780137</v>
      </c>
      <c r="H10" s="287"/>
      <c r="I10" s="306" t="s">
        <v>22</v>
      </c>
      <c r="J10" s="307"/>
      <c r="K10" s="308">
        <f>E10</f>
        <v>0.25390000000000001</v>
      </c>
      <c r="L10" s="310"/>
      <c r="M10" s="311">
        <f>(M9+M8)*K10</f>
        <v>18051.409875454203</v>
      </c>
      <c r="N10" s="12"/>
      <c r="P10" s="18" t="s">
        <v>16</v>
      </c>
      <c r="Q10" s="19">
        <v>8</v>
      </c>
      <c r="R10" s="20">
        <v>8</v>
      </c>
    </row>
    <row r="11" spans="1:18" ht="19.5" thickBot="1" x14ac:dyDescent="0.3">
      <c r="A11">
        <v>7</v>
      </c>
      <c r="C11" s="312" t="s">
        <v>23</v>
      </c>
      <c r="D11" s="313"/>
      <c r="E11" s="314"/>
      <c r="F11" s="315"/>
      <c r="G11" s="316">
        <f>SUM(G8:G10)</f>
        <v>328247.57539750263</v>
      </c>
      <c r="H11" s="287"/>
      <c r="I11" s="312" t="s">
        <v>23</v>
      </c>
      <c r="J11" s="313"/>
      <c r="K11" s="314"/>
      <c r="L11" s="315"/>
      <c r="M11" s="316">
        <f>SUM(M8:M10)</f>
        <v>89147.943453454209</v>
      </c>
      <c r="N11" s="12"/>
      <c r="P11" s="21" t="s">
        <v>17</v>
      </c>
      <c r="Q11" s="22"/>
      <c r="R11" s="23">
        <f>SUM(R5:R10)</f>
        <v>492</v>
      </c>
    </row>
    <row r="12" spans="1:18" ht="19.5" thickTop="1" x14ac:dyDescent="0.25">
      <c r="A12">
        <v>8</v>
      </c>
      <c r="C12" s="317" t="s">
        <v>390</v>
      </c>
      <c r="D12" s="318"/>
      <c r="E12" s="319">
        <f>'Master Lookup'!M21</f>
        <v>9431.39</v>
      </c>
      <c r="F12" s="320"/>
      <c r="G12" s="298">
        <f>E12*$F$8</f>
        <v>44799.102499999994</v>
      </c>
      <c r="H12" s="287"/>
      <c r="I12" s="317" t="s">
        <v>390</v>
      </c>
      <c r="J12" s="318"/>
      <c r="K12" s="319">
        <f>E12</f>
        <v>9431.39</v>
      </c>
      <c r="L12" s="320"/>
      <c r="M12" s="298">
        <f>K12*$L$8</f>
        <v>11317.668</v>
      </c>
      <c r="N12" s="12"/>
      <c r="P12" s="24" t="s">
        <v>18</v>
      </c>
      <c r="Q12" s="25"/>
      <c r="R12" s="26">
        <f>R3-R11</f>
        <v>1588</v>
      </c>
    </row>
    <row r="13" spans="1:18" ht="19.5" thickBot="1" x14ac:dyDescent="0.3">
      <c r="A13">
        <v>9</v>
      </c>
      <c r="C13" s="317" t="s">
        <v>391</v>
      </c>
      <c r="D13" s="304"/>
      <c r="E13" s="321">
        <f>'Master Lookup'!M22</f>
        <v>459.08</v>
      </c>
      <c r="F13" s="322"/>
      <c r="G13" s="311">
        <f>E13*$F$8</f>
        <v>2180.63</v>
      </c>
      <c r="H13" s="287"/>
      <c r="I13" s="317" t="s">
        <v>391</v>
      </c>
      <c r="J13" s="304"/>
      <c r="K13" s="321">
        <f>E13</f>
        <v>459.08</v>
      </c>
      <c r="L13" s="322"/>
      <c r="M13" s="311">
        <f>K13*$L$8</f>
        <v>550.89599999999996</v>
      </c>
      <c r="N13" s="12"/>
      <c r="P13" s="27" t="s">
        <v>19</v>
      </c>
      <c r="Q13" s="28"/>
      <c r="R13" s="29">
        <v>1</v>
      </c>
    </row>
    <row r="14" spans="1:18" ht="19.5" thickBot="1" x14ac:dyDescent="0.3">
      <c r="A14">
        <v>10</v>
      </c>
      <c r="C14" s="323" t="s">
        <v>26</v>
      </c>
      <c r="D14" s="324"/>
      <c r="E14" s="325"/>
      <c r="F14" s="324"/>
      <c r="G14" s="326">
        <f>SUM(G11:G13)</f>
        <v>375227.30789750261</v>
      </c>
      <c r="H14" s="287"/>
      <c r="I14" s="323" t="s">
        <v>26</v>
      </c>
      <c r="J14" s="324"/>
      <c r="K14" s="325"/>
      <c r="L14" s="324"/>
      <c r="M14" s="326">
        <f>SUM(M11:M13)</f>
        <v>101016.50745345421</v>
      </c>
      <c r="N14" s="12"/>
      <c r="P14" s="30" t="s">
        <v>20</v>
      </c>
      <c r="Q14" s="31"/>
      <c r="R14" s="32">
        <f>R12*R13</f>
        <v>1588</v>
      </c>
    </row>
    <row r="15" spans="1:18" ht="15.75" thickTop="1" x14ac:dyDescent="0.25">
      <c r="A15">
        <v>11</v>
      </c>
      <c r="C15" s="317" t="s">
        <v>27</v>
      </c>
      <c r="D15" s="304"/>
      <c r="E15" s="305">
        <f>IFERROR(INDEX('[14]Master Lookup'!$S$20:$S$29,MATCH(C15,'[14]Master Lookup'!$R$20:$R$29,0)),0)</f>
        <v>0.12</v>
      </c>
      <c r="F15" s="304"/>
      <c r="G15" s="298">
        <f>(G14-G9)*E15</f>
        <v>44177.59566179564</v>
      </c>
      <c r="H15" s="287"/>
      <c r="I15" s="317" t="s">
        <v>27</v>
      </c>
      <c r="J15" s="304"/>
      <c r="K15" s="305">
        <f>IFERROR(INDEX('[14]Master Lookup'!$S$20:$S$29,MATCH(I15,'[14]Master Lookup'!$R$20:$R$29,0)),0)</f>
        <v>0.12</v>
      </c>
      <c r="L15" s="304"/>
      <c r="M15" s="298">
        <f>(M14-M9)*K15</f>
        <v>11891.218065054505</v>
      </c>
      <c r="N15" s="12"/>
    </row>
    <row r="16" spans="1:18" ht="15.75" thickBot="1" x14ac:dyDescent="0.3">
      <c r="A16">
        <v>12</v>
      </c>
      <c r="C16" s="327" t="str">
        <f>'CBDS Models'!C44</f>
        <v>CAF on Program Expenses</v>
      </c>
      <c r="D16" s="315"/>
      <c r="E16" s="328">
        <f>'CBDS Models'!D44</f>
        <v>2.7799999999999998E-2</v>
      </c>
      <c r="F16" s="329"/>
      <c r="G16" s="330">
        <f>(G12+G13)*E16</f>
        <v>1306.0365634999996</v>
      </c>
      <c r="H16" s="287"/>
      <c r="I16" s="327" t="s">
        <v>28</v>
      </c>
      <c r="J16" s="315"/>
      <c r="K16" s="328">
        <f>IFERROR(INDEX('[14]Master Lookup'!$S$20:$S$29,MATCH(I16,'[14]Master Lookup'!$R$20:$R$29,0)),0)</f>
        <v>2.7799999999999998E-2</v>
      </c>
      <c r="L16" s="329"/>
      <c r="M16" s="330">
        <f>SUM(M12:M13)*K16</f>
        <v>329.94607919999999</v>
      </c>
      <c r="N16" s="12"/>
    </row>
    <row r="17" spans="3:17" ht="15.75" thickTop="1" x14ac:dyDescent="0.25">
      <c r="C17" s="331" t="s">
        <v>29</v>
      </c>
      <c r="D17" s="332"/>
      <c r="E17" s="333"/>
      <c r="F17" s="304"/>
      <c r="G17" s="334">
        <f>SUM(G14:G16)</f>
        <v>420710.94012279826</v>
      </c>
      <c r="H17" s="287"/>
      <c r="I17" s="331" t="s">
        <v>29</v>
      </c>
      <c r="J17" s="332"/>
      <c r="K17" s="333"/>
      <c r="L17" s="304"/>
      <c r="M17" s="334">
        <f>SUM(M14:M16)</f>
        <v>113237.67159770872</v>
      </c>
      <c r="N17" s="33"/>
    </row>
    <row r="18" spans="3:17" ht="15.75" thickBot="1" x14ac:dyDescent="0.3">
      <c r="C18" s="335" t="s">
        <v>30</v>
      </c>
      <c r="D18" s="304"/>
      <c r="E18" s="304"/>
      <c r="F18" s="304"/>
      <c r="G18" s="336">
        <f>G17/G3-0.02</f>
        <v>84.122188024559662</v>
      </c>
      <c r="H18" s="287"/>
      <c r="I18" s="335" t="s">
        <v>30</v>
      </c>
      <c r="J18" s="304"/>
      <c r="K18" s="304"/>
      <c r="L18" s="304"/>
      <c r="M18" s="336">
        <f>(M17/M3)-0.01</f>
        <v>71.298357429287606</v>
      </c>
      <c r="N18" s="12"/>
    </row>
    <row r="19" spans="3:17" ht="15.75" thickBot="1" x14ac:dyDescent="0.3">
      <c r="C19" s="337" t="s">
        <v>31</v>
      </c>
      <c r="D19" s="338"/>
      <c r="E19" s="338"/>
      <c r="F19" s="338"/>
      <c r="G19" s="339">
        <f>(G18*0.25)-0.01</f>
        <v>21.020547006139914</v>
      </c>
      <c r="H19" s="287"/>
      <c r="I19" s="337" t="s">
        <v>31</v>
      </c>
      <c r="J19" s="338"/>
      <c r="K19" s="338"/>
      <c r="L19" s="338"/>
      <c r="M19" s="339">
        <f>(M18*0.25)</f>
        <v>17.824589357321901</v>
      </c>
      <c r="N19" s="12"/>
    </row>
    <row r="20" spans="3:17" x14ac:dyDescent="0.25">
      <c r="C20" s="34"/>
      <c r="G20" s="38"/>
      <c r="I20" s="34"/>
      <c r="M20" s="38"/>
      <c r="N20" s="33"/>
    </row>
    <row r="21" spans="3:17" x14ac:dyDescent="0.25">
      <c r="N21" s="34"/>
    </row>
    <row r="22" spans="3:17" x14ac:dyDescent="0.25">
      <c r="N22" s="12"/>
      <c r="P22" s="247"/>
      <c r="Q22" s="160"/>
    </row>
    <row r="23" spans="3:17" x14ac:dyDescent="0.25">
      <c r="N23" s="12"/>
    </row>
    <row r="24" spans="3:17" x14ac:dyDescent="0.25">
      <c r="N24" s="33"/>
    </row>
    <row r="25" spans="3:17" x14ac:dyDescent="0.25">
      <c r="N25" s="33"/>
    </row>
    <row r="26" spans="3:17" x14ac:dyDescent="0.25">
      <c r="N26" s="12"/>
    </row>
    <row r="27" spans="3:17" x14ac:dyDescent="0.25">
      <c r="N27" s="12"/>
    </row>
    <row r="28" spans="3:17" x14ac:dyDescent="0.25">
      <c r="N28" s="33"/>
    </row>
    <row r="29" spans="3:17" x14ac:dyDescent="0.25">
      <c r="N29" s="36"/>
    </row>
    <row r="30" spans="3:17" x14ac:dyDescent="0.25">
      <c r="N30" s="37"/>
    </row>
    <row r="31" spans="3:17" x14ac:dyDescent="0.25">
      <c r="N31" s="38"/>
    </row>
  </sheetData>
  <mergeCells count="3">
    <mergeCell ref="C2:G2"/>
    <mergeCell ref="I2:M2"/>
    <mergeCell ref="J6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33FD-8EC0-4DE7-9C4D-BECBD82B8EC9}">
  <sheetPr>
    <pageSetUpPr fitToPage="1"/>
  </sheetPr>
  <dimension ref="A2:N38"/>
  <sheetViews>
    <sheetView topLeftCell="A6" zoomScaleNormal="100" workbookViewId="0">
      <selection activeCell="E46" sqref="E46"/>
    </sheetView>
  </sheetViews>
  <sheetFormatPr defaultRowHeight="15" x14ac:dyDescent="0.25"/>
  <cols>
    <col min="1" max="1" width="21.140625" bestFit="1" customWidth="1"/>
    <col min="2" max="2" width="12.5703125" bestFit="1" customWidth="1"/>
    <col min="3" max="3" width="17.5703125" customWidth="1"/>
    <col min="4" max="4" width="11.5703125" bestFit="1" customWidth="1"/>
    <col min="5" max="5" width="19.140625" customWidth="1"/>
    <col min="6" max="6" width="18" customWidth="1"/>
    <col min="7" max="7" width="14" customWidth="1"/>
    <col min="8" max="8" width="23.42578125" customWidth="1"/>
    <col min="9" max="9" width="11.85546875" bestFit="1" customWidth="1"/>
    <col min="10" max="13" width="10.42578125" bestFit="1" customWidth="1"/>
    <col min="14" max="14" width="11.85546875" bestFit="1" customWidth="1"/>
  </cols>
  <sheetData>
    <row r="2" spans="1:8" x14ac:dyDescent="0.25">
      <c r="A2" t="s">
        <v>108</v>
      </c>
      <c r="B2" s="125">
        <v>3.355</v>
      </c>
      <c r="C2" t="s">
        <v>109</v>
      </c>
    </row>
    <row r="3" spans="1:8" x14ac:dyDescent="0.25">
      <c r="A3" t="s">
        <v>110</v>
      </c>
      <c r="B3" s="124">
        <v>30000</v>
      </c>
    </row>
    <row r="4" spans="1:8" x14ac:dyDescent="0.25">
      <c r="A4" t="s">
        <v>111</v>
      </c>
      <c r="B4">
        <v>4</v>
      </c>
    </row>
    <row r="5" spans="1:8" x14ac:dyDescent="0.25">
      <c r="A5" t="s">
        <v>112</v>
      </c>
      <c r="B5" s="130">
        <v>0.08</v>
      </c>
    </row>
    <row r="6" spans="1:8" x14ac:dyDescent="0.25">
      <c r="A6" t="s">
        <v>113</v>
      </c>
      <c r="B6" s="130">
        <v>0.65</v>
      </c>
    </row>
    <row r="8" spans="1:8" x14ac:dyDescent="0.25">
      <c r="A8" s="382" t="s">
        <v>114</v>
      </c>
      <c r="B8" s="383"/>
      <c r="C8" s="87" t="s">
        <v>115</v>
      </c>
    </row>
    <row r="9" spans="1:8" x14ac:dyDescent="0.25">
      <c r="A9" s="60" t="s">
        <v>116</v>
      </c>
      <c r="B9" s="135">
        <v>0</v>
      </c>
      <c r="C9" s="106">
        <f>B9*H21</f>
        <v>0</v>
      </c>
    </row>
    <row r="10" spans="1:8" x14ac:dyDescent="0.25">
      <c r="A10" s="50" t="s">
        <v>117</v>
      </c>
      <c r="B10" s="135">
        <v>1</v>
      </c>
      <c r="C10" s="106">
        <f>B10*N28</f>
        <v>21083.818493150684</v>
      </c>
    </row>
    <row r="11" spans="1:8" x14ac:dyDescent="0.25">
      <c r="A11" s="50" t="s">
        <v>118</v>
      </c>
      <c r="B11" s="135">
        <v>2</v>
      </c>
      <c r="C11" s="106">
        <f>B11*N35</f>
        <v>48568.128061224488</v>
      </c>
    </row>
    <row r="12" spans="1:8" x14ac:dyDescent="0.25">
      <c r="A12" s="50" t="s">
        <v>119</v>
      </c>
      <c r="B12" s="135">
        <v>0.25</v>
      </c>
      <c r="C12" s="106">
        <f>B12*N38</f>
        <v>7930.85</v>
      </c>
    </row>
    <row r="13" spans="1:8" x14ac:dyDescent="0.25">
      <c r="A13" s="87" t="s">
        <v>4</v>
      </c>
      <c r="B13" s="134">
        <f>SUM(B9:B12)</f>
        <v>3.25</v>
      </c>
      <c r="C13" s="136">
        <f>SUM(C9:C12)</f>
        <v>77582.796554375178</v>
      </c>
    </row>
    <row r="14" spans="1:8" x14ac:dyDescent="0.25">
      <c r="A14" s="384" t="s">
        <v>120</v>
      </c>
      <c r="B14" s="385"/>
      <c r="C14" s="137">
        <f>(C13/5000)*B6</f>
        <v>10.085763552068773</v>
      </c>
      <c r="D14" s="138"/>
      <c r="E14" s="139"/>
      <c r="F14" s="118"/>
    </row>
    <row r="16" spans="1:8" s="141" customFormat="1" hidden="1" x14ac:dyDescent="0.25">
      <c r="A16" s="140" t="s">
        <v>121</v>
      </c>
      <c r="B16" s="140" t="s">
        <v>122</v>
      </c>
      <c r="C16" s="140" t="s">
        <v>123</v>
      </c>
      <c r="D16" s="140" t="s">
        <v>124</v>
      </c>
      <c r="E16" s="140" t="s">
        <v>125</v>
      </c>
      <c r="F16" s="140" t="s">
        <v>126</v>
      </c>
      <c r="G16" s="140" t="s">
        <v>127</v>
      </c>
      <c r="H16" s="140" t="s">
        <v>128</v>
      </c>
    </row>
    <row r="17" spans="1:14" hidden="1" x14ac:dyDescent="0.25">
      <c r="A17" s="142" t="s">
        <v>129</v>
      </c>
      <c r="B17" s="143">
        <v>18840</v>
      </c>
      <c r="C17" s="142">
        <v>32</v>
      </c>
      <c r="D17" s="143">
        <f>(B17*$B$5)</f>
        <v>1507.2</v>
      </c>
      <c r="E17" s="144">
        <f>B17/$B$4</f>
        <v>4710</v>
      </c>
      <c r="F17" s="144">
        <f>($B$3/C17)*$B$2</f>
        <v>3145.3125</v>
      </c>
      <c r="G17" s="145">
        <v>4000</v>
      </c>
      <c r="H17" s="144">
        <f>G17+F17+E17+D17</f>
        <v>13362.512500000001</v>
      </c>
    </row>
    <row r="18" spans="1:14" hidden="1" x14ac:dyDescent="0.25">
      <c r="A18" s="142" t="s">
        <v>130</v>
      </c>
      <c r="B18" s="143">
        <v>18600</v>
      </c>
      <c r="C18" s="142">
        <v>30</v>
      </c>
      <c r="D18" s="143">
        <f>(B18*$B$5)</f>
        <v>1488</v>
      </c>
      <c r="E18" s="144">
        <f>B18/$B$4</f>
        <v>4650</v>
      </c>
      <c r="F18" s="144">
        <f>($B$3/C18)*$B$2</f>
        <v>3355</v>
      </c>
      <c r="G18" s="145">
        <v>4000</v>
      </c>
      <c r="H18" s="144">
        <f>G18+F18+E18+D18</f>
        <v>13493</v>
      </c>
    </row>
    <row r="19" spans="1:14" hidden="1" x14ac:dyDescent="0.25">
      <c r="A19" s="142" t="s">
        <v>131</v>
      </c>
      <c r="B19" s="143">
        <v>23260</v>
      </c>
      <c r="C19" s="142">
        <v>27</v>
      </c>
      <c r="D19" s="143">
        <f>(B19*$B$5)</f>
        <v>1860.8</v>
      </c>
      <c r="E19" s="144">
        <f>B19/$B$4</f>
        <v>5815</v>
      </c>
      <c r="F19" s="144">
        <f>($B$3/C19)*$B$2</f>
        <v>3727.7777777777778</v>
      </c>
      <c r="G19" s="145">
        <v>4000</v>
      </c>
      <c r="H19" s="144">
        <f>G19+F19+E19+D19</f>
        <v>15403.577777777777</v>
      </c>
    </row>
    <row r="20" spans="1:14" hidden="1" x14ac:dyDescent="0.25">
      <c r="A20" s="142" t="s">
        <v>132</v>
      </c>
      <c r="B20" s="143">
        <v>16975</v>
      </c>
      <c r="C20" s="142">
        <v>31</v>
      </c>
      <c r="D20" s="143">
        <f>(B20*$B$5)</f>
        <v>1358</v>
      </c>
      <c r="E20" s="144">
        <f>B20/$B$4</f>
        <v>4243.75</v>
      </c>
      <c r="F20" s="144">
        <f>($B$3/C20)*$B$2</f>
        <v>3246.7741935483873</v>
      </c>
      <c r="G20" s="145">
        <v>4000</v>
      </c>
      <c r="H20" s="144">
        <f>G20+F20+E20+D20</f>
        <v>12848.524193548386</v>
      </c>
    </row>
    <row r="21" spans="1:14" s="141" customFormat="1" hidden="1" x14ac:dyDescent="0.25">
      <c r="A21" s="140" t="s">
        <v>133</v>
      </c>
      <c r="B21" s="146">
        <f>AVERAGE(B17:B20)</f>
        <v>19418.75</v>
      </c>
      <c r="C21" s="147">
        <f>AVERAGE(C17:C20)</f>
        <v>30</v>
      </c>
      <c r="D21" s="146">
        <f>(B21*$B$5)</f>
        <v>1553.5</v>
      </c>
      <c r="E21" s="148">
        <f>B21/$B$4</f>
        <v>4854.6875</v>
      </c>
      <c r="F21" s="148">
        <f>($B$3/C21)*$B$2</f>
        <v>3355</v>
      </c>
      <c r="G21" s="149">
        <v>4000</v>
      </c>
      <c r="H21" s="148">
        <f>G21+F21+E21+D21</f>
        <v>13763.1875</v>
      </c>
    </row>
    <row r="22" spans="1:14" x14ac:dyDescent="0.25">
      <c r="G22" s="125"/>
    </row>
    <row r="23" spans="1:14" s="141" customFormat="1" x14ac:dyDescent="0.25">
      <c r="A23" s="141" t="s">
        <v>134</v>
      </c>
      <c r="B23" s="141" t="s">
        <v>135</v>
      </c>
      <c r="C23" s="141" t="s">
        <v>136</v>
      </c>
      <c r="D23" s="141" t="s">
        <v>123</v>
      </c>
      <c r="E23" s="141" t="s">
        <v>124</v>
      </c>
      <c r="F23" s="141" t="s">
        <v>125</v>
      </c>
      <c r="G23" s="141" t="s">
        <v>126</v>
      </c>
      <c r="H23" s="141" t="s">
        <v>127</v>
      </c>
      <c r="I23" s="141" t="s">
        <v>128</v>
      </c>
      <c r="N23" s="141" t="s">
        <v>137</v>
      </c>
    </row>
    <row r="24" spans="1:14" x14ac:dyDescent="0.25">
      <c r="A24" t="s">
        <v>138</v>
      </c>
      <c r="B24" s="150">
        <v>31640</v>
      </c>
      <c r="C24" s="151">
        <v>35285</v>
      </c>
      <c r="D24">
        <v>19</v>
      </c>
      <c r="E24" s="150">
        <f>(B24*$B$5)</f>
        <v>2531.2000000000003</v>
      </c>
      <c r="F24" s="133">
        <f>B24/$B$4</f>
        <v>7910</v>
      </c>
      <c r="G24" s="133">
        <f>($B$3/D24)*$B$2</f>
        <v>5297.3684210526317</v>
      </c>
      <c r="H24" s="125">
        <v>4500</v>
      </c>
      <c r="I24" s="133">
        <f>H24+G24+F24+E24</f>
        <v>20238.568421052634</v>
      </c>
      <c r="J24" s="133">
        <f>C24*$B$5</f>
        <v>2822.8</v>
      </c>
      <c r="K24" s="133">
        <f>C24/$B$4</f>
        <v>8821.25</v>
      </c>
      <c r="L24" s="133">
        <f>G24</f>
        <v>5297.3684210526317</v>
      </c>
      <c r="M24" s="133">
        <f>H24</f>
        <v>4500</v>
      </c>
      <c r="N24" s="133">
        <f>SUM(J24:M24)</f>
        <v>21441.418421052629</v>
      </c>
    </row>
    <row r="25" spans="1:14" x14ac:dyDescent="0.25">
      <c r="A25" t="s">
        <v>139</v>
      </c>
      <c r="B25" s="150">
        <v>30790</v>
      </c>
      <c r="C25" s="151">
        <v>33040</v>
      </c>
      <c r="D25">
        <v>19</v>
      </c>
      <c r="E25" s="150">
        <f>(B25*$B$5)</f>
        <v>2463.2000000000003</v>
      </c>
      <c r="F25" s="133">
        <f>B25/$B$4</f>
        <v>7697.5</v>
      </c>
      <c r="G25" s="133">
        <f>($B$3/D25)*$B$2</f>
        <v>5297.3684210526317</v>
      </c>
      <c r="H25" s="125">
        <v>4500</v>
      </c>
      <c r="I25" s="133">
        <f>H25+G25+F25+E25</f>
        <v>19958.068421052634</v>
      </c>
      <c r="J25" s="133">
        <f t="shared" ref="J25:J35" si="0">C25*$B$5</f>
        <v>2643.2000000000003</v>
      </c>
      <c r="K25" s="133">
        <f t="shared" ref="K25:K35" si="1">C25/$B$4</f>
        <v>8260</v>
      </c>
      <c r="L25" s="133">
        <f t="shared" ref="L25:M35" si="2">G25</f>
        <v>5297.3684210526317</v>
      </c>
      <c r="M25" s="133">
        <f t="shared" si="2"/>
        <v>4500</v>
      </c>
      <c r="N25" s="133">
        <f t="shared" ref="N25:N35" si="3">SUM(J25:M25)</f>
        <v>20700.568421052631</v>
      </c>
    </row>
    <row r="26" spans="1:14" x14ac:dyDescent="0.25">
      <c r="A26" t="s">
        <v>140</v>
      </c>
      <c r="B26" s="150">
        <v>27530</v>
      </c>
      <c r="C26" s="151" t="s">
        <v>141</v>
      </c>
      <c r="D26">
        <v>17</v>
      </c>
      <c r="E26" s="150">
        <f>(B26*$B$5)</f>
        <v>2202.4</v>
      </c>
      <c r="F26" s="133">
        <f>B26/$B$4</f>
        <v>6882.5</v>
      </c>
      <c r="G26" s="133">
        <f>($B$3/D26)*$B$2</f>
        <v>5920.588235294118</v>
      </c>
      <c r="H26" s="125">
        <v>4500</v>
      </c>
      <c r="I26" s="133">
        <f>H26+G26+F26+E26</f>
        <v>19505.48823529412</v>
      </c>
      <c r="J26" s="133"/>
      <c r="K26" s="133"/>
      <c r="L26" s="133"/>
      <c r="M26" s="133"/>
      <c r="N26" s="133"/>
    </row>
    <row r="27" spans="1:14" x14ac:dyDescent="0.25">
      <c r="A27" t="s">
        <v>142</v>
      </c>
      <c r="B27" s="150">
        <v>27600</v>
      </c>
      <c r="C27" s="151">
        <v>32300</v>
      </c>
      <c r="D27">
        <v>18</v>
      </c>
      <c r="E27" s="150">
        <f>(B27*$B$5)</f>
        <v>2208</v>
      </c>
      <c r="F27" s="133">
        <f>B27/$B$4</f>
        <v>6900</v>
      </c>
      <c r="G27" s="133">
        <f>($B$3/D27)*$B$2</f>
        <v>5591.666666666667</v>
      </c>
      <c r="H27" s="125">
        <v>4500</v>
      </c>
      <c r="I27" s="133">
        <f>H27+G27+F27+E27</f>
        <v>19199.666666666668</v>
      </c>
      <c r="J27" s="133">
        <f t="shared" si="0"/>
        <v>2584</v>
      </c>
      <c r="K27" s="133">
        <f t="shared" si="1"/>
        <v>8075</v>
      </c>
      <c r="L27" s="133">
        <f t="shared" si="2"/>
        <v>5591.666666666667</v>
      </c>
      <c r="M27" s="133">
        <f t="shared" si="2"/>
        <v>4500</v>
      </c>
      <c r="N27" s="133">
        <f t="shared" si="3"/>
        <v>20750.666666666668</v>
      </c>
    </row>
    <row r="28" spans="1:14" s="141" customFormat="1" x14ac:dyDescent="0.25">
      <c r="A28" s="141" t="s">
        <v>133</v>
      </c>
      <c r="B28" s="152">
        <f>AVERAGE(B24:B27)</f>
        <v>29390</v>
      </c>
      <c r="C28" s="152">
        <f>AVERAGE(C27,C25,C24)</f>
        <v>33541.666666666664</v>
      </c>
      <c r="D28" s="141">
        <f>AVERAGE(D24:D27)</f>
        <v>18.25</v>
      </c>
      <c r="E28" s="152">
        <f>(B28*$B$5)</f>
        <v>2351.2000000000003</v>
      </c>
      <c r="F28" s="153">
        <f>B28/$B$4</f>
        <v>7347.5</v>
      </c>
      <c r="G28" s="153">
        <f>($B$3/D28)*$B$2</f>
        <v>5515.0684931506848</v>
      </c>
      <c r="H28" s="154">
        <v>4500</v>
      </c>
      <c r="I28" s="153">
        <f>H28+G28+F28+E28</f>
        <v>19713.768493150685</v>
      </c>
      <c r="J28" s="133">
        <f t="shared" si="0"/>
        <v>2683.333333333333</v>
      </c>
      <c r="K28" s="133">
        <f t="shared" si="1"/>
        <v>8385.4166666666661</v>
      </c>
      <c r="L28" s="133">
        <f t="shared" si="2"/>
        <v>5515.0684931506848</v>
      </c>
      <c r="M28" s="133">
        <f t="shared" si="2"/>
        <v>4500</v>
      </c>
      <c r="N28" s="133">
        <f t="shared" si="3"/>
        <v>21083.818493150684</v>
      </c>
    </row>
    <row r="29" spans="1:14" x14ac:dyDescent="0.25">
      <c r="E29" s="150"/>
      <c r="H29" s="125"/>
      <c r="J29" s="133"/>
      <c r="K29" s="133"/>
      <c r="L29" s="133"/>
      <c r="M29" s="133"/>
      <c r="N29" s="133"/>
    </row>
    <row r="30" spans="1:14" s="141" customFormat="1" x14ac:dyDescent="0.25">
      <c r="A30" s="141" t="s">
        <v>143</v>
      </c>
      <c r="B30" s="141" t="s">
        <v>135</v>
      </c>
      <c r="D30" s="141" t="s">
        <v>123</v>
      </c>
      <c r="E30" s="141" t="s">
        <v>124</v>
      </c>
      <c r="F30" s="141" t="s">
        <v>125</v>
      </c>
      <c r="G30" s="141" t="s">
        <v>126</v>
      </c>
      <c r="H30" s="141" t="s">
        <v>127</v>
      </c>
      <c r="I30" s="141" t="s">
        <v>128</v>
      </c>
      <c r="J30" s="133"/>
      <c r="K30" s="133"/>
      <c r="L30" s="133"/>
      <c r="M30" s="133"/>
      <c r="N30" s="141" t="s">
        <v>137</v>
      </c>
    </row>
    <row r="31" spans="1:14" x14ac:dyDescent="0.25">
      <c r="A31" t="s">
        <v>144</v>
      </c>
      <c r="B31" s="150">
        <v>32500</v>
      </c>
      <c r="C31" s="151">
        <v>33000</v>
      </c>
      <c r="D31">
        <v>11</v>
      </c>
      <c r="E31" s="150">
        <f>(B31*$B$5)</f>
        <v>2600</v>
      </c>
      <c r="F31" s="133">
        <f>B31/$B$4</f>
        <v>8125</v>
      </c>
      <c r="G31" s="133">
        <f>($B$3/D31)*$B$2</f>
        <v>9150</v>
      </c>
      <c r="H31" s="125">
        <v>4500</v>
      </c>
      <c r="I31" s="133">
        <f>H31+G31+F31+E31</f>
        <v>24375</v>
      </c>
      <c r="J31" s="133">
        <f t="shared" si="0"/>
        <v>2640</v>
      </c>
      <c r="K31" s="133">
        <f t="shared" si="1"/>
        <v>8250</v>
      </c>
      <c r="L31" s="133">
        <f t="shared" si="2"/>
        <v>9150</v>
      </c>
      <c r="M31" s="133">
        <f t="shared" si="2"/>
        <v>4500</v>
      </c>
      <c r="N31" s="133">
        <f t="shared" si="3"/>
        <v>24540</v>
      </c>
    </row>
    <row r="32" spans="1:14" x14ac:dyDescent="0.25">
      <c r="A32" t="s">
        <v>145</v>
      </c>
      <c r="B32" s="150">
        <v>36720</v>
      </c>
      <c r="C32" s="151">
        <v>36060</v>
      </c>
      <c r="D32">
        <v>15</v>
      </c>
      <c r="E32" s="150">
        <f>(B32*$B$5)</f>
        <v>2937.6</v>
      </c>
      <c r="F32" s="133">
        <f>B32/$B$4</f>
        <v>9180</v>
      </c>
      <c r="G32" s="133">
        <f>($B$3/D32)*$B$2</f>
        <v>6710</v>
      </c>
      <c r="H32" s="125">
        <v>4500</v>
      </c>
      <c r="I32" s="133">
        <f>H32+G32+F32+E32</f>
        <v>23327.599999999999</v>
      </c>
      <c r="J32" s="133">
        <f t="shared" si="0"/>
        <v>2884.8</v>
      </c>
      <c r="K32" s="133">
        <f t="shared" si="1"/>
        <v>9015</v>
      </c>
      <c r="L32" s="133">
        <f t="shared" si="2"/>
        <v>6710</v>
      </c>
      <c r="M32" s="133">
        <f t="shared" si="2"/>
        <v>4500</v>
      </c>
      <c r="N32" s="133">
        <f t="shared" si="3"/>
        <v>23109.8</v>
      </c>
    </row>
    <row r="33" spans="1:14" x14ac:dyDescent="0.25">
      <c r="A33" t="s">
        <v>146</v>
      </c>
      <c r="B33" s="150">
        <v>36360</v>
      </c>
      <c r="C33" s="151">
        <v>36860</v>
      </c>
      <c r="D33">
        <v>12</v>
      </c>
      <c r="E33" s="150">
        <f>(B33*$B$5)</f>
        <v>2908.8</v>
      </c>
      <c r="F33" s="133">
        <f>B33/$B$4</f>
        <v>9090</v>
      </c>
      <c r="G33" s="133">
        <f>($B$3/D33)*$B$2</f>
        <v>8387.5</v>
      </c>
      <c r="H33" s="125">
        <v>4500</v>
      </c>
      <c r="I33" s="133">
        <f>H33+G33+F33+E33</f>
        <v>24886.3</v>
      </c>
      <c r="J33" s="133">
        <f t="shared" si="0"/>
        <v>2948.8</v>
      </c>
      <c r="K33" s="133">
        <f t="shared" si="1"/>
        <v>9215</v>
      </c>
      <c r="L33" s="133">
        <f t="shared" si="2"/>
        <v>8387.5</v>
      </c>
      <c r="M33" s="133">
        <f t="shared" si="2"/>
        <v>4500</v>
      </c>
      <c r="N33" s="133">
        <f t="shared" si="3"/>
        <v>25051.3</v>
      </c>
    </row>
    <row r="34" spans="1:14" x14ac:dyDescent="0.25">
      <c r="A34" t="s">
        <v>147</v>
      </c>
      <c r="B34" s="150">
        <v>32500</v>
      </c>
      <c r="C34" s="151">
        <v>34295</v>
      </c>
      <c r="D34">
        <v>11</v>
      </c>
      <c r="E34" s="150">
        <f>(B34*$B$5)</f>
        <v>2600</v>
      </c>
      <c r="F34" s="133">
        <f>B34/$B$4</f>
        <v>8125</v>
      </c>
      <c r="G34" s="133">
        <f>($B$3/D34)*$B$2</f>
        <v>9150</v>
      </c>
      <c r="H34" s="125">
        <v>4500</v>
      </c>
      <c r="I34" s="133">
        <f>H34+G34+F34+E34</f>
        <v>24375</v>
      </c>
      <c r="J34" s="133">
        <f t="shared" si="0"/>
        <v>2743.6</v>
      </c>
      <c r="K34" s="133">
        <f t="shared" si="1"/>
        <v>8573.75</v>
      </c>
      <c r="L34" s="133">
        <f t="shared" si="2"/>
        <v>9150</v>
      </c>
      <c r="M34" s="133">
        <f t="shared" si="2"/>
        <v>4500</v>
      </c>
      <c r="N34" s="133">
        <f t="shared" si="3"/>
        <v>24967.35</v>
      </c>
    </row>
    <row r="35" spans="1:14" s="141" customFormat="1" x14ac:dyDescent="0.25">
      <c r="A35" s="141" t="s">
        <v>133</v>
      </c>
      <c r="B35" s="152">
        <f>AVERAGE(B31:B34)</f>
        <v>34520</v>
      </c>
      <c r="C35" s="152">
        <f>AVERAGE(C31:C34)</f>
        <v>35053.75</v>
      </c>
      <c r="D35" s="141">
        <f>AVERAGE(D31:D34)</f>
        <v>12.25</v>
      </c>
      <c r="E35" s="152">
        <f>(B35*$B$5)</f>
        <v>2761.6</v>
      </c>
      <c r="F35" s="153">
        <f>B35/$B$4</f>
        <v>8630</v>
      </c>
      <c r="G35" s="153">
        <f>($B$3/D35)*$B$2</f>
        <v>8216.3265306122448</v>
      </c>
      <c r="H35" s="154">
        <v>4500</v>
      </c>
      <c r="I35" s="153">
        <f>H35+G35+F35+E35</f>
        <v>24107.926530612243</v>
      </c>
      <c r="J35" s="133">
        <f t="shared" si="0"/>
        <v>2804.3</v>
      </c>
      <c r="K35" s="133">
        <f t="shared" si="1"/>
        <v>8763.4375</v>
      </c>
      <c r="L35" s="133">
        <f t="shared" si="2"/>
        <v>8216.3265306122448</v>
      </c>
      <c r="M35" s="133">
        <f t="shared" si="2"/>
        <v>4500</v>
      </c>
      <c r="N35" s="133">
        <f t="shared" si="3"/>
        <v>24284.064030612244</v>
      </c>
    </row>
    <row r="36" spans="1:14" x14ac:dyDescent="0.25">
      <c r="H36" s="125"/>
    </row>
    <row r="37" spans="1:14" s="141" customFormat="1" x14ac:dyDescent="0.25">
      <c r="A37" s="141" t="s">
        <v>148</v>
      </c>
      <c r="B37" s="152">
        <v>46000</v>
      </c>
      <c r="C37" s="152"/>
      <c r="D37" s="141">
        <v>10</v>
      </c>
      <c r="E37" s="152">
        <f>(B37*$B$5)</f>
        <v>3680</v>
      </c>
      <c r="F37" s="153">
        <f>B37/$B$4</f>
        <v>11500</v>
      </c>
      <c r="G37" s="153">
        <f>($B$3/D37)*$B$2</f>
        <v>10065</v>
      </c>
      <c r="H37" s="154">
        <v>5000</v>
      </c>
      <c r="I37" s="153">
        <f>H37+G37+F37+E37</f>
        <v>30245</v>
      </c>
    </row>
    <row r="38" spans="1:14" x14ac:dyDescent="0.25">
      <c r="B38" s="155">
        <v>50480</v>
      </c>
      <c r="D38" s="141">
        <v>10</v>
      </c>
      <c r="E38" s="152">
        <f>(B38*$B$5)</f>
        <v>4038.4</v>
      </c>
      <c r="F38" s="153">
        <f>B38/$B$4</f>
        <v>12620</v>
      </c>
      <c r="G38" s="153">
        <f>($B$3/D38)*$B$2</f>
        <v>10065</v>
      </c>
      <c r="H38" s="154">
        <v>5000</v>
      </c>
      <c r="N38" s="153">
        <f>H38+G38+F38+E38</f>
        <v>31723.4</v>
      </c>
    </row>
  </sheetData>
  <mergeCells count="2">
    <mergeCell ref="A8:B8"/>
    <mergeCell ref="A14:B14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0BD1-EAAC-4AC6-A9F2-5FBB2CE1502F}">
  <dimension ref="B2:K13"/>
  <sheetViews>
    <sheetView topLeftCell="B1" workbookViewId="0">
      <selection activeCell="G24" sqref="G24"/>
    </sheetView>
  </sheetViews>
  <sheetFormatPr defaultColWidth="8.7109375" defaultRowHeight="15" x14ac:dyDescent="0.25"/>
  <cols>
    <col min="1" max="1" width="8.7109375" style="161"/>
    <col min="2" max="2" width="31.42578125" style="161" bestFit="1" customWidth="1"/>
    <col min="3" max="3" width="10.85546875" style="167" customWidth="1"/>
    <col min="4" max="4" width="15.140625" style="161" customWidth="1"/>
    <col min="5" max="5" width="8.7109375" style="161"/>
    <col min="6" max="6" width="17.85546875" style="161" bestFit="1" customWidth="1"/>
    <col min="7" max="7" width="8.5703125" style="161" bestFit="1" customWidth="1"/>
    <col min="8" max="8" width="8.7109375" style="161"/>
    <col min="9" max="9" width="40.140625" style="161" bestFit="1" customWidth="1"/>
    <col min="10" max="10" width="10.85546875" style="161" bestFit="1" customWidth="1"/>
    <col min="11" max="16384" width="8.7109375" style="161"/>
  </cols>
  <sheetData>
    <row r="2" spans="2:11" x14ac:dyDescent="0.25">
      <c r="B2" s="386" t="s">
        <v>32</v>
      </c>
      <c r="C2" s="386"/>
      <c r="I2" s="162" t="s">
        <v>149</v>
      </c>
      <c r="J2" s="162" t="s">
        <v>32</v>
      </c>
    </row>
    <row r="3" spans="2:11" ht="57.95" customHeight="1" x14ac:dyDescent="0.25">
      <c r="B3" s="163" t="s">
        <v>150</v>
      </c>
      <c r="C3" s="164">
        <v>199</v>
      </c>
      <c r="I3" s="165" t="s">
        <v>151</v>
      </c>
      <c r="J3" s="164">
        <v>199</v>
      </c>
    </row>
    <row r="4" spans="2:11" x14ac:dyDescent="0.25">
      <c r="B4" s="165" t="s">
        <v>152</v>
      </c>
      <c r="C4" s="164">
        <v>125</v>
      </c>
      <c r="I4" s="165" t="s">
        <v>153</v>
      </c>
      <c r="J4" s="164">
        <f>125/3</f>
        <v>41.666666666666664</v>
      </c>
    </row>
    <row r="5" spans="2:11" ht="75" x14ac:dyDescent="0.25">
      <c r="B5" s="163" t="s">
        <v>154</v>
      </c>
      <c r="C5" s="164" t="s">
        <v>155</v>
      </c>
      <c r="D5" s="166" t="s">
        <v>156</v>
      </c>
      <c r="I5" s="165" t="s">
        <v>157</v>
      </c>
      <c r="J5" s="164">
        <f>300/J11</f>
        <v>24.390243902439025</v>
      </c>
      <c r="K5" s="166"/>
    </row>
    <row r="6" spans="2:11" x14ac:dyDescent="0.25">
      <c r="I6" s="165" t="s">
        <v>158</v>
      </c>
      <c r="J6" s="164">
        <f>650/J11</f>
        <v>52.845528455284551</v>
      </c>
    </row>
    <row r="7" spans="2:11" x14ac:dyDescent="0.25">
      <c r="B7" s="386" t="s">
        <v>32</v>
      </c>
      <c r="C7" s="386"/>
      <c r="I7" s="168" t="s">
        <v>4</v>
      </c>
      <c r="J7" s="169">
        <f>SUM(J3:J6)</f>
        <v>317.90243902439022</v>
      </c>
    </row>
    <row r="8" spans="2:11" ht="30" x14ac:dyDescent="0.25">
      <c r="B8" s="170" t="s">
        <v>159</v>
      </c>
      <c r="C8" s="164">
        <v>650</v>
      </c>
      <c r="I8" s="165" t="s">
        <v>160</v>
      </c>
      <c r="J8" s="171">
        <v>0.5</v>
      </c>
    </row>
    <row r="9" spans="2:11" x14ac:dyDescent="0.25">
      <c r="I9" s="172" t="s">
        <v>161</v>
      </c>
      <c r="J9" s="173">
        <f>J7*J8</f>
        <v>158.95121951219511</v>
      </c>
    </row>
    <row r="10" spans="2:11" x14ac:dyDescent="0.25">
      <c r="C10" s="161"/>
    </row>
    <row r="11" spans="2:11" x14ac:dyDescent="0.25">
      <c r="I11" s="161" t="s">
        <v>162</v>
      </c>
      <c r="J11" s="161">
        <v>12.3</v>
      </c>
    </row>
    <row r="13" spans="2:11" x14ac:dyDescent="0.25">
      <c r="I13" s="166"/>
    </row>
  </sheetData>
  <mergeCells count="2">
    <mergeCell ref="B2:C2"/>
    <mergeCell ref="B7:C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7CFA-189E-41C6-90EB-D6029F50DE58}">
  <dimension ref="B2:F30"/>
  <sheetViews>
    <sheetView workbookViewId="0">
      <selection activeCell="H25" sqref="H25"/>
    </sheetView>
  </sheetViews>
  <sheetFormatPr defaultRowHeight="15" x14ac:dyDescent="0.25"/>
  <cols>
    <col min="2" max="2" width="28.5703125" bestFit="1" customWidth="1"/>
    <col min="3" max="3" width="10.140625" bestFit="1" customWidth="1"/>
    <col min="4" max="4" width="12.28515625" bestFit="1" customWidth="1"/>
    <col min="5" max="5" width="20.5703125" customWidth="1"/>
    <col min="6" max="6" width="12.7109375" customWidth="1"/>
  </cols>
  <sheetData>
    <row r="2" spans="2:6" ht="15.75" thickBot="1" x14ac:dyDescent="0.3"/>
    <row r="3" spans="2:6" ht="15.75" thickBot="1" x14ac:dyDescent="0.3">
      <c r="B3" s="174"/>
      <c r="C3" s="175" t="s">
        <v>49</v>
      </c>
      <c r="D3" s="176" t="s">
        <v>54</v>
      </c>
      <c r="E3" s="387" t="s">
        <v>62</v>
      </c>
      <c r="F3" s="388"/>
    </row>
    <row r="4" spans="2:6" x14ac:dyDescent="0.25">
      <c r="B4" s="177" t="s">
        <v>8</v>
      </c>
      <c r="C4" s="178">
        <f>'[15]Salaries - benchmark'!F7</f>
        <v>39521.664000000004</v>
      </c>
      <c r="D4" s="178">
        <f>'[15]Salaries - benchmark'!F8</f>
        <v>50421.529600000002</v>
      </c>
      <c r="E4" s="389" t="s">
        <v>268</v>
      </c>
      <c r="F4" s="390"/>
    </row>
    <row r="5" spans="2:6" x14ac:dyDescent="0.25">
      <c r="B5" s="179" t="s">
        <v>22</v>
      </c>
      <c r="C5" s="180">
        <f>'Master Lookup'!B20</f>
        <v>0.25390000000000001</v>
      </c>
      <c r="D5" s="180">
        <f>'Master Lookup'!B20</f>
        <v>0.25390000000000001</v>
      </c>
      <c r="E5" s="391" t="s">
        <v>163</v>
      </c>
      <c r="F5" s="392"/>
    </row>
    <row r="6" spans="2:6" x14ac:dyDescent="0.25">
      <c r="B6" s="179" t="s">
        <v>164</v>
      </c>
      <c r="C6" s="181">
        <f t="shared" ref="C6:D6" si="0">C4*C5</f>
        <v>10034.550489600002</v>
      </c>
      <c r="D6" s="181">
        <f t="shared" si="0"/>
        <v>12802.026365440001</v>
      </c>
      <c r="F6" s="156"/>
    </row>
    <row r="7" spans="2:6" x14ac:dyDescent="0.25">
      <c r="B7" s="179" t="s">
        <v>165</v>
      </c>
      <c r="C7" s="181">
        <f>C4+C6</f>
        <v>49556.21448960001</v>
      </c>
      <c r="D7" s="181">
        <f t="shared" ref="D7" si="1">D4+D6</f>
        <v>63223.555965439999</v>
      </c>
      <c r="F7" s="156"/>
    </row>
    <row r="8" spans="2:6" x14ac:dyDescent="0.25">
      <c r="B8" s="179" t="s">
        <v>166</v>
      </c>
      <c r="C8" s="180">
        <f>'Master Lookup'!B39</f>
        <v>2.7799999999999998E-2</v>
      </c>
      <c r="D8" s="180">
        <f>'Master Lookup'!B39</f>
        <v>2.7799999999999998E-2</v>
      </c>
      <c r="F8" s="156"/>
    </row>
    <row r="9" spans="2:6" x14ac:dyDescent="0.25">
      <c r="B9" s="179" t="s">
        <v>167</v>
      </c>
      <c r="C9" s="181">
        <f>C8*C7</f>
        <v>1377.6627628108802</v>
      </c>
      <c r="D9" s="181">
        <f>D8*D7</f>
        <v>1757.614855839232</v>
      </c>
      <c r="F9" s="156"/>
    </row>
    <row r="10" spans="2:6" x14ac:dyDescent="0.25">
      <c r="B10" s="179" t="s">
        <v>168</v>
      </c>
      <c r="C10" s="182">
        <f>C7+C9</f>
        <v>50933.877252410894</v>
      </c>
      <c r="D10" s="182">
        <f>D7+D9</f>
        <v>64981.170821279229</v>
      </c>
      <c r="F10" s="156"/>
    </row>
    <row r="11" spans="2:6" x14ac:dyDescent="0.25">
      <c r="B11" s="179" t="s">
        <v>2</v>
      </c>
      <c r="C11" s="183">
        <f>E30</f>
        <v>1952</v>
      </c>
      <c r="D11" s="183">
        <f>E30</f>
        <v>1952</v>
      </c>
      <c r="F11" s="156"/>
    </row>
    <row r="12" spans="2:6" ht="15.75" thickBot="1" x14ac:dyDescent="0.3">
      <c r="B12" s="184" t="s">
        <v>169</v>
      </c>
      <c r="C12" s="185">
        <f>C10/C11</f>
        <v>26.093174821931811</v>
      </c>
      <c r="D12" s="185">
        <f>D10/D11</f>
        <v>33.289534232212716</v>
      </c>
      <c r="E12" s="158"/>
      <c r="F12" s="159"/>
    </row>
    <row r="13" spans="2:6" ht="15.75" hidden="1" thickBot="1" x14ac:dyDescent="0.3">
      <c r="B13" s="186" t="s">
        <v>170</v>
      </c>
      <c r="C13" s="187">
        <f>(C9+C10)/12</f>
        <v>4359.2950012684814</v>
      </c>
    </row>
    <row r="14" spans="2:6" ht="15.75" hidden="1" thickBot="1" x14ac:dyDescent="0.3">
      <c r="B14" s="186" t="s">
        <v>171</v>
      </c>
      <c r="C14" s="187">
        <f>C13*0.75</f>
        <v>3269.4712509513611</v>
      </c>
    </row>
    <row r="15" spans="2:6" ht="15.75" hidden="1" thickBot="1" x14ac:dyDescent="0.3">
      <c r="B15" s="186" t="s">
        <v>172</v>
      </c>
      <c r="C15" s="187">
        <f>C13*0.5</f>
        <v>2179.6475006342407</v>
      </c>
    </row>
    <row r="16" spans="2:6" ht="15.75" hidden="1" thickBot="1" x14ac:dyDescent="0.3">
      <c r="B16" s="186" t="s">
        <v>173</v>
      </c>
      <c r="C16" s="187">
        <f>C13*0.25</f>
        <v>1089.8237503171204</v>
      </c>
    </row>
    <row r="17" spans="2:6" ht="15.75" hidden="1" thickBot="1" x14ac:dyDescent="0.3">
      <c r="C17" s="188">
        <f>20.32*0.25</f>
        <v>5.08</v>
      </c>
      <c r="D17" s="189">
        <f>26.2*0.25</f>
        <v>6.55</v>
      </c>
    </row>
    <row r="18" spans="2:6" ht="15.75" thickBot="1" x14ac:dyDescent="0.3">
      <c r="B18" s="190" t="s">
        <v>174</v>
      </c>
      <c r="C18" s="191">
        <f>C12/4</f>
        <v>6.5232937054829527</v>
      </c>
      <c r="D18" s="192">
        <f>D12/4</f>
        <v>8.3223835580531791</v>
      </c>
      <c r="E18" s="193"/>
      <c r="F18" s="194"/>
    </row>
    <row r="19" spans="2:6" x14ac:dyDescent="0.25">
      <c r="B19" s="195"/>
    </row>
    <row r="20" spans="2:6" x14ac:dyDescent="0.25">
      <c r="B20" s="195"/>
      <c r="C20" s="196"/>
      <c r="D20" s="197"/>
    </row>
    <row r="21" spans="2:6" x14ac:dyDescent="0.25">
      <c r="C21" s="196"/>
      <c r="D21" s="197"/>
    </row>
    <row r="22" spans="2:6" x14ac:dyDescent="0.25">
      <c r="C22" s="198"/>
      <c r="D22" s="198"/>
    </row>
    <row r="25" spans="2:6" ht="15.75" thickBot="1" x14ac:dyDescent="0.3">
      <c r="B25" s="199" t="s">
        <v>175</v>
      </c>
      <c r="C25" s="200"/>
      <c r="D25" s="201"/>
      <c r="E25" s="200"/>
    </row>
    <row r="26" spans="2:6" x14ac:dyDescent="0.25">
      <c r="B26" s="202"/>
      <c r="C26" s="203"/>
      <c r="D26" s="204" t="s">
        <v>81</v>
      </c>
      <c r="E26" s="205" t="s">
        <v>3</v>
      </c>
    </row>
    <row r="27" spans="2:6" x14ac:dyDescent="0.25">
      <c r="B27" s="206"/>
      <c r="C27" s="207" t="s">
        <v>176</v>
      </c>
      <c r="D27" s="208">
        <v>15</v>
      </c>
      <c r="E27" s="209">
        <f>D27*8</f>
        <v>120</v>
      </c>
    </row>
    <row r="28" spans="2:6" x14ac:dyDescent="0.25">
      <c r="B28" s="210"/>
      <c r="C28" s="211" t="s">
        <v>177</v>
      </c>
      <c r="D28" s="212">
        <v>1</v>
      </c>
      <c r="E28" s="213">
        <f>D28*8</f>
        <v>8</v>
      </c>
    </row>
    <row r="29" spans="2:6" x14ac:dyDescent="0.25">
      <c r="B29" s="206"/>
      <c r="C29" s="214"/>
      <c r="D29" s="207" t="s">
        <v>178</v>
      </c>
      <c r="E29" s="215">
        <f>SUM(E27:E28)</f>
        <v>128</v>
      </c>
    </row>
    <row r="30" spans="2:6" ht="15.75" thickBot="1" x14ac:dyDescent="0.3">
      <c r="B30" s="216"/>
      <c r="C30" s="217"/>
      <c r="D30" s="218" t="s">
        <v>2</v>
      </c>
      <c r="E30" s="219">
        <f>2080-E29</f>
        <v>1952</v>
      </c>
    </row>
  </sheetData>
  <mergeCells count="3">
    <mergeCell ref="E3:F3"/>
    <mergeCell ref="E4:F4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347F-9F79-492B-82D7-BDE1E2FFA7E0}">
  <sheetPr>
    <pageSetUpPr fitToPage="1"/>
  </sheetPr>
  <dimension ref="B1:F52"/>
  <sheetViews>
    <sheetView showGridLines="0" topLeftCell="A31" zoomScale="60" zoomScaleNormal="60" workbookViewId="0">
      <selection activeCell="K46" sqref="K46"/>
    </sheetView>
  </sheetViews>
  <sheetFormatPr defaultRowHeight="26.25" x14ac:dyDescent="0.4"/>
  <cols>
    <col min="1" max="1" width="5.5703125" style="220" customWidth="1"/>
    <col min="2" max="2" width="96.5703125" style="220" customWidth="1"/>
    <col min="3" max="3" width="24.140625" style="220" customWidth="1"/>
    <col min="4" max="4" width="69.140625" style="220" customWidth="1"/>
    <col min="5" max="5" width="69.140625" style="222" customWidth="1"/>
    <col min="6" max="6" width="44" style="222" customWidth="1"/>
    <col min="7" max="243" width="8.7109375" style="220"/>
    <col min="244" max="244" width="5.5703125" style="220" customWidth="1"/>
    <col min="245" max="245" width="58" style="220" customWidth="1"/>
    <col min="246" max="246" width="24.140625" style="220" customWidth="1"/>
    <col min="247" max="248" width="0" style="220" hidden="1" customWidth="1"/>
    <col min="249" max="249" width="61.42578125" style="220" customWidth="1"/>
    <col min="250" max="250" width="62.140625" style="220" customWidth="1"/>
    <col min="251" max="254" width="0" style="220" hidden="1" customWidth="1"/>
    <col min="255" max="499" width="8.7109375" style="220"/>
    <col min="500" max="500" width="5.5703125" style="220" customWidth="1"/>
    <col min="501" max="501" width="58" style="220" customWidth="1"/>
    <col min="502" max="502" width="24.140625" style="220" customWidth="1"/>
    <col min="503" max="504" width="0" style="220" hidden="1" customWidth="1"/>
    <col min="505" max="505" width="61.42578125" style="220" customWidth="1"/>
    <col min="506" max="506" width="62.140625" style="220" customWidth="1"/>
    <col min="507" max="510" width="0" style="220" hidden="1" customWidth="1"/>
    <col min="511" max="755" width="8.7109375" style="220"/>
    <col min="756" max="756" width="5.5703125" style="220" customWidth="1"/>
    <col min="757" max="757" width="58" style="220" customWidth="1"/>
    <col min="758" max="758" width="24.140625" style="220" customWidth="1"/>
    <col min="759" max="760" width="0" style="220" hidden="1" customWidth="1"/>
    <col min="761" max="761" width="61.42578125" style="220" customWidth="1"/>
    <col min="762" max="762" width="62.140625" style="220" customWidth="1"/>
    <col min="763" max="766" width="0" style="220" hidden="1" customWidth="1"/>
    <col min="767" max="1011" width="8.7109375" style="220"/>
    <col min="1012" max="1012" width="5.5703125" style="220" customWidth="1"/>
    <col min="1013" max="1013" width="58" style="220" customWidth="1"/>
    <col min="1014" max="1014" width="24.140625" style="220" customWidth="1"/>
    <col min="1015" max="1016" width="0" style="220" hidden="1" customWidth="1"/>
    <col min="1017" max="1017" width="61.42578125" style="220" customWidth="1"/>
    <col min="1018" max="1018" width="62.140625" style="220" customWidth="1"/>
    <col min="1019" max="1022" width="0" style="220" hidden="1" customWidth="1"/>
    <col min="1023" max="1267" width="8.7109375" style="220"/>
    <col min="1268" max="1268" width="5.5703125" style="220" customWidth="1"/>
    <col min="1269" max="1269" width="58" style="220" customWidth="1"/>
    <col min="1270" max="1270" width="24.140625" style="220" customWidth="1"/>
    <col min="1271" max="1272" width="0" style="220" hidden="1" customWidth="1"/>
    <col min="1273" max="1273" width="61.42578125" style="220" customWidth="1"/>
    <col min="1274" max="1274" width="62.140625" style="220" customWidth="1"/>
    <col min="1275" max="1278" width="0" style="220" hidden="1" customWidth="1"/>
    <col min="1279" max="1523" width="8.7109375" style="220"/>
    <col min="1524" max="1524" width="5.5703125" style="220" customWidth="1"/>
    <col min="1525" max="1525" width="58" style="220" customWidth="1"/>
    <col min="1526" max="1526" width="24.140625" style="220" customWidth="1"/>
    <col min="1527" max="1528" width="0" style="220" hidden="1" customWidth="1"/>
    <col min="1529" max="1529" width="61.42578125" style="220" customWidth="1"/>
    <col min="1530" max="1530" width="62.140625" style="220" customWidth="1"/>
    <col min="1531" max="1534" width="0" style="220" hidden="1" customWidth="1"/>
    <col min="1535" max="1779" width="8.7109375" style="220"/>
    <col min="1780" max="1780" width="5.5703125" style="220" customWidth="1"/>
    <col min="1781" max="1781" width="58" style="220" customWidth="1"/>
    <col min="1782" max="1782" width="24.140625" style="220" customWidth="1"/>
    <col min="1783" max="1784" width="0" style="220" hidden="1" customWidth="1"/>
    <col min="1785" max="1785" width="61.42578125" style="220" customWidth="1"/>
    <col min="1786" max="1786" width="62.140625" style="220" customWidth="1"/>
    <col min="1787" max="1790" width="0" style="220" hidden="1" customWidth="1"/>
    <col min="1791" max="2035" width="8.7109375" style="220"/>
    <col min="2036" max="2036" width="5.5703125" style="220" customWidth="1"/>
    <col min="2037" max="2037" width="58" style="220" customWidth="1"/>
    <col min="2038" max="2038" width="24.140625" style="220" customWidth="1"/>
    <col min="2039" max="2040" width="0" style="220" hidden="1" customWidth="1"/>
    <col min="2041" max="2041" width="61.42578125" style="220" customWidth="1"/>
    <col min="2042" max="2042" width="62.140625" style="220" customWidth="1"/>
    <col min="2043" max="2046" width="0" style="220" hidden="1" customWidth="1"/>
    <col min="2047" max="2291" width="8.7109375" style="220"/>
    <col min="2292" max="2292" width="5.5703125" style="220" customWidth="1"/>
    <col min="2293" max="2293" width="58" style="220" customWidth="1"/>
    <col min="2294" max="2294" width="24.140625" style="220" customWidth="1"/>
    <col min="2295" max="2296" width="0" style="220" hidden="1" customWidth="1"/>
    <col min="2297" max="2297" width="61.42578125" style="220" customWidth="1"/>
    <col min="2298" max="2298" width="62.140625" style="220" customWidth="1"/>
    <col min="2299" max="2302" width="0" style="220" hidden="1" customWidth="1"/>
    <col min="2303" max="2547" width="8.7109375" style="220"/>
    <col min="2548" max="2548" width="5.5703125" style="220" customWidth="1"/>
    <col min="2549" max="2549" width="58" style="220" customWidth="1"/>
    <col min="2550" max="2550" width="24.140625" style="220" customWidth="1"/>
    <col min="2551" max="2552" width="0" style="220" hidden="1" customWidth="1"/>
    <col min="2553" max="2553" width="61.42578125" style="220" customWidth="1"/>
    <col min="2554" max="2554" width="62.140625" style="220" customWidth="1"/>
    <col min="2555" max="2558" width="0" style="220" hidden="1" customWidth="1"/>
    <col min="2559" max="2803" width="8.7109375" style="220"/>
    <col min="2804" max="2804" width="5.5703125" style="220" customWidth="1"/>
    <col min="2805" max="2805" width="58" style="220" customWidth="1"/>
    <col min="2806" max="2806" width="24.140625" style="220" customWidth="1"/>
    <col min="2807" max="2808" width="0" style="220" hidden="1" customWidth="1"/>
    <col min="2809" max="2809" width="61.42578125" style="220" customWidth="1"/>
    <col min="2810" max="2810" width="62.140625" style="220" customWidth="1"/>
    <col min="2811" max="2814" width="0" style="220" hidden="1" customWidth="1"/>
    <col min="2815" max="3059" width="8.7109375" style="220"/>
    <col min="3060" max="3060" width="5.5703125" style="220" customWidth="1"/>
    <col min="3061" max="3061" width="58" style="220" customWidth="1"/>
    <col min="3062" max="3062" width="24.140625" style="220" customWidth="1"/>
    <col min="3063" max="3064" width="0" style="220" hidden="1" customWidth="1"/>
    <col min="3065" max="3065" width="61.42578125" style="220" customWidth="1"/>
    <col min="3066" max="3066" width="62.140625" style="220" customWidth="1"/>
    <col min="3067" max="3070" width="0" style="220" hidden="1" customWidth="1"/>
    <col min="3071" max="3315" width="8.7109375" style="220"/>
    <col min="3316" max="3316" width="5.5703125" style="220" customWidth="1"/>
    <col min="3317" max="3317" width="58" style="220" customWidth="1"/>
    <col min="3318" max="3318" width="24.140625" style="220" customWidth="1"/>
    <col min="3319" max="3320" width="0" style="220" hidden="1" customWidth="1"/>
    <col min="3321" max="3321" width="61.42578125" style="220" customWidth="1"/>
    <col min="3322" max="3322" width="62.140625" style="220" customWidth="1"/>
    <col min="3323" max="3326" width="0" style="220" hidden="1" customWidth="1"/>
    <col min="3327" max="3571" width="8.7109375" style="220"/>
    <col min="3572" max="3572" width="5.5703125" style="220" customWidth="1"/>
    <col min="3573" max="3573" width="58" style="220" customWidth="1"/>
    <col min="3574" max="3574" width="24.140625" style="220" customWidth="1"/>
    <col min="3575" max="3576" width="0" style="220" hidden="1" customWidth="1"/>
    <col min="3577" max="3577" width="61.42578125" style="220" customWidth="1"/>
    <col min="3578" max="3578" width="62.140625" style="220" customWidth="1"/>
    <col min="3579" max="3582" width="0" style="220" hidden="1" customWidth="1"/>
    <col min="3583" max="3827" width="8.7109375" style="220"/>
    <col min="3828" max="3828" width="5.5703125" style="220" customWidth="1"/>
    <col min="3829" max="3829" width="58" style="220" customWidth="1"/>
    <col min="3830" max="3830" width="24.140625" style="220" customWidth="1"/>
    <col min="3831" max="3832" width="0" style="220" hidden="1" customWidth="1"/>
    <col min="3833" max="3833" width="61.42578125" style="220" customWidth="1"/>
    <col min="3834" max="3834" width="62.140625" style="220" customWidth="1"/>
    <col min="3835" max="3838" width="0" style="220" hidden="1" customWidth="1"/>
    <col min="3839" max="4083" width="8.7109375" style="220"/>
    <col min="4084" max="4084" width="5.5703125" style="220" customWidth="1"/>
    <col min="4085" max="4085" width="58" style="220" customWidth="1"/>
    <col min="4086" max="4086" width="24.140625" style="220" customWidth="1"/>
    <col min="4087" max="4088" width="0" style="220" hidden="1" customWidth="1"/>
    <col min="4089" max="4089" width="61.42578125" style="220" customWidth="1"/>
    <col min="4090" max="4090" width="62.140625" style="220" customWidth="1"/>
    <col min="4091" max="4094" width="0" style="220" hidden="1" customWidth="1"/>
    <col min="4095" max="4339" width="8.7109375" style="220"/>
    <col min="4340" max="4340" width="5.5703125" style="220" customWidth="1"/>
    <col min="4341" max="4341" width="58" style="220" customWidth="1"/>
    <col min="4342" max="4342" width="24.140625" style="220" customWidth="1"/>
    <col min="4343" max="4344" width="0" style="220" hidden="1" customWidth="1"/>
    <col min="4345" max="4345" width="61.42578125" style="220" customWidth="1"/>
    <col min="4346" max="4346" width="62.140625" style="220" customWidth="1"/>
    <col min="4347" max="4350" width="0" style="220" hidden="1" customWidth="1"/>
    <col min="4351" max="4595" width="8.7109375" style="220"/>
    <col min="4596" max="4596" width="5.5703125" style="220" customWidth="1"/>
    <col min="4597" max="4597" width="58" style="220" customWidth="1"/>
    <col min="4598" max="4598" width="24.140625" style="220" customWidth="1"/>
    <col min="4599" max="4600" width="0" style="220" hidden="1" customWidth="1"/>
    <col min="4601" max="4601" width="61.42578125" style="220" customWidth="1"/>
    <col min="4602" max="4602" width="62.140625" style="220" customWidth="1"/>
    <col min="4603" max="4606" width="0" style="220" hidden="1" customWidth="1"/>
    <col min="4607" max="4851" width="8.7109375" style="220"/>
    <col min="4852" max="4852" width="5.5703125" style="220" customWidth="1"/>
    <col min="4853" max="4853" width="58" style="220" customWidth="1"/>
    <col min="4854" max="4854" width="24.140625" style="220" customWidth="1"/>
    <col min="4855" max="4856" width="0" style="220" hidden="1" customWidth="1"/>
    <col min="4857" max="4857" width="61.42578125" style="220" customWidth="1"/>
    <col min="4858" max="4858" width="62.140625" style="220" customWidth="1"/>
    <col min="4859" max="4862" width="0" style="220" hidden="1" customWidth="1"/>
    <col min="4863" max="5107" width="8.7109375" style="220"/>
    <col min="5108" max="5108" width="5.5703125" style="220" customWidth="1"/>
    <col min="5109" max="5109" width="58" style="220" customWidth="1"/>
    <col min="5110" max="5110" width="24.140625" style="220" customWidth="1"/>
    <col min="5111" max="5112" width="0" style="220" hidden="1" customWidth="1"/>
    <col min="5113" max="5113" width="61.42578125" style="220" customWidth="1"/>
    <col min="5114" max="5114" width="62.140625" style="220" customWidth="1"/>
    <col min="5115" max="5118" width="0" style="220" hidden="1" customWidth="1"/>
    <col min="5119" max="5363" width="8.7109375" style="220"/>
    <col min="5364" max="5364" width="5.5703125" style="220" customWidth="1"/>
    <col min="5365" max="5365" width="58" style="220" customWidth="1"/>
    <col min="5366" max="5366" width="24.140625" style="220" customWidth="1"/>
    <col min="5367" max="5368" width="0" style="220" hidden="1" customWidth="1"/>
    <col min="5369" max="5369" width="61.42578125" style="220" customWidth="1"/>
    <col min="5370" max="5370" width="62.140625" style="220" customWidth="1"/>
    <col min="5371" max="5374" width="0" style="220" hidden="1" customWidth="1"/>
    <col min="5375" max="5619" width="8.7109375" style="220"/>
    <col min="5620" max="5620" width="5.5703125" style="220" customWidth="1"/>
    <col min="5621" max="5621" width="58" style="220" customWidth="1"/>
    <col min="5622" max="5622" width="24.140625" style="220" customWidth="1"/>
    <col min="5623" max="5624" width="0" style="220" hidden="1" customWidth="1"/>
    <col min="5625" max="5625" width="61.42578125" style="220" customWidth="1"/>
    <col min="5626" max="5626" width="62.140625" style="220" customWidth="1"/>
    <col min="5627" max="5630" width="0" style="220" hidden="1" customWidth="1"/>
    <col min="5631" max="5875" width="8.7109375" style="220"/>
    <col min="5876" max="5876" width="5.5703125" style="220" customWidth="1"/>
    <col min="5877" max="5877" width="58" style="220" customWidth="1"/>
    <col min="5878" max="5878" width="24.140625" style="220" customWidth="1"/>
    <col min="5879" max="5880" width="0" style="220" hidden="1" customWidth="1"/>
    <col min="5881" max="5881" width="61.42578125" style="220" customWidth="1"/>
    <col min="5882" max="5882" width="62.140625" style="220" customWidth="1"/>
    <col min="5883" max="5886" width="0" style="220" hidden="1" customWidth="1"/>
    <col min="5887" max="6131" width="8.7109375" style="220"/>
    <col min="6132" max="6132" width="5.5703125" style="220" customWidth="1"/>
    <col min="6133" max="6133" width="58" style="220" customWidth="1"/>
    <col min="6134" max="6134" width="24.140625" style="220" customWidth="1"/>
    <col min="6135" max="6136" width="0" style="220" hidden="1" customWidth="1"/>
    <col min="6137" max="6137" width="61.42578125" style="220" customWidth="1"/>
    <col min="6138" max="6138" width="62.140625" style="220" customWidth="1"/>
    <col min="6139" max="6142" width="0" style="220" hidden="1" customWidth="1"/>
    <col min="6143" max="6387" width="8.7109375" style="220"/>
    <col min="6388" max="6388" width="5.5703125" style="220" customWidth="1"/>
    <col min="6389" max="6389" width="58" style="220" customWidth="1"/>
    <col min="6390" max="6390" width="24.140625" style="220" customWidth="1"/>
    <col min="6391" max="6392" width="0" style="220" hidden="1" customWidth="1"/>
    <col min="6393" max="6393" width="61.42578125" style="220" customWidth="1"/>
    <col min="6394" max="6394" width="62.140625" style="220" customWidth="1"/>
    <col min="6395" max="6398" width="0" style="220" hidden="1" customWidth="1"/>
    <col min="6399" max="6643" width="8.7109375" style="220"/>
    <col min="6644" max="6644" width="5.5703125" style="220" customWidth="1"/>
    <col min="6645" max="6645" width="58" style="220" customWidth="1"/>
    <col min="6646" max="6646" width="24.140625" style="220" customWidth="1"/>
    <col min="6647" max="6648" width="0" style="220" hidden="1" customWidth="1"/>
    <col min="6649" max="6649" width="61.42578125" style="220" customWidth="1"/>
    <col min="6650" max="6650" width="62.140625" style="220" customWidth="1"/>
    <col min="6651" max="6654" width="0" style="220" hidden="1" customWidth="1"/>
    <col min="6655" max="6899" width="8.7109375" style="220"/>
    <col min="6900" max="6900" width="5.5703125" style="220" customWidth="1"/>
    <col min="6901" max="6901" width="58" style="220" customWidth="1"/>
    <col min="6902" max="6902" width="24.140625" style="220" customWidth="1"/>
    <col min="6903" max="6904" width="0" style="220" hidden="1" customWidth="1"/>
    <col min="6905" max="6905" width="61.42578125" style="220" customWidth="1"/>
    <col min="6906" max="6906" width="62.140625" style="220" customWidth="1"/>
    <col min="6907" max="6910" width="0" style="220" hidden="1" customWidth="1"/>
    <col min="6911" max="7155" width="8.7109375" style="220"/>
    <col min="7156" max="7156" width="5.5703125" style="220" customWidth="1"/>
    <col min="7157" max="7157" width="58" style="220" customWidth="1"/>
    <col min="7158" max="7158" width="24.140625" style="220" customWidth="1"/>
    <col min="7159" max="7160" width="0" style="220" hidden="1" customWidth="1"/>
    <col min="7161" max="7161" width="61.42578125" style="220" customWidth="1"/>
    <col min="7162" max="7162" width="62.140625" style="220" customWidth="1"/>
    <col min="7163" max="7166" width="0" style="220" hidden="1" customWidth="1"/>
    <col min="7167" max="7411" width="8.7109375" style="220"/>
    <col min="7412" max="7412" width="5.5703125" style="220" customWidth="1"/>
    <col min="7413" max="7413" width="58" style="220" customWidth="1"/>
    <col min="7414" max="7414" width="24.140625" style="220" customWidth="1"/>
    <col min="7415" max="7416" width="0" style="220" hidden="1" customWidth="1"/>
    <col min="7417" max="7417" width="61.42578125" style="220" customWidth="1"/>
    <col min="7418" max="7418" width="62.140625" style="220" customWidth="1"/>
    <col min="7419" max="7422" width="0" style="220" hidden="1" customWidth="1"/>
    <col min="7423" max="7667" width="8.7109375" style="220"/>
    <col min="7668" max="7668" width="5.5703125" style="220" customWidth="1"/>
    <col min="7669" max="7669" width="58" style="220" customWidth="1"/>
    <col min="7670" max="7670" width="24.140625" style="220" customWidth="1"/>
    <col min="7671" max="7672" width="0" style="220" hidden="1" customWidth="1"/>
    <col min="7673" max="7673" width="61.42578125" style="220" customWidth="1"/>
    <col min="7674" max="7674" width="62.140625" style="220" customWidth="1"/>
    <col min="7675" max="7678" width="0" style="220" hidden="1" customWidth="1"/>
    <col min="7679" max="7923" width="8.7109375" style="220"/>
    <col min="7924" max="7924" width="5.5703125" style="220" customWidth="1"/>
    <col min="7925" max="7925" width="58" style="220" customWidth="1"/>
    <col min="7926" max="7926" width="24.140625" style="220" customWidth="1"/>
    <col min="7927" max="7928" width="0" style="220" hidden="1" customWidth="1"/>
    <col min="7929" max="7929" width="61.42578125" style="220" customWidth="1"/>
    <col min="7930" max="7930" width="62.140625" style="220" customWidth="1"/>
    <col min="7931" max="7934" width="0" style="220" hidden="1" customWidth="1"/>
    <col min="7935" max="8179" width="8.7109375" style="220"/>
    <col min="8180" max="8180" width="5.5703125" style="220" customWidth="1"/>
    <col min="8181" max="8181" width="58" style="220" customWidth="1"/>
    <col min="8182" max="8182" width="24.140625" style="220" customWidth="1"/>
    <col min="8183" max="8184" width="0" style="220" hidden="1" customWidth="1"/>
    <col min="8185" max="8185" width="61.42578125" style="220" customWidth="1"/>
    <col min="8186" max="8186" width="62.140625" style="220" customWidth="1"/>
    <col min="8187" max="8190" width="0" style="220" hidden="1" customWidth="1"/>
    <col min="8191" max="8435" width="8.7109375" style="220"/>
    <col min="8436" max="8436" width="5.5703125" style="220" customWidth="1"/>
    <col min="8437" max="8437" width="58" style="220" customWidth="1"/>
    <col min="8438" max="8438" width="24.140625" style="220" customWidth="1"/>
    <col min="8439" max="8440" width="0" style="220" hidden="1" customWidth="1"/>
    <col min="8441" max="8441" width="61.42578125" style="220" customWidth="1"/>
    <col min="8442" max="8442" width="62.140625" style="220" customWidth="1"/>
    <col min="8443" max="8446" width="0" style="220" hidden="1" customWidth="1"/>
    <col min="8447" max="8691" width="8.7109375" style="220"/>
    <col min="8692" max="8692" width="5.5703125" style="220" customWidth="1"/>
    <col min="8693" max="8693" width="58" style="220" customWidth="1"/>
    <col min="8694" max="8694" width="24.140625" style="220" customWidth="1"/>
    <col min="8695" max="8696" width="0" style="220" hidden="1" customWidth="1"/>
    <col min="8697" max="8697" width="61.42578125" style="220" customWidth="1"/>
    <col min="8698" max="8698" width="62.140625" style="220" customWidth="1"/>
    <col min="8699" max="8702" width="0" style="220" hidden="1" customWidth="1"/>
    <col min="8703" max="8947" width="8.7109375" style="220"/>
    <col min="8948" max="8948" width="5.5703125" style="220" customWidth="1"/>
    <col min="8949" max="8949" width="58" style="220" customWidth="1"/>
    <col min="8950" max="8950" width="24.140625" style="220" customWidth="1"/>
    <col min="8951" max="8952" width="0" style="220" hidden="1" customWidth="1"/>
    <col min="8953" max="8953" width="61.42578125" style="220" customWidth="1"/>
    <col min="8954" max="8954" width="62.140625" style="220" customWidth="1"/>
    <col min="8955" max="8958" width="0" style="220" hidden="1" customWidth="1"/>
    <col min="8959" max="9203" width="8.7109375" style="220"/>
    <col min="9204" max="9204" width="5.5703125" style="220" customWidth="1"/>
    <col min="9205" max="9205" width="58" style="220" customWidth="1"/>
    <col min="9206" max="9206" width="24.140625" style="220" customWidth="1"/>
    <col min="9207" max="9208" width="0" style="220" hidden="1" customWidth="1"/>
    <col min="9209" max="9209" width="61.42578125" style="220" customWidth="1"/>
    <col min="9210" max="9210" width="62.140625" style="220" customWidth="1"/>
    <col min="9211" max="9214" width="0" style="220" hidden="1" customWidth="1"/>
    <col min="9215" max="9459" width="8.7109375" style="220"/>
    <col min="9460" max="9460" width="5.5703125" style="220" customWidth="1"/>
    <col min="9461" max="9461" width="58" style="220" customWidth="1"/>
    <col min="9462" max="9462" width="24.140625" style="220" customWidth="1"/>
    <col min="9463" max="9464" width="0" style="220" hidden="1" customWidth="1"/>
    <col min="9465" max="9465" width="61.42578125" style="220" customWidth="1"/>
    <col min="9466" max="9466" width="62.140625" style="220" customWidth="1"/>
    <col min="9467" max="9470" width="0" style="220" hidden="1" customWidth="1"/>
    <col min="9471" max="9715" width="8.7109375" style="220"/>
    <col min="9716" max="9716" width="5.5703125" style="220" customWidth="1"/>
    <col min="9717" max="9717" width="58" style="220" customWidth="1"/>
    <col min="9718" max="9718" width="24.140625" style="220" customWidth="1"/>
    <col min="9719" max="9720" width="0" style="220" hidden="1" customWidth="1"/>
    <col min="9721" max="9721" width="61.42578125" style="220" customWidth="1"/>
    <col min="9722" max="9722" width="62.140625" style="220" customWidth="1"/>
    <col min="9723" max="9726" width="0" style="220" hidden="1" customWidth="1"/>
    <col min="9727" max="9971" width="8.7109375" style="220"/>
    <col min="9972" max="9972" width="5.5703125" style="220" customWidth="1"/>
    <col min="9973" max="9973" width="58" style="220" customWidth="1"/>
    <col min="9974" max="9974" width="24.140625" style="220" customWidth="1"/>
    <col min="9975" max="9976" width="0" style="220" hidden="1" customWidth="1"/>
    <col min="9977" max="9977" width="61.42578125" style="220" customWidth="1"/>
    <col min="9978" max="9978" width="62.140625" style="220" customWidth="1"/>
    <col min="9979" max="9982" width="0" style="220" hidden="1" customWidth="1"/>
    <col min="9983" max="10227" width="8.7109375" style="220"/>
    <col min="10228" max="10228" width="5.5703125" style="220" customWidth="1"/>
    <col min="10229" max="10229" width="58" style="220" customWidth="1"/>
    <col min="10230" max="10230" width="24.140625" style="220" customWidth="1"/>
    <col min="10231" max="10232" width="0" style="220" hidden="1" customWidth="1"/>
    <col min="10233" max="10233" width="61.42578125" style="220" customWidth="1"/>
    <col min="10234" max="10234" width="62.140625" style="220" customWidth="1"/>
    <col min="10235" max="10238" width="0" style="220" hidden="1" customWidth="1"/>
    <col min="10239" max="10483" width="8.7109375" style="220"/>
    <col min="10484" max="10484" width="5.5703125" style="220" customWidth="1"/>
    <col min="10485" max="10485" width="58" style="220" customWidth="1"/>
    <col min="10486" max="10486" width="24.140625" style="220" customWidth="1"/>
    <col min="10487" max="10488" width="0" style="220" hidden="1" customWidth="1"/>
    <col min="10489" max="10489" width="61.42578125" style="220" customWidth="1"/>
    <col min="10490" max="10490" width="62.140625" style="220" customWidth="1"/>
    <col min="10491" max="10494" width="0" style="220" hidden="1" customWidth="1"/>
    <col min="10495" max="10739" width="8.7109375" style="220"/>
    <col min="10740" max="10740" width="5.5703125" style="220" customWidth="1"/>
    <col min="10741" max="10741" width="58" style="220" customWidth="1"/>
    <col min="10742" max="10742" width="24.140625" style="220" customWidth="1"/>
    <col min="10743" max="10744" width="0" style="220" hidden="1" customWidth="1"/>
    <col min="10745" max="10745" width="61.42578125" style="220" customWidth="1"/>
    <col min="10746" max="10746" width="62.140625" style="220" customWidth="1"/>
    <col min="10747" max="10750" width="0" style="220" hidden="1" customWidth="1"/>
    <col min="10751" max="10995" width="8.7109375" style="220"/>
    <col min="10996" max="10996" width="5.5703125" style="220" customWidth="1"/>
    <col min="10997" max="10997" width="58" style="220" customWidth="1"/>
    <col min="10998" max="10998" width="24.140625" style="220" customWidth="1"/>
    <col min="10999" max="11000" width="0" style="220" hidden="1" customWidth="1"/>
    <col min="11001" max="11001" width="61.42578125" style="220" customWidth="1"/>
    <col min="11002" max="11002" width="62.140625" style="220" customWidth="1"/>
    <col min="11003" max="11006" width="0" style="220" hidden="1" customWidth="1"/>
    <col min="11007" max="11251" width="8.7109375" style="220"/>
    <col min="11252" max="11252" width="5.5703125" style="220" customWidth="1"/>
    <col min="11253" max="11253" width="58" style="220" customWidth="1"/>
    <col min="11254" max="11254" width="24.140625" style="220" customWidth="1"/>
    <col min="11255" max="11256" width="0" style="220" hidden="1" customWidth="1"/>
    <col min="11257" max="11257" width="61.42578125" style="220" customWidth="1"/>
    <col min="11258" max="11258" width="62.140625" style="220" customWidth="1"/>
    <col min="11259" max="11262" width="0" style="220" hidden="1" customWidth="1"/>
    <col min="11263" max="11507" width="8.7109375" style="220"/>
    <col min="11508" max="11508" width="5.5703125" style="220" customWidth="1"/>
    <col min="11509" max="11509" width="58" style="220" customWidth="1"/>
    <col min="11510" max="11510" width="24.140625" style="220" customWidth="1"/>
    <col min="11511" max="11512" width="0" style="220" hidden="1" customWidth="1"/>
    <col min="11513" max="11513" width="61.42578125" style="220" customWidth="1"/>
    <col min="11514" max="11514" width="62.140625" style="220" customWidth="1"/>
    <col min="11515" max="11518" width="0" style="220" hidden="1" customWidth="1"/>
    <col min="11519" max="11763" width="8.7109375" style="220"/>
    <col min="11764" max="11764" width="5.5703125" style="220" customWidth="1"/>
    <col min="11765" max="11765" width="58" style="220" customWidth="1"/>
    <col min="11766" max="11766" width="24.140625" style="220" customWidth="1"/>
    <col min="11767" max="11768" width="0" style="220" hidden="1" customWidth="1"/>
    <col min="11769" max="11769" width="61.42578125" style="220" customWidth="1"/>
    <col min="11770" max="11770" width="62.140625" style="220" customWidth="1"/>
    <col min="11771" max="11774" width="0" style="220" hidden="1" customWidth="1"/>
    <col min="11775" max="12019" width="8.7109375" style="220"/>
    <col min="12020" max="12020" width="5.5703125" style="220" customWidth="1"/>
    <col min="12021" max="12021" width="58" style="220" customWidth="1"/>
    <col min="12022" max="12022" width="24.140625" style="220" customWidth="1"/>
    <col min="12023" max="12024" width="0" style="220" hidden="1" customWidth="1"/>
    <col min="12025" max="12025" width="61.42578125" style="220" customWidth="1"/>
    <col min="12026" max="12026" width="62.140625" style="220" customWidth="1"/>
    <col min="12027" max="12030" width="0" style="220" hidden="1" customWidth="1"/>
    <col min="12031" max="12275" width="8.7109375" style="220"/>
    <col min="12276" max="12276" width="5.5703125" style="220" customWidth="1"/>
    <col min="12277" max="12277" width="58" style="220" customWidth="1"/>
    <col min="12278" max="12278" width="24.140625" style="220" customWidth="1"/>
    <col min="12279" max="12280" width="0" style="220" hidden="1" customWidth="1"/>
    <col min="12281" max="12281" width="61.42578125" style="220" customWidth="1"/>
    <col min="12282" max="12282" width="62.140625" style="220" customWidth="1"/>
    <col min="12283" max="12286" width="0" style="220" hidden="1" customWidth="1"/>
    <col min="12287" max="12531" width="8.7109375" style="220"/>
    <col min="12532" max="12532" width="5.5703125" style="220" customWidth="1"/>
    <col min="12533" max="12533" width="58" style="220" customWidth="1"/>
    <col min="12534" max="12534" width="24.140625" style="220" customWidth="1"/>
    <col min="12535" max="12536" width="0" style="220" hidden="1" customWidth="1"/>
    <col min="12537" max="12537" width="61.42578125" style="220" customWidth="1"/>
    <col min="12538" max="12538" width="62.140625" style="220" customWidth="1"/>
    <col min="12539" max="12542" width="0" style="220" hidden="1" customWidth="1"/>
    <col min="12543" max="12787" width="8.7109375" style="220"/>
    <col min="12788" max="12788" width="5.5703125" style="220" customWidth="1"/>
    <col min="12789" max="12789" width="58" style="220" customWidth="1"/>
    <col min="12790" max="12790" width="24.140625" style="220" customWidth="1"/>
    <col min="12791" max="12792" width="0" style="220" hidden="1" customWidth="1"/>
    <col min="12793" max="12793" width="61.42578125" style="220" customWidth="1"/>
    <col min="12794" max="12794" width="62.140625" style="220" customWidth="1"/>
    <col min="12795" max="12798" width="0" style="220" hidden="1" customWidth="1"/>
    <col min="12799" max="13043" width="8.7109375" style="220"/>
    <col min="13044" max="13044" width="5.5703125" style="220" customWidth="1"/>
    <col min="13045" max="13045" width="58" style="220" customWidth="1"/>
    <col min="13046" max="13046" width="24.140625" style="220" customWidth="1"/>
    <col min="13047" max="13048" width="0" style="220" hidden="1" customWidth="1"/>
    <col min="13049" max="13049" width="61.42578125" style="220" customWidth="1"/>
    <col min="13050" max="13050" width="62.140625" style="220" customWidth="1"/>
    <col min="13051" max="13054" width="0" style="220" hidden="1" customWidth="1"/>
    <col min="13055" max="13299" width="8.7109375" style="220"/>
    <col min="13300" max="13300" width="5.5703125" style="220" customWidth="1"/>
    <col min="13301" max="13301" width="58" style="220" customWidth="1"/>
    <col min="13302" max="13302" width="24.140625" style="220" customWidth="1"/>
    <col min="13303" max="13304" width="0" style="220" hidden="1" customWidth="1"/>
    <col min="13305" max="13305" width="61.42578125" style="220" customWidth="1"/>
    <col min="13306" max="13306" width="62.140625" style="220" customWidth="1"/>
    <col min="13307" max="13310" width="0" style="220" hidden="1" customWidth="1"/>
    <col min="13311" max="13555" width="8.7109375" style="220"/>
    <col min="13556" max="13556" width="5.5703125" style="220" customWidth="1"/>
    <col min="13557" max="13557" width="58" style="220" customWidth="1"/>
    <col min="13558" max="13558" width="24.140625" style="220" customWidth="1"/>
    <col min="13559" max="13560" width="0" style="220" hidden="1" customWidth="1"/>
    <col min="13561" max="13561" width="61.42578125" style="220" customWidth="1"/>
    <col min="13562" max="13562" width="62.140625" style="220" customWidth="1"/>
    <col min="13563" max="13566" width="0" style="220" hidden="1" customWidth="1"/>
    <col min="13567" max="13811" width="8.7109375" style="220"/>
    <col min="13812" max="13812" width="5.5703125" style="220" customWidth="1"/>
    <col min="13813" max="13813" width="58" style="220" customWidth="1"/>
    <col min="13814" max="13814" width="24.140625" style="220" customWidth="1"/>
    <col min="13815" max="13816" width="0" style="220" hidden="1" customWidth="1"/>
    <col min="13817" max="13817" width="61.42578125" style="220" customWidth="1"/>
    <col min="13818" max="13818" width="62.140625" style="220" customWidth="1"/>
    <col min="13819" max="13822" width="0" style="220" hidden="1" customWidth="1"/>
    <col min="13823" max="14067" width="8.7109375" style="220"/>
    <col min="14068" max="14068" width="5.5703125" style="220" customWidth="1"/>
    <col min="14069" max="14069" width="58" style="220" customWidth="1"/>
    <col min="14070" max="14070" width="24.140625" style="220" customWidth="1"/>
    <col min="14071" max="14072" width="0" style="220" hidden="1" customWidth="1"/>
    <col min="14073" max="14073" width="61.42578125" style="220" customWidth="1"/>
    <col min="14074" max="14074" width="62.140625" style="220" customWidth="1"/>
    <col min="14075" max="14078" width="0" style="220" hidden="1" customWidth="1"/>
    <col min="14079" max="14323" width="8.7109375" style="220"/>
    <col min="14324" max="14324" width="5.5703125" style="220" customWidth="1"/>
    <col min="14325" max="14325" width="58" style="220" customWidth="1"/>
    <col min="14326" max="14326" width="24.140625" style="220" customWidth="1"/>
    <col min="14327" max="14328" width="0" style="220" hidden="1" customWidth="1"/>
    <col min="14329" max="14329" width="61.42578125" style="220" customWidth="1"/>
    <col min="14330" max="14330" width="62.140625" style="220" customWidth="1"/>
    <col min="14331" max="14334" width="0" style="220" hidden="1" customWidth="1"/>
    <col min="14335" max="14579" width="8.7109375" style="220"/>
    <col min="14580" max="14580" width="5.5703125" style="220" customWidth="1"/>
    <col min="14581" max="14581" width="58" style="220" customWidth="1"/>
    <col min="14582" max="14582" width="24.140625" style="220" customWidth="1"/>
    <col min="14583" max="14584" width="0" style="220" hidden="1" customWidth="1"/>
    <col min="14585" max="14585" width="61.42578125" style="220" customWidth="1"/>
    <col min="14586" max="14586" width="62.140625" style="220" customWidth="1"/>
    <col min="14587" max="14590" width="0" style="220" hidden="1" customWidth="1"/>
    <col min="14591" max="14835" width="8.7109375" style="220"/>
    <col min="14836" max="14836" width="5.5703125" style="220" customWidth="1"/>
    <col min="14837" max="14837" width="58" style="220" customWidth="1"/>
    <col min="14838" max="14838" width="24.140625" style="220" customWidth="1"/>
    <col min="14839" max="14840" width="0" style="220" hidden="1" customWidth="1"/>
    <col min="14841" max="14841" width="61.42578125" style="220" customWidth="1"/>
    <col min="14842" max="14842" width="62.140625" style="220" customWidth="1"/>
    <col min="14843" max="14846" width="0" style="220" hidden="1" customWidth="1"/>
    <col min="14847" max="15091" width="8.7109375" style="220"/>
    <col min="15092" max="15092" width="5.5703125" style="220" customWidth="1"/>
    <col min="15093" max="15093" width="58" style="220" customWidth="1"/>
    <col min="15094" max="15094" width="24.140625" style="220" customWidth="1"/>
    <col min="15095" max="15096" width="0" style="220" hidden="1" customWidth="1"/>
    <col min="15097" max="15097" width="61.42578125" style="220" customWidth="1"/>
    <col min="15098" max="15098" width="62.140625" style="220" customWidth="1"/>
    <col min="15099" max="15102" width="0" style="220" hidden="1" customWidth="1"/>
    <col min="15103" max="15347" width="8.7109375" style="220"/>
    <col min="15348" max="15348" width="5.5703125" style="220" customWidth="1"/>
    <col min="15349" max="15349" width="58" style="220" customWidth="1"/>
    <col min="15350" max="15350" width="24.140625" style="220" customWidth="1"/>
    <col min="15351" max="15352" width="0" style="220" hidden="1" customWidth="1"/>
    <col min="15353" max="15353" width="61.42578125" style="220" customWidth="1"/>
    <col min="15354" max="15354" width="62.140625" style="220" customWidth="1"/>
    <col min="15355" max="15358" width="0" style="220" hidden="1" customWidth="1"/>
    <col min="15359" max="15603" width="8.7109375" style="220"/>
    <col min="15604" max="15604" width="5.5703125" style="220" customWidth="1"/>
    <col min="15605" max="15605" width="58" style="220" customWidth="1"/>
    <col min="15606" max="15606" width="24.140625" style="220" customWidth="1"/>
    <col min="15607" max="15608" width="0" style="220" hidden="1" customWidth="1"/>
    <col min="15609" max="15609" width="61.42578125" style="220" customWidth="1"/>
    <col min="15610" max="15610" width="62.140625" style="220" customWidth="1"/>
    <col min="15611" max="15614" width="0" style="220" hidden="1" customWidth="1"/>
    <col min="15615" max="15859" width="8.7109375" style="220"/>
    <col min="15860" max="15860" width="5.5703125" style="220" customWidth="1"/>
    <col min="15861" max="15861" width="58" style="220" customWidth="1"/>
    <col min="15862" max="15862" width="24.140625" style="220" customWidth="1"/>
    <col min="15863" max="15864" width="0" style="220" hidden="1" customWidth="1"/>
    <col min="15865" max="15865" width="61.42578125" style="220" customWidth="1"/>
    <col min="15866" max="15866" width="62.140625" style="220" customWidth="1"/>
    <col min="15867" max="15870" width="0" style="220" hidden="1" customWidth="1"/>
    <col min="15871" max="16115" width="8.7109375" style="220"/>
    <col min="16116" max="16116" width="5.5703125" style="220" customWidth="1"/>
    <col min="16117" max="16117" width="58" style="220" customWidth="1"/>
    <col min="16118" max="16118" width="24.140625" style="220" customWidth="1"/>
    <col min="16119" max="16120" width="0" style="220" hidden="1" customWidth="1"/>
    <col min="16121" max="16121" width="61.42578125" style="220" customWidth="1"/>
    <col min="16122" max="16122" width="62.140625" style="220" customWidth="1"/>
    <col min="16123" max="16126" width="0" style="220" hidden="1" customWidth="1"/>
    <col min="16127" max="16370" width="8.7109375" style="220"/>
    <col min="16371" max="16384" width="8.85546875" style="220" customWidth="1"/>
  </cols>
  <sheetData>
    <row r="1" spans="2:6" x14ac:dyDescent="0.4">
      <c r="C1" s="221" t="s">
        <v>179</v>
      </c>
    </row>
    <row r="2" spans="2:6" x14ac:dyDescent="0.4">
      <c r="C2" s="223">
        <v>44317</v>
      </c>
    </row>
    <row r="3" spans="2:6" x14ac:dyDescent="0.4">
      <c r="B3" s="224"/>
      <c r="C3" s="225" t="s">
        <v>180</v>
      </c>
    </row>
    <row r="4" spans="2:6" ht="24.95" customHeight="1" thickBot="1" x14ac:dyDescent="0.45">
      <c r="B4" s="226" t="s">
        <v>7</v>
      </c>
      <c r="C4" s="227" t="s">
        <v>181</v>
      </c>
      <c r="D4" s="226" t="s">
        <v>182</v>
      </c>
      <c r="E4" s="228" t="s">
        <v>183</v>
      </c>
      <c r="F4" s="228" t="s">
        <v>184</v>
      </c>
    </row>
    <row r="5" spans="2:6" ht="39.950000000000003" customHeight="1" x14ac:dyDescent="0.4">
      <c r="B5" s="229" t="s">
        <v>185</v>
      </c>
      <c r="C5" s="230">
        <f>'[16]DC  CNA  DC III'!J6</f>
        <v>19.000800000000002</v>
      </c>
      <c r="D5" s="402" t="s">
        <v>186</v>
      </c>
      <c r="E5" s="395" t="s">
        <v>187</v>
      </c>
      <c r="F5" s="395" t="s">
        <v>188</v>
      </c>
    </row>
    <row r="6" spans="2:6" ht="42.6" customHeight="1" thickBot="1" x14ac:dyDescent="0.45">
      <c r="B6" s="231" t="s">
        <v>189</v>
      </c>
      <c r="C6" s="232">
        <f>C5*2080</f>
        <v>39521.664000000004</v>
      </c>
      <c r="D6" s="403"/>
      <c r="E6" s="396"/>
      <c r="F6" s="396"/>
    </row>
    <row r="7" spans="2:6" x14ac:dyDescent="0.4">
      <c r="B7" s="229" t="s">
        <v>190</v>
      </c>
      <c r="C7" s="230">
        <f>'[16]DC  CNA  DC III'!J19</f>
        <v>24.241120000000002</v>
      </c>
      <c r="D7" s="233" t="s">
        <v>191</v>
      </c>
      <c r="E7" s="395" t="s">
        <v>192</v>
      </c>
      <c r="F7" s="395" t="s">
        <v>193</v>
      </c>
    </row>
    <row r="8" spans="2:6" ht="27" thickBot="1" x14ac:dyDescent="0.45">
      <c r="B8" s="234" t="s">
        <v>194</v>
      </c>
      <c r="C8" s="235">
        <f>C7*2080</f>
        <v>50421.529600000002</v>
      </c>
      <c r="D8" s="220" t="s">
        <v>195</v>
      </c>
      <c r="E8" s="401"/>
      <c r="F8" s="401"/>
    </row>
    <row r="9" spans="2:6" x14ac:dyDescent="0.4">
      <c r="B9" s="229" t="s">
        <v>196</v>
      </c>
      <c r="C9" s="230">
        <f>'[16]DC  CNA  DC III'!J10</f>
        <v>18.008399999999998</v>
      </c>
      <c r="D9" s="233"/>
      <c r="E9" s="395" t="s">
        <v>197</v>
      </c>
      <c r="F9" s="395" t="s">
        <v>198</v>
      </c>
    </row>
    <row r="10" spans="2:6" ht="27" thickBot="1" x14ac:dyDescent="0.45">
      <c r="B10" s="231" t="s">
        <v>199</v>
      </c>
      <c r="C10" s="232">
        <f>C9*2080</f>
        <v>37457.471999999994</v>
      </c>
      <c r="D10" s="236"/>
      <c r="E10" s="396"/>
      <c r="F10" s="396"/>
    </row>
    <row r="11" spans="2:6" x14ac:dyDescent="0.4">
      <c r="B11" s="229" t="s">
        <v>200</v>
      </c>
      <c r="C11" s="230">
        <f>'[16]Case Social Worker.Manager'!J4</f>
        <v>24.3888</v>
      </c>
      <c r="D11" s="233" t="s">
        <v>201</v>
      </c>
      <c r="E11" s="395" t="s">
        <v>202</v>
      </c>
      <c r="F11" s="395" t="s">
        <v>203</v>
      </c>
    </row>
    <row r="12" spans="2:6" ht="27" thickBot="1" x14ac:dyDescent="0.45">
      <c r="B12" s="234" t="s">
        <v>204</v>
      </c>
      <c r="C12" s="235">
        <f>C11*2080</f>
        <v>50728.703999999998</v>
      </c>
      <c r="D12" s="220" t="s">
        <v>205</v>
      </c>
      <c r="E12" s="401"/>
      <c r="F12" s="401"/>
    </row>
    <row r="13" spans="2:6" ht="52.5" x14ac:dyDescent="0.4">
      <c r="B13" s="237" t="s">
        <v>206</v>
      </c>
      <c r="C13" s="230">
        <f>'[16]Case Social Worker.Manager'!J11</f>
        <v>30.569499999999998</v>
      </c>
      <c r="D13" s="233" t="s">
        <v>207</v>
      </c>
      <c r="E13" s="395" t="s">
        <v>208</v>
      </c>
      <c r="F13" s="395" t="s">
        <v>209</v>
      </c>
    </row>
    <row r="14" spans="2:6" ht="53.25" thickBot="1" x14ac:dyDescent="0.45">
      <c r="B14" s="238" t="s">
        <v>210</v>
      </c>
      <c r="C14" s="232">
        <f>C13*2080</f>
        <v>63584.56</v>
      </c>
      <c r="D14" s="236" t="s">
        <v>211</v>
      </c>
      <c r="E14" s="396"/>
      <c r="F14" s="396"/>
    </row>
    <row r="15" spans="2:6" x14ac:dyDescent="0.4">
      <c r="B15" s="229" t="s">
        <v>212</v>
      </c>
      <c r="C15" s="230">
        <f>[16]Nursing!J2</f>
        <v>29.084</v>
      </c>
      <c r="D15" s="233"/>
      <c r="E15" s="395" t="s">
        <v>213</v>
      </c>
      <c r="F15" s="395" t="s">
        <v>214</v>
      </c>
    </row>
    <row r="16" spans="2:6" ht="27" thickBot="1" x14ac:dyDescent="0.45">
      <c r="B16" s="231" t="s">
        <v>215</v>
      </c>
      <c r="C16" s="232">
        <f>C15*2080</f>
        <v>60494.720000000001</v>
      </c>
      <c r="D16" s="236" t="s">
        <v>216</v>
      </c>
      <c r="E16" s="396"/>
      <c r="F16" s="396"/>
    </row>
    <row r="17" spans="2:6" x14ac:dyDescent="0.4">
      <c r="B17" s="229" t="s">
        <v>217</v>
      </c>
      <c r="C17" s="230">
        <f>[16]Clinical!J6</f>
        <v>35.178200000000004</v>
      </c>
      <c r="D17" s="233" t="s">
        <v>218</v>
      </c>
      <c r="E17" s="395" t="s">
        <v>219</v>
      </c>
      <c r="F17" s="395" t="s">
        <v>220</v>
      </c>
    </row>
    <row r="18" spans="2:6" ht="27" thickBot="1" x14ac:dyDescent="0.45">
      <c r="B18" s="231" t="s">
        <v>221</v>
      </c>
      <c r="C18" s="232">
        <f>C17*2080</f>
        <v>73170.656000000003</v>
      </c>
      <c r="D18" s="236"/>
      <c r="E18" s="396"/>
      <c r="F18" s="396"/>
    </row>
    <row r="19" spans="2:6" x14ac:dyDescent="0.4">
      <c r="B19" s="229" t="s">
        <v>222</v>
      </c>
      <c r="C19" s="239">
        <f>[16]Therapies!M2</f>
        <v>30.937200000000001</v>
      </c>
      <c r="D19" s="233"/>
      <c r="E19" s="395" t="s">
        <v>223</v>
      </c>
      <c r="F19" s="395" t="s">
        <v>224</v>
      </c>
    </row>
    <row r="20" spans="2:6" ht="27" thickBot="1" x14ac:dyDescent="0.45">
      <c r="B20" s="231" t="s">
        <v>225</v>
      </c>
      <c r="C20" s="232">
        <f>C19*2080</f>
        <v>64349.376000000004</v>
      </c>
      <c r="D20" s="236"/>
      <c r="E20" s="396"/>
      <c r="F20" s="396"/>
    </row>
    <row r="21" spans="2:6" x14ac:dyDescent="0.4">
      <c r="B21" s="234" t="s">
        <v>226</v>
      </c>
      <c r="C21" s="240">
        <f>[16]Management!J2</f>
        <v>35.084000000000003</v>
      </c>
      <c r="D21" s="220" t="s">
        <v>227</v>
      </c>
      <c r="E21" s="395" t="s">
        <v>228</v>
      </c>
      <c r="F21" s="399" t="s">
        <v>229</v>
      </c>
    </row>
    <row r="22" spans="2:6" ht="27" thickBot="1" x14ac:dyDescent="0.45">
      <c r="B22" s="231" t="s">
        <v>230</v>
      </c>
      <c r="C22" s="232">
        <f>C21*2080</f>
        <v>72974.720000000001</v>
      </c>
      <c r="D22" s="236" t="s">
        <v>231</v>
      </c>
      <c r="E22" s="396"/>
      <c r="F22" s="400"/>
    </row>
    <row r="23" spans="2:6" x14ac:dyDescent="0.4">
      <c r="B23" s="234" t="s">
        <v>232</v>
      </c>
      <c r="C23" s="240">
        <f>[16]Therapies!M8</f>
        <v>38.650100000000002</v>
      </c>
      <c r="D23" s="220" t="s">
        <v>233</v>
      </c>
      <c r="E23" s="395" t="s">
        <v>208</v>
      </c>
      <c r="F23" s="395" t="s">
        <v>234</v>
      </c>
    </row>
    <row r="24" spans="2:6" ht="27" thickBot="1" x14ac:dyDescent="0.45">
      <c r="B24" s="231" t="s">
        <v>235</v>
      </c>
      <c r="C24" s="232">
        <f>C23*2080</f>
        <v>80392.207999999999</v>
      </c>
      <c r="D24" s="236"/>
      <c r="E24" s="396"/>
      <c r="F24" s="396"/>
    </row>
    <row r="25" spans="2:6" x14ac:dyDescent="0.4">
      <c r="B25" s="234" t="s">
        <v>236</v>
      </c>
      <c r="C25" s="240">
        <f>[16]Therapies!M14</f>
        <v>40.563600000000001</v>
      </c>
      <c r="D25" s="220" t="s">
        <v>237</v>
      </c>
      <c r="E25" s="395" t="s">
        <v>208</v>
      </c>
      <c r="F25" s="395" t="s">
        <v>238</v>
      </c>
    </row>
    <row r="26" spans="2:6" ht="27" thickBot="1" x14ac:dyDescent="0.45">
      <c r="B26" s="231" t="s">
        <v>239</v>
      </c>
      <c r="C26" s="235">
        <f>C25*2080</f>
        <v>84372.288</v>
      </c>
      <c r="E26" s="396"/>
      <c r="F26" s="396"/>
    </row>
    <row r="27" spans="2:6" x14ac:dyDescent="0.4">
      <c r="B27" s="229" t="s">
        <v>240</v>
      </c>
      <c r="C27" s="230">
        <f>[16]Clinical!J12</f>
        <v>43.1312</v>
      </c>
      <c r="D27" s="397" t="s">
        <v>241</v>
      </c>
      <c r="E27" s="395" t="s">
        <v>242</v>
      </c>
      <c r="F27" s="395" t="s">
        <v>243</v>
      </c>
    </row>
    <row r="28" spans="2:6" ht="34.5" customHeight="1" thickBot="1" x14ac:dyDescent="0.45">
      <c r="B28" s="231" t="s">
        <v>244</v>
      </c>
      <c r="C28" s="232">
        <f>C27*2080</f>
        <v>89712.895999999993</v>
      </c>
      <c r="D28" s="398"/>
      <c r="E28" s="396"/>
      <c r="F28" s="396"/>
    </row>
    <row r="29" spans="2:6" x14ac:dyDescent="0.4">
      <c r="B29" s="229" t="s">
        <v>245</v>
      </c>
      <c r="C29" s="230">
        <f>[16]Therapies!M18</f>
        <v>43.066240000000008</v>
      </c>
      <c r="D29" s="233"/>
      <c r="E29" s="395" t="s">
        <v>208</v>
      </c>
      <c r="F29" s="395" t="s">
        <v>246</v>
      </c>
    </row>
    <row r="30" spans="2:6" ht="27" thickBot="1" x14ac:dyDescent="0.45">
      <c r="B30" s="231" t="s">
        <v>247</v>
      </c>
      <c r="C30" s="232">
        <f>C29*2080</f>
        <v>89577.779200000019</v>
      </c>
      <c r="D30" s="236"/>
      <c r="E30" s="396"/>
      <c r="F30" s="396"/>
    </row>
    <row r="31" spans="2:6" x14ac:dyDescent="0.4">
      <c r="B31" s="229" t="s">
        <v>248</v>
      </c>
      <c r="C31" s="230">
        <f>[16]Nursing!J6</f>
        <v>47.109200000000001</v>
      </c>
      <c r="D31" s="233"/>
      <c r="E31" s="395" t="s">
        <v>249</v>
      </c>
      <c r="F31" s="395" t="s">
        <v>250</v>
      </c>
    </row>
    <row r="32" spans="2:6" ht="38.450000000000003" customHeight="1" thickBot="1" x14ac:dyDescent="0.45">
      <c r="B32" s="231" t="s">
        <v>251</v>
      </c>
      <c r="C32" s="232">
        <f>C31*2080</f>
        <v>97987.135999999999</v>
      </c>
      <c r="D32" s="236"/>
      <c r="E32" s="396"/>
      <c r="F32" s="396"/>
    </row>
    <row r="33" spans="2:6" x14ac:dyDescent="0.4">
      <c r="B33" s="229" t="s">
        <v>252</v>
      </c>
      <c r="C33" s="230">
        <f>[16]Nursing!J11</f>
        <v>62.008800000000001</v>
      </c>
      <c r="D33" s="233"/>
      <c r="E33" s="395" t="s">
        <v>253</v>
      </c>
      <c r="F33" s="395" t="s">
        <v>254</v>
      </c>
    </row>
    <row r="34" spans="2:6" ht="27" thickBot="1" x14ac:dyDescent="0.45">
      <c r="B34" s="231" t="s">
        <v>255</v>
      </c>
      <c r="C34" s="232">
        <f>C33*2080</f>
        <v>128978.304</v>
      </c>
      <c r="D34" s="236"/>
      <c r="E34" s="396"/>
      <c r="F34" s="396"/>
    </row>
    <row r="36" spans="2:6" ht="52.5" x14ac:dyDescent="0.4">
      <c r="B36" s="241" t="s">
        <v>256</v>
      </c>
      <c r="C36" s="235">
        <f>C6</f>
        <v>39521.664000000004</v>
      </c>
    </row>
    <row r="37" spans="2:6" x14ac:dyDescent="0.4">
      <c r="C37" s="242"/>
    </row>
    <row r="38" spans="2:6" x14ac:dyDescent="0.4">
      <c r="B38" s="243" t="s">
        <v>257</v>
      </c>
      <c r="C38" s="244">
        <f>23.39%+2%</f>
        <v>0.25390000000000001</v>
      </c>
      <c r="D38" s="220" t="s">
        <v>258</v>
      </c>
    </row>
    <row r="39" spans="2:6" ht="34.35" customHeight="1" x14ac:dyDescent="0.4">
      <c r="B39" s="243"/>
      <c r="C39" s="242"/>
      <c r="D39" s="393" t="s">
        <v>259</v>
      </c>
      <c r="E39" s="393"/>
      <c r="F39" s="220"/>
    </row>
    <row r="40" spans="2:6" x14ac:dyDescent="0.4">
      <c r="C40" s="242"/>
    </row>
    <row r="41" spans="2:6" x14ac:dyDescent="0.4">
      <c r="B41" s="243" t="s">
        <v>77</v>
      </c>
      <c r="C41" s="245">
        <v>0.12</v>
      </c>
      <c r="D41" s="220" t="s">
        <v>260</v>
      </c>
    </row>
    <row r="42" spans="2:6" x14ac:dyDescent="0.4">
      <c r="B42" s="243"/>
      <c r="C42" s="246"/>
    </row>
    <row r="43" spans="2:6" x14ac:dyDescent="0.4">
      <c r="B43" s="394" t="s">
        <v>261</v>
      </c>
      <c r="C43" s="394"/>
      <c r="D43" s="394"/>
    </row>
    <row r="44" spans="2:6" x14ac:dyDescent="0.4">
      <c r="B44" s="243" t="s">
        <v>262</v>
      </c>
      <c r="C44" s="235">
        <v>247150</v>
      </c>
      <c r="D44" s="220" t="s">
        <v>263</v>
      </c>
    </row>
    <row r="45" spans="2:6" x14ac:dyDescent="0.4">
      <c r="B45" s="243" t="s">
        <v>264</v>
      </c>
      <c r="C45" s="235">
        <v>206010</v>
      </c>
      <c r="D45" s="220" t="s">
        <v>265</v>
      </c>
    </row>
    <row r="46" spans="2:6" x14ac:dyDescent="0.4">
      <c r="B46" s="243" t="s">
        <v>266</v>
      </c>
      <c r="C46" s="235">
        <f>'[16]02021 53_PCT'!N34</f>
        <v>133902.08000000002</v>
      </c>
      <c r="D46" s="220" t="s">
        <v>267</v>
      </c>
    </row>
    <row r="47" spans="2:6" x14ac:dyDescent="0.4">
      <c r="B47" s="243"/>
      <c r="C47" s="235"/>
    </row>
    <row r="48" spans="2:6" x14ac:dyDescent="0.4">
      <c r="B48" s="243"/>
      <c r="C48" s="235"/>
    </row>
    <row r="49" spans="2:3" x14ac:dyDescent="0.4">
      <c r="B49" s="243"/>
      <c r="C49" s="235"/>
    </row>
    <row r="50" spans="2:3" x14ac:dyDescent="0.4">
      <c r="B50" s="243"/>
      <c r="C50" s="235"/>
    </row>
    <row r="51" spans="2:3" x14ac:dyDescent="0.4">
      <c r="B51" s="243"/>
      <c r="C51" s="235"/>
    </row>
    <row r="52" spans="2:3" x14ac:dyDescent="0.4">
      <c r="B52" s="243"/>
      <c r="C52" s="235"/>
    </row>
  </sheetData>
  <mergeCells count="34">
    <mergeCell ref="E9:E10"/>
    <mergeCell ref="F9:F10"/>
    <mergeCell ref="D5:D6"/>
    <mergeCell ref="E5:E6"/>
    <mergeCell ref="F5:F6"/>
    <mergeCell ref="E7:E8"/>
    <mergeCell ref="F7:F8"/>
    <mergeCell ref="E11:E12"/>
    <mergeCell ref="F11:F12"/>
    <mergeCell ref="E13:E14"/>
    <mergeCell ref="F13:F14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D27:D28"/>
    <mergeCell ref="E27:E28"/>
    <mergeCell ref="F27:F28"/>
    <mergeCell ref="D39:E39"/>
    <mergeCell ref="B43:D43"/>
    <mergeCell ref="E29:E30"/>
    <mergeCell ref="F29:F30"/>
    <mergeCell ref="E31:E32"/>
    <mergeCell ref="F31:F32"/>
    <mergeCell ref="E33:E34"/>
    <mergeCell ref="F33:F34"/>
  </mergeCells>
  <pageMargins left="0.7" right="0.7" top="0.75" bottom="0.75" header="0.3" footer="0.3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CA26-B57D-4538-832F-940C5D127DBB}">
  <dimension ref="A2:P45"/>
  <sheetViews>
    <sheetView zoomScaleNormal="100" workbookViewId="0">
      <selection activeCell="L40" sqref="L40"/>
    </sheetView>
  </sheetViews>
  <sheetFormatPr defaultRowHeight="15" x14ac:dyDescent="0.25"/>
  <cols>
    <col min="1" max="1" width="30.42578125" customWidth="1"/>
    <col min="2" max="2" width="30.140625" customWidth="1"/>
    <col min="3" max="3" width="19.140625" bestFit="1" customWidth="1"/>
    <col min="7" max="7" width="7.28515625" customWidth="1"/>
    <col min="12" max="12" width="30.140625" customWidth="1"/>
    <col min="13" max="13" width="30.140625" bestFit="1" customWidth="1"/>
    <col min="14" max="14" width="11.140625" bestFit="1" customWidth="1"/>
    <col min="15" max="15" width="20.140625" customWidth="1"/>
    <col min="16" max="16" width="18.7109375" customWidth="1"/>
  </cols>
  <sheetData>
    <row r="2" spans="1:16" ht="27" thickBot="1" x14ac:dyDescent="0.45">
      <c r="A2" s="431" t="s">
        <v>32</v>
      </c>
      <c r="B2" s="431"/>
      <c r="C2" s="431"/>
      <c r="D2" s="431"/>
      <c r="E2" s="431"/>
      <c r="F2" s="431"/>
      <c r="G2" s="431"/>
      <c r="H2" s="431"/>
      <c r="I2" s="431"/>
      <c r="J2" s="39"/>
      <c r="L2" s="431" t="s">
        <v>33</v>
      </c>
      <c r="M2" s="431"/>
      <c r="N2" s="431"/>
      <c r="O2" s="432"/>
      <c r="P2" s="432"/>
    </row>
    <row r="3" spans="1:16" ht="21.75" thickBot="1" x14ac:dyDescent="0.4">
      <c r="A3" s="433" t="s">
        <v>34</v>
      </c>
      <c r="B3" s="434"/>
      <c r="C3" s="40"/>
      <c r="D3" s="433" t="s">
        <v>35</v>
      </c>
      <c r="E3" s="435"/>
      <c r="F3" s="435"/>
      <c r="G3" s="435"/>
      <c r="H3" s="435"/>
      <c r="I3" s="434"/>
      <c r="J3" s="41"/>
      <c r="L3" s="433" t="s">
        <v>34</v>
      </c>
      <c r="M3" s="434"/>
      <c r="N3" s="42"/>
      <c r="O3" s="433" t="s">
        <v>36</v>
      </c>
      <c r="P3" s="434"/>
    </row>
    <row r="4" spans="1:16" x14ac:dyDescent="0.25">
      <c r="A4" s="43" t="s">
        <v>37</v>
      </c>
      <c r="B4" s="43" t="s">
        <v>38</v>
      </c>
      <c r="C4" s="44"/>
      <c r="D4" s="45" t="s">
        <v>39</v>
      </c>
      <c r="E4" s="45" t="s">
        <v>40</v>
      </c>
      <c r="F4" s="45" t="s">
        <v>41</v>
      </c>
      <c r="G4" s="45" t="s">
        <v>42</v>
      </c>
      <c r="H4" s="46" t="s">
        <v>43</v>
      </c>
      <c r="I4" s="47" t="s">
        <v>44</v>
      </c>
      <c r="J4" s="48"/>
      <c r="L4" s="49" t="s">
        <v>37</v>
      </c>
      <c r="M4" s="50" t="s">
        <v>38</v>
      </c>
      <c r="N4" s="51"/>
      <c r="O4" s="52" t="s">
        <v>45</v>
      </c>
      <c r="P4" s="53" t="s">
        <v>46</v>
      </c>
    </row>
    <row r="5" spans="1:16" x14ac:dyDescent="0.25">
      <c r="A5" s="54" t="s">
        <v>47</v>
      </c>
      <c r="B5" s="55" t="s">
        <v>48</v>
      </c>
      <c r="C5" s="56"/>
      <c r="D5" s="57">
        <v>1.65</v>
      </c>
      <c r="E5" s="57">
        <v>1</v>
      </c>
      <c r="F5" s="57">
        <v>0.8</v>
      </c>
      <c r="G5" s="57">
        <v>0.5</v>
      </c>
      <c r="H5" s="57">
        <v>1</v>
      </c>
      <c r="I5" s="57">
        <v>1</v>
      </c>
      <c r="J5" s="58"/>
      <c r="L5" s="59" t="s">
        <v>47</v>
      </c>
      <c r="M5" s="60" t="s">
        <v>48</v>
      </c>
      <c r="N5" s="61"/>
      <c r="O5" s="62">
        <v>0.3</v>
      </c>
      <c r="P5" s="63">
        <v>0.15</v>
      </c>
    </row>
    <row r="6" spans="1:16" x14ac:dyDescent="0.25">
      <c r="A6" s="51" t="s">
        <v>49</v>
      </c>
      <c r="B6" s="64" t="s">
        <v>49</v>
      </c>
      <c r="C6" s="65"/>
      <c r="D6" s="66">
        <f>D17*0.7</f>
        <v>15.071</v>
      </c>
      <c r="E6" s="66">
        <f t="shared" ref="E6:H6" si="0">E17*0.7</f>
        <v>7.56</v>
      </c>
      <c r="F6" s="66">
        <f t="shared" si="0"/>
        <v>4.6129999999999995</v>
      </c>
      <c r="G6" s="66">
        <f t="shared" si="0"/>
        <v>3.6259999999999994</v>
      </c>
      <c r="H6" s="66">
        <f t="shared" si="0"/>
        <v>4.7249999999999996</v>
      </c>
      <c r="I6" s="66">
        <f>I17*0.3</f>
        <v>1.9769999999999999</v>
      </c>
      <c r="J6" s="58"/>
      <c r="L6" s="67" t="s">
        <v>50</v>
      </c>
      <c r="M6" s="50" t="s">
        <v>49</v>
      </c>
      <c r="N6" s="68"/>
      <c r="O6" s="69">
        <v>0</v>
      </c>
      <c r="P6" s="70">
        <v>0.05</v>
      </c>
    </row>
    <row r="7" spans="1:16" x14ac:dyDescent="0.25">
      <c r="A7" s="51" t="s">
        <v>51</v>
      </c>
      <c r="B7" s="64" t="s">
        <v>52</v>
      </c>
      <c r="C7" s="65"/>
      <c r="D7" s="66">
        <v>0</v>
      </c>
      <c r="E7" s="66">
        <v>0</v>
      </c>
      <c r="F7" s="66">
        <v>0</v>
      </c>
      <c r="G7" s="66">
        <v>0</v>
      </c>
      <c r="H7" s="66">
        <v>5.2</v>
      </c>
      <c r="I7" s="66">
        <v>0</v>
      </c>
      <c r="J7" s="58"/>
      <c r="L7" s="67" t="s">
        <v>51</v>
      </c>
      <c r="M7" s="50" t="s">
        <v>52</v>
      </c>
      <c r="N7" s="68"/>
      <c r="O7" s="69">
        <v>1.0966948180864138</v>
      </c>
      <c r="P7" s="70">
        <v>0.4</v>
      </c>
    </row>
    <row r="8" spans="1:16" x14ac:dyDescent="0.25">
      <c r="A8" s="71" t="s">
        <v>53</v>
      </c>
      <c r="B8" s="72" t="s">
        <v>49</v>
      </c>
      <c r="C8" s="73"/>
      <c r="D8" s="66">
        <v>1</v>
      </c>
      <c r="E8" s="66">
        <v>0.5</v>
      </c>
      <c r="F8" s="66">
        <v>0.5</v>
      </c>
      <c r="G8" s="66">
        <v>0.5</v>
      </c>
      <c r="H8" s="66">
        <v>1</v>
      </c>
      <c r="I8" s="66">
        <v>0.5</v>
      </c>
      <c r="J8" s="58"/>
      <c r="L8" s="67" t="s">
        <v>49</v>
      </c>
      <c r="M8" s="49" t="s">
        <v>49</v>
      </c>
      <c r="N8" s="74"/>
      <c r="O8" s="75">
        <v>1.5</v>
      </c>
      <c r="P8" s="76">
        <v>0.3</v>
      </c>
    </row>
    <row r="9" spans="1:16" x14ac:dyDescent="0.25">
      <c r="A9" s="50" t="s">
        <v>54</v>
      </c>
      <c r="B9" s="64" t="s">
        <v>54</v>
      </c>
      <c r="C9" s="68"/>
      <c r="D9" s="77">
        <f>D17-D6</f>
        <v>6.4590000000000014</v>
      </c>
      <c r="E9" s="78">
        <f t="shared" ref="E9:I9" si="1">E17-E6</f>
        <v>3.2400000000000011</v>
      </c>
      <c r="F9" s="78">
        <f t="shared" si="1"/>
        <v>1.9770000000000003</v>
      </c>
      <c r="G9" s="78">
        <f>G17-G6+0.2</f>
        <v>1.7540000000000002</v>
      </c>
      <c r="H9" s="78">
        <f t="shared" si="1"/>
        <v>2.0250000000000004</v>
      </c>
      <c r="I9" s="79">
        <f t="shared" si="1"/>
        <v>4.6129999999999995</v>
      </c>
      <c r="J9" s="58"/>
      <c r="L9" s="80" t="s">
        <v>54</v>
      </c>
      <c r="M9" s="50" t="s">
        <v>54</v>
      </c>
      <c r="N9" s="68"/>
      <c r="O9" s="69">
        <v>1.85</v>
      </c>
      <c r="P9" s="70">
        <v>0.3</v>
      </c>
    </row>
    <row r="10" spans="1:16" x14ac:dyDescent="0.25">
      <c r="A10" s="50" t="s">
        <v>55</v>
      </c>
      <c r="B10" s="64" t="s">
        <v>56</v>
      </c>
      <c r="C10" s="68"/>
      <c r="D10" s="81">
        <v>0.2</v>
      </c>
      <c r="E10" s="58">
        <v>0.2</v>
      </c>
      <c r="F10" s="58">
        <v>0.2</v>
      </c>
      <c r="G10" s="58">
        <v>0.2</v>
      </c>
      <c r="H10" s="58">
        <v>0.2</v>
      </c>
      <c r="I10" s="82">
        <v>0.2</v>
      </c>
      <c r="J10" s="58"/>
      <c r="L10" s="64"/>
      <c r="M10" s="50"/>
      <c r="N10" s="68"/>
      <c r="O10" s="64"/>
      <c r="P10" s="83"/>
    </row>
    <row r="11" spans="1:16" x14ac:dyDescent="0.25">
      <c r="A11" s="50"/>
      <c r="B11" s="64"/>
      <c r="C11" s="68"/>
      <c r="D11" s="64"/>
      <c r="I11" s="83"/>
      <c r="L11" s="64"/>
      <c r="M11" s="50"/>
      <c r="N11" s="68" t="str">
        <f>IFERROR(VLOOKUP(M11,'[15]Salaries - benchmark'!$B$7:$F$17,5,FALSE),"")</f>
        <v/>
      </c>
      <c r="O11" s="64"/>
      <c r="P11" s="83"/>
    </row>
    <row r="12" spans="1:16" x14ac:dyDescent="0.25">
      <c r="A12" s="50"/>
      <c r="B12" s="64"/>
      <c r="C12" s="68" t="str">
        <f>IFERROR(VLOOKUP(B12,'[15]Salaries - benchmark'!$B$7:$F$17,5,FALSE),"")</f>
        <v/>
      </c>
      <c r="D12" s="64"/>
      <c r="I12" s="83"/>
      <c r="L12" s="64"/>
      <c r="M12" s="50"/>
      <c r="N12" s="68" t="str">
        <f>IFERROR(VLOOKUP(M12,'[15]Salaries - benchmark'!$B$7:$F$17,5,FALSE),"")</f>
        <v/>
      </c>
      <c r="O12" s="64"/>
      <c r="P12" s="83"/>
    </row>
    <row r="13" spans="1:16" x14ac:dyDescent="0.25">
      <c r="A13" s="50"/>
      <c r="B13" s="64"/>
      <c r="C13" s="68" t="str">
        <f>IFERROR(VLOOKUP(B13,'[15]Salaries - benchmark'!$B$7:$F$17,5,FALSE),"")</f>
        <v/>
      </c>
      <c r="D13" s="64"/>
      <c r="I13" s="83"/>
      <c r="L13" s="64"/>
      <c r="M13" s="50"/>
      <c r="N13" s="68" t="str">
        <f>IFERROR(VLOOKUP(M13,'[15]Salaries - benchmark'!$B$7:$F$17,5,FALSE),"")</f>
        <v/>
      </c>
      <c r="O13" s="64"/>
      <c r="P13" s="83"/>
    </row>
    <row r="14" spans="1:16" x14ac:dyDescent="0.25">
      <c r="A14" s="50"/>
      <c r="B14" s="64"/>
      <c r="C14" s="68" t="str">
        <f>IFERROR(VLOOKUP(B14,'[15]Salaries - benchmark'!$B$7:$F$17,5,FALSE),"")</f>
        <v/>
      </c>
      <c r="D14" s="64"/>
      <c r="I14" s="83"/>
      <c r="L14" s="64"/>
      <c r="M14" s="50"/>
      <c r="N14" s="68" t="str">
        <f>IFERROR(VLOOKUP(M14,'[15]Salaries - benchmark'!$B$7:$F$17,5,FALSE),"")</f>
        <v/>
      </c>
      <c r="O14" s="64"/>
      <c r="P14" s="83"/>
    </row>
    <row r="15" spans="1:16" x14ac:dyDescent="0.25">
      <c r="A15" s="50"/>
      <c r="B15" s="64"/>
      <c r="C15" s="68" t="str">
        <f>IFERROR(VLOOKUP(B15,'[15]Salaries - benchmark'!$B$7:$F$17,5,FALSE),"")</f>
        <v/>
      </c>
      <c r="D15" s="64"/>
      <c r="I15" s="83"/>
      <c r="L15" s="64"/>
      <c r="M15" s="50"/>
      <c r="N15" s="68" t="str">
        <f>IFERROR(VLOOKUP(M15,'[15]Salaries - benchmark'!$B$7:$F$17,5,FALSE),"")</f>
        <v/>
      </c>
      <c r="O15" s="64"/>
      <c r="P15" s="83"/>
    </row>
    <row r="16" spans="1:16" x14ac:dyDescent="0.25">
      <c r="A16" s="49"/>
      <c r="B16" s="72"/>
      <c r="C16" s="74" t="str">
        <f>IFERROR(VLOOKUP(B16,'[15]Salaries - benchmark'!$B$7:$F$17,5,FALSE),"")</f>
        <v/>
      </c>
      <c r="D16" s="72"/>
      <c r="E16" s="84"/>
      <c r="F16" s="84"/>
      <c r="G16" s="84"/>
      <c r="H16" s="84"/>
      <c r="I16" s="85"/>
      <c r="L16" s="72"/>
      <c r="M16" s="49"/>
      <c r="N16" s="74" t="str">
        <f>IFERROR(VLOOKUP(M16,'[15]Salaries - benchmark'!$B$7:$F$17,5,FALSE),"")</f>
        <v/>
      </c>
      <c r="O16" s="72"/>
      <c r="P16" s="85"/>
    </row>
    <row r="17" spans="1:16" x14ac:dyDescent="0.25">
      <c r="A17" s="86" t="s">
        <v>57</v>
      </c>
      <c r="B17" s="87"/>
      <c r="C17" s="88" t="s">
        <v>58</v>
      </c>
      <c r="D17" s="89">
        <v>21.53</v>
      </c>
      <c r="E17" s="90">
        <v>10.8</v>
      </c>
      <c r="F17" s="90">
        <v>6.59</v>
      </c>
      <c r="G17" s="90">
        <v>5.18</v>
      </c>
      <c r="H17" s="90">
        <v>6.75</v>
      </c>
      <c r="I17" s="91">
        <v>6.59</v>
      </c>
      <c r="J17" s="92"/>
      <c r="L17" s="93" t="s">
        <v>57</v>
      </c>
      <c r="M17" s="87"/>
      <c r="N17" s="87"/>
      <c r="O17" s="94"/>
      <c r="P17" s="95"/>
    </row>
    <row r="18" spans="1:16" ht="15.75" thickBot="1" x14ac:dyDescent="0.3">
      <c r="A18" s="96"/>
      <c r="C18" s="97"/>
    </row>
    <row r="19" spans="1:16" ht="45" customHeight="1" thickBot="1" x14ac:dyDescent="0.3">
      <c r="A19" s="98" t="s">
        <v>59</v>
      </c>
      <c r="B19" s="98" t="s">
        <v>60</v>
      </c>
      <c r="C19" s="98" t="s">
        <v>61</v>
      </c>
      <c r="D19" s="422" t="s">
        <v>62</v>
      </c>
      <c r="E19" s="423"/>
      <c r="F19" s="423"/>
      <c r="G19" s="423"/>
      <c r="H19" s="424"/>
      <c r="L19" s="98" t="s">
        <v>59</v>
      </c>
      <c r="M19" s="98" t="s">
        <v>60</v>
      </c>
      <c r="N19" s="422" t="s">
        <v>62</v>
      </c>
      <c r="O19" s="423"/>
      <c r="P19" s="424"/>
    </row>
    <row r="20" spans="1:16" ht="14.45" customHeight="1" x14ac:dyDescent="0.25">
      <c r="A20" s="71" t="s">
        <v>22</v>
      </c>
      <c r="B20" s="99">
        <v>0.25390000000000001</v>
      </c>
      <c r="C20" s="100">
        <f>B20</f>
        <v>0.25390000000000001</v>
      </c>
      <c r="D20" s="425" t="s">
        <v>63</v>
      </c>
      <c r="E20" s="426"/>
      <c r="F20" s="426"/>
      <c r="G20" s="426"/>
      <c r="H20" s="427"/>
      <c r="L20" s="51" t="s">
        <v>22</v>
      </c>
      <c r="M20" s="101">
        <v>0.25390000000000001</v>
      </c>
      <c r="N20" s="418" t="s">
        <v>63</v>
      </c>
      <c r="O20" s="418"/>
      <c r="P20" s="419"/>
    </row>
    <row r="21" spans="1:16" ht="14.45" customHeight="1" x14ac:dyDescent="0.25">
      <c r="A21" s="102" t="s">
        <v>24</v>
      </c>
      <c r="B21" s="56">
        <f>13.5728228278367*(0.74%+1)</f>
        <v>13.673261716762692</v>
      </c>
      <c r="C21" s="103">
        <f>B21*0.25</f>
        <v>3.418315429190673</v>
      </c>
      <c r="D21" s="428" t="s">
        <v>64</v>
      </c>
      <c r="E21" s="429"/>
      <c r="F21" s="429"/>
      <c r="G21" s="429"/>
      <c r="H21" s="430"/>
      <c r="L21" s="104" t="s">
        <v>24</v>
      </c>
      <c r="M21" s="370">
        <v>9431.39</v>
      </c>
      <c r="N21" s="420" t="s">
        <v>65</v>
      </c>
      <c r="O21" s="420"/>
      <c r="P21" s="421"/>
    </row>
    <row r="22" spans="1:16" ht="14.45" customHeight="1" x14ac:dyDescent="0.25">
      <c r="A22" s="105" t="s">
        <v>66</v>
      </c>
      <c r="B22" s="65">
        <f>0.638128768965517*(0.74%+1)</f>
        <v>0.64285092185586179</v>
      </c>
      <c r="C22" s="106">
        <f>B22</f>
        <v>0.64285092185586179</v>
      </c>
      <c r="D22" s="415" t="s">
        <v>64</v>
      </c>
      <c r="E22" s="416"/>
      <c r="F22" s="416"/>
      <c r="G22" s="416"/>
      <c r="H22" s="417"/>
      <c r="L22" s="51" t="s">
        <v>25</v>
      </c>
      <c r="M22" s="371">
        <v>459.08</v>
      </c>
      <c r="N22" s="418" t="s">
        <v>67</v>
      </c>
      <c r="O22" s="418"/>
      <c r="P22" s="419"/>
    </row>
    <row r="23" spans="1:16" ht="14.45" customHeight="1" x14ac:dyDescent="0.25">
      <c r="A23" s="105" t="s">
        <v>68</v>
      </c>
      <c r="B23" s="65">
        <f>1.20667439006897*(0.74%+1)</f>
        <v>1.2156037805554805</v>
      </c>
      <c r="C23" s="106">
        <f t="shared" ref="C23:C24" si="2">B23</f>
        <v>1.2156037805554805</v>
      </c>
      <c r="D23" s="415" t="s">
        <v>64</v>
      </c>
      <c r="E23" s="416"/>
      <c r="F23" s="416"/>
      <c r="G23" s="416"/>
      <c r="H23" s="417"/>
      <c r="L23" s="71"/>
      <c r="M23" s="73"/>
      <c r="N23" s="404"/>
      <c r="O23" s="404"/>
      <c r="P23" s="405"/>
    </row>
    <row r="24" spans="1:16" ht="14.45" customHeight="1" x14ac:dyDescent="0.25">
      <c r="A24" s="51" t="s">
        <v>69</v>
      </c>
      <c r="B24" s="65">
        <f>8.19588821875862*(0.74%+1)</f>
        <v>8.2565377915774345</v>
      </c>
      <c r="C24" s="106">
        <f t="shared" si="2"/>
        <v>8.2565377915774345</v>
      </c>
      <c r="D24" s="415" t="s">
        <v>64</v>
      </c>
      <c r="E24" s="416"/>
      <c r="F24" s="416"/>
      <c r="G24" s="416"/>
      <c r="H24" s="417"/>
      <c r="L24" s="104" t="s">
        <v>27</v>
      </c>
      <c r="M24" s="107">
        <v>0.12</v>
      </c>
      <c r="N24" s="420" t="s">
        <v>70</v>
      </c>
      <c r="O24" s="420"/>
      <c r="P24" s="421"/>
    </row>
    <row r="25" spans="1:16" ht="14.45" customHeight="1" x14ac:dyDescent="0.25">
      <c r="A25" s="108" t="s">
        <v>71</v>
      </c>
      <c r="B25" s="73">
        <f>2*(0.74%+1)</f>
        <v>2.0148000000000001</v>
      </c>
      <c r="C25" s="109">
        <f>B25+1</f>
        <v>3.0148000000000001</v>
      </c>
      <c r="D25" s="110"/>
      <c r="E25" s="111"/>
      <c r="F25" s="111"/>
      <c r="G25" s="111"/>
      <c r="H25" s="112"/>
      <c r="L25" s="71" t="s">
        <v>28</v>
      </c>
      <c r="M25" s="99">
        <v>2.7799999999999998E-2</v>
      </c>
      <c r="N25" s="404" t="s">
        <v>72</v>
      </c>
      <c r="O25" s="404"/>
      <c r="P25" s="405"/>
    </row>
    <row r="26" spans="1:16" ht="14.45" customHeight="1" x14ac:dyDescent="0.25">
      <c r="A26" s="113"/>
      <c r="B26" s="61"/>
      <c r="C26" s="114" t="s">
        <v>39</v>
      </c>
      <c r="D26" s="114" t="s">
        <v>40</v>
      </c>
      <c r="E26" s="114" t="s">
        <v>41</v>
      </c>
      <c r="F26" s="114" t="s">
        <v>42</v>
      </c>
      <c r="G26" s="114" t="s">
        <v>43</v>
      </c>
      <c r="H26" s="114" t="s">
        <v>44</v>
      </c>
    </row>
    <row r="27" spans="1:16" x14ac:dyDescent="0.25">
      <c r="A27" s="115" t="s">
        <v>73</v>
      </c>
      <c r="B27" s="64"/>
      <c r="C27" s="116">
        <v>3.8</v>
      </c>
      <c r="D27" s="116">
        <v>2.4</v>
      </c>
      <c r="E27" s="116">
        <v>1.8</v>
      </c>
      <c r="F27" s="116">
        <v>1.6</v>
      </c>
      <c r="G27" s="116">
        <v>1.8</v>
      </c>
      <c r="H27" s="116">
        <v>1.8</v>
      </c>
    </row>
    <row r="28" spans="1:16" ht="14.45" customHeight="1" x14ac:dyDescent="0.25">
      <c r="A28" s="108" t="s">
        <v>74</v>
      </c>
      <c r="B28" s="74">
        <f>'Transportation calc'!C14</f>
        <v>10.085763552068773</v>
      </c>
      <c r="C28" s="117">
        <v>1</v>
      </c>
      <c r="D28" s="117">
        <v>1</v>
      </c>
      <c r="E28" s="117">
        <v>0.8</v>
      </c>
      <c r="F28" s="117">
        <v>0.8</v>
      </c>
      <c r="G28" s="117">
        <v>1</v>
      </c>
      <c r="H28" s="117">
        <v>2.4</v>
      </c>
    </row>
    <row r="29" spans="1:16" ht="14.45" customHeight="1" x14ac:dyDescent="0.25">
      <c r="A29" s="105" t="s">
        <v>75</v>
      </c>
      <c r="B29" s="65">
        <f>'Training Calc'!J9</f>
        <v>158.95121951219511</v>
      </c>
      <c r="C29" s="103">
        <f>'Training Calc'!J9</f>
        <v>158.95121951219511</v>
      </c>
      <c r="D29" s="406" t="s">
        <v>76</v>
      </c>
      <c r="E29" s="407"/>
      <c r="F29" s="407"/>
      <c r="G29" s="407"/>
      <c r="H29" s="408"/>
    </row>
    <row r="30" spans="1:16" ht="14.45" hidden="1" customHeight="1" x14ac:dyDescent="0.25">
      <c r="A30" s="50"/>
      <c r="B30" s="50"/>
      <c r="C30" s="50"/>
      <c r="D30" s="64"/>
      <c r="H30" s="83"/>
    </row>
    <row r="31" spans="1:16" hidden="1" x14ac:dyDescent="0.25">
      <c r="A31" s="115"/>
      <c r="B31" s="50"/>
      <c r="C31" s="50"/>
      <c r="D31" s="64"/>
      <c r="H31" s="83"/>
    </row>
    <row r="32" spans="1:16" hidden="1" x14ac:dyDescent="0.25">
      <c r="A32" s="115"/>
      <c r="B32" s="50"/>
      <c r="C32" s="50"/>
      <c r="D32" s="64"/>
      <c r="H32" s="83"/>
    </row>
    <row r="33" spans="1:8" hidden="1" x14ac:dyDescent="0.25">
      <c r="A33" s="115"/>
      <c r="B33" s="50"/>
      <c r="C33" s="50"/>
      <c r="D33" s="64"/>
      <c r="H33" s="83"/>
    </row>
    <row r="34" spans="1:8" hidden="1" x14ac:dyDescent="0.25">
      <c r="A34" s="115"/>
      <c r="B34" s="50"/>
      <c r="C34" s="50"/>
      <c r="D34" s="64"/>
      <c r="H34" s="83"/>
    </row>
    <row r="35" spans="1:8" hidden="1" x14ac:dyDescent="0.25">
      <c r="A35" s="115"/>
      <c r="B35" s="50"/>
      <c r="C35" s="50"/>
      <c r="D35" s="64"/>
      <c r="H35" s="83"/>
    </row>
    <row r="36" spans="1:8" hidden="1" x14ac:dyDescent="0.25">
      <c r="A36" s="115"/>
      <c r="B36" s="50"/>
      <c r="C36" s="50"/>
      <c r="D36" s="64"/>
      <c r="H36" s="83"/>
    </row>
    <row r="37" spans="1:8" hidden="1" x14ac:dyDescent="0.25">
      <c r="A37" s="108"/>
      <c r="B37" s="49"/>
      <c r="C37" s="50"/>
      <c r="D37" s="64"/>
      <c r="H37" s="83"/>
    </row>
    <row r="38" spans="1:8" x14ac:dyDescent="0.25">
      <c r="A38" s="51" t="s">
        <v>77</v>
      </c>
      <c r="B38" s="118">
        <v>0.12</v>
      </c>
      <c r="C38" s="409" t="s">
        <v>78</v>
      </c>
      <c r="D38" s="410"/>
      <c r="E38" s="410"/>
      <c r="F38" s="410"/>
      <c r="G38" s="410"/>
      <c r="H38" s="411"/>
    </row>
    <row r="39" spans="1:8" x14ac:dyDescent="0.25">
      <c r="A39" s="71" t="s">
        <v>28</v>
      </c>
      <c r="B39" s="119">
        <v>2.7799999999999998E-2</v>
      </c>
      <c r="C39" s="412" t="s">
        <v>79</v>
      </c>
      <c r="D39" s="413"/>
      <c r="E39" s="413"/>
      <c r="F39" s="413"/>
      <c r="G39" s="413"/>
      <c r="H39" s="414"/>
    </row>
    <row r="42" spans="1:8" x14ac:dyDescent="0.25">
      <c r="A42" t="s">
        <v>80</v>
      </c>
      <c r="B42" s="120">
        <v>20</v>
      </c>
    </row>
    <row r="43" spans="1:8" x14ac:dyDescent="0.25">
      <c r="A43" s="84" t="s">
        <v>81</v>
      </c>
      <c r="B43" s="121">
        <v>250</v>
      </c>
    </row>
    <row r="44" spans="1:8" ht="15.75" thickBot="1" x14ac:dyDescent="0.3">
      <c r="A44" s="122" t="s">
        <v>82</v>
      </c>
      <c r="B44" s="123">
        <f>B42*B43</f>
        <v>5000</v>
      </c>
    </row>
    <row r="45" spans="1:8" ht="15.75" thickTop="1" x14ac:dyDescent="0.25"/>
  </sheetData>
  <mergeCells count="22">
    <mergeCell ref="A2:I2"/>
    <mergeCell ref="L2:P2"/>
    <mergeCell ref="A3:B3"/>
    <mergeCell ref="D3:I3"/>
    <mergeCell ref="L3:M3"/>
    <mergeCell ref="O3:P3"/>
    <mergeCell ref="D19:H19"/>
    <mergeCell ref="N19:P19"/>
    <mergeCell ref="D20:H20"/>
    <mergeCell ref="N20:P20"/>
    <mergeCell ref="D21:H21"/>
    <mergeCell ref="N21:P21"/>
    <mergeCell ref="N25:P25"/>
    <mergeCell ref="D29:H29"/>
    <mergeCell ref="C38:H38"/>
    <mergeCell ref="C39:H39"/>
    <mergeCell ref="D22:H22"/>
    <mergeCell ref="N22:P22"/>
    <mergeCell ref="D23:H23"/>
    <mergeCell ref="N23:P23"/>
    <mergeCell ref="D24:H24"/>
    <mergeCell ref="N24:P2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4A50B-86BF-469D-8248-D9704708233E}">
          <x14:formula1>
            <xm:f>'S:\Administrative Services-POS Policy Office\Rate Setting\Rate Projects\CBDS - Adult Community Based Supports_ CMR 415\FY24 Rate Review\3. Signoff\Website\[101 CMR 415 FOIA wip.xlsx]Salaries - benchmark'!#REF!</xm:f>
          </x14:formula1>
          <xm:sqref>B5:B16 M5:M16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88B7-8669-48D3-A80E-39E7E0893402}">
  <dimension ref="A1:CT28"/>
  <sheetViews>
    <sheetView topLeftCell="BK1" workbookViewId="0">
      <selection activeCell="CF32" sqref="CF32"/>
    </sheetView>
  </sheetViews>
  <sheetFormatPr defaultRowHeight="12.75" x14ac:dyDescent="0.2"/>
  <cols>
    <col min="1" max="1" width="38.42578125" style="248" customWidth="1"/>
    <col min="2" max="2" width="12.85546875" style="253" customWidth="1"/>
    <col min="3" max="62" width="7.7109375" style="248" hidden="1" customWidth="1"/>
    <col min="63" max="82" width="7.7109375" style="248" customWidth="1"/>
    <col min="83" max="256" width="8.7109375" style="248"/>
    <col min="257" max="257" width="38.42578125" style="248" customWidth="1"/>
    <col min="258" max="258" width="12.85546875" style="248" customWidth="1"/>
    <col min="259" max="318" width="0" style="248" hidden="1" customWidth="1"/>
    <col min="319" max="338" width="7.7109375" style="248" customWidth="1"/>
    <col min="339" max="512" width="8.7109375" style="248"/>
    <col min="513" max="513" width="38.42578125" style="248" customWidth="1"/>
    <col min="514" max="514" width="12.85546875" style="248" customWidth="1"/>
    <col min="515" max="574" width="0" style="248" hidden="1" customWidth="1"/>
    <col min="575" max="594" width="7.7109375" style="248" customWidth="1"/>
    <col min="595" max="768" width="8.7109375" style="248"/>
    <col min="769" max="769" width="38.42578125" style="248" customWidth="1"/>
    <col min="770" max="770" width="12.85546875" style="248" customWidth="1"/>
    <col min="771" max="830" width="0" style="248" hidden="1" customWidth="1"/>
    <col min="831" max="850" width="7.7109375" style="248" customWidth="1"/>
    <col min="851" max="1024" width="8.7109375" style="248"/>
    <col min="1025" max="1025" width="38.42578125" style="248" customWidth="1"/>
    <col min="1026" max="1026" width="12.85546875" style="248" customWidth="1"/>
    <col min="1027" max="1086" width="0" style="248" hidden="1" customWidth="1"/>
    <col min="1087" max="1106" width="7.7109375" style="248" customWidth="1"/>
    <col min="1107" max="1280" width="8.7109375" style="248"/>
    <col min="1281" max="1281" width="38.42578125" style="248" customWidth="1"/>
    <col min="1282" max="1282" width="12.85546875" style="248" customWidth="1"/>
    <col min="1283" max="1342" width="0" style="248" hidden="1" customWidth="1"/>
    <col min="1343" max="1362" width="7.7109375" style="248" customWidth="1"/>
    <col min="1363" max="1536" width="8.7109375" style="248"/>
    <col min="1537" max="1537" width="38.42578125" style="248" customWidth="1"/>
    <col min="1538" max="1538" width="12.85546875" style="248" customWidth="1"/>
    <col min="1539" max="1598" width="0" style="248" hidden="1" customWidth="1"/>
    <col min="1599" max="1618" width="7.7109375" style="248" customWidth="1"/>
    <col min="1619" max="1792" width="8.7109375" style="248"/>
    <col min="1793" max="1793" width="38.42578125" style="248" customWidth="1"/>
    <col min="1794" max="1794" width="12.85546875" style="248" customWidth="1"/>
    <col min="1795" max="1854" width="0" style="248" hidden="1" customWidth="1"/>
    <col min="1855" max="1874" width="7.7109375" style="248" customWidth="1"/>
    <col min="1875" max="2048" width="8.7109375" style="248"/>
    <col min="2049" max="2049" width="38.42578125" style="248" customWidth="1"/>
    <col min="2050" max="2050" width="12.85546875" style="248" customWidth="1"/>
    <col min="2051" max="2110" width="0" style="248" hidden="1" customWidth="1"/>
    <col min="2111" max="2130" width="7.7109375" style="248" customWidth="1"/>
    <col min="2131" max="2304" width="8.7109375" style="248"/>
    <col min="2305" max="2305" width="38.42578125" style="248" customWidth="1"/>
    <col min="2306" max="2306" width="12.85546875" style="248" customWidth="1"/>
    <col min="2307" max="2366" width="0" style="248" hidden="1" customWidth="1"/>
    <col min="2367" max="2386" width="7.7109375" style="248" customWidth="1"/>
    <col min="2387" max="2560" width="8.7109375" style="248"/>
    <col min="2561" max="2561" width="38.42578125" style="248" customWidth="1"/>
    <col min="2562" max="2562" width="12.85546875" style="248" customWidth="1"/>
    <col min="2563" max="2622" width="0" style="248" hidden="1" customWidth="1"/>
    <col min="2623" max="2642" width="7.7109375" style="248" customWidth="1"/>
    <col min="2643" max="2816" width="8.7109375" style="248"/>
    <col min="2817" max="2817" width="38.42578125" style="248" customWidth="1"/>
    <col min="2818" max="2818" width="12.85546875" style="248" customWidth="1"/>
    <col min="2819" max="2878" width="0" style="248" hidden="1" customWidth="1"/>
    <col min="2879" max="2898" width="7.7109375" style="248" customWidth="1"/>
    <col min="2899" max="3072" width="8.7109375" style="248"/>
    <col min="3073" max="3073" width="38.42578125" style="248" customWidth="1"/>
    <col min="3074" max="3074" width="12.85546875" style="248" customWidth="1"/>
    <col min="3075" max="3134" width="0" style="248" hidden="1" customWidth="1"/>
    <col min="3135" max="3154" width="7.7109375" style="248" customWidth="1"/>
    <col min="3155" max="3328" width="8.7109375" style="248"/>
    <col min="3329" max="3329" width="38.42578125" style="248" customWidth="1"/>
    <col min="3330" max="3330" width="12.85546875" style="248" customWidth="1"/>
    <col min="3331" max="3390" width="0" style="248" hidden="1" customWidth="1"/>
    <col min="3391" max="3410" width="7.7109375" style="248" customWidth="1"/>
    <col min="3411" max="3584" width="8.7109375" style="248"/>
    <col min="3585" max="3585" width="38.42578125" style="248" customWidth="1"/>
    <col min="3586" max="3586" width="12.85546875" style="248" customWidth="1"/>
    <col min="3587" max="3646" width="0" style="248" hidden="1" customWidth="1"/>
    <col min="3647" max="3666" width="7.7109375" style="248" customWidth="1"/>
    <col min="3667" max="3840" width="8.7109375" style="248"/>
    <col min="3841" max="3841" width="38.42578125" style="248" customWidth="1"/>
    <col min="3842" max="3842" width="12.85546875" style="248" customWidth="1"/>
    <col min="3843" max="3902" width="0" style="248" hidden="1" customWidth="1"/>
    <col min="3903" max="3922" width="7.7109375" style="248" customWidth="1"/>
    <col min="3923" max="4096" width="8.7109375" style="248"/>
    <col min="4097" max="4097" width="38.42578125" style="248" customWidth="1"/>
    <col min="4098" max="4098" width="12.85546875" style="248" customWidth="1"/>
    <col min="4099" max="4158" width="0" style="248" hidden="1" customWidth="1"/>
    <col min="4159" max="4178" width="7.7109375" style="248" customWidth="1"/>
    <col min="4179" max="4352" width="8.7109375" style="248"/>
    <col min="4353" max="4353" width="38.42578125" style="248" customWidth="1"/>
    <col min="4354" max="4354" width="12.85546875" style="248" customWidth="1"/>
    <col min="4355" max="4414" width="0" style="248" hidden="1" customWidth="1"/>
    <col min="4415" max="4434" width="7.7109375" style="248" customWidth="1"/>
    <col min="4435" max="4608" width="8.7109375" style="248"/>
    <col min="4609" max="4609" width="38.42578125" style="248" customWidth="1"/>
    <col min="4610" max="4610" width="12.85546875" style="248" customWidth="1"/>
    <col min="4611" max="4670" width="0" style="248" hidden="1" customWidth="1"/>
    <col min="4671" max="4690" width="7.7109375" style="248" customWidth="1"/>
    <col min="4691" max="4864" width="8.7109375" style="248"/>
    <col min="4865" max="4865" width="38.42578125" style="248" customWidth="1"/>
    <col min="4866" max="4866" width="12.85546875" style="248" customWidth="1"/>
    <col min="4867" max="4926" width="0" style="248" hidden="1" customWidth="1"/>
    <col min="4927" max="4946" width="7.7109375" style="248" customWidth="1"/>
    <col min="4947" max="5120" width="8.7109375" style="248"/>
    <col min="5121" max="5121" width="38.42578125" style="248" customWidth="1"/>
    <col min="5122" max="5122" width="12.85546875" style="248" customWidth="1"/>
    <col min="5123" max="5182" width="0" style="248" hidden="1" customWidth="1"/>
    <col min="5183" max="5202" width="7.7109375" style="248" customWidth="1"/>
    <col min="5203" max="5376" width="8.7109375" style="248"/>
    <col min="5377" max="5377" width="38.42578125" style="248" customWidth="1"/>
    <col min="5378" max="5378" width="12.85546875" style="248" customWidth="1"/>
    <col min="5379" max="5438" width="0" style="248" hidden="1" customWidth="1"/>
    <col min="5439" max="5458" width="7.7109375" style="248" customWidth="1"/>
    <col min="5459" max="5632" width="8.7109375" style="248"/>
    <col min="5633" max="5633" width="38.42578125" style="248" customWidth="1"/>
    <col min="5634" max="5634" width="12.85546875" style="248" customWidth="1"/>
    <col min="5635" max="5694" width="0" style="248" hidden="1" customWidth="1"/>
    <col min="5695" max="5714" width="7.7109375" style="248" customWidth="1"/>
    <col min="5715" max="5888" width="8.7109375" style="248"/>
    <col min="5889" max="5889" width="38.42578125" style="248" customWidth="1"/>
    <col min="5890" max="5890" width="12.85546875" style="248" customWidth="1"/>
    <col min="5891" max="5950" width="0" style="248" hidden="1" customWidth="1"/>
    <col min="5951" max="5970" width="7.7109375" style="248" customWidth="1"/>
    <col min="5971" max="6144" width="8.7109375" style="248"/>
    <col min="6145" max="6145" width="38.42578125" style="248" customWidth="1"/>
    <col min="6146" max="6146" width="12.85546875" style="248" customWidth="1"/>
    <col min="6147" max="6206" width="0" style="248" hidden="1" customWidth="1"/>
    <col min="6207" max="6226" width="7.7109375" style="248" customWidth="1"/>
    <col min="6227" max="6400" width="8.7109375" style="248"/>
    <col min="6401" max="6401" width="38.42578125" style="248" customWidth="1"/>
    <col min="6402" max="6402" width="12.85546875" style="248" customWidth="1"/>
    <col min="6403" max="6462" width="0" style="248" hidden="1" customWidth="1"/>
    <col min="6463" max="6482" width="7.7109375" style="248" customWidth="1"/>
    <col min="6483" max="6656" width="8.7109375" style="248"/>
    <col min="6657" max="6657" width="38.42578125" style="248" customWidth="1"/>
    <col min="6658" max="6658" width="12.85546875" style="248" customWidth="1"/>
    <col min="6659" max="6718" width="0" style="248" hidden="1" customWidth="1"/>
    <col min="6719" max="6738" width="7.7109375" style="248" customWidth="1"/>
    <col min="6739" max="6912" width="8.7109375" style="248"/>
    <col min="6913" max="6913" width="38.42578125" style="248" customWidth="1"/>
    <col min="6914" max="6914" width="12.85546875" style="248" customWidth="1"/>
    <col min="6915" max="6974" width="0" style="248" hidden="1" customWidth="1"/>
    <col min="6975" max="6994" width="7.7109375" style="248" customWidth="1"/>
    <col min="6995" max="7168" width="8.7109375" style="248"/>
    <col min="7169" max="7169" width="38.42578125" style="248" customWidth="1"/>
    <col min="7170" max="7170" width="12.85546875" style="248" customWidth="1"/>
    <col min="7171" max="7230" width="0" style="248" hidden="1" customWidth="1"/>
    <col min="7231" max="7250" width="7.7109375" style="248" customWidth="1"/>
    <col min="7251" max="7424" width="8.7109375" style="248"/>
    <col min="7425" max="7425" width="38.42578125" style="248" customWidth="1"/>
    <col min="7426" max="7426" width="12.85546875" style="248" customWidth="1"/>
    <col min="7427" max="7486" width="0" style="248" hidden="1" customWidth="1"/>
    <col min="7487" max="7506" width="7.7109375" style="248" customWidth="1"/>
    <col min="7507" max="7680" width="8.7109375" style="248"/>
    <col min="7681" max="7681" width="38.42578125" style="248" customWidth="1"/>
    <col min="7682" max="7682" width="12.85546875" style="248" customWidth="1"/>
    <col min="7683" max="7742" width="0" style="248" hidden="1" customWidth="1"/>
    <col min="7743" max="7762" width="7.7109375" style="248" customWidth="1"/>
    <col min="7763" max="7936" width="8.7109375" style="248"/>
    <col min="7937" max="7937" width="38.42578125" style="248" customWidth="1"/>
    <col min="7938" max="7938" width="12.85546875" style="248" customWidth="1"/>
    <col min="7939" max="7998" width="0" style="248" hidden="1" customWidth="1"/>
    <col min="7999" max="8018" width="7.7109375" style="248" customWidth="1"/>
    <col min="8019" max="8192" width="8.7109375" style="248"/>
    <col min="8193" max="8193" width="38.42578125" style="248" customWidth="1"/>
    <col min="8194" max="8194" width="12.85546875" style="248" customWidth="1"/>
    <col min="8195" max="8254" width="0" style="248" hidden="1" customWidth="1"/>
    <col min="8255" max="8274" width="7.7109375" style="248" customWidth="1"/>
    <col min="8275" max="8448" width="8.7109375" style="248"/>
    <col min="8449" max="8449" width="38.42578125" style="248" customWidth="1"/>
    <col min="8450" max="8450" width="12.85546875" style="248" customWidth="1"/>
    <col min="8451" max="8510" width="0" style="248" hidden="1" customWidth="1"/>
    <col min="8511" max="8530" width="7.7109375" style="248" customWidth="1"/>
    <col min="8531" max="8704" width="8.7109375" style="248"/>
    <col min="8705" max="8705" width="38.42578125" style="248" customWidth="1"/>
    <col min="8706" max="8706" width="12.85546875" style="248" customWidth="1"/>
    <col min="8707" max="8766" width="0" style="248" hidden="1" customWidth="1"/>
    <col min="8767" max="8786" width="7.7109375" style="248" customWidth="1"/>
    <col min="8787" max="8960" width="8.7109375" style="248"/>
    <col min="8961" max="8961" width="38.42578125" style="248" customWidth="1"/>
    <col min="8962" max="8962" width="12.85546875" style="248" customWidth="1"/>
    <col min="8963" max="9022" width="0" style="248" hidden="1" customWidth="1"/>
    <col min="9023" max="9042" width="7.7109375" style="248" customWidth="1"/>
    <col min="9043" max="9216" width="8.7109375" style="248"/>
    <col min="9217" max="9217" width="38.42578125" style="248" customWidth="1"/>
    <col min="9218" max="9218" width="12.85546875" style="248" customWidth="1"/>
    <col min="9219" max="9278" width="0" style="248" hidden="1" customWidth="1"/>
    <col min="9279" max="9298" width="7.7109375" style="248" customWidth="1"/>
    <col min="9299" max="9472" width="8.7109375" style="248"/>
    <col min="9473" max="9473" width="38.42578125" style="248" customWidth="1"/>
    <col min="9474" max="9474" width="12.85546875" style="248" customWidth="1"/>
    <col min="9475" max="9534" width="0" style="248" hidden="1" customWidth="1"/>
    <col min="9535" max="9554" width="7.7109375" style="248" customWidth="1"/>
    <col min="9555" max="9728" width="8.7109375" style="248"/>
    <col min="9729" max="9729" width="38.42578125" style="248" customWidth="1"/>
    <col min="9730" max="9730" width="12.85546875" style="248" customWidth="1"/>
    <col min="9731" max="9790" width="0" style="248" hidden="1" customWidth="1"/>
    <col min="9791" max="9810" width="7.7109375" style="248" customWidth="1"/>
    <col min="9811" max="9984" width="8.7109375" style="248"/>
    <col min="9985" max="9985" width="38.42578125" style="248" customWidth="1"/>
    <col min="9986" max="9986" width="12.85546875" style="248" customWidth="1"/>
    <col min="9987" max="10046" width="0" style="248" hidden="1" customWidth="1"/>
    <col min="10047" max="10066" width="7.7109375" style="248" customWidth="1"/>
    <col min="10067" max="10240" width="8.7109375" style="248"/>
    <col min="10241" max="10241" width="38.42578125" style="248" customWidth="1"/>
    <col min="10242" max="10242" width="12.85546875" style="248" customWidth="1"/>
    <col min="10243" max="10302" width="0" style="248" hidden="1" customWidth="1"/>
    <col min="10303" max="10322" width="7.7109375" style="248" customWidth="1"/>
    <col min="10323" max="10496" width="8.7109375" style="248"/>
    <col min="10497" max="10497" width="38.42578125" style="248" customWidth="1"/>
    <col min="10498" max="10498" width="12.85546875" style="248" customWidth="1"/>
    <col min="10499" max="10558" width="0" style="248" hidden="1" customWidth="1"/>
    <col min="10559" max="10578" width="7.7109375" style="248" customWidth="1"/>
    <col min="10579" max="10752" width="8.7109375" style="248"/>
    <col min="10753" max="10753" width="38.42578125" style="248" customWidth="1"/>
    <col min="10754" max="10754" width="12.85546875" style="248" customWidth="1"/>
    <col min="10755" max="10814" width="0" style="248" hidden="1" customWidth="1"/>
    <col min="10815" max="10834" width="7.7109375" style="248" customWidth="1"/>
    <col min="10835" max="11008" width="8.7109375" style="248"/>
    <col min="11009" max="11009" width="38.42578125" style="248" customWidth="1"/>
    <col min="11010" max="11010" width="12.85546875" style="248" customWidth="1"/>
    <col min="11011" max="11070" width="0" style="248" hidden="1" customWidth="1"/>
    <col min="11071" max="11090" width="7.7109375" style="248" customWidth="1"/>
    <col min="11091" max="11264" width="8.7109375" style="248"/>
    <col min="11265" max="11265" width="38.42578125" style="248" customWidth="1"/>
    <col min="11266" max="11266" width="12.85546875" style="248" customWidth="1"/>
    <col min="11267" max="11326" width="0" style="248" hidden="1" customWidth="1"/>
    <col min="11327" max="11346" width="7.7109375" style="248" customWidth="1"/>
    <col min="11347" max="11520" width="8.7109375" style="248"/>
    <col min="11521" max="11521" width="38.42578125" style="248" customWidth="1"/>
    <col min="11522" max="11522" width="12.85546875" style="248" customWidth="1"/>
    <col min="11523" max="11582" width="0" style="248" hidden="1" customWidth="1"/>
    <col min="11583" max="11602" width="7.7109375" style="248" customWidth="1"/>
    <col min="11603" max="11776" width="8.7109375" style="248"/>
    <col min="11777" max="11777" width="38.42578125" style="248" customWidth="1"/>
    <col min="11778" max="11778" width="12.85546875" style="248" customWidth="1"/>
    <col min="11779" max="11838" width="0" style="248" hidden="1" customWidth="1"/>
    <col min="11839" max="11858" width="7.7109375" style="248" customWidth="1"/>
    <col min="11859" max="12032" width="8.7109375" style="248"/>
    <col min="12033" max="12033" width="38.42578125" style="248" customWidth="1"/>
    <col min="12034" max="12034" width="12.85546875" style="248" customWidth="1"/>
    <col min="12035" max="12094" width="0" style="248" hidden="1" customWidth="1"/>
    <col min="12095" max="12114" width="7.7109375" style="248" customWidth="1"/>
    <col min="12115" max="12288" width="8.7109375" style="248"/>
    <col min="12289" max="12289" width="38.42578125" style="248" customWidth="1"/>
    <col min="12290" max="12290" width="12.85546875" style="248" customWidth="1"/>
    <col min="12291" max="12350" width="0" style="248" hidden="1" customWidth="1"/>
    <col min="12351" max="12370" width="7.7109375" style="248" customWidth="1"/>
    <col min="12371" max="12544" width="8.7109375" style="248"/>
    <col min="12545" max="12545" width="38.42578125" style="248" customWidth="1"/>
    <col min="12546" max="12546" width="12.85546875" style="248" customWidth="1"/>
    <col min="12547" max="12606" width="0" style="248" hidden="1" customWidth="1"/>
    <col min="12607" max="12626" width="7.7109375" style="248" customWidth="1"/>
    <col min="12627" max="12800" width="8.7109375" style="248"/>
    <col min="12801" max="12801" width="38.42578125" style="248" customWidth="1"/>
    <col min="12802" max="12802" width="12.85546875" style="248" customWidth="1"/>
    <col min="12803" max="12862" width="0" style="248" hidden="1" customWidth="1"/>
    <col min="12863" max="12882" width="7.7109375" style="248" customWidth="1"/>
    <col min="12883" max="13056" width="8.7109375" style="248"/>
    <col min="13057" max="13057" width="38.42578125" style="248" customWidth="1"/>
    <col min="13058" max="13058" width="12.85546875" style="248" customWidth="1"/>
    <col min="13059" max="13118" width="0" style="248" hidden="1" customWidth="1"/>
    <col min="13119" max="13138" width="7.7109375" style="248" customWidth="1"/>
    <col min="13139" max="13312" width="8.7109375" style="248"/>
    <col min="13313" max="13313" width="38.42578125" style="248" customWidth="1"/>
    <col min="13314" max="13314" width="12.85546875" style="248" customWidth="1"/>
    <col min="13315" max="13374" width="0" style="248" hidden="1" customWidth="1"/>
    <col min="13375" max="13394" width="7.7109375" style="248" customWidth="1"/>
    <col min="13395" max="13568" width="8.7109375" style="248"/>
    <col min="13569" max="13569" width="38.42578125" style="248" customWidth="1"/>
    <col min="13570" max="13570" width="12.85546875" style="248" customWidth="1"/>
    <col min="13571" max="13630" width="0" style="248" hidden="1" customWidth="1"/>
    <col min="13631" max="13650" width="7.7109375" style="248" customWidth="1"/>
    <col min="13651" max="13824" width="8.7109375" style="248"/>
    <col min="13825" max="13825" width="38.42578125" style="248" customWidth="1"/>
    <col min="13826" max="13826" width="12.85546875" style="248" customWidth="1"/>
    <col min="13827" max="13886" width="0" style="248" hidden="1" customWidth="1"/>
    <col min="13887" max="13906" width="7.7109375" style="248" customWidth="1"/>
    <col min="13907" max="14080" width="8.7109375" style="248"/>
    <col min="14081" max="14081" width="38.42578125" style="248" customWidth="1"/>
    <col min="14082" max="14082" width="12.85546875" style="248" customWidth="1"/>
    <col min="14083" max="14142" width="0" style="248" hidden="1" customWidth="1"/>
    <col min="14143" max="14162" width="7.7109375" style="248" customWidth="1"/>
    <col min="14163" max="14336" width="8.7109375" style="248"/>
    <col min="14337" max="14337" width="38.42578125" style="248" customWidth="1"/>
    <col min="14338" max="14338" width="12.85546875" style="248" customWidth="1"/>
    <col min="14339" max="14398" width="0" style="248" hidden="1" customWidth="1"/>
    <col min="14399" max="14418" width="7.7109375" style="248" customWidth="1"/>
    <col min="14419" max="14592" width="8.7109375" style="248"/>
    <col min="14593" max="14593" width="38.42578125" style="248" customWidth="1"/>
    <col min="14594" max="14594" width="12.85546875" style="248" customWidth="1"/>
    <col min="14595" max="14654" width="0" style="248" hidden="1" customWidth="1"/>
    <col min="14655" max="14674" width="7.7109375" style="248" customWidth="1"/>
    <col min="14675" max="14848" width="8.7109375" style="248"/>
    <col min="14849" max="14849" width="38.42578125" style="248" customWidth="1"/>
    <col min="14850" max="14850" width="12.85546875" style="248" customWidth="1"/>
    <col min="14851" max="14910" width="0" style="248" hidden="1" customWidth="1"/>
    <col min="14911" max="14930" width="7.7109375" style="248" customWidth="1"/>
    <col min="14931" max="15104" width="8.7109375" style="248"/>
    <col min="15105" max="15105" width="38.42578125" style="248" customWidth="1"/>
    <col min="15106" max="15106" width="12.85546875" style="248" customWidth="1"/>
    <col min="15107" max="15166" width="0" style="248" hidden="1" customWidth="1"/>
    <col min="15167" max="15186" width="7.7109375" style="248" customWidth="1"/>
    <col min="15187" max="15360" width="8.7109375" style="248"/>
    <col min="15361" max="15361" width="38.42578125" style="248" customWidth="1"/>
    <col min="15362" max="15362" width="12.85546875" style="248" customWidth="1"/>
    <col min="15363" max="15422" width="0" style="248" hidden="1" customWidth="1"/>
    <col min="15423" max="15442" width="7.7109375" style="248" customWidth="1"/>
    <col min="15443" max="15616" width="8.7109375" style="248"/>
    <col min="15617" max="15617" width="38.42578125" style="248" customWidth="1"/>
    <col min="15618" max="15618" width="12.85546875" style="248" customWidth="1"/>
    <col min="15619" max="15678" width="0" style="248" hidden="1" customWidth="1"/>
    <col min="15679" max="15698" width="7.7109375" style="248" customWidth="1"/>
    <col min="15699" max="15872" width="8.7109375" style="248"/>
    <col min="15873" max="15873" width="38.42578125" style="248" customWidth="1"/>
    <col min="15874" max="15874" width="12.85546875" style="248" customWidth="1"/>
    <col min="15875" max="15934" width="0" style="248" hidden="1" customWidth="1"/>
    <col min="15935" max="15954" width="7.7109375" style="248" customWidth="1"/>
    <col min="15955" max="16128" width="8.7109375" style="248"/>
    <col min="16129" max="16129" width="38.42578125" style="248" customWidth="1"/>
    <col min="16130" max="16130" width="12.85546875" style="248" customWidth="1"/>
    <col min="16131" max="16190" width="0" style="248" hidden="1" customWidth="1"/>
    <col min="16191" max="16210" width="7.7109375" style="248" customWidth="1"/>
    <col min="16211" max="16384" width="8.7109375" style="248"/>
  </cols>
  <sheetData>
    <row r="1" spans="1:98" ht="18" x14ac:dyDescent="0.25">
      <c r="A1" s="436" t="s">
        <v>271</v>
      </c>
      <c r="B1" s="437"/>
    </row>
    <row r="2" spans="1:98" ht="15.75" x14ac:dyDescent="0.25">
      <c r="A2" s="249" t="s">
        <v>272</v>
      </c>
      <c r="B2" s="250"/>
    </row>
    <row r="3" spans="1:98" ht="15.75" thickBot="1" x14ac:dyDescent="0.3">
      <c r="A3" s="251" t="s">
        <v>273</v>
      </c>
      <c r="B3" s="252"/>
    </row>
    <row r="6" spans="1:98" x14ac:dyDescent="0.2">
      <c r="BQ6" s="254" t="s">
        <v>274</v>
      </c>
      <c r="BR6" s="254" t="s">
        <v>274</v>
      </c>
      <c r="BS6" s="254" t="s">
        <v>274</v>
      </c>
      <c r="BT6" s="254" t="s">
        <v>274</v>
      </c>
      <c r="BU6" s="255" t="s">
        <v>275</v>
      </c>
      <c r="BV6" s="255" t="s">
        <v>275</v>
      </c>
      <c r="BW6" s="255" t="s">
        <v>275</v>
      </c>
      <c r="BX6" s="255" t="s">
        <v>275</v>
      </c>
      <c r="BY6" s="256" t="s">
        <v>276</v>
      </c>
      <c r="BZ6" s="256" t="s">
        <v>276</v>
      </c>
      <c r="CA6" s="256" t="s">
        <v>276</v>
      </c>
      <c r="CB6" s="256" t="s">
        <v>276</v>
      </c>
      <c r="CC6" s="257" t="s">
        <v>277</v>
      </c>
      <c r="CD6" s="257" t="s">
        <v>277</v>
      </c>
      <c r="CE6" s="257" t="s">
        <v>277</v>
      </c>
      <c r="CF6" s="257" t="s">
        <v>277</v>
      </c>
      <c r="CG6" s="258" t="s">
        <v>278</v>
      </c>
      <c r="CH6" s="258" t="s">
        <v>278</v>
      </c>
      <c r="CI6" s="258" t="s">
        <v>278</v>
      </c>
      <c r="CJ6" s="258" t="s">
        <v>278</v>
      </c>
    </row>
    <row r="7" spans="1:98" s="253" customFormat="1" x14ac:dyDescent="0.2">
      <c r="B7" s="253" t="s">
        <v>279</v>
      </c>
      <c r="C7" s="259" t="s">
        <v>280</v>
      </c>
      <c r="D7" s="259" t="s">
        <v>281</v>
      </c>
      <c r="E7" s="259" t="s">
        <v>282</v>
      </c>
      <c r="F7" s="259" t="s">
        <v>283</v>
      </c>
      <c r="G7" s="259" t="s">
        <v>284</v>
      </c>
      <c r="H7" s="259" t="s">
        <v>285</v>
      </c>
      <c r="I7" s="259" t="s">
        <v>286</v>
      </c>
      <c r="J7" s="259" t="s">
        <v>287</v>
      </c>
      <c r="K7" s="259" t="s">
        <v>288</v>
      </c>
      <c r="L7" s="259" t="s">
        <v>289</v>
      </c>
      <c r="M7" s="259" t="s">
        <v>290</v>
      </c>
      <c r="N7" s="259" t="s">
        <v>291</v>
      </c>
      <c r="O7" s="259" t="s">
        <v>292</v>
      </c>
      <c r="P7" s="259" t="s">
        <v>293</v>
      </c>
      <c r="Q7" s="259" t="s">
        <v>294</v>
      </c>
      <c r="R7" s="259" t="s">
        <v>295</v>
      </c>
      <c r="S7" s="259" t="s">
        <v>296</v>
      </c>
      <c r="T7" s="259" t="s">
        <v>297</v>
      </c>
      <c r="U7" s="259" t="s">
        <v>298</v>
      </c>
      <c r="V7" s="259" t="s">
        <v>299</v>
      </c>
      <c r="W7" s="259" t="s">
        <v>300</v>
      </c>
      <c r="X7" s="259" t="s">
        <v>301</v>
      </c>
      <c r="Y7" s="259" t="s">
        <v>302</v>
      </c>
      <c r="Z7" s="259" t="s">
        <v>303</v>
      </c>
      <c r="AA7" s="259" t="s">
        <v>304</v>
      </c>
      <c r="AB7" s="259" t="s">
        <v>305</v>
      </c>
      <c r="AC7" s="259" t="s">
        <v>306</v>
      </c>
      <c r="AD7" s="259" t="s">
        <v>307</v>
      </c>
      <c r="AE7" s="259" t="s">
        <v>308</v>
      </c>
      <c r="AF7" s="259" t="s">
        <v>309</v>
      </c>
      <c r="AG7" s="259" t="s">
        <v>310</v>
      </c>
      <c r="AH7" s="259" t="s">
        <v>311</v>
      </c>
      <c r="AI7" s="259" t="s">
        <v>312</v>
      </c>
      <c r="AJ7" s="259" t="s">
        <v>313</v>
      </c>
      <c r="AK7" s="259" t="s">
        <v>314</v>
      </c>
      <c r="AL7" s="259" t="s">
        <v>315</v>
      </c>
      <c r="AM7" s="259" t="s">
        <v>316</v>
      </c>
      <c r="AN7" s="259" t="s">
        <v>317</v>
      </c>
      <c r="AO7" s="259" t="s">
        <v>318</v>
      </c>
      <c r="AP7" s="259" t="s">
        <v>319</v>
      </c>
      <c r="AQ7" s="259" t="s">
        <v>320</v>
      </c>
      <c r="AR7" s="259" t="s">
        <v>321</v>
      </c>
      <c r="AS7" s="259" t="s">
        <v>322</v>
      </c>
      <c r="AT7" s="259" t="s">
        <v>323</v>
      </c>
      <c r="AU7" s="253" t="s">
        <v>324</v>
      </c>
      <c r="AV7" s="253" t="s">
        <v>325</v>
      </c>
      <c r="AW7" s="253" t="s">
        <v>326</v>
      </c>
      <c r="AX7" s="253" t="s">
        <v>327</v>
      </c>
      <c r="AY7" s="253" t="s">
        <v>328</v>
      </c>
      <c r="AZ7" s="253" t="s">
        <v>329</v>
      </c>
      <c r="BA7" s="253" t="s">
        <v>330</v>
      </c>
      <c r="BB7" s="253" t="s">
        <v>331</v>
      </c>
      <c r="BC7" s="253" t="s">
        <v>332</v>
      </c>
      <c r="BD7" s="253" t="s">
        <v>333</v>
      </c>
      <c r="BE7" s="253" t="s">
        <v>334</v>
      </c>
      <c r="BF7" s="253" t="s">
        <v>335</v>
      </c>
      <c r="BG7" s="253" t="s">
        <v>336</v>
      </c>
      <c r="BH7" s="253" t="s">
        <v>337</v>
      </c>
      <c r="BI7" s="253" t="s">
        <v>338</v>
      </c>
      <c r="BJ7" s="253" t="s">
        <v>339</v>
      </c>
      <c r="BK7" s="253" t="s">
        <v>340</v>
      </c>
      <c r="BL7" s="253" t="s">
        <v>341</v>
      </c>
      <c r="BM7" s="253" t="s">
        <v>342</v>
      </c>
      <c r="BN7" s="253" t="s">
        <v>343</v>
      </c>
      <c r="BO7" s="253" t="s">
        <v>344</v>
      </c>
      <c r="BP7" s="253" t="s">
        <v>345</v>
      </c>
      <c r="BQ7" s="253" t="s">
        <v>346</v>
      </c>
      <c r="BR7" s="253" t="s">
        <v>347</v>
      </c>
      <c r="BS7" s="253" t="s">
        <v>348</v>
      </c>
      <c r="BT7" s="253" t="s">
        <v>349</v>
      </c>
      <c r="BU7" s="253" t="s">
        <v>350</v>
      </c>
      <c r="BV7" s="253" t="s">
        <v>351</v>
      </c>
      <c r="BW7" s="253" t="s">
        <v>352</v>
      </c>
      <c r="BX7" s="253" t="s">
        <v>353</v>
      </c>
      <c r="BY7" s="253" t="s">
        <v>354</v>
      </c>
      <c r="BZ7" s="253" t="s">
        <v>355</v>
      </c>
      <c r="CA7" s="253" t="s">
        <v>356</v>
      </c>
      <c r="CB7" s="253" t="s">
        <v>357</v>
      </c>
      <c r="CC7" s="253" t="s">
        <v>358</v>
      </c>
      <c r="CD7" s="253" t="s">
        <v>359</v>
      </c>
      <c r="CE7" s="253" t="s">
        <v>360</v>
      </c>
      <c r="CF7" s="253" t="s">
        <v>361</v>
      </c>
      <c r="CG7" s="253" t="s">
        <v>362</v>
      </c>
      <c r="CH7" s="253" t="s">
        <v>363</v>
      </c>
      <c r="CI7" s="253" t="s">
        <v>364</v>
      </c>
      <c r="CJ7" s="253" t="s">
        <v>365</v>
      </c>
      <c r="CK7" s="253" t="s">
        <v>366</v>
      </c>
      <c r="CL7" s="253" t="s">
        <v>367</v>
      </c>
      <c r="CM7" s="253" t="s">
        <v>368</v>
      </c>
      <c r="CN7" s="253" t="s">
        <v>369</v>
      </c>
      <c r="CO7" s="253" t="s">
        <v>370</v>
      </c>
      <c r="CP7" s="253" t="s">
        <v>371</v>
      </c>
      <c r="CQ7" s="253" t="s">
        <v>372</v>
      </c>
      <c r="CR7" s="253" t="s">
        <v>373</v>
      </c>
      <c r="CS7" s="253" t="s">
        <v>374</v>
      </c>
      <c r="CT7" s="253" t="s">
        <v>375</v>
      </c>
    </row>
    <row r="8" spans="1:98" x14ac:dyDescent="0.2">
      <c r="A8" s="253" t="s">
        <v>376</v>
      </c>
      <c r="B8" s="253" t="s">
        <v>377</v>
      </c>
      <c r="C8" s="260">
        <v>2.03516971038266</v>
      </c>
      <c r="D8" s="260">
        <v>2.0603243586248499</v>
      </c>
      <c r="E8" s="260">
        <v>2.0653694065802699</v>
      </c>
      <c r="F8" s="260">
        <v>2.0874807762832099</v>
      </c>
      <c r="G8" s="260">
        <v>2.1050400482010199</v>
      </c>
      <c r="H8" s="260">
        <v>2.1154192603458899</v>
      </c>
      <c r="I8" s="260">
        <v>2.1518068200870601</v>
      </c>
      <c r="J8" s="260">
        <v>2.1707783725541501</v>
      </c>
      <c r="K8" s="260">
        <v>2.18783691981761</v>
      </c>
      <c r="L8" s="260">
        <v>2.2132586941521701</v>
      </c>
      <c r="M8" s="260">
        <v>2.2359257447920902</v>
      </c>
      <c r="N8" s="260">
        <v>2.2211869184724802</v>
      </c>
      <c r="O8" s="260">
        <v>2.2326241842019399</v>
      </c>
      <c r="P8" s="260">
        <v>2.25901750728924</v>
      </c>
      <c r="Q8" s="260">
        <v>2.2765164106308</v>
      </c>
      <c r="R8" s="260">
        <v>2.30291395940545</v>
      </c>
      <c r="S8" s="260">
        <v>2.3203732479405201</v>
      </c>
      <c r="T8" s="260">
        <v>2.3642172164480799</v>
      </c>
      <c r="U8" s="260">
        <v>2.4053168355103001</v>
      </c>
      <c r="V8" s="260">
        <v>2.3519755124970101</v>
      </c>
      <c r="W8" s="260">
        <v>2.3408422306286298</v>
      </c>
      <c r="X8" s="260">
        <v>2.3474188487574099</v>
      </c>
      <c r="Y8" s="260">
        <v>2.36722788639723</v>
      </c>
      <c r="Z8" s="260">
        <v>2.38170796623861</v>
      </c>
      <c r="AA8" s="260">
        <v>2.37977560548517</v>
      </c>
      <c r="AB8" s="260">
        <v>2.3845469305921401</v>
      </c>
      <c r="AC8" s="260">
        <v>2.3990494738484398</v>
      </c>
      <c r="AD8" s="260">
        <v>2.4227910394257499</v>
      </c>
      <c r="AE8" s="260">
        <v>2.4330498565991299</v>
      </c>
      <c r="AF8" s="260">
        <v>2.4782592908991101</v>
      </c>
      <c r="AG8" s="260">
        <v>2.48958598393371</v>
      </c>
      <c r="AH8" s="260">
        <v>2.4982528033804701</v>
      </c>
      <c r="AI8" s="260">
        <v>2.5146494553159999</v>
      </c>
      <c r="AJ8" s="260">
        <v>2.52107076869803</v>
      </c>
      <c r="AK8" s="260">
        <v>2.5313114193711401</v>
      </c>
      <c r="AL8" s="260">
        <v>2.5519818070473299</v>
      </c>
      <c r="AM8" s="260">
        <v>2.5588970948066301</v>
      </c>
      <c r="AN8" s="260">
        <v>2.5563607318916199</v>
      </c>
      <c r="AO8" s="260">
        <v>2.5757018498037501</v>
      </c>
      <c r="AP8" s="260">
        <v>2.5903118852466198</v>
      </c>
      <c r="AQ8" s="260">
        <v>2.5984834377108701</v>
      </c>
      <c r="AR8" s="260">
        <v>2.6097667453760698</v>
      </c>
      <c r="AS8" s="260">
        <v>2.6162580136308198</v>
      </c>
      <c r="AT8" s="260">
        <v>2.6185435816407101</v>
      </c>
      <c r="AU8" s="260">
        <v>2.6130742036410601</v>
      </c>
      <c r="AV8" s="260">
        <v>2.6248654931503501</v>
      </c>
      <c r="AW8" s="260">
        <v>2.6210903132751202</v>
      </c>
      <c r="AX8" s="260">
        <v>2.62812001494735</v>
      </c>
      <c r="AY8" s="260">
        <v>2.6195672059792101</v>
      </c>
      <c r="AZ8" s="260">
        <v>2.6445845101286198</v>
      </c>
      <c r="BA8" s="260">
        <v>2.6645119184811499</v>
      </c>
      <c r="BB8" s="260">
        <v>2.6793127669589998</v>
      </c>
      <c r="BC8" s="260">
        <v>2.69196801581622</v>
      </c>
      <c r="BD8" s="260">
        <v>2.6963999173151398</v>
      </c>
      <c r="BE8" s="260">
        <v>2.70820199309592</v>
      </c>
      <c r="BF8" s="260">
        <v>2.7228199938442401</v>
      </c>
      <c r="BG8" s="260">
        <v>2.7581855200157999</v>
      </c>
      <c r="BH8" s="260">
        <v>2.7725868388914199</v>
      </c>
      <c r="BI8" s="260">
        <v>2.7794261240196301</v>
      </c>
      <c r="BJ8" s="260">
        <v>2.79252284616837</v>
      </c>
      <c r="BK8" s="260">
        <v>2.80204068249218</v>
      </c>
      <c r="BL8" s="260">
        <v>2.8122450644763202</v>
      </c>
      <c r="BM8" s="260">
        <v>2.8300584393122699</v>
      </c>
      <c r="BN8" s="260">
        <v>2.84208162724111</v>
      </c>
      <c r="BO8" s="260">
        <v>2.8551686160991401</v>
      </c>
      <c r="BP8" s="260">
        <v>2.8532778182259202</v>
      </c>
      <c r="BQ8" s="260">
        <v>2.8766732544002802</v>
      </c>
      <c r="BR8" s="260">
        <v>2.8982648495135899</v>
      </c>
      <c r="BS8" s="260">
        <v>2.9160216774221999</v>
      </c>
      <c r="BT8" s="260">
        <v>2.9654626403941302</v>
      </c>
      <c r="BU8" s="260">
        <v>3.0081548337632902</v>
      </c>
      <c r="BV8" s="260">
        <v>3.0630482422248799</v>
      </c>
      <c r="BW8" s="260">
        <v>3.1259030163817498</v>
      </c>
      <c r="BX8" s="260">
        <v>3.2014215237569101</v>
      </c>
      <c r="BY8" s="260">
        <v>3.2421852795932899</v>
      </c>
      <c r="BZ8" s="260">
        <v>3.28097034676113</v>
      </c>
      <c r="CA8" s="260">
        <v>3.3147673493876102</v>
      </c>
      <c r="CB8" s="260">
        <v>3.3342442670690202</v>
      </c>
      <c r="CC8" s="260">
        <v>3.3575240050477801</v>
      </c>
      <c r="CD8" s="260">
        <v>3.3819769082909898</v>
      </c>
      <c r="CE8" s="260">
        <v>3.4050737208242499</v>
      </c>
      <c r="CF8" s="260">
        <v>3.4235125377062201</v>
      </c>
      <c r="CG8" s="260">
        <v>3.4450513542515901</v>
      </c>
      <c r="CH8" s="260">
        <v>3.46875440874557</v>
      </c>
      <c r="CI8" s="260">
        <v>3.4882052868706701</v>
      </c>
      <c r="CJ8" s="260">
        <v>3.5079404569764301</v>
      </c>
      <c r="CK8" s="260">
        <v>3.52720160365971</v>
      </c>
      <c r="CL8" s="260">
        <v>3.5476099886222801</v>
      </c>
      <c r="CM8" s="260">
        <v>3.56843780489451</v>
      </c>
      <c r="CN8" s="260">
        <v>3.5885155982193702</v>
      </c>
      <c r="CO8" s="260">
        <v>3.6085155243706</v>
      </c>
      <c r="CP8" s="260">
        <v>3.6288578979966402</v>
      </c>
      <c r="CQ8" s="260">
        <v>3.6502636785569198</v>
      </c>
      <c r="CR8" s="260">
        <v>3.6714830563818301</v>
      </c>
      <c r="CS8" s="260">
        <v>3.6917467571563201</v>
      </c>
      <c r="CT8" s="260">
        <v>3.7124949401037699</v>
      </c>
    </row>
    <row r="9" spans="1:98" x14ac:dyDescent="0.2">
      <c r="A9" s="253" t="s">
        <v>378</v>
      </c>
      <c r="B9" s="253" t="s">
        <v>379</v>
      </c>
      <c r="C9" s="260">
        <v>2.03516971038266</v>
      </c>
      <c r="D9" s="260">
        <v>2.0603243586248499</v>
      </c>
      <c r="E9" s="260">
        <v>2.0653694065802699</v>
      </c>
      <c r="F9" s="260">
        <v>2.0874807762832099</v>
      </c>
      <c r="G9" s="260">
        <v>2.1050400482010199</v>
      </c>
      <c r="H9" s="260">
        <v>2.1154192603458899</v>
      </c>
      <c r="I9" s="260">
        <v>2.1518068200870601</v>
      </c>
      <c r="J9" s="260">
        <v>2.1707783725541501</v>
      </c>
      <c r="K9" s="260">
        <v>2.18783691981761</v>
      </c>
      <c r="L9" s="260">
        <v>2.2132586941521701</v>
      </c>
      <c r="M9" s="260">
        <v>2.2359257447920902</v>
      </c>
      <c r="N9" s="260">
        <v>2.2211869184724802</v>
      </c>
      <c r="O9" s="260">
        <v>2.2326241842019399</v>
      </c>
      <c r="P9" s="260">
        <v>2.25901750728924</v>
      </c>
      <c r="Q9" s="260">
        <v>2.2765164106308</v>
      </c>
      <c r="R9" s="260">
        <v>2.30291395940545</v>
      </c>
      <c r="S9" s="260">
        <v>2.3203732479405201</v>
      </c>
      <c r="T9" s="260">
        <v>2.3642172164480799</v>
      </c>
      <c r="U9" s="260">
        <v>2.4053168355103001</v>
      </c>
      <c r="V9" s="260">
        <v>2.3519755124970101</v>
      </c>
      <c r="W9" s="260">
        <v>2.3408422306286298</v>
      </c>
      <c r="X9" s="260">
        <v>2.3474188487574099</v>
      </c>
      <c r="Y9" s="260">
        <v>2.36722788639723</v>
      </c>
      <c r="Z9" s="260">
        <v>2.38170796623861</v>
      </c>
      <c r="AA9" s="260">
        <v>2.37977560548517</v>
      </c>
      <c r="AB9" s="260">
        <v>2.3845469305921401</v>
      </c>
      <c r="AC9" s="260">
        <v>2.3990494738484398</v>
      </c>
      <c r="AD9" s="260">
        <v>2.4227910394257499</v>
      </c>
      <c r="AE9" s="260">
        <v>2.4330498565991299</v>
      </c>
      <c r="AF9" s="260">
        <v>2.4782592908991101</v>
      </c>
      <c r="AG9" s="260">
        <v>2.48958598393371</v>
      </c>
      <c r="AH9" s="260">
        <v>2.4982528033804701</v>
      </c>
      <c r="AI9" s="260">
        <v>2.5146494553159999</v>
      </c>
      <c r="AJ9" s="260">
        <v>2.52107076869803</v>
      </c>
      <c r="AK9" s="260">
        <v>2.5313114193711401</v>
      </c>
      <c r="AL9" s="260">
        <v>2.5519818070473299</v>
      </c>
      <c r="AM9" s="260">
        <v>2.5588970948066301</v>
      </c>
      <c r="AN9" s="260">
        <v>2.5563607318916199</v>
      </c>
      <c r="AO9" s="260">
        <v>2.5757018498037501</v>
      </c>
      <c r="AP9" s="260">
        <v>2.5903118852466198</v>
      </c>
      <c r="AQ9" s="260">
        <v>2.5984834377108701</v>
      </c>
      <c r="AR9" s="260">
        <v>2.6097667453760698</v>
      </c>
      <c r="AS9" s="260">
        <v>2.6162580136308198</v>
      </c>
      <c r="AT9" s="260">
        <v>2.6185435816407101</v>
      </c>
      <c r="AU9" s="260">
        <v>2.6130742036410601</v>
      </c>
      <c r="AV9" s="260">
        <v>2.6248654931503501</v>
      </c>
      <c r="AW9" s="260">
        <v>2.6210903132751202</v>
      </c>
      <c r="AX9" s="260">
        <v>2.62812001494735</v>
      </c>
      <c r="AY9" s="260">
        <v>2.6195672059792101</v>
      </c>
      <c r="AZ9" s="260">
        <v>2.6445845101286198</v>
      </c>
      <c r="BA9" s="260">
        <v>2.6645119184811499</v>
      </c>
      <c r="BB9" s="260">
        <v>2.6793127669589998</v>
      </c>
      <c r="BC9" s="260">
        <v>2.69196801581622</v>
      </c>
      <c r="BD9" s="260">
        <v>2.6963999173151398</v>
      </c>
      <c r="BE9" s="260">
        <v>2.70820199309592</v>
      </c>
      <c r="BF9" s="260">
        <v>2.7228199938442401</v>
      </c>
      <c r="BG9" s="260">
        <v>2.7581855200157999</v>
      </c>
      <c r="BH9" s="260">
        <v>2.7725868388914199</v>
      </c>
      <c r="BI9" s="260">
        <v>2.7794261240196301</v>
      </c>
      <c r="BJ9" s="260">
        <v>2.79252284616837</v>
      </c>
      <c r="BK9" s="260">
        <v>2.80204068249218</v>
      </c>
      <c r="BL9" s="260">
        <v>2.8122450644763202</v>
      </c>
      <c r="BM9" s="260">
        <v>2.8300584393122699</v>
      </c>
      <c r="BN9" s="260">
        <v>2.84208162724111</v>
      </c>
      <c r="BO9" s="260">
        <v>2.8551686160991401</v>
      </c>
      <c r="BP9" s="260">
        <v>2.8532778182259202</v>
      </c>
      <c r="BQ9" s="260">
        <v>2.8766732544002802</v>
      </c>
      <c r="BR9" s="260">
        <v>2.8982648495135899</v>
      </c>
      <c r="BS9" s="260">
        <v>2.9160216774221999</v>
      </c>
      <c r="BT9" s="260">
        <v>2.9654626403941302</v>
      </c>
      <c r="BU9" s="260">
        <v>3.0081548337632902</v>
      </c>
      <c r="BV9" s="260">
        <v>3.0630482422248799</v>
      </c>
      <c r="BW9" s="260">
        <v>3.1259030163817498</v>
      </c>
      <c r="BX9" s="260">
        <v>3.2014215237569101</v>
      </c>
      <c r="BY9" s="260">
        <v>3.2255363055134101</v>
      </c>
      <c r="BZ9" s="260">
        <v>3.2598916230874599</v>
      </c>
      <c r="CA9" s="260">
        <v>3.2891346677534301</v>
      </c>
      <c r="CB9" s="260">
        <v>3.30621025530152</v>
      </c>
      <c r="CC9" s="260">
        <v>3.3272304548242801</v>
      </c>
      <c r="CD9" s="260">
        <v>3.3506000676307002</v>
      </c>
      <c r="CE9" s="260">
        <v>3.3713855548821599</v>
      </c>
      <c r="CF9" s="260">
        <v>3.3883014039568402</v>
      </c>
      <c r="CG9" s="260">
        <v>3.4080858525713902</v>
      </c>
      <c r="CH9" s="260">
        <v>3.42941797508669</v>
      </c>
      <c r="CI9" s="260">
        <v>3.4464785567767202</v>
      </c>
      <c r="CJ9" s="260">
        <v>3.46378925221474</v>
      </c>
      <c r="CK9" s="260">
        <v>3.4809094361872699</v>
      </c>
      <c r="CL9" s="260">
        <v>3.4992140517661001</v>
      </c>
      <c r="CM9" s="260">
        <v>3.5178797103848898</v>
      </c>
      <c r="CN9" s="260">
        <v>3.53579934508278</v>
      </c>
      <c r="CO9" s="260">
        <v>3.5537903995520801</v>
      </c>
      <c r="CP9" s="260">
        <v>3.5722371267770701</v>
      </c>
      <c r="CQ9" s="260">
        <v>3.5919469703646798</v>
      </c>
      <c r="CR9" s="260">
        <v>3.6114642330203099</v>
      </c>
      <c r="CS9" s="260">
        <v>3.6300819400814999</v>
      </c>
      <c r="CT9" s="260">
        <v>3.6492439952051701</v>
      </c>
    </row>
    <row r="10" spans="1:98" x14ac:dyDescent="0.2">
      <c r="A10" s="253" t="s">
        <v>380</v>
      </c>
      <c r="B10" s="253" t="s">
        <v>381</v>
      </c>
      <c r="C10" s="260">
        <v>2.03516971038266</v>
      </c>
      <c r="D10" s="260">
        <v>2.0603243586248499</v>
      </c>
      <c r="E10" s="260">
        <v>2.0653694065802699</v>
      </c>
      <c r="F10" s="260">
        <v>2.0874807762832099</v>
      </c>
      <c r="G10" s="260">
        <v>2.1050400482010199</v>
      </c>
      <c r="H10" s="260">
        <v>2.1154192603458899</v>
      </c>
      <c r="I10" s="260">
        <v>2.1518068200870601</v>
      </c>
      <c r="J10" s="260">
        <v>2.1707783725541501</v>
      </c>
      <c r="K10" s="260">
        <v>2.18783691981761</v>
      </c>
      <c r="L10" s="260">
        <v>2.2132586941521701</v>
      </c>
      <c r="M10" s="260">
        <v>2.2359257447920902</v>
      </c>
      <c r="N10" s="260">
        <v>2.2211869184724802</v>
      </c>
      <c r="O10" s="260">
        <v>2.2326241842019399</v>
      </c>
      <c r="P10" s="260">
        <v>2.25901750728924</v>
      </c>
      <c r="Q10" s="260">
        <v>2.2765164106308</v>
      </c>
      <c r="R10" s="260">
        <v>2.30291395940545</v>
      </c>
      <c r="S10" s="260">
        <v>2.3203732479405201</v>
      </c>
      <c r="T10" s="260">
        <v>2.3642172164480799</v>
      </c>
      <c r="U10" s="260">
        <v>2.4053168355103001</v>
      </c>
      <c r="V10" s="260">
        <v>2.3519755124970101</v>
      </c>
      <c r="W10" s="260">
        <v>2.3408422306286298</v>
      </c>
      <c r="X10" s="260">
        <v>2.3474188487574099</v>
      </c>
      <c r="Y10" s="260">
        <v>2.36722788639723</v>
      </c>
      <c r="Z10" s="260">
        <v>2.38170796623861</v>
      </c>
      <c r="AA10" s="260">
        <v>2.37977560548517</v>
      </c>
      <c r="AB10" s="260">
        <v>2.3845469305921401</v>
      </c>
      <c r="AC10" s="260">
        <v>2.3990494738484398</v>
      </c>
      <c r="AD10" s="260">
        <v>2.4227910394257499</v>
      </c>
      <c r="AE10" s="260">
        <v>2.4330498565991299</v>
      </c>
      <c r="AF10" s="260">
        <v>2.4782592908991101</v>
      </c>
      <c r="AG10" s="260">
        <v>2.48958598393371</v>
      </c>
      <c r="AH10" s="260">
        <v>2.4982528033804701</v>
      </c>
      <c r="AI10" s="260">
        <v>2.5146494553159999</v>
      </c>
      <c r="AJ10" s="260">
        <v>2.52107076869803</v>
      </c>
      <c r="AK10" s="260">
        <v>2.5313114193711401</v>
      </c>
      <c r="AL10" s="260">
        <v>2.5519818070473299</v>
      </c>
      <c r="AM10" s="260">
        <v>2.5588970948066301</v>
      </c>
      <c r="AN10" s="260">
        <v>2.5563607318916199</v>
      </c>
      <c r="AO10" s="260">
        <v>2.5757018498037501</v>
      </c>
      <c r="AP10" s="260">
        <v>2.5903118852466198</v>
      </c>
      <c r="AQ10" s="260">
        <v>2.5984834377108701</v>
      </c>
      <c r="AR10" s="260">
        <v>2.6097667453760698</v>
      </c>
      <c r="AS10" s="260">
        <v>2.6162580136308198</v>
      </c>
      <c r="AT10" s="260">
        <v>2.6185435816407101</v>
      </c>
      <c r="AU10" s="260">
        <v>2.6130742036410601</v>
      </c>
      <c r="AV10" s="260">
        <v>2.6248654931503501</v>
      </c>
      <c r="AW10" s="260">
        <v>2.6210903132751202</v>
      </c>
      <c r="AX10" s="260">
        <v>2.62812001494735</v>
      </c>
      <c r="AY10" s="260">
        <v>2.6195672059792101</v>
      </c>
      <c r="AZ10" s="260">
        <v>2.6445845101286198</v>
      </c>
      <c r="BA10" s="260">
        <v>2.6645119184811499</v>
      </c>
      <c r="BB10" s="260">
        <v>2.6793127669589998</v>
      </c>
      <c r="BC10" s="260">
        <v>2.69196801581622</v>
      </c>
      <c r="BD10" s="260">
        <v>2.6963999173151398</v>
      </c>
      <c r="BE10" s="260">
        <v>2.70820199309592</v>
      </c>
      <c r="BF10" s="260">
        <v>2.7228199938442401</v>
      </c>
      <c r="BG10" s="260">
        <v>2.7581855200157999</v>
      </c>
      <c r="BH10" s="260">
        <v>2.7725868388914199</v>
      </c>
      <c r="BI10" s="260">
        <v>2.7794261240196301</v>
      </c>
      <c r="BJ10" s="260">
        <v>2.79252284616837</v>
      </c>
      <c r="BK10" s="260">
        <v>2.80204068249218</v>
      </c>
      <c r="BL10" s="260">
        <v>2.8122450644763202</v>
      </c>
      <c r="BM10" s="260">
        <v>2.8300584393122699</v>
      </c>
      <c r="BN10" s="260">
        <v>2.84208162724111</v>
      </c>
      <c r="BO10" s="260">
        <v>2.8551686160991401</v>
      </c>
      <c r="BP10" s="260">
        <v>2.8532778182259202</v>
      </c>
      <c r="BQ10" s="260">
        <v>2.8766732544002802</v>
      </c>
      <c r="BR10" s="260">
        <v>2.8982648495135899</v>
      </c>
      <c r="BS10" s="260">
        <v>2.9160216774221999</v>
      </c>
      <c r="BT10" s="260">
        <v>2.9654626403941302</v>
      </c>
      <c r="BU10" s="260">
        <v>3.0081548337632902</v>
      </c>
      <c r="BV10" s="260">
        <v>3.0630482422248799</v>
      </c>
      <c r="BW10" s="260">
        <v>3.1259030163817498</v>
      </c>
      <c r="BX10" s="260">
        <v>3.2014215237569101</v>
      </c>
      <c r="BY10" s="260">
        <v>3.2538360600876799</v>
      </c>
      <c r="BZ10" s="260">
        <v>3.3031965097870799</v>
      </c>
      <c r="CA10" s="260">
        <v>3.3480395194667398</v>
      </c>
      <c r="CB10" s="260">
        <v>3.3772072582577199</v>
      </c>
      <c r="CC10" s="260">
        <v>3.4094675504554299</v>
      </c>
      <c r="CD10" s="260">
        <v>3.4424749536492398</v>
      </c>
      <c r="CE10" s="260">
        <v>3.4743211894451802</v>
      </c>
      <c r="CF10" s="260">
        <v>3.5006039732964802</v>
      </c>
      <c r="CG10" s="260">
        <v>3.5303989876569202</v>
      </c>
      <c r="CH10" s="260">
        <v>3.5628674447020598</v>
      </c>
      <c r="CI10" s="260">
        <v>3.5914669049492498</v>
      </c>
      <c r="CJ10" s="260">
        <v>3.6209181772272898</v>
      </c>
      <c r="CK10" s="260">
        <v>3.6499561132707901</v>
      </c>
      <c r="CL10" s="260">
        <v>3.6803370088943401</v>
      </c>
      <c r="CM10" s="260">
        <v>3.7115944324369101</v>
      </c>
      <c r="CN10" s="260">
        <v>3.7424449232069499</v>
      </c>
      <c r="CO10" s="260">
        <v>3.7735168503534799</v>
      </c>
      <c r="CP10" s="260">
        <v>3.8051953825342602</v>
      </c>
      <c r="CQ10" s="260">
        <v>3.8381085422962502</v>
      </c>
      <c r="CR10" s="260">
        <v>3.8709313876845499</v>
      </c>
      <c r="CS10" s="260">
        <v>3.9029692393289599</v>
      </c>
      <c r="CT10" s="260">
        <v>3.9358493172804301</v>
      </c>
    </row>
    <row r="12" spans="1:98" x14ac:dyDescent="0.2"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</row>
    <row r="13" spans="1:98" x14ac:dyDescent="0.2"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</row>
    <row r="14" spans="1:98" x14ac:dyDescent="0.2"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BX14" s="262" t="s">
        <v>382</v>
      </c>
      <c r="BY14" s="263"/>
      <c r="BZ14" s="263"/>
      <c r="CA14" s="264" t="s">
        <v>383</v>
      </c>
      <c r="CB14" s="265"/>
      <c r="CC14" s="265"/>
      <c r="CD14" s="265"/>
      <c r="CE14" s="265"/>
      <c r="CF14" s="265"/>
      <c r="CG14" s="263"/>
      <c r="CH14" s="263"/>
      <c r="CI14" s="263"/>
    </row>
    <row r="15" spans="1:98" x14ac:dyDescent="0.2"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BX15" s="266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8"/>
    </row>
    <row r="16" spans="1:98" x14ac:dyDescent="0.2"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BX16" s="269"/>
      <c r="BY16" s="270" t="s">
        <v>384</v>
      </c>
      <c r="BZ16" s="271" t="s">
        <v>385</v>
      </c>
      <c r="CA16" s="263"/>
      <c r="CB16" s="263"/>
      <c r="CC16" s="263"/>
      <c r="CD16" s="263"/>
      <c r="CE16" s="263"/>
      <c r="CF16" s="263"/>
      <c r="CG16" s="263"/>
      <c r="CH16" s="263"/>
      <c r="CI16" s="272"/>
    </row>
    <row r="17" spans="3:87" x14ac:dyDescent="0.2"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BX17" s="269"/>
      <c r="BY17" s="263"/>
      <c r="BZ17" s="274" t="str">
        <f>CB7</f>
        <v>2023Q2</v>
      </c>
      <c r="CA17" s="263"/>
      <c r="CB17" s="263"/>
      <c r="CC17" s="263"/>
      <c r="CD17" s="263"/>
      <c r="CE17" s="263"/>
      <c r="CF17" s="263"/>
      <c r="CG17" s="263"/>
      <c r="CH17" s="263"/>
      <c r="CI17" s="275" t="s">
        <v>133</v>
      </c>
    </row>
    <row r="18" spans="3:87" x14ac:dyDescent="0.2">
      <c r="BX18" s="269"/>
      <c r="BY18" s="263"/>
      <c r="BZ18" s="276">
        <f>CB9</f>
        <v>3.30621025530152</v>
      </c>
      <c r="CA18" s="263"/>
      <c r="CB18" s="263"/>
      <c r="CC18" s="263"/>
      <c r="CD18" s="263"/>
      <c r="CE18" s="263"/>
      <c r="CF18" s="263"/>
      <c r="CG18" s="263"/>
      <c r="CH18" s="263"/>
      <c r="CI18" s="277">
        <f>BZ18</f>
        <v>3.30621025530152</v>
      </c>
    </row>
    <row r="19" spans="3:87" x14ac:dyDescent="0.2">
      <c r="BX19" s="269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78"/>
    </row>
    <row r="20" spans="3:87" x14ac:dyDescent="0.2">
      <c r="BX20" s="438" t="s">
        <v>386</v>
      </c>
      <c r="BY20" s="439"/>
      <c r="BZ20" s="439"/>
      <c r="CA20" s="263" t="s">
        <v>387</v>
      </c>
      <c r="CB20" s="263"/>
      <c r="CC20" s="263"/>
      <c r="CD20" s="263"/>
      <c r="CE20" s="263"/>
      <c r="CF20" s="263"/>
      <c r="CG20" s="263"/>
      <c r="CH20" s="263"/>
      <c r="CI20" s="278"/>
    </row>
    <row r="21" spans="3:87" x14ac:dyDescent="0.2">
      <c r="BX21" s="279"/>
      <c r="BY21" s="270"/>
      <c r="BZ21" s="253" t="str">
        <f>CC7</f>
        <v>2023Q3</v>
      </c>
      <c r="CA21" s="253" t="str">
        <f t="shared" ref="CA21:CG21" si="0">CD7</f>
        <v>2023Q4</v>
      </c>
      <c r="CB21" s="253" t="str">
        <f t="shared" si="0"/>
        <v>2024Q1</v>
      </c>
      <c r="CC21" s="253" t="str">
        <f t="shared" si="0"/>
        <v>2024Q2</v>
      </c>
      <c r="CD21" s="253" t="str">
        <f t="shared" si="0"/>
        <v>2024Q3</v>
      </c>
      <c r="CE21" s="253" t="str">
        <f t="shared" si="0"/>
        <v>2024Q4</v>
      </c>
      <c r="CF21" s="253" t="str">
        <f t="shared" si="0"/>
        <v>2025Q1</v>
      </c>
      <c r="CG21" s="253" t="str">
        <f t="shared" si="0"/>
        <v>2025Q2</v>
      </c>
      <c r="CH21" s="263"/>
      <c r="CI21" s="278"/>
    </row>
    <row r="22" spans="3:87" x14ac:dyDescent="0.2">
      <c r="BX22" s="269"/>
      <c r="BY22" s="263"/>
      <c r="BZ22" s="260">
        <f>CC9</f>
        <v>3.3272304548242801</v>
      </c>
      <c r="CA22" s="260">
        <f t="shared" ref="CA22:CG22" si="1">CD9</f>
        <v>3.3506000676307002</v>
      </c>
      <c r="CB22" s="260">
        <f t="shared" si="1"/>
        <v>3.3713855548821599</v>
      </c>
      <c r="CC22" s="260">
        <f t="shared" si="1"/>
        <v>3.3883014039568402</v>
      </c>
      <c r="CD22" s="260">
        <f t="shared" si="1"/>
        <v>3.4080858525713902</v>
      </c>
      <c r="CE22" s="260">
        <f t="shared" si="1"/>
        <v>3.42941797508669</v>
      </c>
      <c r="CF22" s="260">
        <f t="shared" si="1"/>
        <v>3.4464785567767202</v>
      </c>
      <c r="CG22" s="260">
        <f t="shared" si="1"/>
        <v>3.46378925221474</v>
      </c>
      <c r="CH22" s="263"/>
      <c r="CI22" s="277">
        <f>AVERAGE(BZ22:CG22)</f>
        <v>3.3981611397429399</v>
      </c>
    </row>
    <row r="23" spans="3:87" x14ac:dyDescent="0.2">
      <c r="BX23" s="269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78"/>
    </row>
    <row r="24" spans="3:87" x14ac:dyDescent="0.2">
      <c r="BX24" s="269"/>
      <c r="BY24" s="263"/>
      <c r="BZ24" s="263"/>
      <c r="CA24" s="263"/>
      <c r="CB24" s="263"/>
      <c r="CC24" s="263"/>
      <c r="CD24" s="263"/>
      <c r="CE24" s="263"/>
      <c r="CF24" s="263"/>
      <c r="CG24" s="263"/>
      <c r="CH24" s="280" t="s">
        <v>388</v>
      </c>
      <c r="CI24" s="281">
        <f>(CI22-CI18)/CI18</f>
        <v>2.7811565914169036E-2</v>
      </c>
    </row>
    <row r="25" spans="3:87" x14ac:dyDescent="0.2">
      <c r="BX25" s="282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4"/>
    </row>
    <row r="28" spans="3:87" x14ac:dyDescent="0.2">
      <c r="CD28" s="248" t="s">
        <v>389</v>
      </c>
    </row>
  </sheetData>
  <mergeCells count="2">
    <mergeCell ref="A1:B1"/>
    <mergeCell ref="BX20:BZ20"/>
  </mergeCells>
  <pageMargins left="0.25" right="0.2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CBDS Models</vt:lpstr>
      <vt:lpstr>Active Treatment Models</vt:lpstr>
      <vt:lpstr>Transportation calc</vt:lpstr>
      <vt:lpstr>Training Calc</vt:lpstr>
      <vt:lpstr>Add on Rates</vt:lpstr>
      <vt:lpstr>M2021 BLS SALARY CHART (53_ (2)</vt:lpstr>
      <vt:lpstr>Master Lookup</vt:lpstr>
      <vt:lpstr>FALL CAF 2022</vt:lpstr>
      <vt:lpstr>'M2021 BLS SALARY CHART (53_ (2)'!Print_Area</vt:lpstr>
      <vt:lpstr>'Transportation calc'!Print_Area</vt:lpstr>
      <vt:lpstr>'FALL CAF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2023-03-24T14:04:28Z</dcterms:created>
  <dcterms:modified xsi:type="dcterms:W3CDTF">2023-04-27T18:54:36Z</dcterms:modified>
</cp:coreProperties>
</file>