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massgov-my.sharepoint.com/personal/deborah_harrison_mass_gov/Documents/Documents/Agencies/EHS/Conor/"/>
    </mc:Choice>
  </mc:AlternateContent>
  <xr:revisionPtr revIDLastSave="0" documentId="8_{81207774-A74A-4448-AF3E-43036011431A}" xr6:coauthVersionLast="47" xr6:coauthVersionMax="47" xr10:uidLastSave="{00000000-0000-0000-0000-000000000000}"/>
  <bookViews>
    <workbookView xWindow="6060" yWindow="435" windowWidth="18330" windowHeight="15045" activeTab="2" xr2:uid="{CF4948C2-E92F-4B90-845B-46563045D650}"/>
  </bookViews>
  <sheets>
    <sheet name="CAF Fall 2024" sheetId="3" r:id="rId1"/>
    <sheet name="M2023 BLS Chart" sheetId="2" r:id="rId2"/>
    <sheet name="CBDS Models" sheetId="1"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Key1" localSheetId="0" hidden="1">#REF!</definedName>
    <definedName name="_Key1" hidden="1">#REF!</definedName>
    <definedName name="_Sort" localSheetId="0" hidden="1">#REF!</definedName>
    <definedName name="_Sort" hidden="1">#REF!</definedName>
    <definedName name="alldata" localSheetId="0">#REF!</definedName>
    <definedName name="alldata" localSheetId="1">#N/A</definedName>
    <definedName name="alldata">#REF!</definedName>
    <definedName name="alled" localSheetId="0">#REF!</definedName>
    <definedName name="alled" localSheetId="1">#N/A</definedName>
    <definedName name="alled">#REF!</definedName>
    <definedName name="allstem" localSheetId="0">#REF!</definedName>
    <definedName name="allstem" localSheetId="1">#N/A</definedName>
    <definedName name="allstem">#REF!</definedName>
    <definedName name="Area">[1]Sheet2!$A$2:$A$28</definedName>
    <definedName name="ARENEW">[2]amendA!$B$1:$U$51</definedName>
    <definedName name="asdfasd" localSheetId="0">'[3]Complete UFR List'!#REF!</definedName>
    <definedName name="asdfasd" localSheetId="1">'[3]Complete UFR List'!#REF!</definedName>
    <definedName name="asdfasd">'[3]Complete UFR List'!#REF!</definedName>
    <definedName name="asdfasdf" localSheetId="0">#REF!</definedName>
    <definedName name="asdfasdf" localSheetId="1">#N/A</definedName>
    <definedName name="asdfasdf">#REF!</definedName>
    <definedName name="ATTABOY">[2]amendA!$B$2:$S$2</definedName>
    <definedName name="AutoInsurance">[4]Universal!$C$19</definedName>
    <definedName name="autsupp2" localSheetId="0">#N/A</definedName>
    <definedName name="autsupp2" localSheetId="1">#N/A</definedName>
    <definedName name="autsupp2">#REF!</definedName>
    <definedName name="Average" localSheetId="0">#REF!</definedName>
    <definedName name="Average" localSheetId="1">#N/A</definedName>
    <definedName name="Average">#REF!</definedName>
    <definedName name="BB6_4" localSheetId="0">#REF!</definedName>
    <definedName name="BB6_4">#REF!</definedName>
    <definedName name="Break" localSheetId="0">'[5]Tech Stuff'!$E$4</definedName>
    <definedName name="Break" localSheetId="1">'[5]Tech Stuff'!$E$4</definedName>
    <definedName name="Break">'[6]Tech Stuff'!$E$4</definedName>
    <definedName name="CAF_NEW" localSheetId="0">[7]RawDataCalcs!$L$70:$DB$70</definedName>
    <definedName name="CAF_NEW" localSheetId="1">[7]RawDataCalcs!$L$70:$DB$70</definedName>
    <definedName name="CAF_NEW">[8]RawDataCalcs!$L$70:$DB$70</definedName>
    <definedName name="Cap" localSheetId="0">[9]RawDataCalcs!$L$70:$DB$70</definedName>
    <definedName name="Cap" localSheetId="1">[9]RawDataCalcs!$L$70:$DB$70</definedName>
    <definedName name="Cap">[10]RawDataCalcs!$L$13:$DB$13</definedName>
    <definedName name="capa">[11]RawDataCalcs!$L$17:$DB$17</definedName>
    <definedName name="chart">#N/A</definedName>
    <definedName name="COLA">[4]Universal!$C$12</definedName>
    <definedName name="Data" localSheetId="0">#REF!</definedName>
    <definedName name="Data" localSheetId="1">#N/A</definedName>
    <definedName name="Data">#REF!</definedName>
    <definedName name="Electricity">[4]Universal!$C$21</definedName>
    <definedName name="Fisc" localSheetId="0">'[3]Complete UFR List'!#REF!</definedName>
    <definedName name="Fisc" localSheetId="1">'[3]Complete UFR List'!#REF!</definedName>
    <definedName name="Fisc">'[3]Complete UFR List'!#REF!</definedName>
    <definedName name="fisc1">'[3]Complete UFR List'!#REF!</definedName>
    <definedName name="FiveDay">[4]Universal!$C$17</definedName>
    <definedName name="Floor" localSheetId="0">[9]RawDataCalcs!$L$69:$DB$69</definedName>
    <definedName name="Floor" localSheetId="1">[9]RawDataCalcs!$L$69:$DB$69</definedName>
    <definedName name="Floor">[10]RawDataCalcs!$L$12:$DB$12</definedName>
    <definedName name="Fringe">[4]Universal!$C$8</definedName>
    <definedName name="FROM">[2]amendA!$G$7</definedName>
    <definedName name="Funds" localSheetId="0">'[12]RawDataCalcs3386&amp;3401'!$L$68:$DB$68</definedName>
    <definedName name="Funds" localSheetId="1">'[12]RawDataCalcs3386&amp;3401'!$L$68:$DB$68</definedName>
    <definedName name="Funds">'[13]RawDataCalcs3386&amp;3401'!$L$68:$DB$68</definedName>
    <definedName name="GA">[4]Universal!$C$13</definedName>
    <definedName name="Gas">[4]Universal!$C$22</definedName>
    <definedName name="gk" localSheetId="0">#REF!</definedName>
    <definedName name="gk" localSheetId="1">#N/A</definedName>
    <definedName name="gk">#REF!</definedName>
    <definedName name="hhh" localSheetId="0">#REF!</definedName>
    <definedName name="hhh" localSheetId="1">#N/A</definedName>
    <definedName name="hhh">#REF!</definedName>
    <definedName name="Holidays">[4]Universal!$C$49:$C$59</definedName>
    <definedName name="JailDAverage" localSheetId="0">#REF!</definedName>
    <definedName name="JailDAverage" localSheetId="1">#N/A</definedName>
    <definedName name="JailDAverage">#REF!</definedName>
    <definedName name="JailDCap" localSheetId="0">[14]ALLRawDataCalcs!$L$80:$DB$80</definedName>
    <definedName name="JailDCap" localSheetId="1">[14]ALLRawDataCalcs!$L$80:$DB$80</definedName>
    <definedName name="JailDCap">[15]ALLRawDataCalcs!$L$80:$DB$80</definedName>
    <definedName name="JailDFloor" localSheetId="0">[14]ALLRawDataCalcs!$L$79:$DB$79</definedName>
    <definedName name="JailDFloor" localSheetId="1">[14]ALLRawDataCalcs!$L$79:$DB$79</definedName>
    <definedName name="JailDFloor">[15]ALLRawDataCalcs!$L$79:$DB$79</definedName>
    <definedName name="JailDgk" localSheetId="0">#REF!</definedName>
    <definedName name="JailDgk" localSheetId="1">#N/A</definedName>
    <definedName name="JailDgk">#REF!</definedName>
    <definedName name="JailDMax" localSheetId="0">#REF!</definedName>
    <definedName name="JailDMax" localSheetId="1">#N/A</definedName>
    <definedName name="JailDMax">#REF!</definedName>
    <definedName name="JailDMedian" localSheetId="0">#REF!</definedName>
    <definedName name="JailDMedian" localSheetId="1">#N/A</definedName>
    <definedName name="JailDMedian">#REF!</definedName>
    <definedName name="jm" localSheetId="0">'[3]Complete UFR List'!#REF!</definedName>
    <definedName name="jm" localSheetId="1">'[3]Complete UFR List'!#REF!</definedName>
    <definedName name="jm">'[3]Complete UFR List'!#REF!</definedName>
    <definedName name="KARA">#N/A</definedName>
    <definedName name="kls" localSheetId="0">#REF!</definedName>
    <definedName name="kls" localSheetId="1">#N/A</definedName>
    <definedName name="kls">#REF!</definedName>
    <definedName name="ListProviders">'[16]List of Programs'!$A$24:$A$29</definedName>
    <definedName name="Max" localSheetId="0">#REF!</definedName>
    <definedName name="Max" localSheetId="1">#N/A</definedName>
    <definedName name="Max">#REF!</definedName>
    <definedName name="Median" localSheetId="0">#REF!</definedName>
    <definedName name="Median" localSheetId="1">#N/A</definedName>
    <definedName name="Median">#REF!</definedName>
    <definedName name="Min" localSheetId="0">#REF!</definedName>
    <definedName name="Min" localSheetId="1">#N/A</definedName>
    <definedName name="Min">#REF!</definedName>
    <definedName name="mr" localSheetId="0">#N/A</definedName>
    <definedName name="mr" localSheetId="1">#N/A</definedName>
    <definedName name="mr">#REF!</definedName>
    <definedName name="MT" localSheetId="0">#REF!</definedName>
    <definedName name="MT" localSheetId="1">#N/A</definedName>
    <definedName name="MT">#REF!</definedName>
    <definedName name="new" localSheetId="0">#REF!</definedName>
    <definedName name="new" localSheetId="1">#N/A</definedName>
    <definedName name="new">#REF!</definedName>
    <definedName name="Oil">[4]Universal!$C$23</definedName>
    <definedName name="ok" localSheetId="0">#REF!</definedName>
    <definedName name="ok" localSheetId="1">#N/A</definedName>
    <definedName name="ok">#REF!</definedName>
    <definedName name="Paydays">[4]Universal!$C$33:$N$33</definedName>
    <definedName name="Phone">[4]Universal!$C$25</definedName>
    <definedName name="PivotData">#REF!</definedName>
    <definedName name="_xlnm.Print_Area" localSheetId="1">'M2023 BLS Chart'!$B$1:$K$35</definedName>
    <definedName name="_xlnm.Print_Titles" localSheetId="0">'CAF Fall 2024'!$A:$A</definedName>
    <definedName name="Program_File" localSheetId="0">#REF!</definedName>
    <definedName name="Program_File" localSheetId="1">#N/A</definedName>
    <definedName name="Program_File">#REF!</definedName>
    <definedName name="Programs">'[16]List of Programs'!$B$3:$B$19</definedName>
    <definedName name="PropInsurance">[4]Universal!$C$20</definedName>
    <definedName name="ProvFTE" localSheetId="1">'[17]FTE Data'!$A$3:$AW$56</definedName>
    <definedName name="ProvFTE">'[18]FTE Data'!$A$3:$AW$56</definedName>
    <definedName name="PTO_Hours">[4]Universal!$F$72:$F$78</definedName>
    <definedName name="PTO_Years">[4]Universal!$B$72:$B$78</definedName>
    <definedName name="PurchasedBy" localSheetId="1">'[17]FTE Data'!$C$263:$AZ$657</definedName>
    <definedName name="PurchasedBy">'[18]FTE Data'!$C$263:$AZ$657</definedName>
    <definedName name="REGION">[1]Sheet2!$B$1:$B$5</definedName>
    <definedName name="Relief">[4]Universal!$C$14</definedName>
    <definedName name="resmay2007" localSheetId="0">#REF!</definedName>
    <definedName name="resmay2007" localSheetId="1">#N/A</definedName>
    <definedName name="resmay2007">#REF!</definedName>
    <definedName name="SevenDay">[4]Universal!$C$18</definedName>
    <definedName name="sheet1" localSheetId="0">#REF!</definedName>
    <definedName name="sheet1" localSheetId="1">#N/A</definedName>
    <definedName name="sheet1">#REF!</definedName>
    <definedName name="Site_list" localSheetId="1">[17]Lists!$A$2:$A$53</definedName>
    <definedName name="Site_list">[18]Lists!$A$2:$A$53</definedName>
    <definedName name="Source" localSheetId="0">#REF!</definedName>
    <definedName name="Source" localSheetId="1">#N/A</definedName>
    <definedName name="Source">#REF!</definedName>
    <definedName name="Source_2" localSheetId="0">#REF!</definedName>
    <definedName name="Source_2" localSheetId="1">#N/A</definedName>
    <definedName name="Source_2">#REF!</definedName>
    <definedName name="SourcePathAndFileName" localSheetId="0">#REF!</definedName>
    <definedName name="SourcePathAndFileName" localSheetId="1">#N/A</definedName>
    <definedName name="SourcePathAndFileName">#REF!</definedName>
    <definedName name="StaffApp">[4]Universal!$C$11</definedName>
    <definedName name="Tax">[4]Universal!$C$7</definedName>
    <definedName name="tblScheduleB_RevExpSalNRTogether">#REF!</definedName>
    <definedName name="TO">[2]amendA!$K$7:$O$7</definedName>
    <definedName name="Total_UFR" localSheetId="0">#REF!</definedName>
    <definedName name="Total_UFR" localSheetId="1">#N/A</definedName>
    <definedName name="Total_UFR">#REF!</definedName>
    <definedName name="Total_UFRs" localSheetId="0">#REF!</definedName>
    <definedName name="Total_UFRs" localSheetId="1">#N/A</definedName>
    <definedName name="Total_UFRs">#REF!</definedName>
    <definedName name="Total_UFRs_" localSheetId="0">#REF!</definedName>
    <definedName name="Total_UFRs_" localSheetId="1">#N/A</definedName>
    <definedName name="Total_UFRs_">#REF!</definedName>
    <definedName name="TotalDays">[4]Universal!$C$30:$N$30</definedName>
    <definedName name="UFR" localSheetId="0">'[3]Complete UFR List'!#REF!</definedName>
    <definedName name="UFR" localSheetId="1">'[3]Complete UFR List'!#REF!</definedName>
    <definedName name="UFR">'[3]Complete UFR List'!#REF!</definedName>
    <definedName name="UFRS" localSheetId="0">'[3]Complete UFR List'!#REF!</definedName>
    <definedName name="UFRS" localSheetId="1">'[3]Complete UFR List'!#REF!</definedName>
    <definedName name="UFRS">'[3]Complete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0">'[3]Complete UFR List'!#REF!</definedName>
    <definedName name="wefqwerqwe" localSheetId="1">'[3]Complete UFR List'!#REF!</definedName>
    <definedName name="wefqwerqwe">'[3]Complete UFR List'!#REF!</definedName>
    <definedName name="yes" localSheetId="1">'[3]Complete UFR List'!#REF!</definedName>
    <definedName name="yes">'[3]Complete UFR List'!#REF!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1" i="1" l="1"/>
  <c r="AC30" i="1"/>
  <c r="AC7" i="1"/>
  <c r="AC8" i="1"/>
  <c r="AC9" i="1"/>
  <c r="AC10" i="1"/>
  <c r="AC11" i="1"/>
  <c r="AC6" i="1"/>
  <c r="X31" i="1"/>
  <c r="X30" i="1"/>
  <c r="X7" i="1"/>
  <c r="X8" i="1"/>
  <c r="X9" i="1"/>
  <c r="X10" i="1"/>
  <c r="X11" i="1"/>
  <c r="X6" i="1"/>
  <c r="S31" i="1"/>
  <c r="S30" i="1"/>
  <c r="S7" i="1"/>
  <c r="S8" i="1"/>
  <c r="S9" i="1"/>
  <c r="S10" i="1"/>
  <c r="S11" i="1"/>
  <c r="S6" i="1"/>
  <c r="N31" i="1"/>
  <c r="N30" i="1"/>
  <c r="I31" i="1"/>
  <c r="I30" i="1"/>
  <c r="N7" i="1"/>
  <c r="N8" i="1"/>
  <c r="N9" i="1"/>
  <c r="N10" i="1"/>
  <c r="N11" i="1"/>
  <c r="N6" i="1"/>
  <c r="I7" i="1"/>
  <c r="I8" i="1"/>
  <c r="I9" i="1"/>
  <c r="I10" i="1"/>
  <c r="I11" i="1"/>
  <c r="I6" i="1"/>
  <c r="D31" i="1"/>
  <c r="D30" i="1"/>
  <c r="D11" i="1"/>
  <c r="D10" i="1"/>
  <c r="D9" i="1"/>
  <c r="D8" i="1"/>
  <c r="D7" i="1"/>
  <c r="D6" i="1"/>
  <c r="CQ42" i="3"/>
  <c r="CQ44" i="3" s="1"/>
  <c r="CQ38" i="3"/>
  <c r="CQ26" i="3"/>
  <c r="CQ28" i="3" s="1"/>
  <c r="CQ22" i="3"/>
  <c r="C52" i="2"/>
  <c r="J52" i="2" s="1"/>
  <c r="C51" i="2"/>
  <c r="J51" i="2" s="1"/>
  <c r="C50" i="2"/>
  <c r="J50" i="2" s="1"/>
  <c r="C49" i="2"/>
  <c r="J49" i="2" s="1"/>
  <c r="K45" i="2"/>
  <c r="J45" i="2"/>
  <c r="K44" i="2"/>
  <c r="J44" i="2"/>
  <c r="C34" i="2"/>
  <c r="C46" i="2" s="1"/>
  <c r="J46" i="2" s="1"/>
  <c r="K46" i="2" s="1"/>
  <c r="C33" i="2"/>
  <c r="J33" i="2" s="1"/>
  <c r="K33" i="2" s="1"/>
  <c r="C32" i="2"/>
  <c r="J32" i="2" s="1"/>
  <c r="K32" i="2" s="1"/>
  <c r="J31" i="2"/>
  <c r="K31" i="2" s="1"/>
  <c r="C31" i="2"/>
  <c r="C30" i="2"/>
  <c r="J30" i="2" s="1"/>
  <c r="K30" i="2" s="1"/>
  <c r="J29" i="2"/>
  <c r="K29" i="2" s="1"/>
  <c r="C29" i="2"/>
  <c r="J27" i="2"/>
  <c r="K27" i="2" s="1"/>
  <c r="C27" i="2"/>
  <c r="C28" i="2" s="1"/>
  <c r="J28" i="2" s="1"/>
  <c r="K28" i="2" s="1"/>
  <c r="C26" i="2"/>
  <c r="J26" i="2" s="1"/>
  <c r="K26" i="2" s="1"/>
  <c r="C25" i="2"/>
  <c r="J25" i="2" s="1"/>
  <c r="K25" i="2" s="1"/>
  <c r="C24" i="2"/>
  <c r="J24" i="2" s="1"/>
  <c r="K24" i="2" s="1"/>
  <c r="J23" i="2"/>
  <c r="K23" i="2" s="1"/>
  <c r="C23" i="2"/>
  <c r="C22" i="2"/>
  <c r="J22" i="2" s="1"/>
  <c r="K22" i="2" s="1"/>
  <c r="J21" i="2"/>
  <c r="K21" i="2" s="1"/>
  <c r="C21" i="2"/>
  <c r="J19" i="2"/>
  <c r="K19" i="2" s="1"/>
  <c r="C19" i="2"/>
  <c r="C20" i="2" s="1"/>
  <c r="J20" i="2" s="1"/>
  <c r="K20" i="2" s="1"/>
  <c r="C18" i="2"/>
  <c r="J18" i="2" s="1"/>
  <c r="K18" i="2" s="1"/>
  <c r="C17" i="2"/>
  <c r="J17" i="2" s="1"/>
  <c r="K17" i="2" s="1"/>
  <c r="C16" i="2"/>
  <c r="J16" i="2" s="1"/>
  <c r="K16" i="2" s="1"/>
  <c r="J15" i="2"/>
  <c r="K15" i="2" s="1"/>
  <c r="C15" i="2"/>
  <c r="C14" i="2"/>
  <c r="J14" i="2" s="1"/>
  <c r="K14" i="2" s="1"/>
  <c r="J13" i="2"/>
  <c r="K13" i="2" s="1"/>
  <c r="C13" i="2"/>
  <c r="J11" i="2"/>
  <c r="K11" i="2" s="1"/>
  <c r="C11" i="2"/>
  <c r="C12" i="2" s="1"/>
  <c r="J12" i="2" s="1"/>
  <c r="K12" i="2" s="1"/>
  <c r="C10" i="2"/>
  <c r="J10" i="2" s="1"/>
  <c r="K10" i="2" s="1"/>
  <c r="C9" i="2"/>
  <c r="J9" i="2" s="1"/>
  <c r="K9" i="2" s="1"/>
  <c r="C8" i="2"/>
  <c r="J8" i="2" s="1"/>
  <c r="K8" i="2" s="1"/>
  <c r="J7" i="2"/>
  <c r="K7" i="2" s="1"/>
  <c r="C7" i="2"/>
  <c r="C6" i="2"/>
  <c r="C48" i="2" s="1"/>
  <c r="J48" i="2" s="1"/>
  <c r="J5" i="2"/>
  <c r="K5" i="2" s="1"/>
  <c r="C5" i="2"/>
  <c r="H35" i="1"/>
  <c r="M35" i="1" s="1"/>
  <c r="R35" i="1" s="1"/>
  <c r="W35" i="1" s="1"/>
  <c r="AB35" i="1" s="1"/>
  <c r="AB25" i="1"/>
  <c r="AC25" i="1" s="1"/>
  <c r="W25" i="1"/>
  <c r="X25" i="1" s="1"/>
  <c r="R25" i="1"/>
  <c r="S25" i="1" s="1"/>
  <c r="M25" i="1"/>
  <c r="N25" i="1" s="1"/>
  <c r="H25" i="1"/>
  <c r="I25" i="1" s="1"/>
  <c r="C25" i="1"/>
  <c r="D25" i="1" s="1"/>
  <c r="AB24" i="1"/>
  <c r="AC24" i="1" s="1"/>
  <c r="W24" i="1"/>
  <c r="Y24" i="1" s="1"/>
  <c r="R24" i="1"/>
  <c r="S24" i="1" s="1"/>
  <c r="M24" i="1"/>
  <c r="O24" i="1" s="1"/>
  <c r="H24" i="1"/>
  <c r="I24" i="1" s="1"/>
  <c r="C24" i="1"/>
  <c r="E24" i="1" s="1"/>
  <c r="AB23" i="1"/>
  <c r="AC23" i="1" s="1"/>
  <c r="W23" i="1"/>
  <c r="X23" i="1" s="1"/>
  <c r="R23" i="1"/>
  <c r="S23" i="1" s="1"/>
  <c r="M23" i="1"/>
  <c r="N23" i="1" s="1"/>
  <c r="H23" i="1"/>
  <c r="I23" i="1" s="1"/>
  <c r="C23" i="1"/>
  <c r="D23" i="1" s="1"/>
  <c r="AB22" i="1"/>
  <c r="AC22" i="1" s="1"/>
  <c r="W22" i="1"/>
  <c r="X22" i="1" s="1"/>
  <c r="R22" i="1"/>
  <c r="S22" i="1" s="1"/>
  <c r="M22" i="1"/>
  <c r="N22" i="1" s="1"/>
  <c r="H22" i="1"/>
  <c r="I22" i="1" s="1"/>
  <c r="C22" i="1"/>
  <c r="D22" i="1" s="1"/>
  <c r="AB21" i="1"/>
  <c r="AC21" i="1" s="1"/>
  <c r="W21" i="1"/>
  <c r="X21" i="1" s="1"/>
  <c r="R21" i="1"/>
  <c r="S21" i="1" s="1"/>
  <c r="M21" i="1"/>
  <c r="N21" i="1" s="1"/>
  <c r="H21" i="1"/>
  <c r="I21" i="1" s="1"/>
  <c r="C21" i="1"/>
  <c r="D21" i="1" s="1"/>
  <c r="AB20" i="1"/>
  <c r="AC20" i="1" s="1"/>
  <c r="W20" i="1"/>
  <c r="X20" i="1" s="1"/>
  <c r="R20" i="1"/>
  <c r="S20" i="1" s="1"/>
  <c r="M20" i="1"/>
  <c r="N20" i="1" s="1"/>
  <c r="H20" i="1"/>
  <c r="I20" i="1" s="1"/>
  <c r="C20" i="1"/>
  <c r="D20" i="1" s="1"/>
  <c r="AB19" i="1"/>
  <c r="AC19" i="1" s="1"/>
  <c r="W19" i="1"/>
  <c r="X19" i="1" s="1"/>
  <c r="R19" i="1"/>
  <c r="S19" i="1" s="1"/>
  <c r="M19" i="1"/>
  <c r="N19" i="1" s="1"/>
  <c r="H19" i="1"/>
  <c r="I19" i="1" s="1"/>
  <c r="C19" i="1"/>
  <c r="D19" i="1" s="1"/>
  <c r="AB18" i="1"/>
  <c r="AC18" i="1" s="1"/>
  <c r="W18" i="1"/>
  <c r="X18" i="1" s="1"/>
  <c r="R18" i="1"/>
  <c r="S18" i="1" s="1"/>
  <c r="M18" i="1"/>
  <c r="N18" i="1" s="1"/>
  <c r="H18" i="1"/>
  <c r="I18" i="1" s="1"/>
  <c r="C18" i="1"/>
  <c r="D18" i="1" s="1"/>
  <c r="AC14" i="1"/>
  <c r="X14" i="1"/>
  <c r="S14" i="1"/>
  <c r="N14" i="1"/>
  <c r="I14" i="1"/>
  <c r="D14" i="1"/>
  <c r="AB11" i="1"/>
  <c r="AD11" i="1" s="1"/>
  <c r="W11" i="1"/>
  <c r="Y11" i="1" s="1"/>
  <c r="R11" i="1"/>
  <c r="T11" i="1" s="1"/>
  <c r="M11" i="1"/>
  <c r="O11" i="1" s="1"/>
  <c r="H11" i="1"/>
  <c r="J11" i="1" s="1"/>
  <c r="C11" i="1"/>
  <c r="E11" i="1" s="1"/>
  <c r="AB10" i="1"/>
  <c r="AD10" i="1" s="1"/>
  <c r="W10" i="1"/>
  <c r="Y10" i="1" s="1"/>
  <c r="R10" i="1"/>
  <c r="M10" i="1"/>
  <c r="O10" i="1" s="1"/>
  <c r="H10" i="1"/>
  <c r="J10" i="1" s="1"/>
  <c r="C10" i="1"/>
  <c r="E10" i="1" s="1"/>
  <c r="AB9" i="1"/>
  <c r="AD9" i="1" s="1"/>
  <c r="W9" i="1"/>
  <c r="R9" i="1"/>
  <c r="T9" i="1" s="1"/>
  <c r="M9" i="1"/>
  <c r="O9" i="1" s="1"/>
  <c r="H9" i="1"/>
  <c r="J9" i="1" s="1"/>
  <c r="C9" i="1"/>
  <c r="E9" i="1" s="1"/>
  <c r="AB8" i="1"/>
  <c r="AD8" i="1" s="1"/>
  <c r="W8" i="1"/>
  <c r="R8" i="1"/>
  <c r="T8" i="1" s="1"/>
  <c r="M8" i="1"/>
  <c r="O8" i="1" s="1"/>
  <c r="H8" i="1"/>
  <c r="J8" i="1" s="1"/>
  <c r="C8" i="1"/>
  <c r="E8" i="1" s="1"/>
  <c r="AB7" i="1"/>
  <c r="AD7" i="1" s="1"/>
  <c r="W7" i="1"/>
  <c r="Y7" i="1" s="1"/>
  <c r="R7" i="1"/>
  <c r="T7" i="1" s="1"/>
  <c r="M7" i="1"/>
  <c r="O7" i="1" s="1"/>
  <c r="H7" i="1"/>
  <c r="J7" i="1" s="1"/>
  <c r="C7" i="1"/>
  <c r="E7" i="1" s="1"/>
  <c r="AB6" i="1"/>
  <c r="AD6" i="1" s="1"/>
  <c r="W6" i="1"/>
  <c r="Y6" i="1" s="1"/>
  <c r="R6" i="1"/>
  <c r="T6" i="1" s="1"/>
  <c r="M6" i="1"/>
  <c r="O6" i="1" s="1"/>
  <c r="H6" i="1"/>
  <c r="J6" i="1" s="1"/>
  <c r="C6" i="1"/>
  <c r="E6" i="1" s="1"/>
  <c r="AE3" i="1"/>
  <c r="Z3" i="1"/>
  <c r="U3" i="1"/>
  <c r="P3" i="1"/>
  <c r="K3" i="1"/>
  <c r="F3" i="1"/>
  <c r="J34" i="2" l="1"/>
  <c r="K34" i="2" s="1"/>
  <c r="C36" i="2"/>
  <c r="C47" i="2"/>
  <c r="J47" i="2" s="1"/>
  <c r="J6" i="2"/>
  <c r="K6" i="2" s="1"/>
  <c r="K35" i="2" s="1"/>
  <c r="Z11" i="1"/>
  <c r="U9" i="1"/>
  <c r="Z10" i="1"/>
  <c r="Z21" i="1"/>
  <c r="K6" i="1"/>
  <c r="K11" i="1"/>
  <c r="K8" i="1"/>
  <c r="T10" i="1"/>
  <c r="T12" i="1" s="1"/>
  <c r="U25" i="1" s="1"/>
  <c r="U7" i="1"/>
  <c r="AE8" i="1"/>
  <c r="P11" i="1"/>
  <c r="F24" i="1"/>
  <c r="AE10" i="1"/>
  <c r="AE18" i="1"/>
  <c r="F20" i="1"/>
  <c r="F21" i="1"/>
  <c r="K23" i="1"/>
  <c r="J24" i="1"/>
  <c r="K24" i="1" s="1"/>
  <c r="Z19" i="1"/>
  <c r="AE6" i="1"/>
  <c r="K10" i="1"/>
  <c r="F19" i="1"/>
  <c r="J12" i="1"/>
  <c r="K25" i="1" s="1"/>
  <c r="P21" i="1"/>
  <c r="U21" i="1"/>
  <c r="Z22" i="1"/>
  <c r="AD12" i="1"/>
  <c r="AE25" i="1" s="1"/>
  <c r="P20" i="1"/>
  <c r="K22" i="1"/>
  <c r="Z23" i="1"/>
  <c r="AE11" i="1"/>
  <c r="F18" i="1"/>
  <c r="U20" i="1"/>
  <c r="AE23" i="1"/>
  <c r="T24" i="1"/>
  <c r="U24" i="1" s="1"/>
  <c r="AE19" i="1"/>
  <c r="F23" i="1"/>
  <c r="P10" i="1"/>
  <c r="U22" i="1"/>
  <c r="AE7" i="1"/>
  <c r="U11" i="1"/>
  <c r="K19" i="1"/>
  <c r="AD24" i="1"/>
  <c r="AE24" i="1" s="1"/>
  <c r="AE20" i="1"/>
  <c r="U6" i="1"/>
  <c r="K7" i="1"/>
  <c r="U8" i="1"/>
  <c r="K9" i="1"/>
  <c r="AE9" i="1"/>
  <c r="F11" i="1"/>
  <c r="U18" i="1"/>
  <c r="P19" i="1"/>
  <c r="P18" i="1"/>
  <c r="Z20" i="1"/>
  <c r="U19" i="1"/>
  <c r="K20" i="1"/>
  <c r="AE21" i="1"/>
  <c r="P23" i="1"/>
  <c r="K18" i="1"/>
  <c r="Z18" i="1"/>
  <c r="K21" i="1"/>
  <c r="F22" i="1"/>
  <c r="AE22" i="1"/>
  <c r="U23" i="1"/>
  <c r="E12" i="1"/>
  <c r="F25" i="1" s="1"/>
  <c r="O12" i="1"/>
  <c r="P25" i="1" s="1"/>
  <c r="P22" i="1"/>
  <c r="F6" i="1"/>
  <c r="F7" i="1"/>
  <c r="P7" i="1"/>
  <c r="P8" i="1"/>
  <c r="F9" i="1"/>
  <c r="F10" i="1"/>
  <c r="P6" i="1"/>
  <c r="F8" i="1"/>
  <c r="Y8" i="1"/>
  <c r="Z8" i="1" s="1"/>
  <c r="Y9" i="1"/>
  <c r="Z9" i="1" s="1"/>
  <c r="Z6" i="1"/>
  <c r="Z7" i="1"/>
  <c r="P9" i="1"/>
  <c r="N24" i="1"/>
  <c r="P24" i="1" s="1"/>
  <c r="X24" i="1"/>
  <c r="Z24" i="1" s="1"/>
  <c r="U10" i="1" l="1"/>
  <c r="U12" i="1" s="1"/>
  <c r="U14" i="1" s="1"/>
  <c r="U15" i="1" s="1"/>
  <c r="AE12" i="1"/>
  <c r="AE14" i="1" s="1"/>
  <c r="AE15" i="1" s="1"/>
  <c r="K12" i="1"/>
  <c r="K14" i="1" s="1"/>
  <c r="K15" i="1" s="1"/>
  <c r="U26" i="1"/>
  <c r="P26" i="1"/>
  <c r="K26" i="1"/>
  <c r="Y12" i="1"/>
  <c r="Z25" i="1" s="1"/>
  <c r="Z26" i="1" s="1"/>
  <c r="F26" i="1"/>
  <c r="AE26" i="1"/>
  <c r="F12" i="1"/>
  <c r="P12" i="1"/>
  <c r="Z12" i="1"/>
  <c r="U27" i="1" l="1"/>
  <c r="U31" i="1" s="1"/>
  <c r="K27" i="1"/>
  <c r="K30" i="1" s="1"/>
  <c r="AE27" i="1"/>
  <c r="AE30" i="1" s="1"/>
  <c r="Z14" i="1"/>
  <c r="Z15" i="1" s="1"/>
  <c r="Z27" i="1" s="1"/>
  <c r="P14" i="1"/>
  <c r="P15" i="1" s="1"/>
  <c r="P27" i="1" s="1"/>
  <c r="F14" i="1"/>
  <c r="F15" i="1" s="1"/>
  <c r="F27" i="1" s="1"/>
  <c r="U30" i="1" l="1"/>
  <c r="U32" i="1" s="1"/>
  <c r="U33" i="1" s="1"/>
  <c r="U34" i="1" s="1"/>
  <c r="U35" i="1" s="1"/>
  <c r="U38" i="1" s="1"/>
  <c r="K31" i="1"/>
  <c r="K32" i="1" s="1"/>
  <c r="K33" i="1" s="1"/>
  <c r="K34" i="1" s="1"/>
  <c r="K35" i="1" s="1"/>
  <c r="K38" i="1" s="1"/>
  <c r="AE31" i="1"/>
  <c r="AE32" i="1" s="1"/>
  <c r="AE33" i="1" s="1"/>
  <c r="AE34" i="1" s="1"/>
  <c r="AE35" i="1" s="1"/>
  <c r="AE38" i="1" s="1"/>
  <c r="F31" i="1"/>
  <c r="F30" i="1"/>
  <c r="Z31" i="1"/>
  <c r="Z30" i="1"/>
  <c r="P31" i="1"/>
  <c r="P30" i="1"/>
  <c r="Z32" i="1" l="1"/>
  <c r="Z33" i="1" s="1"/>
  <c r="Z34" i="1" s="1"/>
  <c r="Z35" i="1" s="1"/>
  <c r="Z38" i="1" s="1"/>
  <c r="F32" i="1"/>
  <c r="F33" i="1" s="1"/>
  <c r="F34" i="1" s="1"/>
  <c r="F35" i="1" s="1"/>
  <c r="F38" i="1" s="1"/>
  <c r="P32" i="1"/>
  <c r="P33" i="1" s="1"/>
  <c r="P34" i="1" s="1"/>
  <c r="P35" i="1" s="1"/>
  <c r="P3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F1C942B1-5EA5-4075-8517-C939B3FC767A}">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sharedStrings.xml><?xml version="1.0" encoding="utf-8"?>
<sst xmlns="http://schemas.openxmlformats.org/spreadsheetml/2006/main" count="406" uniqueCount="266">
  <si>
    <t>Level I</t>
  </si>
  <si>
    <t>Level A</t>
  </si>
  <si>
    <t>Level B</t>
  </si>
  <si>
    <t>Level C</t>
  </si>
  <si>
    <t>Level D</t>
  </si>
  <si>
    <t>Level W</t>
  </si>
  <si>
    <t>Service Unit: Per Client Per Day</t>
  </si>
  <si>
    <t>Total Units:</t>
  </si>
  <si>
    <t>SALARY COSTS</t>
  </si>
  <si>
    <t>Salary/Cost</t>
  </si>
  <si>
    <t>FTE</t>
  </si>
  <si>
    <t>Total</t>
  </si>
  <si>
    <t>Total Staffing</t>
  </si>
  <si>
    <t>Tax &amp; Fringe</t>
  </si>
  <si>
    <t>Total Salary</t>
  </si>
  <si>
    <t>NON-SALARY COSTS</t>
  </si>
  <si>
    <t>Total Non-Salary</t>
  </si>
  <si>
    <t>Total Expenses</t>
  </si>
  <si>
    <t>OTHER EXPENSES</t>
  </si>
  <si>
    <t>Admin Allocation</t>
  </si>
  <si>
    <t>CAF</t>
  </si>
  <si>
    <t>TOTAL</t>
  </si>
  <si>
    <t>RATE:</t>
  </si>
  <si>
    <t>Hourly Rate</t>
  </si>
  <si>
    <t>FY26 Rate</t>
  </si>
  <si>
    <t>Current Rate</t>
  </si>
  <si>
    <t>FY24 Rate</t>
  </si>
  <si>
    <t>% change</t>
  </si>
  <si>
    <t>Source:</t>
  </si>
  <si>
    <t>BLS / OES</t>
  </si>
  <si>
    <t>Position</t>
  </si>
  <si>
    <t>53 Percentile</t>
  </si>
  <si>
    <t>Common model titles (not all inclusive)</t>
  </si>
  <si>
    <t>Minimum Education and/or certification/Training/Experience</t>
  </si>
  <si>
    <t>BLS Occupational Code(s)</t>
  </si>
  <si>
    <t>Change</t>
  </si>
  <si>
    <t>Direct Care (hourly)</t>
  </si>
  <si>
    <t>Direct Care, Direct Care Blend, Non Specialized DC, Peer mentor, Family Specialist/ Partner</t>
  </si>
  <si>
    <t>High School diploma / GED / State Training</t>
  </si>
  <si>
    <t xml:space="preserve">
21-1093, 31-1120, 31-2022, 31-9099</t>
  </si>
  <si>
    <t>Direct Care  (annual)</t>
  </si>
  <si>
    <t>Direct Care III (hourly)</t>
  </si>
  <si>
    <t>Direct Care Supervisor, Direct Care Bachelors</t>
  </si>
  <si>
    <t>Bachelors Level or 5+ years related experience</t>
  </si>
  <si>
    <t>21-1094, 21-1015, 21-1018, 21-1023, 39-1022</t>
  </si>
  <si>
    <t>Direct Care III (annual)</t>
  </si>
  <si>
    <t>Developmental Specialist,  Triage Specialist, Medical Assistant</t>
  </si>
  <si>
    <t>Certified Nursing Assistant  (hourly)</t>
  </si>
  <si>
    <t>Completed a state-approved education program and must pass their state’s competency exam. </t>
  </si>
  <si>
    <t xml:space="preserve"> 31-1131</t>
  </si>
  <si>
    <t>Certified Nursing Assistant  (annual)</t>
  </si>
  <si>
    <t xml:space="preserve">Case / Social Worker (hourly) </t>
  </si>
  <si>
    <t>BA level social worker, LSW, BSW</t>
  </si>
  <si>
    <t>Bachelors Level or 8+ years related experience</t>
  </si>
  <si>
    <t>21-1021, 21-1099</t>
  </si>
  <si>
    <t>Case / Social Worker (annual)</t>
  </si>
  <si>
    <t>LDAC1</t>
  </si>
  <si>
    <t>Case Manager / Social Worker / Clinical w/o independent License (hourly)</t>
  </si>
  <si>
    <t>LDAC2,  LMSW, LCSW</t>
  </si>
  <si>
    <t>Masters Level</t>
  </si>
  <si>
    <t>21-1021, 21-1019, 21-1022, 21-1029</t>
  </si>
  <si>
    <t>Case Manager / Social Worker / Clinical w/o independent License</t>
  </si>
  <si>
    <t>Clinical without Independent Licensure</t>
  </si>
  <si>
    <t>LPN (hourly)</t>
  </si>
  <si>
    <t>Complete a state approved nurse education program for licensed practical or licensed vocation nurse</t>
  </si>
  <si>
    <t>29-2061</t>
  </si>
  <si>
    <t>LPN (annual)</t>
  </si>
  <si>
    <t>Assistant Manager</t>
  </si>
  <si>
    <t>Clinical w/ Independent licensure (hourly)</t>
  </si>
  <si>
    <t>LPHA, LICSW, LMHC, LBHA, BCBA</t>
  </si>
  <si>
    <t xml:space="preserve">Masters with Licensure in Related Discipline </t>
  </si>
  <si>
    <t>19-3033, 21-1021, 21-1022, 19-3034</t>
  </si>
  <si>
    <t>Clinical w/ Independent licensure (annual)</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</si>
  <si>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</si>
  <si>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</si>
  <si>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</si>
  <si>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</si>
  <si>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</si>
  <si>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</si>
  <si>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</si>
  <si>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</si>
  <si>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</si>
  <si>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</si>
  <si>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 (hourly) *</t>
  </si>
  <si>
    <t>Occupational Therapists</t>
  </si>
  <si>
    <t xml:space="preserve">
29-1129, 31-2011, 29-1122 (25%/25%/50%)</t>
  </si>
  <si>
    <t>Occupational Therapist (annual) *</t>
  </si>
  <si>
    <t>Physical Therapist (hourly)</t>
  </si>
  <si>
    <t>Physical Therapists</t>
  </si>
  <si>
    <t>29-1129, 31-2021, 29-1123  (20%/20%/60%)</t>
  </si>
  <si>
    <t>Physical Therapist (annual)</t>
  </si>
  <si>
    <t>Clinical Manager / Psychologists (hourly)</t>
  </si>
  <si>
    <t>Clinical Manager, Clinical Director</t>
  </si>
  <si>
    <t>Masters with Licensure in Related Discipline and supervising/managerial related experience</t>
  </si>
  <si>
    <t>19-3033, 19-3034</t>
  </si>
  <si>
    <t>Clinical Manager /  Psychologists  (annual)</t>
  </si>
  <si>
    <t>Speech Language Pathologists (hourly) *</t>
  </si>
  <si>
    <t xml:space="preserve">
29-1129, 29-1127</t>
  </si>
  <si>
    <t>Speech Language Pathologists (annual) *</t>
  </si>
  <si>
    <t>Registerd Nurse (BA) (hourly)</t>
  </si>
  <si>
    <t>Minimum of an associates degree in nursing, a diploma from an approved nursing program, or a Bachelors of Science in Nursing</t>
  </si>
  <si>
    <t>29-1141</t>
  </si>
  <si>
    <t>Registered Nurse (BA) (annual)</t>
  </si>
  <si>
    <t>Registerd Nurse (MA / APRN) (hourly)</t>
  </si>
  <si>
    <t>Minimum of a Masters of Science in one of the APRN roles. Must be licensed</t>
  </si>
  <si>
    <t>29-1171</t>
  </si>
  <si>
    <t>Registered Nurse (MA / APRN) (annual)</t>
  </si>
  <si>
    <t xml:space="preserve">Clerical, Support &amp; Direct Care Relief Staff are benched to Direct Care </t>
  </si>
  <si>
    <t xml:space="preserve">Tax and Fringe =  </t>
  </si>
  <si>
    <t xml:space="preserve">Benchmarked to FY25 (proposed) Commonwealth (office of the Comptroller) T&amp;F rate, less </t>
  </si>
  <si>
    <t>Terminal leave, and  retirement.  Does include Paid Family Medical Leave tax.</t>
  </si>
  <si>
    <t>C.257 Benchmark</t>
  </si>
  <si>
    <t>Misc. BLS benchmarks</t>
  </si>
  <si>
    <t>Psychiatrist *</t>
  </si>
  <si>
    <t>M2021 BLS  NAICS 623200 (Nat'l)   Intellectual and Developmental Disability,   Residential, Mental Health, and Substance Abuse Facilities</t>
  </si>
  <si>
    <t>Medical Director</t>
  </si>
  <si>
    <t>M2022 BLS  (29-1222 Physicians) National Annual Mean</t>
  </si>
  <si>
    <t>Physician Assistants</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</si>
  <si>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</si>
  <si>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</si>
  <si>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</si>
  <si>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</si>
  <si>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</si>
  <si>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</si>
  <si>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</si>
  <si>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</si>
  <si>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</si>
  <si>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</si>
  <si>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</si>
  <si>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</si>
  <si>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</si>
  <si>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</si>
  <si>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</si>
  <si>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</si>
  <si>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Massachusetts Economic Indicators</t>
  </si>
  <si>
    <t>S&amp;P Global Market Intelligence, Fall 2024</t>
  </si>
  <si>
    <t>Prepared by Michael Lynch, 781-301-9129</t>
  </si>
  <si>
    <t>FY24</t>
  </si>
  <si>
    <t>FY25</t>
  </si>
  <si>
    <t>FY26</t>
  </si>
  <si>
    <t>FY27</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</si>
  <si>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</si>
  <si>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</si>
  <si>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</si>
  <si>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</si>
  <si>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</si>
  <si>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</si>
  <si>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</si>
  <si>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</si>
  <si>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</si>
  <si>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</si>
  <si>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</si>
  <si>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</si>
  <si>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</si>
  <si>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</si>
  <si>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</si>
  <si>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</si>
  <si>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</si>
  <si>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</si>
  <si>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</si>
  <si>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</si>
  <si>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</si>
  <si>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</si>
  <si>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</si>
  <si>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</si>
  <si>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</si>
  <si>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</si>
  <si>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</si>
  <si>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</si>
  <si>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</si>
  <si>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</si>
  <si>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</si>
  <si>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</si>
  <si>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</si>
  <si>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</si>
  <si>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</si>
  <si>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</si>
  <si>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</si>
  <si>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</si>
  <si>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</si>
  <si>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</si>
  <si>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</si>
  <si>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</si>
  <si>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</si>
  <si>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</si>
  <si>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</si>
  <si>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</si>
  <si>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</si>
  <si>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</si>
  <si>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</si>
  <si>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</si>
  <si>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</si>
  <si>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</si>
  <si>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</si>
  <si>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</si>
  <si>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</si>
  <si>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</si>
  <si>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</si>
  <si>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</si>
  <si>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</si>
  <si>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</si>
  <si>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</si>
  <si>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</si>
  <si>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</si>
  <si>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</si>
  <si>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</si>
  <si>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</si>
  <si>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</si>
  <si>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</si>
  <si>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</si>
  <si>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</si>
  <si>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</si>
  <si>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</si>
  <si>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</si>
  <si>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</si>
  <si>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</si>
  <si>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</si>
  <si>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</si>
  <si>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</si>
  <si>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</si>
  <si>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</si>
  <si>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</si>
  <si>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</si>
  <si>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</si>
  <si>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</si>
  <si>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</si>
  <si>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</si>
  <si>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</si>
  <si>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</si>
  <si>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</si>
  <si>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2026Q1</t>
  </si>
  <si>
    <t>2026Q2</t>
  </si>
  <si>
    <t>2026Q3</t>
  </si>
  <si>
    <t>2026Q4</t>
  </si>
  <si>
    <t>2027Q1</t>
  </si>
  <si>
    <t>2027Q2</t>
  </si>
  <si>
    <t>2027Q3</t>
  </si>
  <si>
    <t>2027Q4</t>
  </si>
  <si>
    <t>2028Q1</t>
  </si>
  <si>
    <t>2028Q2</t>
  </si>
  <si>
    <t>2028Q3</t>
  </si>
  <si>
    <t>2028Q4</t>
  </si>
  <si>
    <t>2029Q1</t>
  </si>
  <si>
    <t>2029Q2</t>
  </si>
  <si>
    <t>2029Q3</t>
  </si>
  <si>
    <t>2029Q4</t>
  </si>
  <si>
    <t>2030Q1</t>
  </si>
  <si>
    <t>2030Q2</t>
  </si>
  <si>
    <t>2030Q3</t>
  </si>
  <si>
    <t>2030Q4</t>
  </si>
  <si>
    <t>CPI--BASELINE SCENARIO (1982-84=1)</t>
  </si>
  <si>
    <t>CPIBASEMA</t>
  </si>
  <si>
    <t>CPI--OPTIMISTIC SCENARIO (1982-84=1)</t>
  </si>
  <si>
    <t>CPIOPTMA</t>
  </si>
  <si>
    <t>CPI--PESSIMISTIC SCENARIO (1982-84=1)</t>
  </si>
  <si>
    <t>CPIPESSMA</t>
  </si>
  <si>
    <t>New Rates</t>
  </si>
  <si>
    <t>Assumption for new rates that are to be promulgated July 1, 2025</t>
  </si>
  <si>
    <t>BASELINE SCENARIO</t>
  </si>
  <si>
    <t xml:space="preserve">Base period: </t>
  </si>
  <si>
    <t xml:space="preserve">FY25 </t>
  </si>
  <si>
    <t>Average</t>
  </si>
  <si>
    <t xml:space="preserve">Prospective rate period: </t>
  </si>
  <si>
    <t>July 1, 2025- June 30, 2027</t>
  </si>
  <si>
    <t>CAF:</t>
  </si>
  <si>
    <t>OPTIMISTIC SCENARIO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</si>
</sst>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8" formatCode="&quot;$&quot;#,##0.00_);[Red]\(&quot;$&quot;#,##0.00\)"/>
    <numFmt numFmtId="44" formatCode="_(&quot;$&quot;* #,##0.00_);_(&quot;$&quot;* \(#,##0.00\);_(&quot;$&quot;* &quot;-&quot;??_);_(@_)"/>
    <numFmt numFmtId="43" formatCode="_(* #,##0.00_);_(* \(#,##0.00\);_(* &quot;-&quot;??_);_(@_)"/>
    <numFmt numFmtId="164" formatCode="\$#,##0"/>
    <numFmt numFmtId="165" formatCode="_(* #,##0_);_(* \(#,##0\);_(* &quot;-&quot;??_);_(@_)"/>
    <numFmt numFmtId="166" formatCode="[$-409]mmmm\ d\,\ yyyy;@"/>
    <numFmt numFmtId="167" formatCode="&quot;$&quot;#,##0.00"/>
    <numFmt numFmtId="168" formatCode="&quot;$&quot;#,##0"/>
    <numFmt numFmtId="169" formatCode="0.000"/>
    <numFmt numFmtId="170" formatCode="_(&quot;$&quot;* #,##0_);_(&quot;$&quot;* \(#,##0\);_(&quot;$&quot;* &quot;-&quot;??_);_(@_)"/>
  </numFmts>
  <fonts count="21"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sz val="11"/>
      <name val="Aptos Narrow"/>
      <family val="2"/>
      <scheme val="minor"/>
    </font>
    <font>
      <b/>
      <i/>
      <sz val="11"/>
      <color theme="1"/>
      <name val="Aptos Narrow"/>
      <family val="2"/>
      <scheme val="minor"/>
    </font>
    <font>
      <b/>
      <sz val="11"/>
      <name val="Aptos Narrow"/>
      <family val="2"/>
      <scheme val="minor"/>
    </font>
    <font>
      <sz val="10"/>
      <color theme="1"/>
      <name val="Aptos Narrow"/>
      <family val="2"/>
      <scheme val="minor"/>
    </font>
    <font>
      <b/>
      <sz val="11"/>
      <color rgb="FFFF0000"/>
      <name val="Aptos Narrow"/>
      <family val="2"/>
      <scheme val="minor"/>
    </font>
    <font>
      <i/>
      <sz val="11"/>
      <color theme="1"/>
      <name val="Aptos Narrow"/>
      <family val="2"/>
      <scheme val="minor"/>
    </font>
    <font>
      <sz val="11"/>
      <color indexed="8"/>
      <name val="Calibri"/>
      <family val="2"/>
    </font>
    <font>
      <b/>
      <sz val="12"/>
      <color indexed="81"/>
      <name val="Tahoma"/>
      <family val="2"/>
    </font>
    <font>
      <sz val="10"/>
      <color indexed="81"/>
      <name val="Tahoma"/>
      <family val="2"/>
    </font>
    <font>
      <b/>
      <sz val="14"/>
      <name val="Arial"/>
      <family val="2"/>
    </font>
    <font>
      <b/>
      <sz val="12"/>
      <name val="Arial"/>
      <family val="2"/>
    </font>
    <font>
      <b/>
      <sz val="10"/>
      <name val="Arial"/>
      <family val="2"/>
    </font>
    <font>
      <b/>
      <sz val="11"/>
      <name val="Arial"/>
      <family val="2"/>
    </font>
    <font>
      <sz val="10"/>
      <color theme="1"/>
      <name val="Arial"/>
      <family val="2"/>
    </font>
    <font>
      <b/>
      <sz val="10"/>
      <color rgb="FFFF0000"/>
      <name val="Arial"/>
      <family val="2"/>
    </font>
    <font>
      <sz val="10"/>
      <color rgb="FFFF0000"/>
      <name val="Arial"/>
      <family val="2"/>
    </font>
    <font>
      <b/>
      <u/>
      <sz val="10"/>
      <name val="Arial"/>
      <family val="2"/>
    </font>
  </fonts>
  <fills count="11">
    <fill>
      <patternFill patternType="none"/>
    </fill>
    <fill>
      <patternFill patternType="gray125"/>
    </fill>
    <fill>
      <patternFill patternType="solid">
        <fgColor rgb="FF79DEE3"/>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indexed="22"/>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rgb="FFFFFF0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right/>
      <top style="thin">
        <color indexed="64"/>
      </top>
      <bottom style="double">
        <color indexed="64"/>
      </bottom>
      <diagonal/>
    </border>
    <border>
      <left style="medium">
        <color indexed="64"/>
      </left>
      <right/>
      <top style="medium">
        <color indexed="64"/>
      </top>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3">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0" fontId="3" fillId="0" borderId="0"/>
    <xf numFmtId="0" fontId="17" fillId="0" borderId="0">
      <alignment horizontal="left" vertical="center" wrapText="1"/>
    </xf>
    <xf numFmtId="3" fontId="3" fillId="0" borderId="0">
      <alignment horizontal="left" vertical="top" wrapText="1"/>
    </xf>
    <xf numFmtId="9" fontId="17" fillId="0" borderId="0" applyFont="0" applyFill="0" applyBorder="0" applyAlignment="0" applyProtection="0"/>
  </cellStyleXfs>
  <cellXfs count="150">
    <xf numFmtId="0" fontId="0" fillId="0" borderId="0" xfId="0"/>
    <xf numFmtId="0" fontId="0" fillId="0" borderId="8" xfId="0" applyBorder="1"/>
    <xf numFmtId="44" fontId="0" fillId="0" borderId="0" xfId="2" applyFont="1" applyFill="1" applyBorder="1"/>
    <xf numFmtId="9" fontId="0" fillId="0" borderId="0" xfId="3" applyFont="1" applyFill="1" applyBorder="1"/>
    <xf numFmtId="0" fontId="0" fillId="0" borderId="6" xfId="0" applyBorder="1"/>
    <xf numFmtId="0" fontId="2" fillId="0" borderId="10" xfId="0" applyFont="1" applyBorder="1"/>
    <xf numFmtId="10" fontId="0" fillId="0" borderId="0" xfId="3" applyNumberFormat="1" applyFont="1"/>
    <xf numFmtId="44" fontId="0" fillId="0" borderId="0" xfId="0" applyNumberFormat="1"/>
    <xf numFmtId="44" fontId="0" fillId="0" borderId="0" xfId="2" applyFont="1"/>
    <xf numFmtId="0" fontId="0" fillId="0" borderId="0" xfId="0" applyAlignment="1">
      <alignment horizontal="center"/>
    </xf>
    <xf numFmtId="0" fontId="5" fillId="0" borderId="11" xfId="0" applyFont="1" applyBorder="1"/>
    <xf numFmtId="44" fontId="5" fillId="0" borderId="11" xfId="0" applyNumberFormat="1" applyFont="1" applyBorder="1"/>
    <xf numFmtId="0" fontId="1" fillId="0" borderId="0" xfId="5"/>
    <xf numFmtId="0" fontId="6" fillId="0" borderId="0" xfId="5" applyFont="1" applyAlignment="1">
      <alignment horizontal="center"/>
    </xf>
    <xf numFmtId="0" fontId="1" fillId="0" borderId="0" xfId="5" applyAlignment="1">
      <alignment wrapText="1"/>
    </xf>
    <xf numFmtId="8" fontId="1" fillId="0" borderId="0" xfId="5" applyNumberFormat="1"/>
    <xf numFmtId="0" fontId="7" fillId="0" borderId="0" xfId="5" applyFont="1"/>
    <xf numFmtId="17" fontId="8" fillId="0" borderId="0" xfId="5" applyNumberFormat="1" applyFont="1" applyAlignment="1">
      <alignment horizontal="center"/>
    </xf>
    <xf numFmtId="166" fontId="2" fillId="0" borderId="0" xfId="5" applyNumberFormat="1" applyFont="1" applyAlignment="1">
      <alignment horizontal="left" vertical="top"/>
    </xf>
    <xf numFmtId="0" fontId="2" fillId="0" borderId="0" xfId="5" applyFont="1" applyAlignment="1">
      <alignment horizontal="center"/>
    </xf>
    <xf numFmtId="0" fontId="2" fillId="0" borderId="0" xfId="5" applyFont="1"/>
    <xf numFmtId="9" fontId="2" fillId="0" borderId="0" xfId="5" applyNumberFormat="1" applyFont="1" applyAlignment="1">
      <alignment horizontal="center" wrapText="1"/>
    </xf>
    <xf numFmtId="0" fontId="2" fillId="0" borderId="0" xfId="5" applyFont="1" applyAlignment="1">
      <alignment horizontal="left" wrapText="1"/>
    </xf>
    <xf numFmtId="8" fontId="1" fillId="0" borderId="0" xfId="5" applyNumberFormat="1" applyAlignment="1">
      <alignment horizontal="right"/>
    </xf>
    <xf numFmtId="0" fontId="5" fillId="0" borderId="12" xfId="5" applyFont="1" applyBorder="1"/>
    <xf numFmtId="167" fontId="1" fillId="0" borderId="13" xfId="5" applyNumberFormat="1" applyBorder="1" applyAlignment="1">
      <alignment horizontal="center"/>
    </xf>
    <xf numFmtId="0" fontId="1" fillId="0" borderId="14" xfId="5" applyBorder="1"/>
    <xf numFmtId="44" fontId="1" fillId="4" borderId="13" xfId="6" applyFont="1" applyFill="1" applyBorder="1" applyAlignment="1">
      <alignment horizontal="center"/>
    </xf>
    <xf numFmtId="8" fontId="1" fillId="0" borderId="15" xfId="5" applyNumberFormat="1" applyBorder="1"/>
    <xf numFmtId="10" fontId="1" fillId="0" borderId="0" xfId="7" applyNumberFormat="1" applyFont="1"/>
    <xf numFmtId="0" fontId="5" fillId="0" borderId="16" xfId="5" applyFont="1" applyBorder="1"/>
    <xf numFmtId="168" fontId="1" fillId="0" borderId="17" xfId="5" applyNumberFormat="1" applyBorder="1" applyAlignment="1">
      <alignment horizontal="center"/>
    </xf>
    <xf numFmtId="0" fontId="1" fillId="0" borderId="17" xfId="5" applyBorder="1"/>
    <xf numFmtId="6" fontId="1" fillId="0" borderId="15" xfId="5" applyNumberFormat="1" applyBorder="1"/>
    <xf numFmtId="0" fontId="1" fillId="0" borderId="12" xfId="5" applyBorder="1"/>
    <xf numFmtId="0" fontId="1" fillId="0" borderId="19" xfId="5" applyBorder="1"/>
    <xf numFmtId="168" fontId="1" fillId="0" borderId="0" xfId="5" applyNumberFormat="1" applyAlignment="1">
      <alignment horizontal="center"/>
    </xf>
    <xf numFmtId="0" fontId="1" fillId="0" borderId="16" xfId="5" applyBorder="1"/>
    <xf numFmtId="0" fontId="1" fillId="0" borderId="12" xfId="5" applyBorder="1" applyAlignment="1">
      <alignment wrapText="1"/>
    </xf>
    <xf numFmtId="0" fontId="1" fillId="0" borderId="16" xfId="5" applyBorder="1" applyAlignment="1">
      <alignment wrapText="1"/>
    </xf>
    <xf numFmtId="167" fontId="1" fillId="0" borderId="14" xfId="5" applyNumberFormat="1" applyBorder="1" applyAlignment="1">
      <alignment horizontal="center"/>
    </xf>
    <xf numFmtId="167" fontId="1" fillId="0" borderId="0" xfId="5" applyNumberFormat="1" applyAlignment="1">
      <alignment horizontal="center"/>
    </xf>
    <xf numFmtId="0" fontId="5" fillId="0" borderId="19" xfId="5" applyFont="1" applyBorder="1"/>
    <xf numFmtId="10" fontId="8" fillId="0" borderId="0" xfId="5" applyNumberFormat="1" applyFont="1"/>
    <xf numFmtId="0" fontId="9" fillId="0" borderId="0" xfId="5" applyFont="1" applyAlignment="1">
      <alignment horizontal="right" wrapText="1"/>
    </xf>
    <xf numFmtId="0" fontId="1" fillId="0" borderId="0" xfId="5" applyAlignment="1">
      <alignment horizontal="center"/>
    </xf>
    <xf numFmtId="0" fontId="1" fillId="0" borderId="0" xfId="5" applyAlignment="1">
      <alignment horizontal="right"/>
    </xf>
    <xf numFmtId="10" fontId="1" fillId="0" borderId="0" xfId="7" applyNumberFormat="1" applyFont="1" applyAlignment="1">
      <alignment horizontal="center"/>
    </xf>
    <xf numFmtId="10" fontId="1" fillId="0" borderId="0" xfId="5" applyNumberFormat="1"/>
    <xf numFmtId="10" fontId="1" fillId="0" borderId="0" xfId="8" applyNumberFormat="1" applyFont="1"/>
    <xf numFmtId="9" fontId="1" fillId="0" borderId="0" xfId="7" applyFont="1" applyAlignment="1">
      <alignment horizontal="center"/>
    </xf>
    <xf numFmtId="9" fontId="1" fillId="0" borderId="0" xfId="5" applyNumberFormat="1"/>
    <xf numFmtId="9" fontId="1" fillId="0" borderId="0" xfId="7" applyFont="1"/>
    <xf numFmtId="0" fontId="5" fillId="0" borderId="0" xfId="5" applyFont="1" applyAlignment="1">
      <alignment horizontal="right"/>
    </xf>
    <xf numFmtId="168" fontId="1" fillId="0" borderId="0" xfId="5" applyNumberFormat="1"/>
    <xf numFmtId="6" fontId="1" fillId="0" borderId="0" xfId="5" applyNumberFormat="1" applyAlignment="1">
      <alignment horizontal="center"/>
    </xf>
    <xf numFmtId="0" fontId="2" fillId="0" borderId="0" xfId="5" applyFont="1" applyAlignment="1">
      <alignment horizontal="right"/>
    </xf>
    <xf numFmtId="0" fontId="2" fillId="0" borderId="0" xfId="5" applyFont="1" applyAlignment="1">
      <alignment horizontal="right" vertical="top"/>
    </xf>
    <xf numFmtId="0" fontId="7" fillId="0" borderId="0" xfId="5" applyFont="1" applyAlignment="1">
      <alignment wrapText="1"/>
    </xf>
    <xf numFmtId="8" fontId="7" fillId="0" borderId="0" xfId="5" applyNumberFormat="1" applyFont="1"/>
    <xf numFmtId="0" fontId="3" fillId="0" borderId="0" xfId="9"/>
    <xf numFmtId="0" fontId="14" fillId="5" borderId="0" xfId="9" applyFont="1" applyFill="1"/>
    <xf numFmtId="0" fontId="15" fillId="5" borderId="20" xfId="9" applyFont="1" applyFill="1" applyBorder="1"/>
    <xf numFmtId="0" fontId="16" fillId="5" borderId="17" xfId="9" applyFont="1" applyFill="1" applyBorder="1"/>
    <xf numFmtId="0" fontId="15" fillId="5" borderId="18" xfId="9" applyFont="1" applyFill="1" applyBorder="1"/>
    <xf numFmtId="0" fontId="15" fillId="0" borderId="0" xfId="9" applyFont="1"/>
    <xf numFmtId="0" fontId="3" fillId="6" borderId="0" xfId="9" applyFill="1"/>
    <xf numFmtId="0" fontId="3" fillId="7" borderId="0" xfId="9" applyFill="1"/>
    <xf numFmtId="0" fontId="3" fillId="8" borderId="0" xfId="9" applyFill="1"/>
    <xf numFmtId="0" fontId="3" fillId="9" borderId="0" xfId="9" applyFill="1"/>
    <xf numFmtId="14" fontId="15" fillId="0" borderId="0" xfId="9" applyNumberFormat="1" applyFont="1"/>
    <xf numFmtId="169" fontId="3" fillId="0" borderId="0" xfId="9" applyNumberFormat="1"/>
    <xf numFmtId="2" fontId="3" fillId="0" borderId="0" xfId="9" applyNumberFormat="1"/>
    <xf numFmtId="0" fontId="15" fillId="0" borderId="0" xfId="10" applyFont="1" applyAlignment="1"/>
    <xf numFmtId="0" fontId="17" fillId="0" borderId="0" xfId="10" applyAlignment="1"/>
    <xf numFmtId="0" fontId="18" fillId="0" borderId="0" xfId="10" applyFont="1" applyAlignment="1"/>
    <xf numFmtId="0" fontId="19" fillId="0" borderId="0" xfId="10" applyFont="1" applyAlignment="1"/>
    <xf numFmtId="0" fontId="17" fillId="0" borderId="21" xfId="10" applyBorder="1" applyAlignment="1"/>
    <xf numFmtId="0" fontId="17" fillId="0" borderId="22" xfId="10" applyBorder="1" applyAlignment="1"/>
    <xf numFmtId="0" fontId="17" fillId="0" borderId="23" xfId="10" applyBorder="1" applyAlignment="1"/>
    <xf numFmtId="0" fontId="17" fillId="0" borderId="4" xfId="10" applyBorder="1" applyAlignment="1"/>
    <xf numFmtId="0" fontId="17" fillId="0" borderId="0" xfId="10" applyAlignment="1">
      <alignment horizontal="right"/>
    </xf>
    <xf numFmtId="0" fontId="15" fillId="0" borderId="0" xfId="10" applyFont="1" applyAlignment="1">
      <alignment horizontal="center"/>
    </xf>
    <xf numFmtId="0" fontId="17" fillId="0" borderId="5" xfId="10" applyBorder="1" applyAlignment="1"/>
    <xf numFmtId="3" fontId="15" fillId="0" borderId="0" xfId="11" applyFont="1" applyAlignment="1"/>
    <xf numFmtId="0" fontId="20" fillId="0" borderId="5" xfId="10" applyFont="1" applyBorder="1" applyAlignment="1">
      <alignment horizontal="center"/>
    </xf>
    <xf numFmtId="169" fontId="3" fillId="0" borderId="0" xfId="11" applyNumberFormat="1" applyAlignment="1"/>
    <xf numFmtId="169" fontId="17" fillId="0" borderId="5" xfId="10" applyNumberFormat="1" applyBorder="1" applyAlignment="1">
      <alignment horizontal="center"/>
    </xf>
    <xf numFmtId="0" fontId="17" fillId="0" borderId="5" xfId="10" applyBorder="1" applyAlignment="1">
      <alignment horizontal="center"/>
    </xf>
    <xf numFmtId="0" fontId="17" fillId="0" borderId="4" xfId="10" applyBorder="1" applyAlignment="1">
      <alignment horizontal="right"/>
    </xf>
    <xf numFmtId="0" fontId="15" fillId="10" borderId="0" xfId="10" applyFont="1" applyFill="1" applyAlignment="1">
      <alignment horizontal="right"/>
    </xf>
    <xf numFmtId="10" fontId="15" fillId="10" borderId="5" xfId="12" applyNumberFormat="1" applyFont="1" applyFill="1" applyBorder="1" applyAlignment="1">
      <alignment horizontal="center"/>
    </xf>
    <xf numFmtId="0" fontId="17" fillId="0" borderId="7" xfId="10" applyBorder="1" applyAlignment="1"/>
    <xf numFmtId="0" fontId="17" fillId="0" borderId="8" xfId="10" applyBorder="1" applyAlignment="1"/>
    <xf numFmtId="0" fontId="17" fillId="0" borderId="9" xfId="10" applyBorder="1" applyAlignment="1"/>
    <xf numFmtId="0" fontId="0" fillId="0" borderId="19" xfId="0" applyBorder="1"/>
    <xf numFmtId="165" fontId="0" fillId="0" borderId="20" xfId="1" applyNumberFormat="1" applyFont="1" applyBorder="1"/>
    <xf numFmtId="0" fontId="0" fillId="0" borderId="20" xfId="0" applyBorder="1"/>
    <xf numFmtId="2" fontId="0" fillId="0" borderId="0" xfId="0" applyNumberFormat="1"/>
    <xf numFmtId="44" fontId="0" fillId="0" borderId="20" xfId="0" applyNumberFormat="1" applyBorder="1"/>
    <xf numFmtId="0" fontId="0" fillId="0" borderId="26" xfId="0" applyBorder="1"/>
    <xf numFmtId="44" fontId="0" fillId="0" borderId="27" xfId="0" applyNumberFormat="1" applyBorder="1"/>
    <xf numFmtId="0" fontId="5" fillId="0" borderId="24" xfId="0" applyFont="1" applyBorder="1"/>
    <xf numFmtId="44" fontId="5" fillId="0" borderId="25" xfId="0" applyNumberFormat="1" applyFont="1" applyBorder="1"/>
    <xf numFmtId="44" fontId="0" fillId="0" borderId="20" xfId="2" applyFont="1" applyBorder="1"/>
    <xf numFmtId="44" fontId="0" fillId="0" borderId="20" xfId="2" applyFont="1" applyFill="1" applyBorder="1"/>
    <xf numFmtId="0" fontId="2" fillId="0" borderId="28" xfId="0" applyFont="1" applyBorder="1"/>
    <xf numFmtId="44" fontId="2" fillId="0" borderId="29" xfId="0" applyNumberFormat="1" applyFont="1" applyBorder="1"/>
    <xf numFmtId="10" fontId="0" fillId="0" borderId="0" xfId="3" applyNumberFormat="1" applyFont="1" applyFill="1" applyBorder="1"/>
    <xf numFmtId="0" fontId="5" fillId="3" borderId="28" xfId="0" applyFont="1" applyFill="1" applyBorder="1"/>
    <xf numFmtId="0" fontId="5" fillId="3" borderId="10" xfId="0" applyFont="1" applyFill="1" applyBorder="1"/>
    <xf numFmtId="44" fontId="5" fillId="3" borderId="29" xfId="0" applyNumberFormat="1" applyFont="1" applyFill="1" applyBorder="1"/>
    <xf numFmtId="0" fontId="2" fillId="0" borderId="24" xfId="0" applyFont="1" applyBorder="1"/>
    <xf numFmtId="0" fontId="2" fillId="0" borderId="6" xfId="0" applyFont="1" applyBorder="1"/>
    <xf numFmtId="2" fontId="2" fillId="0" borderId="6" xfId="0" applyNumberFormat="1" applyFont="1" applyBorder="1"/>
    <xf numFmtId="44" fontId="2" fillId="0" borderId="25" xfId="0" applyNumberFormat="1" applyFont="1" applyBorder="1"/>
    <xf numFmtId="0" fontId="5" fillId="0" borderId="26" xfId="0" applyFont="1" applyBorder="1"/>
    <xf numFmtId="0" fontId="5" fillId="0" borderId="8" xfId="0" applyFont="1" applyBorder="1"/>
    <xf numFmtId="2" fontId="5" fillId="0" borderId="8" xfId="0" applyNumberFormat="1" applyFont="1" applyBorder="1"/>
    <xf numFmtId="44" fontId="5" fillId="0" borderId="27" xfId="0" applyNumberFormat="1" applyFont="1" applyBorder="1"/>
    <xf numFmtId="10" fontId="0" fillId="0" borderId="8" xfId="3" applyNumberFormat="1" applyFont="1" applyFill="1" applyBorder="1"/>
    <xf numFmtId="0" fontId="5" fillId="0" borderId="6" xfId="0" applyFont="1" applyBorder="1"/>
    <xf numFmtId="0" fontId="5" fillId="0" borderId="19" xfId="0" applyFont="1" applyBorder="1"/>
    <xf numFmtId="0" fontId="5" fillId="0" borderId="0" xfId="0" applyFont="1"/>
    <xf numFmtId="44" fontId="5" fillId="0" borderId="20" xfId="0" applyNumberFormat="1" applyFont="1" applyBorder="1"/>
    <xf numFmtId="9" fontId="0" fillId="0" borderId="0" xfId="0" applyNumberFormat="1"/>
    <xf numFmtId="170" fontId="0" fillId="0" borderId="0" xfId="2" applyNumberFormat="1" applyFont="1" applyBorder="1"/>
    <xf numFmtId="170" fontId="0" fillId="0" borderId="0" xfId="2" applyNumberFormat="1" applyFont="1" applyFill="1" applyBorder="1"/>
    <xf numFmtId="0" fontId="13" fillId="5" borderId="14" xfId="9" applyFont="1" applyFill="1" applyBorder="1" applyAlignment="1">
      <alignment horizontal="left"/>
    </xf>
    <xf numFmtId="0" fontId="13" fillId="5" borderId="15" xfId="9" applyFont="1" applyFill="1" applyBorder="1" applyAlignment="1">
      <alignment horizontal="left"/>
    </xf>
    <xf numFmtId="0" fontId="17" fillId="0" borderId="4" xfId="10" applyBorder="1" applyAlignment="1">
      <alignment horizontal="right"/>
    </xf>
    <xf numFmtId="0" fontId="17" fillId="0" borderId="0" xfId="10" applyAlignment="1">
      <alignment horizontal="right"/>
    </xf>
    <xf numFmtId="0" fontId="1" fillId="0" borderId="15" xfId="5" applyBorder="1" applyAlignment="1">
      <alignment horizontal="left" vertical="center" wrapText="1"/>
    </xf>
    <xf numFmtId="0" fontId="1" fillId="0" borderId="18" xfId="5" applyBorder="1" applyAlignment="1">
      <alignment horizontal="left" vertical="center" wrapText="1"/>
    </xf>
    <xf numFmtId="0" fontId="1" fillId="0" borderId="14" xfId="5" applyBorder="1" applyAlignment="1">
      <alignment horizontal="left" vertical="top" wrapText="1"/>
    </xf>
    <xf numFmtId="0" fontId="1" fillId="0" borderId="17" xfId="5" applyBorder="1" applyAlignment="1">
      <alignment horizontal="left" vertical="top" wrapText="1"/>
    </xf>
    <xf numFmtId="0" fontId="1" fillId="0" borderId="20" xfId="5" applyBorder="1" applyAlignment="1">
      <alignment horizontal="left" vertical="center" wrapText="1"/>
    </xf>
    <xf numFmtId="49" fontId="1" fillId="0" borderId="15" xfId="5" applyNumberFormat="1" applyBorder="1" applyAlignment="1">
      <alignment horizontal="left" vertical="center" wrapText="1"/>
    </xf>
    <xf numFmtId="49" fontId="1" fillId="0" borderId="18" xfId="5" applyNumberFormat="1" applyBorder="1" applyAlignment="1">
      <alignment horizontal="left" vertical="center" wrapText="1"/>
    </xf>
    <xf numFmtId="0" fontId="1" fillId="0" borderId="14" xfId="5" applyBorder="1" applyAlignment="1">
      <alignment vertical="top" wrapText="1"/>
    </xf>
    <xf numFmtId="0" fontId="1" fillId="0" borderId="17" xfId="5" applyBorder="1" applyAlignment="1">
      <alignment vertical="top" wrapText="1"/>
    </xf>
    <xf numFmtId="0" fontId="1" fillId="0" borderId="0" xfId="5" applyAlignment="1">
      <alignment horizontal="left" vertical="top" wrapText="1"/>
    </xf>
    <xf numFmtId="0" fontId="1" fillId="0" borderId="0" xfId="5" applyAlignment="1">
      <alignment horizontal="center"/>
    </xf>
    <xf numFmtId="0" fontId="8" fillId="0" borderId="0" xfId="5" applyFont="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164" fontId="4" fillId="2" borderId="1" xfId="4" applyNumberFormat="1" applyFont="1" applyFill="1" applyBorder="1" applyAlignment="1">
      <alignment horizontal="center" vertical="center"/>
    </xf>
    <xf numFmtId="164" fontId="4" fillId="2" borderId="2" xfId="4" applyNumberFormat="1" applyFont="1" applyFill="1" applyBorder="1" applyAlignment="1">
      <alignment horizontal="center" vertical="center"/>
    </xf>
    <xf numFmtId="164" fontId="4" fillId="2" borderId="3" xfId="4" applyNumberFormat="1" applyFont="1" applyFill="1" applyBorder="1" applyAlignment="1">
      <alignment horizontal="center" vertical="center"/>
    </xf>
  </cellXfs>
  <cellStyles count="13">
    <cellStyle name="Comma" xfId="1" builtinId="3"/>
    <cellStyle name="Currency" xfId="2" builtinId="4"/>
    <cellStyle name="Currency 2 2 2" xfId="6" xr:uid="{3E5F6F9B-DE12-4CA4-8A5B-80D97B4A1C6C}"/>
    <cellStyle name="Normal" xfId="0" builtinId="0"/>
    <cellStyle name="Normal 10 3 3" xfId="9" xr:uid="{68064853-43CD-4AAD-BBC7-FAC699D9CB8E}"/>
    <cellStyle name="Normal 2 2 2" xfId="4" xr:uid="{1EF64F29-FED4-4493-B6EB-CCA1129F28B7}"/>
    <cellStyle name="Normal 2 2 4" xfId="11" xr:uid="{275CC955-AEC2-406E-8E32-E2A707B94FD7}"/>
    <cellStyle name="Normal 4 5 6" xfId="10" xr:uid="{3E75B4E8-ECAD-42A4-8ADC-8EB64985C562}"/>
    <cellStyle name="Normal 5 2 2" xfId="5" xr:uid="{110C637F-9F80-4748-9C05-8CD462608CC4}"/>
    <cellStyle name="Percent" xfId="3" builtinId="5"/>
    <cellStyle name="Percent 10 2" xfId="7" xr:uid="{3E535565-31F3-4155-AA5A-3E9248BB1109}"/>
    <cellStyle name="Percent 2 7" xfId="12" xr:uid="{BB2B5B5A-A951-496C-8D93-366A59226951}"/>
    <cellStyle name="Percent 3" xfId="8" xr:uid="{374774CB-F876-4699-8AAB-BD5551E217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ADeeker\Local%20Settings\Temporary%20Internet%20Files\Content.Outlook\76FJ858H\YITS_DPH_Yr%203%20review_FY2010-2011_General%20Analysis.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HNaciri\Downloads\Resi%20Rehab%203386&amp;3401%20122613%20330pm.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W_Pricing\SubAbuse\2013\Resi%20Rehab\Data\Resi%20Rehab%20_All%20Codes%20Analysis.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X:\E\X\Data%20&amp;%20Reporting%20Tools\STARR%20Utilization\STARR%20Utilization%20Tool%20FY10%20Jun"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https://massgov-my.sharepoint.com/personal/mayeli_a_rohmann_mass_gov/Documents/Desktop/C257%20M2023%20BLS.xlsx" TargetMode="External"/><Relationship Id="rId1" Type="http://schemas.openxmlformats.org/officeDocument/2006/relationships/externalLinkPath" Target="/personal/mayeli_a_rohmann_mass_gov/Documents/Desktop/C257%20M2023%20BL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15%20_CBDS%20-%20Adult%20Community%20Based%20Supports\2025%20Rate%20Review%20(FY26)\1.%20Strategy%20Materials\Combined%20FY26%20CBDS%20and%20SE%20Upated%203.5.25.xlsx" TargetMode="External"/><Relationship Id="rId1" Type="http://schemas.openxmlformats.org/officeDocument/2006/relationships/externalLinkPath" Target="file:///X:\Administrative%20Services-POS%20Policy%20Office\Rate%20Setting\Rate%20Projects\CMR%20415%20_CBDS%20-%20Adult%20Community%20Based%20Supports\2025%20Rate%20Review%20(FY26)\1.%20Strategy%20Materials\Combined%20FY26%20CBDS%20and%20SE%20Upated%203.5.2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EHS.govt.state.ma.us\DFS\DDS\Boston_500_Harrison_ave\group\OMF\CONTRACT\Reports\Attendance%20Summaries\Monthly%20Attendance%20Summary%20(Bob%20report)%20FY23%202023_07_06.xlsm" TargetMode="External"/><Relationship Id="rId1" Type="http://schemas.openxmlformats.org/officeDocument/2006/relationships/externalLinkPath" Target="file:///\\EHS.govt.state.ma.us\DFS\DDS\Boston_500_Harrison_ave\group\OMF\CONTRACT\Reports\Attendance%20Summaries\Monthly%20Attendance%20Summary%20(Bob%20report)%20FY23%202023_07_0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HS.govt.state.ma.us\DFS\DDS\Boston_500_Harrison_ave\group\OMF\CONTRACT\Reports\Attendance%20Summaries\Monthly%20Attendance%20Summary%20(Bob%20report)%20FY22%202022_09_15.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Villacorta\Downloads\FINAL%20ANALYSIS%20Counseling%20Rate%20Options%2007191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cf06\workgroups\W_Pricing\SubAbuse\2012\Data\Outpatient%20Counseling%20&amp;%20Other%20Related\Counseling%20Rate%20Options%20MARCH%2018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sheetData sheetId="7">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sheetData sheetId="9"/>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3_dl"/>
      <sheetName val="M2023 BLS SALARY CHART (53rd)"/>
      <sheetName val="M2023 BLS SALARY CHART (63rd)"/>
      <sheetName val="M2023 BLS SALARY CHART (75th)"/>
      <sheetName val="DC  CNA  DC III"/>
      <sheetName val="Case Social Worker.Manager"/>
      <sheetName val="Clinical"/>
      <sheetName val="Nursing"/>
      <sheetName val="Management"/>
      <sheetName val="Therapies"/>
      <sheetName val="Sheet1"/>
      <sheetName val="Field Descriptions"/>
      <sheetName val="UpdateTime"/>
      <sheetName val="Filler"/>
    </sheetNames>
    <sheetDataSet>
      <sheetData sheetId="0">
        <row r="180">
          <cell r="O180">
            <v>62.031199999999998</v>
          </cell>
        </row>
        <row r="409">
          <cell r="O409">
            <v>21.561199999999999</v>
          </cell>
        </row>
        <row r="609">
          <cell r="O609">
            <v>24.7028</v>
          </cell>
        </row>
      </sheetData>
      <sheetData sheetId="1"/>
      <sheetData sheetId="2"/>
      <sheetData sheetId="3"/>
      <sheetData sheetId="4">
        <row r="8">
          <cell r="I8">
            <v>20.792100000000001</v>
          </cell>
        </row>
        <row r="13">
          <cell r="I13">
            <v>21.417999999999999</v>
          </cell>
          <cell r="J13">
            <v>44549.439999999995</v>
          </cell>
        </row>
        <row r="21">
          <cell r="I21">
            <v>27.027519999999999</v>
          </cell>
        </row>
      </sheetData>
      <sheetData sheetId="5">
        <row r="6">
          <cell r="J6">
            <v>30.979999999999997</v>
          </cell>
        </row>
        <row r="13">
          <cell r="J13">
            <v>33.755499999999998</v>
          </cell>
        </row>
      </sheetData>
      <sheetData sheetId="6">
        <row r="8">
          <cell r="J8">
            <v>40.211399999999998</v>
          </cell>
        </row>
        <row r="14">
          <cell r="J14">
            <v>48.945399999999999</v>
          </cell>
        </row>
      </sheetData>
      <sheetData sheetId="7">
        <row r="4">
          <cell r="J4">
            <v>35.506799999999998</v>
          </cell>
        </row>
        <row r="8">
          <cell r="J8">
            <v>49.818400000000004</v>
          </cell>
        </row>
        <row r="13">
          <cell r="J13">
            <v>67.710800000000006</v>
          </cell>
        </row>
      </sheetData>
      <sheetData sheetId="8">
        <row r="4">
          <cell r="J4">
            <v>38.860399999999998</v>
          </cell>
        </row>
      </sheetData>
      <sheetData sheetId="9">
        <row r="5">
          <cell r="I5">
            <v>36.818800000000003</v>
          </cell>
        </row>
        <row r="11">
          <cell r="I11">
            <v>39.750500000000002</v>
          </cell>
        </row>
        <row r="17">
          <cell r="I17">
            <v>42.784640000000003</v>
          </cell>
        </row>
        <row r="21">
          <cell r="I21">
            <v>44.301760000000002</v>
          </cell>
        </row>
      </sheetData>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3163 BTL FY23"/>
      <sheetName val="2253 BTL FY23"/>
      <sheetName val="2251 BTL FY23"/>
      <sheetName val="3181 BTL FY23"/>
      <sheetName val="3181 3168 BTL UFR FY23 OG"/>
      <sheetName val="3181 3168 BTL UFR FY23"/>
      <sheetName val="FY19 CBDS UFR Units"/>
      <sheetName val="NOTES"/>
      <sheetName val="Fiscal impact (2)"/>
      <sheetName val="MCB Spend"/>
      <sheetName val="MBY Spend"/>
      <sheetName val="DDS Fiscal impact "/>
      <sheetName val="DDS FY25 units"/>
      <sheetName val="DDS Attendance code &amp; Level l"/>
      <sheetName val="CAF Fall 2024"/>
      <sheetName val="M2023 BLS Chart"/>
      <sheetName val="Fiscal impact"/>
      <sheetName val="MBY Fiscal"/>
      <sheetName val="MCB Fiscal"/>
      <sheetName val="Master Lookup"/>
      <sheetName val="FY24 CBDS Models (FOIA)"/>
      <sheetName val="FY24 BTL"/>
      <sheetName val="Rate lookups"/>
      <sheetName val="CBDS Models-3163"/>
      <sheetName val="FY24 SE Models (FOIA)"/>
      <sheetName val="Indiv SE Models-3168"/>
      <sheetName val="Group SE Models-3181"/>
      <sheetName val="FY24 Active Treatment (FOIA)"/>
      <sheetName val="Active Treatment Models-3777"/>
      <sheetName val="Add on Rates"/>
      <sheetName val=" Travel Model"/>
      <sheetName val="Transportation"/>
      <sheetName val="Training Add-On"/>
      <sheetName val="Salaries - benchmark"/>
      <sheetName val="FY23 UFR BTL"/>
      <sheetName val="3168 BTL FY23"/>
      <sheetName val="3168 3181 UFR FY23"/>
      <sheetName val="FY23 CBDS UFR Units"/>
      <sheetName val="3777 BTL FY23"/>
      <sheetName val="2144 BTL FY23"/>
      <sheetName val="M2021 BLS SALARY CHART (53_PCT)"/>
      <sheetName val="FY22 units"/>
      <sheetName val="FY23 units"/>
      <sheetName val="Attendance code and Level look"/>
      <sheetName val="Regional Office lookup"/>
      <sheetName val="FY21-FY22 Reg Flow Chart 8.5.21"/>
      <sheetName val="CBDS &amp; SE Rate Inc FY21-FY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5">
          <cell r="A5" t="str">
            <v>Management</v>
          </cell>
          <cell r="D5">
            <v>1.65</v>
          </cell>
          <cell r="E5">
            <v>1</v>
          </cell>
          <cell r="F5">
            <v>0.8</v>
          </cell>
          <cell r="G5">
            <v>0.5</v>
          </cell>
          <cell r="H5">
            <v>1</v>
          </cell>
          <cell r="I5">
            <v>1</v>
          </cell>
        </row>
        <row r="6">
          <cell r="A6" t="str">
            <v>Direct Care</v>
          </cell>
          <cell r="D6">
            <v>15.071</v>
          </cell>
          <cell r="E6">
            <v>7.56</v>
          </cell>
          <cell r="F6">
            <v>4.6129999999999995</v>
          </cell>
          <cell r="G6">
            <v>3.6259999999999994</v>
          </cell>
          <cell r="H6">
            <v>4.7249999999999996</v>
          </cell>
          <cell r="I6">
            <v>1.9769999999999999</v>
          </cell>
        </row>
        <row r="7">
          <cell r="A7" t="str">
            <v>Clinical (MA Level)</v>
          </cell>
          <cell r="D7">
            <v>0</v>
          </cell>
          <cell r="E7">
            <v>0</v>
          </cell>
          <cell r="F7">
            <v>0</v>
          </cell>
          <cell r="G7">
            <v>0</v>
          </cell>
          <cell r="H7">
            <v>5.2</v>
          </cell>
          <cell r="I7">
            <v>0</v>
          </cell>
        </row>
        <row r="8">
          <cell r="A8" t="str">
            <v>Support Staff</v>
          </cell>
          <cell r="D8">
            <v>1</v>
          </cell>
          <cell r="E8">
            <v>0.5</v>
          </cell>
          <cell r="F8">
            <v>0.5</v>
          </cell>
          <cell r="G8">
            <v>0.5</v>
          </cell>
          <cell r="H8">
            <v>1</v>
          </cell>
          <cell r="I8">
            <v>0.5</v>
          </cell>
        </row>
        <row r="9">
          <cell r="A9" t="str">
            <v>Direct Care III</v>
          </cell>
          <cell r="D9">
            <v>6.4590000000000014</v>
          </cell>
          <cell r="E9">
            <v>3.2400000000000011</v>
          </cell>
          <cell r="F9">
            <v>1.9770000000000003</v>
          </cell>
          <cell r="G9">
            <v>1.7540000000000002</v>
          </cell>
          <cell r="H9">
            <v>2.0250000000000004</v>
          </cell>
          <cell r="I9">
            <v>4.6129999999999995</v>
          </cell>
        </row>
        <row r="10">
          <cell r="A10" t="str">
            <v>Community Connector</v>
          </cell>
          <cell r="D10">
            <v>0.2</v>
          </cell>
          <cell r="E10">
            <v>0.2</v>
          </cell>
          <cell r="F10">
            <v>0.2</v>
          </cell>
          <cell r="G10">
            <v>0.2</v>
          </cell>
          <cell r="H10">
            <v>0.2</v>
          </cell>
          <cell r="I10">
            <v>0.2</v>
          </cell>
        </row>
        <row r="17">
          <cell r="A17" t="str">
            <v>**This column shows on model**</v>
          </cell>
          <cell r="C17" t="str">
            <v>Original DC FTEs:</v>
          </cell>
          <cell r="D17">
            <v>21.53</v>
          </cell>
          <cell r="E17">
            <v>10.8</v>
          </cell>
          <cell r="F17">
            <v>6.59</v>
          </cell>
          <cell r="G17">
            <v>5.18</v>
          </cell>
          <cell r="H17">
            <v>6.75</v>
          </cell>
        </row>
        <row r="19">
          <cell r="A19" t="str">
            <v>Non-Salary expenses</v>
          </cell>
          <cell r="B19" t="str">
            <v>Amount / Percentage</v>
          </cell>
          <cell r="C19" t="str">
            <v>Amount / Percentage
W only</v>
          </cell>
          <cell r="D19" t="str">
            <v>Source</v>
          </cell>
        </row>
        <row r="20">
          <cell r="A20" t="str">
            <v>Tax &amp; Fringe</v>
          </cell>
          <cell r="B20">
            <v>0.24970000000000001</v>
          </cell>
          <cell r="C20">
            <v>0.24970000000000001</v>
          </cell>
          <cell r="D20" t="str">
            <v>FY25 Commonwealth (office of the Comptroller)</v>
          </cell>
        </row>
        <row r="21">
          <cell r="A21" t="str">
            <v>OCCUPANCY</v>
          </cell>
          <cell r="B21">
            <v>14.053378392488696</v>
          </cell>
          <cell r="C21">
            <v>3.513344598122174</v>
          </cell>
          <cell r="D21" t="str">
            <v>UFR - FY19 Wt. AVG per unit+ CAFs</v>
          </cell>
        </row>
        <row r="22">
          <cell r="A22" t="str">
            <v>STAFF TRAINING</v>
          </cell>
          <cell r="B22">
            <v>0.66072217748345474</v>
          </cell>
          <cell r="C22">
            <v>0.66072217748345474</v>
          </cell>
          <cell r="D22" t="str">
            <v>UFR - FY19 Wt. AVG per unit+ CAFs</v>
          </cell>
        </row>
        <row r="23">
          <cell r="A23" t="str">
            <v>STAFF MILEAGE</v>
          </cell>
          <cell r="B23">
            <v>1.2493975656549228</v>
          </cell>
          <cell r="C23">
            <v>1.2493975656549228</v>
          </cell>
          <cell r="D23" t="str">
            <v>UFR - FY19 Wt. AVG per unit+ CAFs</v>
          </cell>
        </row>
        <row r="24">
          <cell r="A24" t="str">
            <v>SUP &amp; MAT</v>
          </cell>
          <cell r="B24">
            <v>8.4860695421832872</v>
          </cell>
          <cell r="C24">
            <v>8.4860695421832872</v>
          </cell>
          <cell r="D24" t="str">
            <v>UFR - FY19 Wt. AVG per unit+ CAFs</v>
          </cell>
        </row>
        <row r="25">
          <cell r="A25" t="str">
            <v>Community Activities</v>
          </cell>
          <cell r="B25">
            <v>2.0708114400000004</v>
          </cell>
          <cell r="C25">
            <v>3.0708114400000004</v>
          </cell>
          <cell r="D25" t="str">
            <v>UFR - FY19 Wt. AVG per unit+ CAFs</v>
          </cell>
        </row>
        <row r="26">
          <cell r="C26" t="str">
            <v>A</v>
          </cell>
          <cell r="D26" t="str">
            <v>B</v>
          </cell>
          <cell r="E26" t="str">
            <v>C</v>
          </cell>
          <cell r="F26" t="str">
            <v>D</v>
          </cell>
          <cell r="G26" t="str">
            <v>I</v>
          </cell>
          <cell r="H26" t="str">
            <v>W</v>
          </cell>
        </row>
        <row r="27">
          <cell r="A27" t="str">
            <v>Technology</v>
          </cell>
          <cell r="C27">
            <v>3.90564</v>
          </cell>
          <cell r="D27">
            <v>2.46672</v>
          </cell>
          <cell r="E27">
            <v>1.8500400000000001</v>
          </cell>
          <cell r="F27">
            <v>1.6444800000000002</v>
          </cell>
          <cell r="G27">
            <v>1.8500400000000001</v>
          </cell>
          <cell r="H27">
            <v>1.8500400000000001</v>
          </cell>
        </row>
        <row r="28">
          <cell r="A28" t="str">
            <v>Transportation</v>
          </cell>
          <cell r="B28">
            <v>11.164076502068774</v>
          </cell>
          <cell r="C28">
            <v>1</v>
          </cell>
          <cell r="D28">
            <v>1</v>
          </cell>
          <cell r="E28">
            <v>0.8</v>
          </cell>
          <cell r="F28">
            <v>0.8</v>
          </cell>
          <cell r="G28">
            <v>1</v>
          </cell>
          <cell r="H28">
            <v>2.4</v>
          </cell>
        </row>
        <row r="29">
          <cell r="A29" t="str">
            <v>New Staff Trainings</v>
          </cell>
          <cell r="B29">
            <v>163.37006341463413</v>
          </cell>
          <cell r="C29">
            <v>163.37006341463413</v>
          </cell>
          <cell r="D29" t="str">
            <v>New - Department Reccomendation</v>
          </cell>
        </row>
        <row r="44">
          <cell r="B44">
            <v>5000</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Util by Contract &amp; Month"/>
      <sheetName val="Util by Claimability, Contr, Mo"/>
      <sheetName val="Util by Month &amp; Attend Code"/>
      <sheetName val="Tech Stuff"/>
    </sheetNames>
    <sheetDataSet>
      <sheetData sheetId="0" refreshError="1"/>
      <sheetData sheetId="1" refreshError="1"/>
      <sheetData sheetId="2" refreshError="1"/>
      <sheetData sheetId="3"/>
      <sheetData sheetId="4">
        <row r="4">
          <cell r="E4"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Util by Contract &amp; Month"/>
      <sheetName val="Util by Claimability, Contr, Mo"/>
      <sheetName val="Util by Month &amp; Attend Code"/>
      <sheetName val="Tech Stuff"/>
    </sheetNames>
    <sheetDataSet>
      <sheetData sheetId="0"/>
      <sheetData sheetId="1"/>
      <sheetData sheetId="2"/>
      <sheetData sheetId="3"/>
      <sheetData sheetId="4">
        <row r="4">
          <cell r="E4" t="str">
            <v xml:space="preserve">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69">
          <cell r="L69">
            <v>0</v>
          </cell>
        </row>
      </sheetData>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E6763-D0AB-4FA7-9B2C-5C062B3569D0}">
  <dimension ref="A1:DF48"/>
  <sheetViews>
    <sheetView workbookViewId="0">
      <selection activeCell="CA50" sqref="CA50"/>
    </sheetView>
  </sheetViews>
  <sheetFormatPr defaultColWidth="9.140625" defaultRowHeight="12.75" x14ac:dyDescent="0.2"/>
  <cols>
    <col min="1" max="1" width="38.42578125" style="60" customWidth="1"/>
    <col min="2" max="2" width="12.85546875" style="65" customWidth="1"/>
    <col min="3" max="78" width="7.7109375" style="60" hidden="1" customWidth="1"/>
    <col min="79" max="82" width="7.7109375" style="60" customWidth="1"/>
    <col min="83" max="97" width="9.140625" style="60"/>
    <col min="98" max="110" width="0" style="60" hidden="1" customWidth="1"/>
    <col min="111" max="16384" width="9.140625" style="60"/>
  </cols>
  <sheetData>
    <row r="1" spans="1:110" ht="18" x14ac:dyDescent="0.25">
      <c r="A1" s="128" t="s">
        <v>134</v>
      </c>
      <c r="B1" s="129"/>
    </row>
    <row r="2" spans="1:110" ht="15.75" x14ac:dyDescent="0.25">
      <c r="A2" s="61" t="s">
        <v>135</v>
      </c>
      <c r="B2" s="62"/>
    </row>
    <row r="3" spans="1:110" ht="15.75" thickBot="1" x14ac:dyDescent="0.3">
      <c r="A3" s="63" t="s">
        <v>136</v>
      </c>
      <c r="B3" s="64"/>
    </row>
    <row r="6" spans="1:110" x14ac:dyDescent="0.2">
      <c r="CC6" s="66" t="s">
        <v>137</v>
      </c>
      <c r="CD6" s="66" t="s">
        <v>137</v>
      </c>
      <c r="CE6" s="66" t="s">
        <v>137</v>
      </c>
      <c r="CF6" s="66" t="s">
        <v>137</v>
      </c>
      <c r="CG6" s="67" t="s">
        <v>138</v>
      </c>
      <c r="CH6" s="67" t="s">
        <v>138</v>
      </c>
      <c r="CI6" s="67" t="s">
        <v>138</v>
      </c>
      <c r="CJ6" s="67" t="s">
        <v>138</v>
      </c>
      <c r="CK6" s="68" t="s">
        <v>139</v>
      </c>
      <c r="CL6" s="68" t="s">
        <v>139</v>
      </c>
      <c r="CM6" s="68" t="s">
        <v>139</v>
      </c>
      <c r="CN6" s="68" t="s">
        <v>139</v>
      </c>
      <c r="CO6" s="69" t="s">
        <v>140</v>
      </c>
      <c r="CP6" s="69" t="s">
        <v>140</v>
      </c>
      <c r="CQ6" s="69" t="s">
        <v>140</v>
      </c>
      <c r="CR6" s="69" t="s">
        <v>140</v>
      </c>
    </row>
    <row r="7" spans="1:110" s="65" customFormat="1" x14ac:dyDescent="0.2">
      <c r="B7" s="65" t="s">
        <v>141</v>
      </c>
      <c r="C7" s="70" t="s">
        <v>142</v>
      </c>
      <c r="D7" s="70" t="s">
        <v>143</v>
      </c>
      <c r="E7" s="70" t="s">
        <v>144</v>
      </c>
      <c r="F7" s="70" t="s">
        <v>145</v>
      </c>
      <c r="G7" s="70" t="s">
        <v>146</v>
      </c>
      <c r="H7" s="70" t="s">
        <v>147</v>
      </c>
      <c r="I7" s="70" t="s">
        <v>148</v>
      </c>
      <c r="J7" s="70" t="s">
        <v>149</v>
      </c>
      <c r="K7" s="70" t="s">
        <v>150</v>
      </c>
      <c r="L7" s="70" t="s">
        <v>151</v>
      </c>
      <c r="M7" s="70" t="s">
        <v>152</v>
      </c>
      <c r="N7" s="70" t="s">
        <v>153</v>
      </c>
      <c r="O7" s="70" t="s">
        <v>154</v>
      </c>
      <c r="P7" s="70" t="s">
        <v>155</v>
      </c>
      <c r="Q7" s="70" t="s">
        <v>156</v>
      </c>
      <c r="R7" s="70" t="s">
        <v>157</v>
      </c>
      <c r="S7" s="70" t="s">
        <v>158</v>
      </c>
      <c r="T7" s="70" t="s">
        <v>159</v>
      </c>
      <c r="U7" s="70" t="s">
        <v>160</v>
      </c>
      <c r="V7" s="70" t="s">
        <v>161</v>
      </c>
      <c r="W7" s="70" t="s">
        <v>162</v>
      </c>
      <c r="X7" s="70" t="s">
        <v>163</v>
      </c>
      <c r="Y7" s="70" t="s">
        <v>164</v>
      </c>
      <c r="Z7" s="70" t="s">
        <v>165</v>
      </c>
      <c r="AA7" s="70" t="s">
        <v>166</v>
      </c>
      <c r="AB7" s="70" t="s">
        <v>167</v>
      </c>
      <c r="AC7" s="70" t="s">
        <v>168</v>
      </c>
      <c r="AD7" s="70" t="s">
        <v>169</v>
      </c>
      <c r="AE7" s="70" t="s">
        <v>170</v>
      </c>
      <c r="AF7" s="70" t="s">
        <v>171</v>
      </c>
      <c r="AG7" s="70" t="s">
        <v>172</v>
      </c>
      <c r="AH7" s="70" t="s">
        <v>173</v>
      </c>
      <c r="AI7" s="70" t="s">
        <v>174</v>
      </c>
      <c r="AJ7" s="70" t="s">
        <v>175</v>
      </c>
      <c r="AK7" s="70" t="s">
        <v>176</v>
      </c>
      <c r="AL7" s="70" t="s">
        <v>177</v>
      </c>
      <c r="AM7" s="70" t="s">
        <v>178</v>
      </c>
      <c r="AN7" s="70" t="s">
        <v>179</v>
      </c>
      <c r="AO7" s="70" t="s">
        <v>180</v>
      </c>
      <c r="AP7" s="70" t="s">
        <v>181</v>
      </c>
      <c r="AQ7" s="70" t="s">
        <v>182</v>
      </c>
      <c r="AR7" s="70" t="s">
        <v>183</v>
      </c>
      <c r="AS7" s="70" t="s">
        <v>184</v>
      </c>
      <c r="AT7" s="70" t="s">
        <v>185</v>
      </c>
      <c r="AU7" s="65" t="s">
        <v>186</v>
      </c>
      <c r="AV7" s="65" t="s">
        <v>187</v>
      </c>
      <c r="AW7" s="65" t="s">
        <v>188</v>
      </c>
      <c r="AX7" s="65" t="s">
        <v>189</v>
      </c>
      <c r="AY7" s="65" t="s">
        <v>190</v>
      </c>
      <c r="AZ7" s="65" t="s">
        <v>191</v>
      </c>
      <c r="BA7" s="65" t="s">
        <v>192</v>
      </c>
      <c r="BB7" s="65" t="s">
        <v>193</v>
      </c>
      <c r="BC7" s="65" t="s">
        <v>194</v>
      </c>
      <c r="BD7" s="65" t="s">
        <v>195</v>
      </c>
      <c r="BE7" s="65" t="s">
        <v>196</v>
      </c>
      <c r="BF7" s="65" t="s">
        <v>197</v>
      </c>
      <c r="BG7" s="65" t="s">
        <v>198</v>
      </c>
      <c r="BH7" s="65" t="s">
        <v>199</v>
      </c>
      <c r="BI7" s="65" t="s">
        <v>200</v>
      </c>
      <c r="BJ7" s="65" t="s">
        <v>201</v>
      </c>
      <c r="BK7" s="65" t="s">
        <v>202</v>
      </c>
      <c r="BL7" s="65" t="s">
        <v>203</v>
      </c>
      <c r="BM7" s="65" t="s">
        <v>204</v>
      </c>
      <c r="BN7" s="65" t="s">
        <v>205</v>
      </c>
      <c r="BO7" s="65" t="s">
        <v>206</v>
      </c>
      <c r="BP7" s="65" t="s">
        <v>207</v>
      </c>
      <c r="BQ7" s="65" t="s">
        <v>208</v>
      </c>
      <c r="BR7" s="65" t="s">
        <v>209</v>
      </c>
      <c r="BS7" s="65" t="s">
        <v>210</v>
      </c>
      <c r="BT7" s="65" t="s">
        <v>211</v>
      </c>
      <c r="BU7" s="65" t="s">
        <v>212</v>
      </c>
      <c r="BV7" s="65" t="s">
        <v>213</v>
      </c>
      <c r="BW7" s="65" t="s">
        <v>214</v>
      </c>
      <c r="BX7" s="65" t="s">
        <v>215</v>
      </c>
      <c r="BY7" s="65" t="s">
        <v>216</v>
      </c>
      <c r="BZ7" s="65" t="s">
        <v>217</v>
      </c>
      <c r="CA7" s="65" t="s">
        <v>218</v>
      </c>
      <c r="CB7" s="65" t="s">
        <v>219</v>
      </c>
      <c r="CC7" s="65" t="s">
        <v>220</v>
      </c>
      <c r="CD7" s="65" t="s">
        <v>221</v>
      </c>
      <c r="CE7" s="65" t="s">
        <v>222</v>
      </c>
      <c r="CF7" s="65" t="s">
        <v>223</v>
      </c>
      <c r="CG7" s="65" t="s">
        <v>224</v>
      </c>
      <c r="CH7" s="65" t="s">
        <v>225</v>
      </c>
      <c r="CI7" s="65" t="s">
        <v>226</v>
      </c>
      <c r="CJ7" s="65" t="s">
        <v>227</v>
      </c>
      <c r="CK7" s="65" t="s">
        <v>228</v>
      </c>
      <c r="CL7" s="65" t="s">
        <v>229</v>
      </c>
      <c r="CM7" s="65" t="s">
        <v>230</v>
      </c>
      <c r="CN7" s="65" t="s">
        <v>231</v>
      </c>
      <c r="CO7" s="65" t="s">
        <v>232</v>
      </c>
      <c r="CP7" s="65" t="s">
        <v>233</v>
      </c>
      <c r="CQ7" s="65" t="s">
        <v>234</v>
      </c>
      <c r="CR7" s="65" t="s">
        <v>235</v>
      </c>
      <c r="CS7" s="65" t="s">
        <v>236</v>
      </c>
      <c r="CT7" s="65" t="s">
        <v>237</v>
      </c>
      <c r="CU7" s="65" t="s">
        <v>238</v>
      </c>
      <c r="CV7" s="65" t="s">
        <v>239</v>
      </c>
      <c r="CW7" s="65" t="s">
        <v>240</v>
      </c>
      <c r="CX7" s="65" t="s">
        <v>241</v>
      </c>
      <c r="CY7" s="65" t="s">
        <v>242</v>
      </c>
      <c r="CZ7" s="65" t="s">
        <v>243</v>
      </c>
      <c r="DA7" s="65" t="s">
        <v>244</v>
      </c>
      <c r="DB7" s="65" t="s">
        <v>245</v>
      </c>
      <c r="DC7" s="65" t="s">
        <v>246</v>
      </c>
      <c r="DD7" s="65" t="s">
        <v>247</v>
      </c>
      <c r="DE7" s="65" t="s">
        <v>248</v>
      </c>
      <c r="DF7" s="65" t="s">
        <v>249</v>
      </c>
    </row>
    <row r="8" spans="1:110" x14ac:dyDescent="0.2">
      <c r="A8" s="65" t="s">
        <v>250</v>
      </c>
      <c r="B8" s="65" t="s">
        <v>251</v>
      </c>
      <c r="C8" s="71">
        <v>2.0063967944573302</v>
      </c>
      <c r="D8" s="71">
        <v>2.0292109297185799</v>
      </c>
      <c r="E8" s="71">
        <v>2.0375058295190498</v>
      </c>
      <c r="F8" s="71">
        <v>2.06056286491336</v>
      </c>
      <c r="G8" s="71">
        <v>2.0745428604526199</v>
      </c>
      <c r="H8" s="71">
        <v>2.0848413941935999</v>
      </c>
      <c r="I8" s="71">
        <v>2.1205826507328598</v>
      </c>
      <c r="J8" s="71">
        <v>2.1424708889297399</v>
      </c>
      <c r="K8" s="71">
        <v>2.1577842143700501</v>
      </c>
      <c r="L8" s="71">
        <v>2.1833771506398501</v>
      </c>
      <c r="M8" s="71">
        <v>2.2041521339054801</v>
      </c>
      <c r="N8" s="71">
        <v>2.1895699800145501</v>
      </c>
      <c r="O8" s="71">
        <v>2.2079136110252899</v>
      </c>
      <c r="P8" s="71">
        <v>2.22788120701059</v>
      </c>
      <c r="Q8" s="71">
        <v>2.2459724770552998</v>
      </c>
      <c r="R8" s="71">
        <v>2.2732174952512398</v>
      </c>
      <c r="S8" s="71">
        <v>2.2978763341263799</v>
      </c>
      <c r="T8" s="71">
        <v>2.3349096781978398</v>
      </c>
      <c r="U8" s="71">
        <v>2.3734038596485099</v>
      </c>
      <c r="V8" s="71">
        <v>2.3214065405194502</v>
      </c>
      <c r="W8" s="71">
        <v>2.30398378778303</v>
      </c>
      <c r="X8" s="71">
        <v>2.3147083800778501</v>
      </c>
      <c r="Y8" s="71">
        <v>2.33384264563343</v>
      </c>
      <c r="Z8" s="71">
        <v>2.3520478742720301</v>
      </c>
      <c r="AA8" s="71">
        <v>2.35710662986398</v>
      </c>
      <c r="AB8" s="71">
        <v>2.3597617242881999</v>
      </c>
      <c r="AC8" s="71">
        <v>2.3675152110919599</v>
      </c>
      <c r="AD8" s="71">
        <v>2.3894355869441899</v>
      </c>
      <c r="AE8" s="71">
        <v>2.40815819227547</v>
      </c>
      <c r="AF8" s="71">
        <v>2.44430890044428</v>
      </c>
      <c r="AG8" s="71">
        <v>2.4604257745065699</v>
      </c>
      <c r="AH8" s="71">
        <v>2.4673861530990902</v>
      </c>
      <c r="AI8" s="71">
        <v>2.48042073711553</v>
      </c>
      <c r="AJ8" s="71">
        <v>2.4867997015171999</v>
      </c>
      <c r="AK8" s="71">
        <v>2.4979963270933299</v>
      </c>
      <c r="AL8" s="71">
        <v>2.5174928668501901</v>
      </c>
      <c r="AM8" s="71">
        <v>2.52334068619753</v>
      </c>
      <c r="AN8" s="71">
        <v>2.5236312406637</v>
      </c>
      <c r="AO8" s="71">
        <v>2.53852614076715</v>
      </c>
      <c r="AP8" s="71">
        <v>2.5493471020021499</v>
      </c>
      <c r="AQ8" s="71">
        <v>2.5641196272997999</v>
      </c>
      <c r="AR8" s="71">
        <v>2.5682533521263</v>
      </c>
      <c r="AS8" s="71">
        <v>2.5745604439045402</v>
      </c>
      <c r="AT8" s="71">
        <v>2.5703855371384798</v>
      </c>
      <c r="AU8" s="71">
        <v>2.5621096470938398</v>
      </c>
      <c r="AV8" s="71">
        <v>2.57383315818505</v>
      </c>
      <c r="AW8" s="71">
        <v>2.5763813062717098</v>
      </c>
      <c r="AX8" s="71">
        <v>2.5767536568672198</v>
      </c>
      <c r="AY8" s="71">
        <v>2.5717145141704401</v>
      </c>
      <c r="AZ8" s="71">
        <v>2.5921806314594802</v>
      </c>
      <c r="BA8" s="71">
        <v>2.6069809626114901</v>
      </c>
      <c r="BB8" s="71">
        <v>2.6253970020753399</v>
      </c>
      <c r="BC8" s="71">
        <v>2.64311388125578</v>
      </c>
      <c r="BD8" s="71">
        <v>2.64546660406153</v>
      </c>
      <c r="BE8" s="71">
        <v>2.6516461802012401</v>
      </c>
      <c r="BF8" s="71">
        <v>2.6731214386986899</v>
      </c>
      <c r="BG8" s="71">
        <v>2.6992395466316998</v>
      </c>
      <c r="BH8" s="71">
        <v>2.7183438993189601</v>
      </c>
      <c r="BI8" s="71">
        <v>2.7305561512385701</v>
      </c>
      <c r="BJ8" s="71">
        <v>2.74253282416533</v>
      </c>
      <c r="BK8" s="71">
        <v>2.7480564459173999</v>
      </c>
      <c r="BL8" s="71">
        <v>2.7688782846120299</v>
      </c>
      <c r="BM8" s="71">
        <v>2.7849600301573001</v>
      </c>
      <c r="BN8" s="71">
        <v>2.7960315775651199</v>
      </c>
      <c r="BO8" s="71">
        <v>2.8046313693112501</v>
      </c>
      <c r="BP8" s="71">
        <v>2.7904564390836502</v>
      </c>
      <c r="BQ8" s="71">
        <v>2.8032012428447599</v>
      </c>
      <c r="BR8" s="71">
        <v>2.8160110728518499</v>
      </c>
      <c r="BS8" s="71">
        <v>2.8427513358899001</v>
      </c>
      <c r="BT8" s="71">
        <v>2.8785483334867901</v>
      </c>
      <c r="BU8" s="71">
        <v>2.9207292897956099</v>
      </c>
      <c r="BV8" s="71">
        <v>2.9773693852936902</v>
      </c>
      <c r="BW8" s="71">
        <v>3.0336330216182201</v>
      </c>
      <c r="BX8" s="71">
        <v>3.0947841762379902</v>
      </c>
      <c r="BY8" s="71">
        <v>3.1308382651775801</v>
      </c>
      <c r="BZ8" s="71">
        <v>3.1647578482205798</v>
      </c>
      <c r="CA8" s="71">
        <v>3.1699728449320399</v>
      </c>
      <c r="CB8" s="71">
        <v>3.1726433528765199</v>
      </c>
      <c r="CC8" s="71">
        <v>3.1988751075198198</v>
      </c>
      <c r="CD8" s="71">
        <v>3.22193842078046</v>
      </c>
      <c r="CE8" s="71">
        <v>3.2482217134576001</v>
      </c>
      <c r="CF8" s="71">
        <v>3.2956347050253401</v>
      </c>
      <c r="CG8" s="71">
        <v>3.3068651934414</v>
      </c>
      <c r="CH8" s="71">
        <v>3.3215129166372299</v>
      </c>
      <c r="CI8" s="71">
        <v>3.33644348125376</v>
      </c>
      <c r="CJ8" s="71">
        <v>3.3572212983318299</v>
      </c>
      <c r="CK8" s="71">
        <v>3.3807002427985302</v>
      </c>
      <c r="CL8" s="71">
        <v>3.4059969087009301</v>
      </c>
      <c r="CM8" s="71">
        <v>3.4377337181428</v>
      </c>
      <c r="CN8" s="71">
        <v>3.4574970892838501</v>
      </c>
      <c r="CO8" s="71">
        <v>3.4821949067167401</v>
      </c>
      <c r="CP8" s="71">
        <v>3.5031566001205299</v>
      </c>
      <c r="CQ8" s="71">
        <v>3.52270272713641</v>
      </c>
      <c r="CR8" s="71">
        <v>3.5419955790195701</v>
      </c>
      <c r="CS8" s="71">
        <v>3.5559381202671498</v>
      </c>
      <c r="CT8" s="71">
        <v>3.57575112832704</v>
      </c>
      <c r="CU8" s="71">
        <v>3.5964338270398999</v>
      </c>
      <c r="CV8" s="71">
        <v>3.61801770409354</v>
      </c>
      <c r="CW8" s="71">
        <v>3.6408977322046501</v>
      </c>
      <c r="CX8" s="71">
        <v>3.6618400116250398</v>
      </c>
      <c r="CY8" s="71">
        <v>3.6802375110753398</v>
      </c>
      <c r="CZ8" s="71">
        <v>3.7008477513768301</v>
      </c>
      <c r="DA8" s="71">
        <v>3.7223543645572499</v>
      </c>
      <c r="DB8" s="71">
        <v>3.7436102533270601</v>
      </c>
      <c r="DC8" s="71">
        <v>3.7639621402043901</v>
      </c>
      <c r="DD8" s="71">
        <v>3.7858589715223401</v>
      </c>
      <c r="DE8" s="71">
        <v>3.8072431216507701</v>
      </c>
      <c r="DF8" s="71">
        <v>3.82745157800891</v>
      </c>
    </row>
    <row r="9" spans="1:110" x14ac:dyDescent="0.2">
      <c r="A9" s="65" t="s">
        <v>252</v>
      </c>
      <c r="B9" s="65" t="s">
        <v>253</v>
      </c>
      <c r="C9" s="71">
        <v>2.0063967944573302</v>
      </c>
      <c r="D9" s="71">
        <v>2.0292109297185799</v>
      </c>
      <c r="E9" s="71">
        <v>2.0375058295190498</v>
      </c>
      <c r="F9" s="71">
        <v>2.06056286491336</v>
      </c>
      <c r="G9" s="71">
        <v>2.0745428604526199</v>
      </c>
      <c r="H9" s="71">
        <v>2.0848413941935999</v>
      </c>
      <c r="I9" s="71">
        <v>2.1205826507328598</v>
      </c>
      <c r="J9" s="71">
        <v>2.1424708889297399</v>
      </c>
      <c r="K9" s="71">
        <v>2.1577842143700501</v>
      </c>
      <c r="L9" s="71">
        <v>2.1833771506398501</v>
      </c>
      <c r="M9" s="71">
        <v>2.2041521339054801</v>
      </c>
      <c r="N9" s="71">
        <v>2.1895699800145501</v>
      </c>
      <c r="O9" s="71">
        <v>2.2079136110252899</v>
      </c>
      <c r="P9" s="71">
        <v>2.22788120701059</v>
      </c>
      <c r="Q9" s="71">
        <v>2.2459724770552998</v>
      </c>
      <c r="R9" s="71">
        <v>2.2732174952512398</v>
      </c>
      <c r="S9" s="71">
        <v>2.2978763341263799</v>
      </c>
      <c r="T9" s="71">
        <v>2.3349096781978398</v>
      </c>
      <c r="U9" s="71">
        <v>2.3734038596485099</v>
      </c>
      <c r="V9" s="71">
        <v>2.3214065405194502</v>
      </c>
      <c r="W9" s="71">
        <v>2.30398378778303</v>
      </c>
      <c r="X9" s="71">
        <v>2.3147083800778501</v>
      </c>
      <c r="Y9" s="71">
        <v>2.33384264563343</v>
      </c>
      <c r="Z9" s="71">
        <v>2.3520478742720301</v>
      </c>
      <c r="AA9" s="71">
        <v>2.35710662986398</v>
      </c>
      <c r="AB9" s="71">
        <v>2.3597617242881999</v>
      </c>
      <c r="AC9" s="71">
        <v>2.3675152110919599</v>
      </c>
      <c r="AD9" s="71">
        <v>2.3894355869441899</v>
      </c>
      <c r="AE9" s="71">
        <v>2.40815819227547</v>
      </c>
      <c r="AF9" s="71">
        <v>2.44430890044428</v>
      </c>
      <c r="AG9" s="71">
        <v>2.4604257745065699</v>
      </c>
      <c r="AH9" s="71">
        <v>2.4673861530990902</v>
      </c>
      <c r="AI9" s="71">
        <v>2.48042073711553</v>
      </c>
      <c r="AJ9" s="71">
        <v>2.4867997015171999</v>
      </c>
      <c r="AK9" s="71">
        <v>2.4979963270933299</v>
      </c>
      <c r="AL9" s="71">
        <v>2.5174928668501901</v>
      </c>
      <c r="AM9" s="71">
        <v>2.52334068619753</v>
      </c>
      <c r="AN9" s="71">
        <v>2.5236312406637</v>
      </c>
      <c r="AO9" s="71">
        <v>2.53852614076715</v>
      </c>
      <c r="AP9" s="71">
        <v>2.5493471020021499</v>
      </c>
      <c r="AQ9" s="71">
        <v>2.5641196272997999</v>
      </c>
      <c r="AR9" s="71">
        <v>2.5682533521263</v>
      </c>
      <c r="AS9" s="71">
        <v>2.5745604439045402</v>
      </c>
      <c r="AT9" s="71">
        <v>2.5703855371384798</v>
      </c>
      <c r="AU9" s="71">
        <v>2.5621096470938398</v>
      </c>
      <c r="AV9" s="71">
        <v>2.57383315818505</v>
      </c>
      <c r="AW9" s="71">
        <v>2.5763813062717098</v>
      </c>
      <c r="AX9" s="71">
        <v>2.5767536568672198</v>
      </c>
      <c r="AY9" s="71">
        <v>2.5717145141704401</v>
      </c>
      <c r="AZ9" s="71">
        <v>2.5921806314594802</v>
      </c>
      <c r="BA9" s="71">
        <v>2.6069809626114901</v>
      </c>
      <c r="BB9" s="71">
        <v>2.6253970020753399</v>
      </c>
      <c r="BC9" s="71">
        <v>2.64311388125578</v>
      </c>
      <c r="BD9" s="71">
        <v>2.64546660406153</v>
      </c>
      <c r="BE9" s="71">
        <v>2.6516461802012401</v>
      </c>
      <c r="BF9" s="71">
        <v>2.6731214386986899</v>
      </c>
      <c r="BG9" s="71">
        <v>2.6992395466316998</v>
      </c>
      <c r="BH9" s="71">
        <v>2.7183438993189601</v>
      </c>
      <c r="BI9" s="71">
        <v>2.7305561512385701</v>
      </c>
      <c r="BJ9" s="71">
        <v>2.74253282416533</v>
      </c>
      <c r="BK9" s="71">
        <v>2.7480564459173999</v>
      </c>
      <c r="BL9" s="71">
        <v>2.7688782846120299</v>
      </c>
      <c r="BM9" s="71">
        <v>2.7849600301573001</v>
      </c>
      <c r="BN9" s="71">
        <v>2.7960315775651199</v>
      </c>
      <c r="BO9" s="71">
        <v>2.8046313693112501</v>
      </c>
      <c r="BP9" s="71">
        <v>2.7904564390836502</v>
      </c>
      <c r="BQ9" s="71">
        <v>2.8032012428447599</v>
      </c>
      <c r="BR9" s="71">
        <v>2.8160110728518499</v>
      </c>
      <c r="BS9" s="71">
        <v>2.8427513358899001</v>
      </c>
      <c r="BT9" s="71">
        <v>2.8785483334867901</v>
      </c>
      <c r="BU9" s="71">
        <v>2.9207292897956099</v>
      </c>
      <c r="BV9" s="71">
        <v>2.9773693852936902</v>
      </c>
      <c r="BW9" s="71">
        <v>3.0336330216182201</v>
      </c>
      <c r="BX9" s="71">
        <v>3.0947841762379902</v>
      </c>
      <c r="BY9" s="71">
        <v>3.1308382651775801</v>
      </c>
      <c r="BZ9" s="71">
        <v>3.1647578482205798</v>
      </c>
      <c r="CA9" s="71">
        <v>3.1699728449320399</v>
      </c>
      <c r="CB9" s="71">
        <v>3.1726433528765199</v>
      </c>
      <c r="CC9" s="71">
        <v>3.1988751075198198</v>
      </c>
      <c r="CD9" s="71">
        <v>3.22193842078046</v>
      </c>
      <c r="CE9" s="71">
        <v>3.2482217134576001</v>
      </c>
      <c r="CF9" s="71">
        <v>3.2956347050253401</v>
      </c>
      <c r="CG9" s="71">
        <v>3.2956818187049399</v>
      </c>
      <c r="CH9" s="71">
        <v>3.30792205959977</v>
      </c>
      <c r="CI9" s="71">
        <v>3.3215284214171801</v>
      </c>
      <c r="CJ9" s="71">
        <v>3.3405839801810502</v>
      </c>
      <c r="CK9" s="71">
        <v>3.3614239742545502</v>
      </c>
      <c r="CL9" s="71">
        <v>3.38426406518745</v>
      </c>
      <c r="CM9" s="71">
        <v>3.4138940790776999</v>
      </c>
      <c r="CN9" s="71">
        <v>3.4314671893760398</v>
      </c>
      <c r="CO9" s="71">
        <v>3.4539470339367302</v>
      </c>
      <c r="CP9" s="71">
        <v>3.47269459852044</v>
      </c>
      <c r="CQ9" s="71">
        <v>3.49005249564626</v>
      </c>
      <c r="CR9" s="71">
        <v>3.5070492246636702</v>
      </c>
      <c r="CS9" s="71">
        <v>3.5187919040562301</v>
      </c>
      <c r="CT9" s="71">
        <v>3.53647849692035</v>
      </c>
      <c r="CU9" s="71">
        <v>3.5550620795049301</v>
      </c>
      <c r="CV9" s="71">
        <v>3.5745297767497299</v>
      </c>
      <c r="CW9" s="71">
        <v>3.5952897092899598</v>
      </c>
      <c r="CX9" s="71">
        <v>3.6139753890265802</v>
      </c>
      <c r="CY9" s="71">
        <v>3.6302782464144498</v>
      </c>
      <c r="CZ9" s="71">
        <v>3.6485793510484301</v>
      </c>
      <c r="DA9" s="71">
        <v>3.6675896522072202</v>
      </c>
      <c r="DB9" s="71">
        <v>3.6861868903925301</v>
      </c>
      <c r="DC9" s="71">
        <v>3.7039124585854499</v>
      </c>
      <c r="DD9" s="71">
        <v>3.72290689668923</v>
      </c>
      <c r="DE9" s="71">
        <v>3.7412610936331001</v>
      </c>
      <c r="DF9" s="71">
        <v>3.7582877239941199</v>
      </c>
    </row>
    <row r="10" spans="1:110" x14ac:dyDescent="0.2">
      <c r="A10" s="65" t="s">
        <v>254</v>
      </c>
      <c r="B10" s="65" t="s">
        <v>255</v>
      </c>
      <c r="C10" s="71">
        <v>2.0063967944573302</v>
      </c>
      <c r="D10" s="71">
        <v>2.0292109297185799</v>
      </c>
      <c r="E10" s="71">
        <v>2.0375058295190498</v>
      </c>
      <c r="F10" s="71">
        <v>2.06056286491336</v>
      </c>
      <c r="G10" s="71">
        <v>2.0745428604526199</v>
      </c>
      <c r="H10" s="71">
        <v>2.0848413941935999</v>
      </c>
      <c r="I10" s="71">
        <v>2.1205826507328598</v>
      </c>
      <c r="J10" s="71">
        <v>2.1424708889297399</v>
      </c>
      <c r="K10" s="71">
        <v>2.1577842143700501</v>
      </c>
      <c r="L10" s="71">
        <v>2.1833771506398501</v>
      </c>
      <c r="M10" s="71">
        <v>2.2041521339054801</v>
      </c>
      <c r="N10" s="71">
        <v>2.1895699800145501</v>
      </c>
      <c r="O10" s="71">
        <v>2.2079136110252899</v>
      </c>
      <c r="P10" s="71">
        <v>2.22788120701059</v>
      </c>
      <c r="Q10" s="71">
        <v>2.2459724770552998</v>
      </c>
      <c r="R10" s="71">
        <v>2.2732174952512398</v>
      </c>
      <c r="S10" s="71">
        <v>2.2978763341263799</v>
      </c>
      <c r="T10" s="71">
        <v>2.3349096781978398</v>
      </c>
      <c r="U10" s="71">
        <v>2.3734038596485099</v>
      </c>
      <c r="V10" s="71">
        <v>2.3214065405194502</v>
      </c>
      <c r="W10" s="71">
        <v>2.30398378778303</v>
      </c>
      <c r="X10" s="71">
        <v>2.3147083800778501</v>
      </c>
      <c r="Y10" s="71">
        <v>2.33384264563343</v>
      </c>
      <c r="Z10" s="71">
        <v>2.3520478742720301</v>
      </c>
      <c r="AA10" s="71">
        <v>2.35710662986398</v>
      </c>
      <c r="AB10" s="71">
        <v>2.3597617242881999</v>
      </c>
      <c r="AC10" s="71">
        <v>2.3675152110919599</v>
      </c>
      <c r="AD10" s="71">
        <v>2.3894355869441899</v>
      </c>
      <c r="AE10" s="71">
        <v>2.40815819227547</v>
      </c>
      <c r="AF10" s="71">
        <v>2.44430890044428</v>
      </c>
      <c r="AG10" s="71">
        <v>2.4604257745065699</v>
      </c>
      <c r="AH10" s="71">
        <v>2.4673861530990902</v>
      </c>
      <c r="AI10" s="71">
        <v>2.48042073711553</v>
      </c>
      <c r="AJ10" s="71">
        <v>2.4867997015171999</v>
      </c>
      <c r="AK10" s="71">
        <v>2.4979963270933299</v>
      </c>
      <c r="AL10" s="71">
        <v>2.5174928668501901</v>
      </c>
      <c r="AM10" s="71">
        <v>2.52334068619753</v>
      </c>
      <c r="AN10" s="71">
        <v>2.5236312406637</v>
      </c>
      <c r="AO10" s="71">
        <v>2.53852614076715</v>
      </c>
      <c r="AP10" s="71">
        <v>2.5493471020021499</v>
      </c>
      <c r="AQ10" s="71">
        <v>2.5641196272997999</v>
      </c>
      <c r="AR10" s="71">
        <v>2.5682533521263</v>
      </c>
      <c r="AS10" s="71">
        <v>2.5745604439045402</v>
      </c>
      <c r="AT10" s="71">
        <v>2.5703855371384798</v>
      </c>
      <c r="AU10" s="71">
        <v>2.5621096470938398</v>
      </c>
      <c r="AV10" s="71">
        <v>2.57383315818505</v>
      </c>
      <c r="AW10" s="71">
        <v>2.5763813062717098</v>
      </c>
      <c r="AX10" s="71">
        <v>2.5767536568672198</v>
      </c>
      <c r="AY10" s="71">
        <v>2.5717145141704401</v>
      </c>
      <c r="AZ10" s="71">
        <v>2.5921806314594802</v>
      </c>
      <c r="BA10" s="71">
        <v>2.6069809626114901</v>
      </c>
      <c r="BB10" s="71">
        <v>2.6253970020753399</v>
      </c>
      <c r="BC10" s="71">
        <v>2.64311388125578</v>
      </c>
      <c r="BD10" s="71">
        <v>2.64546660406153</v>
      </c>
      <c r="BE10" s="71">
        <v>2.6516461802012401</v>
      </c>
      <c r="BF10" s="71">
        <v>2.6731214386986899</v>
      </c>
      <c r="BG10" s="71">
        <v>2.6992395466316998</v>
      </c>
      <c r="BH10" s="71">
        <v>2.7183438993189601</v>
      </c>
      <c r="BI10" s="71">
        <v>2.7305561512385701</v>
      </c>
      <c r="BJ10" s="71">
        <v>2.74253282416533</v>
      </c>
      <c r="BK10" s="71">
        <v>2.7480564459173999</v>
      </c>
      <c r="BL10" s="71">
        <v>2.7688782846120299</v>
      </c>
      <c r="BM10" s="71">
        <v>2.7849600301573001</v>
      </c>
      <c r="BN10" s="71">
        <v>2.7960315775651199</v>
      </c>
      <c r="BO10" s="71">
        <v>2.8046313693112501</v>
      </c>
      <c r="BP10" s="71">
        <v>2.7904564390836502</v>
      </c>
      <c r="BQ10" s="71">
        <v>2.8032012428447599</v>
      </c>
      <c r="BR10" s="71">
        <v>2.8160110728518499</v>
      </c>
      <c r="BS10" s="71">
        <v>2.8427513358899001</v>
      </c>
      <c r="BT10" s="71">
        <v>2.8785483334867901</v>
      </c>
      <c r="BU10" s="71">
        <v>2.9207292897956099</v>
      </c>
      <c r="BV10" s="71">
        <v>2.9773693852936902</v>
      </c>
      <c r="BW10" s="71">
        <v>3.0336330216182201</v>
      </c>
      <c r="BX10" s="71">
        <v>3.0947841762379902</v>
      </c>
      <c r="BY10" s="71">
        <v>3.1308382651775801</v>
      </c>
      <c r="BZ10" s="71">
        <v>3.1647578482205798</v>
      </c>
      <c r="CA10" s="71">
        <v>3.1699728449320399</v>
      </c>
      <c r="CB10" s="71">
        <v>3.1726433528765199</v>
      </c>
      <c r="CC10" s="71">
        <v>3.1988751075198198</v>
      </c>
      <c r="CD10" s="71">
        <v>3.22193842078046</v>
      </c>
      <c r="CE10" s="71">
        <v>3.2482217134576001</v>
      </c>
      <c r="CF10" s="71">
        <v>3.2956347050253401</v>
      </c>
      <c r="CG10" s="71">
        <v>3.3328946110561599</v>
      </c>
      <c r="CH10" s="71">
        <v>3.36074834534553</v>
      </c>
      <c r="CI10" s="71">
        <v>3.3902946752043399</v>
      </c>
      <c r="CJ10" s="71">
        <v>3.42312033100974</v>
      </c>
      <c r="CK10" s="71">
        <v>3.4590872492515499</v>
      </c>
      <c r="CL10" s="71">
        <v>3.4964583573124401</v>
      </c>
      <c r="CM10" s="71">
        <v>3.5398838730279301</v>
      </c>
      <c r="CN10" s="71">
        <v>3.5709423409877301</v>
      </c>
      <c r="CO10" s="71">
        <v>3.6075949532460601</v>
      </c>
      <c r="CP10" s="71">
        <v>3.6406746430719101</v>
      </c>
      <c r="CQ10" s="71">
        <v>3.6727184178307102</v>
      </c>
      <c r="CR10" s="71">
        <v>3.7047416963224702</v>
      </c>
      <c r="CS10" s="71">
        <v>3.7304473216979699</v>
      </c>
      <c r="CT10" s="71">
        <v>3.7624186037224798</v>
      </c>
      <c r="CU10" s="71">
        <v>3.79605055530654</v>
      </c>
      <c r="CV10" s="71">
        <v>3.8308948946381198</v>
      </c>
      <c r="CW10" s="71">
        <v>3.8673947300953402</v>
      </c>
      <c r="CX10" s="71">
        <v>3.9020162285803601</v>
      </c>
      <c r="CY10" s="71">
        <v>3.9341456558961099</v>
      </c>
      <c r="CZ10" s="71">
        <v>3.9683381696998699</v>
      </c>
      <c r="DA10" s="71">
        <v>4.0035641613789599</v>
      </c>
      <c r="DB10" s="71">
        <v>4.0386906917721097</v>
      </c>
      <c r="DC10" s="71">
        <v>4.0732428615725098</v>
      </c>
      <c r="DD10" s="71">
        <v>4.1093506579633496</v>
      </c>
      <c r="DE10" s="71">
        <v>4.1449735418232203</v>
      </c>
      <c r="DF10" s="71">
        <v>4.1796036208680798</v>
      </c>
    </row>
    <row r="12" spans="1:110" x14ac:dyDescent="0.2">
      <c r="C12" s="72"/>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row>
    <row r="13" spans="1:110" x14ac:dyDescent="0.2">
      <c r="C13" s="72"/>
      <c r="D13" s="72"/>
      <c r="E13" s="72"/>
      <c r="F13" s="72"/>
      <c r="G13" s="72"/>
      <c r="H13" s="72"/>
      <c r="I13" s="72"/>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row>
    <row r="14" spans="1:110" x14ac:dyDescent="0.2">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row>
    <row r="18" spans="84:95" x14ac:dyDescent="0.2">
      <c r="CF18" s="73" t="s">
        <v>256</v>
      </c>
      <c r="CG18" s="74"/>
      <c r="CH18" s="74"/>
      <c r="CI18" s="75" t="s">
        <v>257</v>
      </c>
      <c r="CJ18" s="76"/>
      <c r="CK18" s="76"/>
      <c r="CL18" s="76"/>
      <c r="CM18" s="76"/>
      <c r="CN18" s="76"/>
      <c r="CO18" s="74"/>
      <c r="CP18" s="74" t="s">
        <v>258</v>
      </c>
      <c r="CQ18" s="74"/>
    </row>
    <row r="19" spans="84:95" x14ac:dyDescent="0.2">
      <c r="CF19" s="77"/>
      <c r="CG19" s="78"/>
      <c r="CH19" s="78"/>
      <c r="CI19" s="78"/>
      <c r="CJ19" s="78"/>
      <c r="CK19" s="78"/>
      <c r="CL19" s="78"/>
      <c r="CM19" s="78"/>
      <c r="CN19" s="78"/>
      <c r="CO19" s="78"/>
      <c r="CP19" s="78"/>
      <c r="CQ19" s="79"/>
    </row>
    <row r="20" spans="84:95" x14ac:dyDescent="0.2">
      <c r="CF20" s="80"/>
      <c r="CG20" s="81" t="s">
        <v>259</v>
      </c>
      <c r="CH20" s="82" t="s">
        <v>260</v>
      </c>
      <c r="CI20" s="74"/>
      <c r="CJ20" s="74"/>
      <c r="CK20" s="74"/>
      <c r="CL20" s="74"/>
      <c r="CM20" s="74"/>
      <c r="CN20" s="74"/>
      <c r="CO20" s="74"/>
      <c r="CP20" s="74"/>
      <c r="CQ20" s="83"/>
    </row>
    <row r="21" spans="84:95" x14ac:dyDescent="0.2">
      <c r="CF21" s="80"/>
      <c r="CG21" s="74"/>
      <c r="CH21" s="65" t="s">
        <v>227</v>
      </c>
      <c r="CI21" s="84"/>
      <c r="CJ21" s="84"/>
      <c r="CK21" s="84"/>
      <c r="CL21" s="74"/>
      <c r="CM21" s="74"/>
      <c r="CN21" s="74"/>
      <c r="CO21" s="74"/>
      <c r="CP21" s="74"/>
      <c r="CQ21" s="85" t="s">
        <v>261</v>
      </c>
    </row>
    <row r="22" spans="84:95" x14ac:dyDescent="0.2">
      <c r="CF22" s="80"/>
      <c r="CG22" s="74"/>
      <c r="CH22" s="71">
        <v>3.3572212983318299</v>
      </c>
      <c r="CI22" s="86"/>
      <c r="CJ22" s="86"/>
      <c r="CK22" s="86"/>
      <c r="CL22" s="74"/>
      <c r="CM22" s="74"/>
      <c r="CN22" s="74"/>
      <c r="CO22" s="74"/>
      <c r="CP22" s="74"/>
      <c r="CQ22" s="87">
        <f>AVERAGE(CH22:CK22)</f>
        <v>3.3572212983318299</v>
      </c>
    </row>
    <row r="23" spans="84:95" x14ac:dyDescent="0.2">
      <c r="CF23" s="80"/>
      <c r="CG23" s="74"/>
      <c r="CH23" s="74"/>
      <c r="CI23" s="74"/>
      <c r="CJ23" s="74"/>
      <c r="CK23" s="74"/>
      <c r="CL23" s="74"/>
      <c r="CM23" s="74"/>
      <c r="CN23" s="74"/>
      <c r="CO23" s="74"/>
      <c r="CP23" s="74"/>
      <c r="CQ23" s="88"/>
    </row>
    <row r="24" spans="84:95" x14ac:dyDescent="0.2">
      <c r="CF24" s="130" t="s">
        <v>262</v>
      </c>
      <c r="CG24" s="131"/>
      <c r="CH24" s="131"/>
      <c r="CI24" s="74" t="s">
        <v>263</v>
      </c>
      <c r="CJ24" s="74"/>
      <c r="CK24" s="74"/>
      <c r="CL24" s="74"/>
      <c r="CM24" s="74"/>
      <c r="CN24" s="74"/>
      <c r="CO24" s="74"/>
      <c r="CP24" s="74"/>
      <c r="CQ24" s="88"/>
    </row>
    <row r="25" spans="84:95" x14ac:dyDescent="0.2">
      <c r="CF25" s="89"/>
      <c r="CG25" s="81"/>
      <c r="CH25" s="65" t="s">
        <v>228</v>
      </c>
      <c r="CI25" s="65" t="s">
        <v>229</v>
      </c>
      <c r="CJ25" s="65" t="s">
        <v>230</v>
      </c>
      <c r="CK25" s="65" t="s">
        <v>231</v>
      </c>
      <c r="CL25" s="65" t="s">
        <v>232</v>
      </c>
      <c r="CM25" s="65" t="s">
        <v>233</v>
      </c>
      <c r="CN25" s="65" t="s">
        <v>234</v>
      </c>
      <c r="CO25" s="65" t="s">
        <v>235</v>
      </c>
      <c r="CP25" s="74"/>
      <c r="CQ25" s="88"/>
    </row>
    <row r="26" spans="84:95" x14ac:dyDescent="0.2">
      <c r="CF26" s="80"/>
      <c r="CG26" s="74"/>
      <c r="CH26" s="71">
        <v>3.3807002427985302</v>
      </c>
      <c r="CI26" s="71">
        <v>3.4059969087009301</v>
      </c>
      <c r="CJ26" s="71">
        <v>3.4377337181428</v>
      </c>
      <c r="CK26" s="71">
        <v>3.4574970892838501</v>
      </c>
      <c r="CL26" s="71">
        <v>3.4821949067167401</v>
      </c>
      <c r="CM26" s="71">
        <v>3.5031566001205299</v>
      </c>
      <c r="CN26" s="71">
        <v>3.52270272713641</v>
      </c>
      <c r="CO26" s="71">
        <v>3.5419955790195701</v>
      </c>
      <c r="CP26" s="74"/>
      <c r="CQ26" s="87">
        <f>AVERAGE(CH26:CO26)</f>
        <v>3.4664972214899197</v>
      </c>
    </row>
    <row r="27" spans="84:95" x14ac:dyDescent="0.2">
      <c r="CF27" s="80"/>
      <c r="CG27" s="74"/>
      <c r="CH27" s="74"/>
      <c r="CI27" s="74"/>
      <c r="CJ27" s="74"/>
      <c r="CK27" s="74"/>
      <c r="CL27" s="74"/>
      <c r="CM27" s="74"/>
      <c r="CN27" s="74"/>
      <c r="CO27" s="74"/>
      <c r="CP27" s="74"/>
      <c r="CQ27" s="88"/>
    </row>
    <row r="28" spans="84:95" x14ac:dyDescent="0.2">
      <c r="CF28" s="80"/>
      <c r="CG28" s="74"/>
      <c r="CH28" s="74"/>
      <c r="CI28" s="74"/>
      <c r="CJ28" s="74"/>
      <c r="CK28" s="74"/>
      <c r="CL28" s="74"/>
      <c r="CM28" s="74"/>
      <c r="CN28" s="74"/>
      <c r="CO28" s="74"/>
      <c r="CP28" s="90" t="s">
        <v>264</v>
      </c>
      <c r="CQ28" s="91">
        <f>(CQ26-CQ22)/CQ22</f>
        <v>3.2549514448865162E-2</v>
      </c>
    </row>
    <row r="29" spans="84:95" x14ac:dyDescent="0.2">
      <c r="CF29" s="92"/>
      <c r="CG29" s="93"/>
      <c r="CH29" s="93"/>
      <c r="CI29" s="93"/>
      <c r="CJ29" s="93"/>
      <c r="CK29" s="93"/>
      <c r="CL29" s="93"/>
      <c r="CM29" s="93"/>
      <c r="CN29" s="93"/>
      <c r="CO29" s="93"/>
      <c r="CP29" s="93"/>
      <c r="CQ29" s="94"/>
    </row>
    <row r="33" spans="84:95" hidden="1" x14ac:dyDescent="0.2"/>
    <row r="34" spans="84:95" hidden="1" x14ac:dyDescent="0.2">
      <c r="CF34" s="73" t="s">
        <v>256</v>
      </c>
      <c r="CG34" s="74"/>
      <c r="CH34" s="74"/>
      <c r="CI34" s="75" t="s">
        <v>257</v>
      </c>
      <c r="CJ34" s="76"/>
      <c r="CK34" s="76"/>
      <c r="CL34" s="76"/>
      <c r="CM34" s="76"/>
      <c r="CN34" s="76"/>
      <c r="CO34" s="74"/>
      <c r="CP34" s="74" t="s">
        <v>265</v>
      </c>
      <c r="CQ34" s="74"/>
    </row>
    <row r="35" spans="84:95" hidden="1" x14ac:dyDescent="0.2">
      <c r="CF35" s="77"/>
      <c r="CG35" s="78"/>
      <c r="CH35" s="78"/>
      <c r="CI35" s="78"/>
      <c r="CJ35" s="78"/>
      <c r="CK35" s="78"/>
      <c r="CL35" s="78"/>
      <c r="CM35" s="78"/>
      <c r="CN35" s="78"/>
      <c r="CO35" s="78"/>
      <c r="CP35" s="78"/>
      <c r="CQ35" s="79"/>
    </row>
    <row r="36" spans="84:95" hidden="1" x14ac:dyDescent="0.2">
      <c r="CF36" s="80"/>
      <c r="CG36" s="81" t="s">
        <v>259</v>
      </c>
      <c r="CH36" s="82" t="s">
        <v>260</v>
      </c>
      <c r="CI36" s="74"/>
      <c r="CJ36" s="74"/>
      <c r="CK36" s="74"/>
      <c r="CL36" s="74"/>
      <c r="CM36" s="74"/>
      <c r="CN36" s="74"/>
      <c r="CO36" s="74"/>
      <c r="CP36" s="74"/>
      <c r="CQ36" s="83"/>
    </row>
    <row r="37" spans="84:95" hidden="1" x14ac:dyDescent="0.2">
      <c r="CF37" s="80"/>
      <c r="CG37" s="74"/>
      <c r="CH37" s="65" t="s">
        <v>227</v>
      </c>
      <c r="CI37" s="84"/>
      <c r="CJ37" s="84"/>
      <c r="CK37" s="84"/>
      <c r="CL37" s="74"/>
      <c r="CM37" s="74"/>
      <c r="CN37" s="74"/>
      <c r="CO37" s="74"/>
      <c r="CP37" s="74"/>
      <c r="CQ37" s="85" t="s">
        <v>261</v>
      </c>
    </row>
    <row r="38" spans="84:95" hidden="1" x14ac:dyDescent="0.2">
      <c r="CF38" s="80"/>
      <c r="CG38" s="74"/>
      <c r="CH38" s="71">
        <v>3.3405839801810502</v>
      </c>
      <c r="CI38" s="86"/>
      <c r="CJ38" s="86"/>
      <c r="CK38" s="86"/>
      <c r="CL38" s="74"/>
      <c r="CM38" s="74"/>
      <c r="CN38" s="74"/>
      <c r="CO38" s="74"/>
      <c r="CP38" s="74"/>
      <c r="CQ38" s="87">
        <f>AVERAGE(CH38:CK38)</f>
        <v>3.3405839801810502</v>
      </c>
    </row>
    <row r="39" spans="84:95" hidden="1" x14ac:dyDescent="0.2">
      <c r="CF39" s="80"/>
      <c r="CG39" s="74"/>
      <c r="CH39" s="74"/>
      <c r="CI39" s="74"/>
      <c r="CJ39" s="74"/>
      <c r="CK39" s="74"/>
      <c r="CL39" s="74"/>
      <c r="CM39" s="74"/>
      <c r="CN39" s="74"/>
      <c r="CO39" s="74"/>
      <c r="CP39" s="74"/>
      <c r="CQ39" s="88"/>
    </row>
    <row r="40" spans="84:95" hidden="1" x14ac:dyDescent="0.2">
      <c r="CF40" s="130" t="s">
        <v>262</v>
      </c>
      <c r="CG40" s="131"/>
      <c r="CH40" s="131"/>
      <c r="CI40" s="74" t="s">
        <v>263</v>
      </c>
      <c r="CJ40" s="74"/>
      <c r="CK40" s="74"/>
      <c r="CL40" s="74"/>
      <c r="CM40" s="74"/>
      <c r="CN40" s="74"/>
      <c r="CO40" s="74"/>
      <c r="CP40" s="74"/>
      <c r="CQ40" s="88"/>
    </row>
    <row r="41" spans="84:95" hidden="1" x14ac:dyDescent="0.2">
      <c r="CF41" s="89"/>
      <c r="CG41" s="81"/>
      <c r="CH41" s="65" t="s">
        <v>228</v>
      </c>
      <c r="CI41" s="65" t="s">
        <v>229</v>
      </c>
      <c r="CJ41" s="65" t="s">
        <v>230</v>
      </c>
      <c r="CK41" s="65" t="s">
        <v>231</v>
      </c>
      <c r="CL41" s="65" t="s">
        <v>232</v>
      </c>
      <c r="CM41" s="65" t="s">
        <v>233</v>
      </c>
      <c r="CN41" s="65" t="s">
        <v>234</v>
      </c>
      <c r="CO41" s="65" t="s">
        <v>235</v>
      </c>
      <c r="CP41" s="74"/>
      <c r="CQ41" s="88"/>
    </row>
    <row r="42" spans="84:95" hidden="1" x14ac:dyDescent="0.2">
      <c r="CF42" s="80"/>
      <c r="CG42" s="74"/>
      <c r="CH42" s="71">
        <v>3.3614239742545502</v>
      </c>
      <c r="CI42" s="71">
        <v>3.38426406518745</v>
      </c>
      <c r="CJ42" s="71">
        <v>3.4138940790776999</v>
      </c>
      <c r="CK42" s="71">
        <v>3.4314671893760398</v>
      </c>
      <c r="CL42" s="71">
        <v>3.4539470339367302</v>
      </c>
      <c r="CM42" s="71">
        <v>3.47269459852044</v>
      </c>
      <c r="CN42" s="71">
        <v>3.49005249564626</v>
      </c>
      <c r="CO42" s="71">
        <v>3.5070492246636702</v>
      </c>
      <c r="CP42" s="74"/>
      <c r="CQ42" s="87">
        <f>AVERAGE(CH42:CO42)</f>
        <v>3.4393490825828557</v>
      </c>
    </row>
    <row r="43" spans="84:95" hidden="1" x14ac:dyDescent="0.2">
      <c r="CF43" s="80"/>
      <c r="CG43" s="74"/>
      <c r="CH43" s="74"/>
      <c r="CI43" s="74"/>
      <c r="CJ43" s="74"/>
      <c r="CK43" s="74"/>
      <c r="CL43" s="74"/>
      <c r="CM43" s="74"/>
      <c r="CN43" s="74"/>
      <c r="CO43" s="74"/>
      <c r="CP43" s="74"/>
      <c r="CQ43" s="88"/>
    </row>
    <row r="44" spans="84:95" hidden="1" x14ac:dyDescent="0.2">
      <c r="CF44" s="80"/>
      <c r="CG44" s="74"/>
      <c r="CH44" s="74"/>
      <c r="CI44" s="74"/>
      <c r="CJ44" s="74"/>
      <c r="CK44" s="74"/>
      <c r="CL44" s="74"/>
      <c r="CM44" s="74"/>
      <c r="CN44" s="74"/>
      <c r="CO44" s="74"/>
      <c r="CP44" s="90" t="s">
        <v>264</v>
      </c>
      <c r="CQ44" s="91">
        <f>(CQ42-CQ38)/CQ38</f>
        <v>2.9565220628416197E-2</v>
      </c>
    </row>
    <row r="45" spans="84:95" hidden="1" x14ac:dyDescent="0.2">
      <c r="CF45" s="92"/>
      <c r="CG45" s="93"/>
      <c r="CH45" s="93"/>
      <c r="CI45" s="93"/>
      <c r="CJ45" s="93"/>
      <c r="CK45" s="93"/>
      <c r="CL45" s="93"/>
      <c r="CM45" s="93"/>
      <c r="CN45" s="93"/>
      <c r="CO45" s="93"/>
      <c r="CP45" s="93"/>
      <c r="CQ45" s="94"/>
    </row>
    <row r="46" spans="84:95" hidden="1" x14ac:dyDescent="0.2"/>
    <row r="47" spans="84:95" hidden="1" x14ac:dyDescent="0.2"/>
    <row r="48" spans="84:95" hidden="1" x14ac:dyDescent="0.2"/>
  </sheetData>
  <mergeCells count="3">
    <mergeCell ref="A1:B1"/>
    <mergeCell ref="CF24:CH24"/>
    <mergeCell ref="CF40:CH40"/>
  </mergeCells>
  <pageMargins left="0.25" right="0.25" top="1" bottom="1" header="0.5" footer="0.5"/>
  <pageSetup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FAE1C-260B-44EC-9970-A44B27DD86AD}">
  <dimension ref="B1:L59"/>
  <sheetViews>
    <sheetView topLeftCell="A8" zoomScale="90" zoomScaleNormal="90" workbookViewId="0">
      <selection activeCell="C44" sqref="C44"/>
    </sheetView>
  </sheetViews>
  <sheetFormatPr defaultColWidth="9.140625" defaultRowHeight="13.5" x14ac:dyDescent="0.25"/>
  <cols>
    <col min="1" max="1" width="5.5703125" style="16" customWidth="1"/>
    <col min="2" max="2" width="41.28515625" style="16" customWidth="1"/>
    <col min="3" max="3" width="17.140625" style="16" customWidth="1"/>
    <col min="4" max="4" width="45.5703125" style="16" customWidth="1"/>
    <col min="5" max="5" width="31.140625" style="58" customWidth="1"/>
    <col min="6" max="6" width="33.42578125" style="58" customWidth="1"/>
    <col min="7" max="7" width="4.28515625" style="16" customWidth="1"/>
    <col min="8" max="8" width="9.5703125" style="16" customWidth="1"/>
    <col min="9" max="9" width="17.5703125" style="16" customWidth="1"/>
    <col min="10" max="10" width="12" style="59" customWidth="1"/>
    <col min="11" max="11" width="14.28515625" style="16" customWidth="1"/>
    <col min="12" max="12" width="9.140625" style="16"/>
    <col min="13" max="14" width="13.7109375" style="16" customWidth="1"/>
    <col min="15" max="73" width="9.140625" style="16"/>
    <col min="74" max="78" width="0" style="16" hidden="1" customWidth="1"/>
    <col min="79" max="97" width="9.140625" style="16"/>
    <col min="98" max="110" width="0" style="16" hidden="1" customWidth="1"/>
    <col min="111" max="225" width="9.140625" style="16"/>
    <col min="226" max="226" width="5.5703125" style="16" customWidth="1"/>
    <col min="227" max="227" width="58" style="16" customWidth="1"/>
    <col min="228" max="228" width="24.140625" style="16" customWidth="1"/>
    <col min="229" max="230" width="0" style="16" hidden="1" customWidth="1"/>
    <col min="231" max="231" width="61.42578125" style="16" customWidth="1"/>
    <col min="232" max="232" width="62.140625" style="16" customWidth="1"/>
    <col min="233" max="236" width="0" style="16" hidden="1" customWidth="1"/>
    <col min="237" max="16384" width="9.140625" style="16"/>
  </cols>
  <sheetData>
    <row r="1" spans="2:12" ht="15" x14ac:dyDescent="0.25">
      <c r="B1" s="12"/>
      <c r="C1" s="13" t="s">
        <v>28</v>
      </c>
      <c r="D1" s="12"/>
      <c r="E1" s="14"/>
      <c r="F1" s="14"/>
      <c r="G1" s="12"/>
      <c r="H1" s="12"/>
      <c r="I1" s="13" t="s">
        <v>28</v>
      </c>
      <c r="J1" s="15"/>
      <c r="K1" s="12"/>
      <c r="L1" s="12"/>
    </row>
    <row r="2" spans="2:12" ht="15" x14ac:dyDescent="0.25">
      <c r="B2" s="12"/>
      <c r="C2" s="17">
        <v>45047</v>
      </c>
      <c r="D2" s="12"/>
      <c r="E2" s="14"/>
      <c r="F2" s="14"/>
      <c r="G2" s="12"/>
      <c r="H2" s="12"/>
      <c r="I2" s="17">
        <v>44317</v>
      </c>
      <c r="J2" s="15"/>
      <c r="K2" s="12"/>
      <c r="L2" s="12"/>
    </row>
    <row r="3" spans="2:12" ht="15" x14ac:dyDescent="0.25">
      <c r="B3" s="18"/>
      <c r="C3" s="19" t="s">
        <v>29</v>
      </c>
      <c r="D3" s="12"/>
      <c r="E3" s="14"/>
      <c r="F3" s="14"/>
      <c r="G3" s="12"/>
      <c r="H3" s="12"/>
      <c r="I3" s="19" t="s">
        <v>29</v>
      </c>
      <c r="J3" s="15"/>
      <c r="K3" s="12"/>
      <c r="L3" s="12"/>
    </row>
    <row r="4" spans="2:12" ht="24.95" customHeight="1" thickBot="1" x14ac:dyDescent="0.3">
      <c r="B4" s="20" t="s">
        <v>30</v>
      </c>
      <c r="C4" s="21" t="s">
        <v>31</v>
      </c>
      <c r="D4" s="20" t="s">
        <v>32</v>
      </c>
      <c r="E4" s="22" t="s">
        <v>33</v>
      </c>
      <c r="F4" s="22" t="s">
        <v>34</v>
      </c>
      <c r="G4" s="12"/>
      <c r="H4" s="12"/>
      <c r="I4" s="21" t="s">
        <v>31</v>
      </c>
      <c r="J4" s="23" t="s">
        <v>35</v>
      </c>
      <c r="K4" s="12"/>
      <c r="L4" s="12"/>
    </row>
    <row r="5" spans="2:12" ht="39.950000000000003" customHeight="1" thickBot="1" x14ac:dyDescent="0.3">
      <c r="B5" s="24" t="s">
        <v>36</v>
      </c>
      <c r="C5" s="25">
        <f>'[19]DC  CNA  DC III'!I8</f>
        <v>20.792100000000001</v>
      </c>
      <c r="D5" s="134" t="s">
        <v>37</v>
      </c>
      <c r="E5" s="132" t="s">
        <v>38</v>
      </c>
      <c r="F5" s="132" t="s">
        <v>39</v>
      </c>
      <c r="G5" s="26"/>
      <c r="H5" s="26"/>
      <c r="I5" s="27">
        <v>19.000800000000002</v>
      </c>
      <c r="J5" s="28">
        <f t="shared" ref="J5:J34" si="0">C5-I5</f>
        <v>1.7912999999999997</v>
      </c>
      <c r="K5" s="29">
        <f>J5/I5</f>
        <v>9.4274977895667522E-2</v>
      </c>
      <c r="L5" s="12"/>
    </row>
    <row r="6" spans="2:12" ht="15.75" thickBot="1" x14ac:dyDescent="0.3">
      <c r="B6" s="30" t="s">
        <v>40</v>
      </c>
      <c r="C6" s="31">
        <f>C5*2080</f>
        <v>43247.567999999999</v>
      </c>
      <c r="D6" s="135"/>
      <c r="E6" s="133"/>
      <c r="F6" s="133"/>
      <c r="G6" s="32"/>
      <c r="H6" s="32"/>
      <c r="I6" s="27">
        <v>39521.664000000004</v>
      </c>
      <c r="J6" s="33">
        <f t="shared" si="0"/>
        <v>3725.903999999995</v>
      </c>
      <c r="K6" s="29">
        <f t="shared" ref="K6:K34" si="1">J6/I6</f>
        <v>9.4274977895667411E-2</v>
      </c>
      <c r="L6" s="12"/>
    </row>
    <row r="7" spans="2:12" ht="16.5" customHeight="1" thickBot="1" x14ac:dyDescent="0.3">
      <c r="B7" s="34" t="s">
        <v>41</v>
      </c>
      <c r="C7" s="25">
        <f>'[19]DC  CNA  DC III'!I21</f>
        <v>27.027519999999999</v>
      </c>
      <c r="D7" s="26" t="s">
        <v>42</v>
      </c>
      <c r="E7" s="132" t="s">
        <v>43</v>
      </c>
      <c r="F7" s="132" t="s">
        <v>44</v>
      </c>
      <c r="G7" s="26"/>
      <c r="H7" s="26"/>
      <c r="I7" s="27">
        <v>24.241120000000002</v>
      </c>
      <c r="J7" s="28">
        <f t="shared" si="0"/>
        <v>2.7863999999999969</v>
      </c>
      <c r="K7" s="29">
        <f t="shared" si="1"/>
        <v>0.1149451840509018</v>
      </c>
      <c r="L7" s="12"/>
    </row>
    <row r="8" spans="2:12" ht="30.75" thickBot="1" x14ac:dyDescent="0.3">
      <c r="B8" s="35" t="s">
        <v>45</v>
      </c>
      <c r="C8" s="36">
        <f>C7*2080</f>
        <v>56217.241600000001</v>
      </c>
      <c r="D8" s="14" t="s">
        <v>46</v>
      </c>
      <c r="E8" s="136"/>
      <c r="F8" s="136"/>
      <c r="G8" s="32"/>
      <c r="H8" s="32"/>
      <c r="I8" s="27">
        <v>50421.529600000002</v>
      </c>
      <c r="J8" s="33">
        <f t="shared" si="0"/>
        <v>5795.7119999999995</v>
      </c>
      <c r="K8" s="29">
        <f t="shared" si="1"/>
        <v>0.11494518405090193</v>
      </c>
      <c r="L8" s="12"/>
    </row>
    <row r="9" spans="2:12" ht="26.1" customHeight="1" thickBot="1" x14ac:dyDescent="0.3">
      <c r="B9" s="34" t="s">
        <v>47</v>
      </c>
      <c r="C9" s="25">
        <f>'[19]DC  CNA  DC III'!I13</f>
        <v>21.417999999999999</v>
      </c>
      <c r="D9" s="26"/>
      <c r="E9" s="132" t="s">
        <v>48</v>
      </c>
      <c r="F9" s="132" t="s">
        <v>49</v>
      </c>
      <c r="G9" s="26"/>
      <c r="H9" s="26"/>
      <c r="I9" s="27">
        <v>18.008399999999998</v>
      </c>
      <c r="J9" s="28">
        <f t="shared" si="0"/>
        <v>3.4096000000000011</v>
      </c>
      <c r="K9" s="29">
        <f t="shared" si="1"/>
        <v>0.18933386641789396</v>
      </c>
      <c r="L9" s="12"/>
    </row>
    <row r="10" spans="2:12" ht="15.75" thickBot="1" x14ac:dyDescent="0.3">
      <c r="B10" s="37" t="s">
        <v>50</v>
      </c>
      <c r="C10" s="31">
        <f>'[19]DC  CNA  DC III'!J13</f>
        <v>44549.439999999995</v>
      </c>
      <c r="D10" s="32"/>
      <c r="E10" s="133"/>
      <c r="F10" s="133"/>
      <c r="G10" s="12"/>
      <c r="H10" s="12"/>
      <c r="I10" s="27">
        <v>37457.471999999994</v>
      </c>
      <c r="J10" s="33">
        <f t="shared" si="0"/>
        <v>7091.9680000000008</v>
      </c>
      <c r="K10" s="29">
        <f t="shared" si="1"/>
        <v>0.18933386641789393</v>
      </c>
      <c r="L10" s="12"/>
    </row>
    <row r="11" spans="2:12" ht="15.75" thickBot="1" x14ac:dyDescent="0.3">
      <c r="B11" s="34" t="s">
        <v>51</v>
      </c>
      <c r="C11" s="25">
        <f>'[19]Case Social Worker.Manager'!J6</f>
        <v>30.979999999999997</v>
      </c>
      <c r="D11" s="26" t="s">
        <v>52</v>
      </c>
      <c r="E11" s="132" t="s">
        <v>53</v>
      </c>
      <c r="F11" s="132" t="s">
        <v>54</v>
      </c>
      <c r="G11" s="34"/>
      <c r="H11" s="26"/>
      <c r="I11" s="27">
        <v>24.3888</v>
      </c>
      <c r="J11" s="28">
        <f t="shared" si="0"/>
        <v>6.5911999999999971</v>
      </c>
      <c r="K11" s="29">
        <f t="shared" si="1"/>
        <v>0.27025519910778706</v>
      </c>
      <c r="L11" s="12"/>
    </row>
    <row r="12" spans="2:12" ht="15.75" thickBot="1" x14ac:dyDescent="0.3">
      <c r="B12" s="35" t="s">
        <v>55</v>
      </c>
      <c r="C12" s="36">
        <f>C11*2080</f>
        <v>64438.399999999994</v>
      </c>
      <c r="D12" s="12" t="s">
        <v>56</v>
      </c>
      <c r="E12" s="136"/>
      <c r="F12" s="136"/>
      <c r="G12" s="37"/>
      <c r="H12" s="32"/>
      <c r="I12" s="27">
        <v>50728.703999999998</v>
      </c>
      <c r="J12" s="28">
        <f t="shared" si="0"/>
        <v>13709.695999999996</v>
      </c>
      <c r="K12" s="29">
        <f t="shared" si="1"/>
        <v>0.27025519910778711</v>
      </c>
      <c r="L12" s="12"/>
    </row>
    <row r="13" spans="2:12" ht="40.5" customHeight="1" thickBot="1" x14ac:dyDescent="0.3">
      <c r="B13" s="38" t="s">
        <v>57</v>
      </c>
      <c r="C13" s="25">
        <f>'[19]Case Social Worker.Manager'!J13</f>
        <v>33.755499999999998</v>
      </c>
      <c r="D13" s="26" t="s">
        <v>58</v>
      </c>
      <c r="E13" s="132" t="s">
        <v>59</v>
      </c>
      <c r="F13" s="132" t="s">
        <v>60</v>
      </c>
      <c r="G13" s="34"/>
      <c r="H13" s="26"/>
      <c r="I13" s="27">
        <v>30.569499999999998</v>
      </c>
      <c r="J13" s="28">
        <f t="shared" si="0"/>
        <v>3.1859999999999999</v>
      </c>
      <c r="K13" s="29">
        <f t="shared" si="1"/>
        <v>0.10422152799358839</v>
      </c>
      <c r="L13" s="12"/>
    </row>
    <row r="14" spans="2:12" ht="30.75" thickBot="1" x14ac:dyDescent="0.3">
      <c r="B14" s="39" t="s">
        <v>61</v>
      </c>
      <c r="C14" s="31">
        <f>C13*2080</f>
        <v>70211.44</v>
      </c>
      <c r="D14" s="32" t="s">
        <v>62</v>
      </c>
      <c r="E14" s="133"/>
      <c r="F14" s="133"/>
      <c r="G14" s="37"/>
      <c r="H14" s="32"/>
      <c r="I14" s="27">
        <v>63584.56</v>
      </c>
      <c r="J14" s="28">
        <f t="shared" si="0"/>
        <v>6626.8800000000047</v>
      </c>
      <c r="K14" s="29">
        <f t="shared" si="1"/>
        <v>0.10422152799358846</v>
      </c>
      <c r="L14" s="12"/>
    </row>
    <row r="15" spans="2:12" ht="15.75" thickBot="1" x14ac:dyDescent="0.3">
      <c r="B15" s="34" t="s">
        <v>63</v>
      </c>
      <c r="C15" s="25">
        <f>[19]Nursing!J4</f>
        <v>35.506799999999998</v>
      </c>
      <c r="D15" s="26"/>
      <c r="E15" s="132" t="s">
        <v>64</v>
      </c>
      <c r="F15" s="132" t="s">
        <v>65</v>
      </c>
      <c r="G15" s="12"/>
      <c r="H15" s="12"/>
      <c r="I15" s="27">
        <v>29.084</v>
      </c>
      <c r="J15" s="28">
        <f t="shared" si="0"/>
        <v>6.4227999999999987</v>
      </c>
      <c r="K15" s="29">
        <f t="shared" si="1"/>
        <v>0.2208361985971668</v>
      </c>
      <c r="L15" s="12"/>
    </row>
    <row r="16" spans="2:12" ht="15.75" thickBot="1" x14ac:dyDescent="0.3">
      <c r="B16" s="37" t="s">
        <v>66</v>
      </c>
      <c r="C16" s="31">
        <f>C15*2080</f>
        <v>73854.144</v>
      </c>
      <c r="D16" s="32" t="s">
        <v>67</v>
      </c>
      <c r="E16" s="133"/>
      <c r="F16" s="133"/>
      <c r="G16" s="12"/>
      <c r="H16" s="12"/>
      <c r="I16" s="27">
        <v>60494.720000000001</v>
      </c>
      <c r="J16" s="28">
        <f t="shared" si="0"/>
        <v>13359.423999999999</v>
      </c>
      <c r="K16" s="29">
        <f t="shared" si="1"/>
        <v>0.2208361985971668</v>
      </c>
      <c r="L16" s="12"/>
    </row>
    <row r="17" spans="2:12" ht="15.75" thickBot="1" x14ac:dyDescent="0.3">
      <c r="B17" s="34" t="s">
        <v>68</v>
      </c>
      <c r="C17" s="25">
        <f>[19]Clinical!J8</f>
        <v>40.211399999999998</v>
      </c>
      <c r="D17" s="26" t="s">
        <v>69</v>
      </c>
      <c r="E17" s="132" t="s">
        <v>70</v>
      </c>
      <c r="F17" s="132" t="s">
        <v>71</v>
      </c>
      <c r="G17" s="34"/>
      <c r="H17" s="26"/>
      <c r="I17" s="27">
        <v>35.178200000000004</v>
      </c>
      <c r="J17" s="28">
        <f t="shared" si="0"/>
        <v>5.0331999999999937</v>
      </c>
      <c r="K17" s="29">
        <f t="shared" si="1"/>
        <v>0.14307724670392438</v>
      </c>
      <c r="L17" s="12"/>
    </row>
    <row r="18" spans="2:12" ht="15.75" thickBot="1" x14ac:dyDescent="0.3">
      <c r="B18" s="37" t="s">
        <v>72</v>
      </c>
      <c r="C18" s="31">
        <f>C17*2080</f>
        <v>83639.712</v>
      </c>
      <c r="D18" s="32"/>
      <c r="E18" s="133"/>
      <c r="F18" s="133"/>
      <c r="G18" s="37"/>
      <c r="H18" s="32"/>
      <c r="I18" s="27">
        <v>73170.656000000003</v>
      </c>
      <c r="J18" s="28">
        <f t="shared" si="0"/>
        <v>10469.055999999997</v>
      </c>
      <c r="K18" s="29">
        <f t="shared" si="1"/>
        <v>0.14307724670392455</v>
      </c>
      <c r="L18" s="12"/>
    </row>
    <row r="19" spans="2:12" ht="15.75" thickBot="1" x14ac:dyDescent="0.3">
      <c r="B19" s="34" t="s">
        <v>73</v>
      </c>
      <c r="C19" s="40">
        <f>[19]Therapies!I5</f>
        <v>36.818800000000003</v>
      </c>
      <c r="D19" s="26"/>
      <c r="E19" s="132" t="s">
        <v>74</v>
      </c>
      <c r="F19" s="132" t="s">
        <v>75</v>
      </c>
      <c r="G19" s="12"/>
      <c r="H19" s="12"/>
      <c r="I19" s="27">
        <v>30.937200000000001</v>
      </c>
      <c r="J19" s="28">
        <f t="shared" si="0"/>
        <v>5.8816000000000024</v>
      </c>
      <c r="K19" s="29">
        <f t="shared" si="1"/>
        <v>0.19011416676363738</v>
      </c>
      <c r="L19" s="12"/>
    </row>
    <row r="20" spans="2:12" ht="15.75" thickBot="1" x14ac:dyDescent="0.3">
      <c r="B20" s="37" t="s">
        <v>76</v>
      </c>
      <c r="C20" s="31">
        <f>C19*2080</f>
        <v>76583.104000000007</v>
      </c>
      <c r="D20" s="32"/>
      <c r="E20" s="133"/>
      <c r="F20" s="133"/>
      <c r="G20" s="12"/>
      <c r="H20" s="12"/>
      <c r="I20" s="27">
        <v>64349.376000000004</v>
      </c>
      <c r="J20" s="28">
        <f t="shared" si="0"/>
        <v>12233.728000000003</v>
      </c>
      <c r="K20" s="29">
        <f t="shared" si="1"/>
        <v>0.19011416676363735</v>
      </c>
      <c r="L20" s="12"/>
    </row>
    <row r="21" spans="2:12" ht="15.75" thickBot="1" x14ac:dyDescent="0.3">
      <c r="B21" s="35" t="s">
        <v>77</v>
      </c>
      <c r="C21" s="41">
        <f>[19]Management!J4</f>
        <v>38.860399999999998</v>
      </c>
      <c r="D21" s="12" t="s">
        <v>78</v>
      </c>
      <c r="E21" s="132" t="s">
        <v>79</v>
      </c>
      <c r="F21" s="137" t="s">
        <v>80</v>
      </c>
      <c r="G21" s="34"/>
      <c r="H21" s="26"/>
      <c r="I21" s="27">
        <v>35.084000000000003</v>
      </c>
      <c r="J21" s="28">
        <f t="shared" si="0"/>
        <v>3.7763999999999953</v>
      </c>
      <c r="K21" s="29">
        <f t="shared" si="1"/>
        <v>0.10763880971382953</v>
      </c>
      <c r="L21" s="12"/>
    </row>
    <row r="22" spans="2:12" ht="15.75" thickBot="1" x14ac:dyDescent="0.3">
      <c r="B22" s="37" t="s">
        <v>81</v>
      </c>
      <c r="C22" s="31">
        <f>C21*2080</f>
        <v>80829.631999999998</v>
      </c>
      <c r="D22" s="32" t="s">
        <v>82</v>
      </c>
      <c r="E22" s="133"/>
      <c r="F22" s="138"/>
      <c r="G22" s="37"/>
      <c r="H22" s="32"/>
      <c r="I22" s="27">
        <v>72974.720000000001</v>
      </c>
      <c r="J22" s="28">
        <f t="shared" si="0"/>
        <v>7854.9119999999966</v>
      </c>
      <c r="K22" s="29">
        <f t="shared" si="1"/>
        <v>0.10763880971382962</v>
      </c>
      <c r="L22" s="12"/>
    </row>
    <row r="23" spans="2:12" ht="15.75" thickBot="1" x14ac:dyDescent="0.3">
      <c r="B23" s="42" t="s">
        <v>83</v>
      </c>
      <c r="C23" s="41">
        <f>[19]Therapies!I11</f>
        <v>39.750500000000002</v>
      </c>
      <c r="D23" s="12" t="s">
        <v>84</v>
      </c>
      <c r="E23" s="132" t="s">
        <v>59</v>
      </c>
      <c r="F23" s="132" t="s">
        <v>85</v>
      </c>
      <c r="G23" s="34"/>
      <c r="H23" s="26"/>
      <c r="I23" s="27">
        <v>38.650100000000002</v>
      </c>
      <c r="J23" s="28">
        <f t="shared" si="0"/>
        <v>1.1004000000000005</v>
      </c>
      <c r="K23" s="29">
        <f t="shared" si="1"/>
        <v>2.8470818962952241E-2</v>
      </c>
      <c r="L23" s="12"/>
    </row>
    <row r="24" spans="2:12" ht="15.75" thickBot="1" x14ac:dyDescent="0.3">
      <c r="B24" s="30" t="s">
        <v>86</v>
      </c>
      <c r="C24" s="31">
        <f>C23*2080</f>
        <v>82681.040000000008</v>
      </c>
      <c r="D24" s="32"/>
      <c r="E24" s="133"/>
      <c r="F24" s="133"/>
      <c r="G24" s="37"/>
      <c r="H24" s="32"/>
      <c r="I24" s="27">
        <v>80392.207999999999</v>
      </c>
      <c r="J24" s="28">
        <f t="shared" si="0"/>
        <v>2288.8320000000094</v>
      </c>
      <c r="K24" s="29">
        <f t="shared" si="1"/>
        <v>2.8470818962952348E-2</v>
      </c>
      <c r="L24" s="12"/>
    </row>
    <row r="25" spans="2:12" ht="15.75" thickBot="1" x14ac:dyDescent="0.3">
      <c r="B25" s="35" t="s">
        <v>87</v>
      </c>
      <c r="C25" s="41">
        <f>[19]Therapies!I17</f>
        <v>42.784640000000003</v>
      </c>
      <c r="D25" s="12" t="s">
        <v>88</v>
      </c>
      <c r="E25" s="132" t="s">
        <v>59</v>
      </c>
      <c r="F25" s="132" t="s">
        <v>89</v>
      </c>
      <c r="G25" s="35"/>
      <c r="H25" s="12"/>
      <c r="I25" s="27">
        <v>40.563600000000001</v>
      </c>
      <c r="J25" s="28">
        <f t="shared" si="0"/>
        <v>2.2210400000000021</v>
      </c>
      <c r="K25" s="29">
        <f t="shared" si="1"/>
        <v>5.4754508968632029E-2</v>
      </c>
      <c r="L25" s="12"/>
    </row>
    <row r="26" spans="2:12" ht="15.75" thickBot="1" x14ac:dyDescent="0.3">
      <c r="B26" s="37" t="s">
        <v>90</v>
      </c>
      <c r="C26" s="36">
        <f>C25*2080</f>
        <v>88992.051200000002</v>
      </c>
      <c r="D26" s="12"/>
      <c r="E26" s="133"/>
      <c r="F26" s="133"/>
      <c r="G26" s="37"/>
      <c r="H26" s="32"/>
      <c r="I26" s="27">
        <v>84372.288</v>
      </c>
      <c r="J26" s="28">
        <f t="shared" si="0"/>
        <v>4619.7632000000012</v>
      </c>
      <c r="K26" s="29">
        <f t="shared" si="1"/>
        <v>5.4754508968631987E-2</v>
      </c>
      <c r="L26" s="12"/>
    </row>
    <row r="27" spans="2:12" ht="15.75" thickBot="1" x14ac:dyDescent="0.3">
      <c r="B27" s="34" t="s">
        <v>91</v>
      </c>
      <c r="C27" s="25">
        <f>[19]Clinical!J14</f>
        <v>48.945399999999999</v>
      </c>
      <c r="D27" s="139" t="s">
        <v>92</v>
      </c>
      <c r="E27" s="132" t="s">
        <v>93</v>
      </c>
      <c r="F27" s="132" t="s">
        <v>94</v>
      </c>
      <c r="G27" s="34"/>
      <c r="H27" s="26"/>
      <c r="I27" s="27">
        <v>43.1312</v>
      </c>
      <c r="J27" s="28">
        <f t="shared" si="0"/>
        <v>5.8141999999999996</v>
      </c>
      <c r="K27" s="29">
        <f t="shared" si="1"/>
        <v>0.13480264866268502</v>
      </c>
      <c r="L27" s="12"/>
    </row>
    <row r="28" spans="2:12" ht="15.75" thickBot="1" x14ac:dyDescent="0.3">
      <c r="B28" s="37" t="s">
        <v>95</v>
      </c>
      <c r="C28" s="31">
        <f>C27*2080</f>
        <v>101806.432</v>
      </c>
      <c r="D28" s="140"/>
      <c r="E28" s="133"/>
      <c r="F28" s="133"/>
      <c r="G28" s="37"/>
      <c r="H28" s="32"/>
      <c r="I28" s="27">
        <v>89712.895999999993</v>
      </c>
      <c r="J28" s="28">
        <f t="shared" si="0"/>
        <v>12093.536000000007</v>
      </c>
      <c r="K28" s="29">
        <f t="shared" si="1"/>
        <v>0.1348026486626851</v>
      </c>
      <c r="L28" s="12"/>
    </row>
    <row r="29" spans="2:12" ht="15.75" thickBot="1" x14ac:dyDescent="0.3">
      <c r="B29" s="24" t="s">
        <v>96</v>
      </c>
      <c r="C29" s="25">
        <f>[19]Therapies!I21</f>
        <v>44.301760000000002</v>
      </c>
      <c r="D29" s="26"/>
      <c r="E29" s="132" t="s">
        <v>59</v>
      </c>
      <c r="F29" s="132" t="s">
        <v>97</v>
      </c>
      <c r="G29" s="34"/>
      <c r="H29" s="26"/>
      <c r="I29" s="27">
        <v>43.066240000000008</v>
      </c>
      <c r="J29" s="28">
        <f t="shared" si="0"/>
        <v>1.235519999999994</v>
      </c>
      <c r="K29" s="29">
        <f t="shared" si="1"/>
        <v>2.8688829115334744E-2</v>
      </c>
      <c r="L29" s="12"/>
    </row>
    <row r="30" spans="2:12" ht="15.75" thickBot="1" x14ac:dyDescent="0.3">
      <c r="B30" s="30" t="s">
        <v>98</v>
      </c>
      <c r="C30" s="31">
        <f>C29*2080</f>
        <v>92147.660799999998</v>
      </c>
      <c r="D30" s="32"/>
      <c r="E30" s="133"/>
      <c r="F30" s="133"/>
      <c r="G30" s="37"/>
      <c r="H30" s="32"/>
      <c r="I30" s="27">
        <v>89577.779200000019</v>
      </c>
      <c r="J30" s="28">
        <f t="shared" si="0"/>
        <v>2569.8815999999788</v>
      </c>
      <c r="K30" s="29">
        <f t="shared" si="1"/>
        <v>2.8688829115334647E-2</v>
      </c>
      <c r="L30" s="12"/>
    </row>
    <row r="31" spans="2:12" ht="15.75" thickBot="1" x14ac:dyDescent="0.3">
      <c r="B31" s="34" t="s">
        <v>99</v>
      </c>
      <c r="C31" s="25">
        <f>[19]Nursing!J8</f>
        <v>49.818400000000004</v>
      </c>
      <c r="D31" s="26"/>
      <c r="E31" s="132" t="s">
        <v>100</v>
      </c>
      <c r="F31" s="132" t="s">
        <v>101</v>
      </c>
      <c r="G31" s="34"/>
      <c r="H31" s="26"/>
      <c r="I31" s="27">
        <v>47.109200000000001</v>
      </c>
      <c r="J31" s="28">
        <f t="shared" si="0"/>
        <v>2.7092000000000027</v>
      </c>
      <c r="K31" s="29">
        <f t="shared" si="1"/>
        <v>5.7508936683280602E-2</v>
      </c>
      <c r="L31" s="12"/>
    </row>
    <row r="32" spans="2:12" ht="15.75" thickBot="1" x14ac:dyDescent="0.3">
      <c r="B32" s="37" t="s">
        <v>102</v>
      </c>
      <c r="C32" s="31">
        <f>C31*2080</f>
        <v>103622.27200000001</v>
      </c>
      <c r="D32" s="32"/>
      <c r="E32" s="133"/>
      <c r="F32" s="133"/>
      <c r="G32" s="37"/>
      <c r="H32" s="32"/>
      <c r="I32" s="27">
        <v>97987.135999999999</v>
      </c>
      <c r="J32" s="28">
        <f t="shared" si="0"/>
        <v>5635.1360000000132</v>
      </c>
      <c r="K32" s="29">
        <f t="shared" si="1"/>
        <v>5.7508936683280686E-2</v>
      </c>
      <c r="L32" s="12"/>
    </row>
    <row r="33" spans="2:12" ht="15.75" thickBot="1" x14ac:dyDescent="0.3">
      <c r="B33" s="34" t="s">
        <v>103</v>
      </c>
      <c r="C33" s="25">
        <f>[19]Nursing!J13</f>
        <v>67.710800000000006</v>
      </c>
      <c r="D33" s="26"/>
      <c r="E33" s="132" t="s">
        <v>104</v>
      </c>
      <c r="F33" s="132" t="s">
        <v>105</v>
      </c>
      <c r="G33" s="34"/>
      <c r="H33" s="26"/>
      <c r="I33" s="27">
        <v>62.008800000000001</v>
      </c>
      <c r="J33" s="28">
        <f t="shared" si="0"/>
        <v>5.7020000000000053</v>
      </c>
      <c r="K33" s="29">
        <f t="shared" si="1"/>
        <v>9.1954690302021733E-2</v>
      </c>
      <c r="L33" s="12"/>
    </row>
    <row r="34" spans="2:12" ht="15.75" thickBot="1" x14ac:dyDescent="0.3">
      <c r="B34" s="37" t="s">
        <v>106</v>
      </c>
      <c r="C34" s="31">
        <f>C33*2080</f>
        <v>140838.46400000001</v>
      </c>
      <c r="D34" s="32"/>
      <c r="E34" s="133"/>
      <c r="F34" s="133"/>
      <c r="G34" s="37"/>
      <c r="H34" s="32"/>
      <c r="I34" s="27">
        <v>128978.304</v>
      </c>
      <c r="J34" s="28">
        <f t="shared" si="0"/>
        <v>11860.160000000003</v>
      </c>
      <c r="K34" s="29">
        <f t="shared" si="1"/>
        <v>9.1954690302021677E-2</v>
      </c>
      <c r="L34" s="12"/>
    </row>
    <row r="35" spans="2:12" ht="15" x14ac:dyDescent="0.25">
      <c r="B35" s="12"/>
      <c r="C35" s="12"/>
      <c r="D35" s="12"/>
      <c r="E35" s="14"/>
      <c r="F35" s="14"/>
      <c r="G35" s="12"/>
      <c r="H35" s="12"/>
      <c r="I35" s="12"/>
      <c r="J35" s="15"/>
      <c r="K35" s="43">
        <f>AVERAGE(K5:K34)</f>
        <v>0.12205850732928689</v>
      </c>
      <c r="L35" s="12"/>
    </row>
    <row r="36" spans="2:12" ht="30" x14ac:dyDescent="0.25">
      <c r="B36" s="44" t="s">
        <v>107</v>
      </c>
      <c r="C36" s="36">
        <f>C6</f>
        <v>43247.567999999999</v>
      </c>
      <c r="D36" s="12"/>
      <c r="E36" s="14"/>
      <c r="F36" s="14"/>
      <c r="G36" s="12"/>
      <c r="H36" s="12"/>
      <c r="I36" s="12"/>
      <c r="J36" s="15"/>
      <c r="K36" s="12"/>
      <c r="L36" s="12"/>
    </row>
    <row r="37" spans="2:12" ht="15" x14ac:dyDescent="0.25">
      <c r="B37" s="12"/>
      <c r="C37" s="45"/>
      <c r="D37" s="12"/>
      <c r="E37" s="14"/>
      <c r="F37" s="14"/>
      <c r="G37" s="12"/>
      <c r="H37" s="12"/>
      <c r="I37" s="12"/>
      <c r="J37" s="15"/>
      <c r="K37" s="12"/>
      <c r="L37" s="12"/>
    </row>
    <row r="38" spans="2:12" ht="15" x14ac:dyDescent="0.25">
      <c r="B38" s="46" t="s">
        <v>108</v>
      </c>
      <c r="C38" s="47">
        <v>0.24970000000000001</v>
      </c>
      <c r="D38" s="12" t="s">
        <v>109</v>
      </c>
      <c r="E38" s="14"/>
      <c r="F38" s="14"/>
      <c r="G38" s="12"/>
      <c r="H38" s="12"/>
      <c r="I38" s="48"/>
      <c r="J38" s="48"/>
      <c r="K38" s="49"/>
      <c r="L38" s="12"/>
    </row>
    <row r="39" spans="2:12" ht="19.5" customHeight="1" x14ac:dyDescent="0.25">
      <c r="B39" s="46"/>
      <c r="C39" s="45"/>
      <c r="D39" s="141" t="s">
        <v>110</v>
      </c>
      <c r="E39" s="141"/>
      <c r="F39" s="12"/>
      <c r="G39" s="12"/>
      <c r="H39" s="12"/>
      <c r="I39" s="12"/>
      <c r="J39" s="15"/>
      <c r="K39" s="12"/>
      <c r="L39" s="12"/>
    </row>
    <row r="40" spans="2:12" ht="15" x14ac:dyDescent="0.25">
      <c r="B40" s="12"/>
      <c r="C40" s="45"/>
      <c r="D40" s="12"/>
      <c r="E40" s="14"/>
      <c r="F40" s="14"/>
      <c r="G40" s="12"/>
      <c r="H40" s="12"/>
      <c r="I40" s="12"/>
      <c r="J40" s="15"/>
      <c r="K40" s="12"/>
      <c r="L40" s="12"/>
    </row>
    <row r="41" spans="2:12" ht="15" x14ac:dyDescent="0.25">
      <c r="B41" s="46" t="s">
        <v>19</v>
      </c>
      <c r="C41" s="50">
        <v>0.12</v>
      </c>
      <c r="D41" s="12" t="s">
        <v>111</v>
      </c>
      <c r="E41" s="14"/>
      <c r="F41" s="14"/>
      <c r="G41" s="12"/>
      <c r="H41" s="12"/>
      <c r="I41" s="51">
        <v>0.12</v>
      </c>
      <c r="J41" s="15"/>
      <c r="K41" s="12"/>
      <c r="L41" s="12"/>
    </row>
    <row r="42" spans="2:12" ht="15" x14ac:dyDescent="0.25">
      <c r="B42" s="46"/>
      <c r="C42" s="52"/>
      <c r="D42" s="12"/>
      <c r="E42" s="14"/>
      <c r="F42" s="14"/>
      <c r="G42" s="12"/>
      <c r="H42" s="12"/>
      <c r="I42" s="12"/>
      <c r="J42" s="15"/>
      <c r="K42" s="12"/>
      <c r="L42" s="12"/>
    </row>
    <row r="43" spans="2:12" ht="15" x14ac:dyDescent="0.25">
      <c r="B43" s="142" t="s">
        <v>112</v>
      </c>
      <c r="C43" s="142"/>
      <c r="D43" s="142"/>
      <c r="E43" s="14"/>
      <c r="F43" s="14"/>
      <c r="G43" s="12"/>
      <c r="H43" s="12"/>
      <c r="I43" s="12"/>
      <c r="J43" s="15"/>
      <c r="K43" s="12"/>
      <c r="L43" s="12"/>
    </row>
    <row r="44" spans="2:12" ht="15" x14ac:dyDescent="0.25">
      <c r="B44" s="53" t="s">
        <v>113</v>
      </c>
      <c r="C44" s="36">
        <v>247470</v>
      </c>
      <c r="D44" s="12" t="s">
        <v>114</v>
      </c>
      <c r="E44" s="14"/>
      <c r="F44" s="14"/>
      <c r="G44" s="12"/>
      <c r="H44" s="12"/>
      <c r="I44" s="54">
        <v>247150</v>
      </c>
      <c r="J44" s="15">
        <f t="shared" ref="J44:J52" si="2">C44-I44</f>
        <v>320</v>
      </c>
      <c r="K44" s="29">
        <f>J44/I44</f>
        <v>1.2947602670443051E-3</v>
      </c>
      <c r="L44" s="12"/>
    </row>
    <row r="45" spans="2:12" ht="15" x14ac:dyDescent="0.25">
      <c r="B45" s="46" t="s">
        <v>115</v>
      </c>
      <c r="C45" s="36">
        <v>252850</v>
      </c>
      <c r="D45" s="12" t="s">
        <v>116</v>
      </c>
      <c r="E45" s="14"/>
      <c r="F45" s="14"/>
      <c r="G45" s="12"/>
      <c r="H45" s="12"/>
      <c r="I45" s="54">
        <v>206010</v>
      </c>
      <c r="J45" s="15">
        <f t="shared" si="2"/>
        <v>46840</v>
      </c>
      <c r="K45" s="29">
        <f>J45/I45</f>
        <v>0.2273676035143925</v>
      </c>
      <c r="L45" s="12"/>
    </row>
    <row r="46" spans="2:12" ht="15" x14ac:dyDescent="0.25">
      <c r="B46" s="46" t="s">
        <v>117</v>
      </c>
      <c r="C46" s="36">
        <f>C34</f>
        <v>140838.46400000001</v>
      </c>
      <c r="D46" s="12" t="s">
        <v>118</v>
      </c>
      <c r="E46" s="14"/>
      <c r="F46" s="14"/>
      <c r="G46" s="12"/>
      <c r="H46" s="12"/>
      <c r="I46" s="54">
        <v>133902.08000000002</v>
      </c>
      <c r="J46" s="15">
        <f t="shared" si="2"/>
        <v>6936.3839999999909</v>
      </c>
      <c r="K46" s="29">
        <f>J46/I46</f>
        <v>5.1801913756679432E-2</v>
      </c>
      <c r="L46" s="12"/>
    </row>
    <row r="47" spans="2:12" ht="15" x14ac:dyDescent="0.25">
      <c r="B47" s="46" t="s">
        <v>119</v>
      </c>
      <c r="C47" s="55">
        <f>C6</f>
        <v>43247.567999999999</v>
      </c>
      <c r="D47" s="12" t="s">
        <v>120</v>
      </c>
      <c r="E47" s="14"/>
      <c r="F47" s="14"/>
      <c r="G47" s="12"/>
      <c r="H47" s="12"/>
      <c r="I47" s="54"/>
      <c r="J47" s="15">
        <f t="shared" si="2"/>
        <v>43247.567999999999</v>
      </c>
      <c r="K47" s="29"/>
      <c r="L47" s="12"/>
    </row>
    <row r="48" spans="2:12" ht="15" x14ac:dyDescent="0.25">
      <c r="B48" s="46" t="s">
        <v>121</v>
      </c>
      <c r="C48" s="55">
        <f>AVERAGE(C6,C8)</f>
        <v>49732.404800000004</v>
      </c>
      <c r="D48" s="12" t="s">
        <v>122</v>
      </c>
      <c r="E48" s="14"/>
      <c r="F48" s="14"/>
      <c r="G48" s="12"/>
      <c r="H48" s="12"/>
      <c r="I48" s="54"/>
      <c r="J48" s="15">
        <f t="shared" si="2"/>
        <v>49732.404800000004</v>
      </c>
      <c r="K48" s="29"/>
      <c r="L48" s="12"/>
    </row>
    <row r="49" spans="2:12" ht="15" x14ac:dyDescent="0.25">
      <c r="B49" s="46" t="s">
        <v>123</v>
      </c>
      <c r="C49" s="36">
        <f>C8</f>
        <v>56217.241600000001</v>
      </c>
      <c r="D49" s="12" t="s">
        <v>124</v>
      </c>
      <c r="E49" s="14"/>
      <c r="F49" s="14"/>
      <c r="G49" s="12"/>
      <c r="H49" s="12"/>
      <c r="I49" s="54"/>
      <c r="J49" s="15">
        <f t="shared" si="2"/>
        <v>56217.241600000001</v>
      </c>
      <c r="K49" s="29"/>
      <c r="L49" s="12"/>
    </row>
    <row r="50" spans="2:12" ht="15" x14ac:dyDescent="0.25">
      <c r="B50" s="46" t="s">
        <v>125</v>
      </c>
      <c r="C50" s="36">
        <f>[19]state_M2023_dl!O409*2080</f>
        <v>44847.296000000002</v>
      </c>
      <c r="D50" s="12" t="s">
        <v>126</v>
      </c>
      <c r="E50" s="14"/>
      <c r="F50" s="14"/>
      <c r="G50" s="12"/>
      <c r="H50" s="12"/>
      <c r="I50" s="54"/>
      <c r="J50" s="15">
        <f t="shared" si="2"/>
        <v>44847.296000000002</v>
      </c>
      <c r="K50" s="29"/>
      <c r="L50" s="12"/>
    </row>
    <row r="51" spans="2:12" ht="15" x14ac:dyDescent="0.25">
      <c r="B51" s="46" t="s">
        <v>127</v>
      </c>
      <c r="C51" s="55">
        <f>[19]state_M2023_dl!O609*2080</f>
        <v>51381.824000000001</v>
      </c>
      <c r="D51" s="12" t="s">
        <v>128</v>
      </c>
      <c r="E51" s="14"/>
      <c r="F51" s="14"/>
      <c r="G51" s="12"/>
      <c r="H51" s="12"/>
      <c r="I51" s="54"/>
      <c r="J51" s="15">
        <f t="shared" si="2"/>
        <v>51381.824000000001</v>
      </c>
      <c r="K51" s="29"/>
      <c r="L51" s="12"/>
    </row>
    <row r="52" spans="2:12" ht="15" x14ac:dyDescent="0.25">
      <c r="B52" s="46" t="s">
        <v>129</v>
      </c>
      <c r="C52" s="55">
        <f>28.49*2080</f>
        <v>59259.199999999997</v>
      </c>
      <c r="D52" s="12" t="s">
        <v>130</v>
      </c>
      <c r="E52" s="14"/>
      <c r="F52" s="14"/>
      <c r="G52" s="12"/>
      <c r="H52" s="12"/>
      <c r="I52" s="54"/>
      <c r="J52" s="15">
        <f t="shared" si="2"/>
        <v>59259.199999999997</v>
      </c>
      <c r="K52" s="29"/>
      <c r="L52" s="12"/>
    </row>
    <row r="53" spans="2:12" ht="15" x14ac:dyDescent="0.25">
      <c r="B53" s="46"/>
      <c r="C53" s="55"/>
      <c r="D53" s="12"/>
      <c r="E53" s="14"/>
      <c r="F53" s="14"/>
      <c r="G53" s="12"/>
      <c r="H53" s="12"/>
      <c r="I53" s="54"/>
      <c r="J53" s="15"/>
      <c r="K53" s="12"/>
      <c r="L53" s="12"/>
    </row>
    <row r="54" spans="2:12" ht="15" x14ac:dyDescent="0.25">
      <c r="B54" s="46"/>
      <c r="C54" s="55"/>
      <c r="D54" s="12"/>
      <c r="E54" s="14"/>
      <c r="F54" s="14"/>
      <c r="G54" s="12"/>
      <c r="H54" s="12"/>
      <c r="I54" s="54"/>
      <c r="J54" s="15"/>
      <c r="K54" s="12"/>
      <c r="L54" s="12"/>
    </row>
    <row r="55" spans="2:12" ht="15" x14ac:dyDescent="0.25">
      <c r="B55" s="143" t="s">
        <v>131</v>
      </c>
      <c r="C55" s="143"/>
      <c r="D55" s="143"/>
      <c r="E55" s="143"/>
      <c r="F55" s="143"/>
      <c r="G55" s="12"/>
      <c r="H55" s="12"/>
      <c r="I55" s="12"/>
      <c r="J55" s="15"/>
      <c r="K55" s="12"/>
      <c r="L55" s="12"/>
    </row>
    <row r="56" spans="2:12" ht="15" x14ac:dyDescent="0.25">
      <c r="B56" s="56" t="s">
        <v>132</v>
      </c>
      <c r="C56" s="12" t="s">
        <v>133</v>
      </c>
      <c r="D56" s="12"/>
      <c r="E56" s="14"/>
      <c r="F56" s="14"/>
      <c r="G56" s="12"/>
      <c r="H56" s="12"/>
      <c r="I56" s="12"/>
      <c r="J56" s="15"/>
      <c r="K56" s="12"/>
      <c r="L56" s="12"/>
    </row>
    <row r="57" spans="2:12" ht="66.599999999999994" customHeight="1" x14ac:dyDescent="0.25">
      <c r="B57" s="57"/>
      <c r="C57" s="141"/>
      <c r="D57" s="141"/>
      <c r="E57" s="141"/>
      <c r="F57" s="141"/>
      <c r="G57" s="141"/>
      <c r="H57" s="141"/>
      <c r="I57" s="141"/>
      <c r="J57" s="141"/>
      <c r="K57" s="12"/>
      <c r="L57" s="12"/>
    </row>
    <row r="58" spans="2:12" ht="15" x14ac:dyDescent="0.25">
      <c r="B58" s="12"/>
      <c r="C58" s="12"/>
      <c r="D58" s="12"/>
      <c r="E58" s="14"/>
      <c r="F58" s="14"/>
      <c r="G58" s="12"/>
      <c r="H58" s="12"/>
      <c r="I58" s="12"/>
      <c r="J58" s="15"/>
      <c r="K58" s="12"/>
      <c r="L58" s="12"/>
    </row>
    <row r="59" spans="2:12" ht="15" x14ac:dyDescent="0.25">
      <c r="B59" s="12"/>
      <c r="C59" s="12"/>
      <c r="D59" s="12"/>
      <c r="E59" s="14"/>
      <c r="F59" s="14"/>
      <c r="G59" s="12"/>
      <c r="H59" s="12"/>
      <c r="I59" s="12"/>
      <c r="J59" s="15"/>
      <c r="K59" s="12"/>
      <c r="L59" s="12"/>
    </row>
  </sheetData>
  <mergeCells count="36">
    <mergeCell ref="D39:E39"/>
    <mergeCell ref="B43:D43"/>
    <mergeCell ref="B55:F55"/>
    <mergeCell ref="C57:J57"/>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2" right="0.2" top="0.75" bottom="0.25" header="0.3" footer="0.3"/>
  <pageSetup scale="6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0A2A0-9A79-4E45-8399-009BC7BE7A09}">
  <dimension ref="A1:AE41"/>
  <sheetViews>
    <sheetView tabSelected="1" topLeftCell="B1" zoomScaleNormal="100" workbookViewId="0">
      <selection activeCell="P35" sqref="P35"/>
    </sheetView>
  </sheetViews>
  <sheetFormatPr defaultRowHeight="15" x14ac:dyDescent="0.25"/>
  <cols>
    <col min="1" max="1" width="11.42578125" hidden="1" customWidth="1"/>
    <col min="2" max="2" width="16.85546875" customWidth="1"/>
    <col min="3" max="3" width="26.5703125" bestFit="1" customWidth="1"/>
    <col min="4" max="4" width="11.5703125" bestFit="1" customWidth="1"/>
    <col min="5" max="5" width="10.28515625" bestFit="1" customWidth="1"/>
    <col min="6" max="6" width="18.85546875" customWidth="1"/>
    <col min="8" max="8" width="26.5703125" bestFit="1" customWidth="1"/>
    <col min="9" max="9" width="11.5703125" bestFit="1" customWidth="1"/>
    <col min="10" max="10" width="10.28515625" bestFit="1" customWidth="1"/>
    <col min="11" max="11" width="14.5703125" bestFit="1" customWidth="1"/>
    <col min="13" max="13" width="26.5703125" bestFit="1" customWidth="1"/>
    <col min="14" max="14" width="11.5703125" bestFit="1" customWidth="1"/>
    <col min="15" max="15" width="10.28515625" bestFit="1" customWidth="1"/>
    <col min="16" max="16" width="13.85546875" bestFit="1" customWidth="1"/>
    <col min="18" max="18" width="26.5703125" bestFit="1" customWidth="1"/>
    <col min="19" max="19" width="11.5703125" bestFit="1" customWidth="1"/>
    <col min="20" max="20" width="10.28515625" bestFit="1" customWidth="1"/>
    <col min="21" max="21" width="13.85546875" bestFit="1" customWidth="1"/>
    <col min="23" max="23" width="26.5703125" bestFit="1" customWidth="1"/>
    <col min="24" max="24" width="11.5703125" bestFit="1" customWidth="1"/>
    <col min="25" max="25" width="10.28515625" bestFit="1" customWidth="1"/>
    <col min="26" max="26" width="13.85546875" bestFit="1" customWidth="1"/>
    <col min="28" max="28" width="26.5703125" bestFit="1" customWidth="1"/>
    <col min="29" max="29" width="11.5703125" bestFit="1" customWidth="1"/>
    <col min="30" max="30" width="10.28515625" bestFit="1" customWidth="1"/>
    <col min="31" max="31" width="14.5703125" bestFit="1" customWidth="1"/>
  </cols>
  <sheetData>
    <row r="1" spans="1:31" ht="15.75" thickBot="1" x14ac:dyDescent="0.3"/>
    <row r="2" spans="1:31" ht="15.75" thickBot="1" x14ac:dyDescent="0.3">
      <c r="C2" s="147" t="s">
        <v>0</v>
      </c>
      <c r="D2" s="148"/>
      <c r="E2" s="148"/>
      <c r="F2" s="149"/>
      <c r="H2" s="147" t="s">
        <v>1</v>
      </c>
      <c r="I2" s="148"/>
      <c r="J2" s="148"/>
      <c r="K2" s="149"/>
      <c r="M2" s="147" t="s">
        <v>2</v>
      </c>
      <c r="N2" s="148"/>
      <c r="O2" s="148"/>
      <c r="P2" s="149"/>
      <c r="R2" s="147" t="s">
        <v>3</v>
      </c>
      <c r="S2" s="148"/>
      <c r="T2" s="148"/>
      <c r="U2" s="149"/>
      <c r="W2" s="147" t="s">
        <v>4</v>
      </c>
      <c r="X2" s="148"/>
      <c r="Y2" s="148"/>
      <c r="Z2" s="149"/>
      <c r="AB2" s="147" t="s">
        <v>5</v>
      </c>
      <c r="AC2" s="148"/>
      <c r="AD2" s="148"/>
      <c r="AE2" s="149"/>
    </row>
    <row r="3" spans="1:31" ht="15.75" thickBot="1" x14ac:dyDescent="0.3">
      <c r="C3" s="95" t="s">
        <v>6</v>
      </c>
      <c r="E3" t="s">
        <v>7</v>
      </c>
      <c r="F3" s="96">
        <f>'[20]Master Lookup'!$B$44</f>
        <v>5000</v>
      </c>
      <c r="H3" s="95" t="s">
        <v>6</v>
      </c>
      <c r="J3" t="s">
        <v>7</v>
      </c>
      <c r="K3" s="96">
        <f>'[20]Master Lookup'!$B$44</f>
        <v>5000</v>
      </c>
      <c r="M3" s="95" t="s">
        <v>6</v>
      </c>
      <c r="O3" t="s">
        <v>7</v>
      </c>
      <c r="P3" s="96">
        <f>'[20]Master Lookup'!$B$44</f>
        <v>5000</v>
      </c>
      <c r="R3" s="95" t="s">
        <v>6</v>
      </c>
      <c r="T3" t="s">
        <v>7</v>
      </c>
      <c r="U3" s="96">
        <f>'[20]Master Lookup'!$B$44</f>
        <v>5000</v>
      </c>
      <c r="W3" s="95" t="s">
        <v>6</v>
      </c>
      <c r="Y3" t="s">
        <v>7</v>
      </c>
      <c r="Z3" s="96">
        <f>'[20]Master Lookup'!$B$44</f>
        <v>5000</v>
      </c>
      <c r="AB3" s="95" t="s">
        <v>6</v>
      </c>
      <c r="AD3" t="s">
        <v>7</v>
      </c>
      <c r="AE3" s="96">
        <f>'[20]Master Lookup'!$B$44</f>
        <v>5000</v>
      </c>
    </row>
    <row r="4" spans="1:31" ht="15.75" thickBot="1" x14ac:dyDescent="0.3">
      <c r="C4" s="144" t="s">
        <v>8</v>
      </c>
      <c r="D4" s="145"/>
      <c r="E4" s="145"/>
      <c r="F4" s="146"/>
      <c r="H4" s="144" t="s">
        <v>8</v>
      </c>
      <c r="I4" s="145"/>
      <c r="J4" s="145"/>
      <c r="K4" s="146"/>
      <c r="M4" s="144" t="s">
        <v>8</v>
      </c>
      <c r="N4" s="145"/>
      <c r="O4" s="145"/>
      <c r="P4" s="146"/>
      <c r="R4" s="144" t="s">
        <v>8</v>
      </c>
      <c r="S4" s="145"/>
      <c r="T4" s="145"/>
      <c r="U4" s="146"/>
      <c r="W4" s="144" t="s">
        <v>8</v>
      </c>
      <c r="X4" s="145"/>
      <c r="Y4" s="145"/>
      <c r="Z4" s="146"/>
      <c r="AB4" s="144" t="s">
        <v>8</v>
      </c>
      <c r="AC4" s="145"/>
      <c r="AD4" s="145"/>
      <c r="AE4" s="146"/>
    </row>
    <row r="5" spans="1:31" x14ac:dyDescent="0.25">
      <c r="C5" s="95"/>
      <c r="D5" t="s">
        <v>9</v>
      </c>
      <c r="E5" t="s">
        <v>10</v>
      </c>
      <c r="F5" s="97" t="s">
        <v>11</v>
      </c>
      <c r="H5" s="95"/>
      <c r="I5" t="s">
        <v>9</v>
      </c>
      <c r="J5" t="s">
        <v>10</v>
      </c>
      <c r="K5" s="97" t="s">
        <v>11</v>
      </c>
      <c r="M5" s="95"/>
      <c r="N5" t="s">
        <v>9</v>
      </c>
      <c r="O5" t="s">
        <v>10</v>
      </c>
      <c r="P5" s="97" t="s">
        <v>11</v>
      </c>
      <c r="R5" s="95"/>
      <c r="S5" t="s">
        <v>9</v>
      </c>
      <c r="T5" t="s">
        <v>10</v>
      </c>
      <c r="U5" s="97" t="s">
        <v>11</v>
      </c>
      <c r="W5" s="95"/>
      <c r="X5" t="s">
        <v>9</v>
      </c>
      <c r="Y5" t="s">
        <v>10</v>
      </c>
      <c r="Z5" s="97" t="s">
        <v>11</v>
      </c>
      <c r="AB5" s="95"/>
      <c r="AC5" t="s">
        <v>9</v>
      </c>
      <c r="AD5" t="s">
        <v>10</v>
      </c>
      <c r="AE5" s="97" t="s">
        <v>11</v>
      </c>
    </row>
    <row r="6" spans="1:31" x14ac:dyDescent="0.25">
      <c r="A6">
        <v>1</v>
      </c>
      <c r="C6" s="95" t="str">
        <f>IF(INDEX('[20]Master Lookup'!$A$5:$A$16,A6)=0,"",INDEX('[20]Master Lookup'!$A$5:$A$16,A6))</f>
        <v>Management</v>
      </c>
      <c r="D6" s="126">
        <f>'M2023 BLS Chart'!C22</f>
        <v>80829.631999999998</v>
      </c>
      <c r="E6" s="98">
        <f>IFERROR(INDEX('[20]Master Lookup'!$H$5:$H$16,MATCH(C6,'[20]Master Lookup'!$A$5:$A$16,0)),0)</f>
        <v>1</v>
      </c>
      <c r="F6" s="99">
        <f>D6*E6</f>
        <v>80829.631999999998</v>
      </c>
      <c r="H6" s="95" t="str">
        <f>IF(INDEX('[20]Master Lookup'!$A$5:$A$16,A6)=0,"",INDEX('[20]Master Lookup'!$A$5:$A$16,A6))</f>
        <v>Management</v>
      </c>
      <c r="I6" s="126">
        <f>D6</f>
        <v>80829.631999999998</v>
      </c>
      <c r="J6" s="98">
        <f>IFERROR(INDEX('[20]Master Lookup'!$D$5:$D$16,MATCH(H6,'[20]Master Lookup'!$A$5:$A$16,0)),0)</f>
        <v>1.65</v>
      </c>
      <c r="K6" s="99">
        <f>I6*J6</f>
        <v>133368.8928</v>
      </c>
      <c r="M6" s="95" t="str">
        <f>IF(INDEX('[20]Master Lookup'!$A$5:$A$16,A6)=0,"",INDEX('[20]Master Lookup'!$A$5:$A$16,A6))</f>
        <v>Management</v>
      </c>
      <c r="N6" s="126">
        <f>D6</f>
        <v>80829.631999999998</v>
      </c>
      <c r="O6" s="98">
        <f>IFERROR(INDEX('[20]Master Lookup'!$E$5:$E$16,MATCH(M6,'[20]Master Lookup'!$A$5:$A$16,0)),0)</f>
        <v>1</v>
      </c>
      <c r="P6" s="99">
        <f>N6*O6</f>
        <v>80829.631999999998</v>
      </c>
      <c r="R6" s="95" t="str">
        <f>IF(INDEX('[20]Master Lookup'!$A$5:$A$16,A6)=0,"",INDEX('[20]Master Lookup'!$A$5:$A$16,A6))</f>
        <v>Management</v>
      </c>
      <c r="S6" s="126">
        <f>D6</f>
        <v>80829.631999999998</v>
      </c>
      <c r="T6" s="98">
        <f>IFERROR(INDEX('[20]Master Lookup'!$F$5:$F$16,MATCH(R6,'[20]Master Lookup'!$A$5:$A$16,0)),0)</f>
        <v>0.8</v>
      </c>
      <c r="U6" s="99">
        <f>S6*T6</f>
        <v>64663.705600000001</v>
      </c>
      <c r="W6" s="95" t="str">
        <f>IF(INDEX('[20]Master Lookup'!$A$5:$A$16,A6)=0,"",INDEX('[20]Master Lookup'!$A$5:$A$16,A6))</f>
        <v>Management</v>
      </c>
      <c r="X6" s="126">
        <f>D6</f>
        <v>80829.631999999998</v>
      </c>
      <c r="Y6" s="98">
        <f>IFERROR(INDEX('[20]Master Lookup'!$G$5:$G$16,MATCH(W6,'[20]Master Lookup'!$A$5:$A$16,0)),0)</f>
        <v>0.5</v>
      </c>
      <c r="Z6" s="99">
        <f>X6*Y6</f>
        <v>40414.815999999999</v>
      </c>
      <c r="AB6" s="95" t="str">
        <f>IF(INDEX('[20]Master Lookup'!$A$5:$A$16,A6)=0,"",INDEX('[20]Master Lookup'!$A$5:$A$16,A6))</f>
        <v>Management</v>
      </c>
      <c r="AC6" s="126">
        <f>D6</f>
        <v>80829.631999999998</v>
      </c>
      <c r="AD6" s="98">
        <f>IFERROR(INDEX('[20]Master Lookup'!$I$5:$I$16,MATCH(AB6,'[20]Master Lookup'!$A$5:$A$16,0)),0)</f>
        <v>1</v>
      </c>
      <c r="AE6" s="99">
        <f>AC6*AD6</f>
        <v>80829.631999999998</v>
      </c>
    </row>
    <row r="7" spans="1:31" x14ac:dyDescent="0.25">
      <c r="A7">
        <v>2</v>
      </c>
      <c r="C7" s="95" t="str">
        <f>IF(INDEX('[20]Master Lookup'!$A$5:$A$16,A7)=0,"",INDEX('[20]Master Lookup'!$A$5:$A$16,A7))</f>
        <v>Direct Care</v>
      </c>
      <c r="D7" s="126">
        <f>'M2023 BLS Chart'!C6</f>
        <v>43247.567999999999</v>
      </c>
      <c r="E7" s="98">
        <f>IFERROR(INDEX('[20]Master Lookup'!$H$5:$H$16,MATCH(C7,'[20]Master Lookup'!$A$5:$A$16,0)),0)</f>
        <v>4.7249999999999996</v>
      </c>
      <c r="F7" s="99">
        <f t="shared" ref="F7:F11" si="0">D7*E7</f>
        <v>204344.75879999998</v>
      </c>
      <c r="H7" s="95" t="str">
        <f>IF(INDEX('[20]Master Lookup'!$A$5:$A$16,A7)=0,"",INDEX('[20]Master Lookup'!$A$5:$A$16,A7))</f>
        <v>Direct Care</v>
      </c>
      <c r="I7" s="126">
        <f t="shared" ref="I7:I11" si="1">D7</f>
        <v>43247.567999999999</v>
      </c>
      <c r="J7" s="98">
        <f>IFERROR(INDEX('[20]Master Lookup'!$D$5:$D$16,MATCH(H7,'[20]Master Lookup'!$A$5:$A$16,0)),0)</f>
        <v>15.071</v>
      </c>
      <c r="K7" s="99">
        <f t="shared" ref="K7:K11" si="2">I7*J7</f>
        <v>651784.097328</v>
      </c>
      <c r="M7" s="95" t="str">
        <f>IF(INDEX('[20]Master Lookup'!$A$5:$A$16,A7)=0,"",INDEX('[20]Master Lookup'!$A$5:$A$16,A7))</f>
        <v>Direct Care</v>
      </c>
      <c r="N7" s="126">
        <f t="shared" ref="N7:N11" si="3">D7</f>
        <v>43247.567999999999</v>
      </c>
      <c r="O7" s="98">
        <f>IFERROR(INDEX('[20]Master Lookup'!$E$5:$E$16,MATCH(M7,'[20]Master Lookup'!$A$5:$A$16,0)),0)</f>
        <v>7.56</v>
      </c>
      <c r="P7" s="99">
        <f t="shared" ref="P7:P11" si="4">N7*O7</f>
        <v>326951.61407999997</v>
      </c>
      <c r="R7" s="95" t="str">
        <f>IF(INDEX('[20]Master Lookup'!$A$5:$A$16,A7)=0,"",INDEX('[20]Master Lookup'!$A$5:$A$16,A7))</f>
        <v>Direct Care</v>
      </c>
      <c r="S7" s="126">
        <f t="shared" ref="S7:S11" si="5">D7</f>
        <v>43247.567999999999</v>
      </c>
      <c r="T7" s="98">
        <f>IFERROR(INDEX('[20]Master Lookup'!$F$5:$F$16,MATCH(R7,'[20]Master Lookup'!$A$5:$A$16,0)),0)</f>
        <v>4.6129999999999995</v>
      </c>
      <c r="U7" s="99">
        <f t="shared" ref="U7:U11" si="6">S7*T7</f>
        <v>199501.03118399996</v>
      </c>
      <c r="W7" s="95" t="str">
        <f>IF(INDEX('[20]Master Lookup'!$A$5:$A$16,A7)=0,"",INDEX('[20]Master Lookup'!$A$5:$A$16,A7))</f>
        <v>Direct Care</v>
      </c>
      <c r="X7" s="126">
        <f t="shared" ref="X7:X11" si="7">D7</f>
        <v>43247.567999999999</v>
      </c>
      <c r="Y7" s="98">
        <f>IFERROR(INDEX('[20]Master Lookup'!$G$5:$G$16,MATCH(W7,'[20]Master Lookup'!$A$5:$A$16,0)),0)</f>
        <v>3.6259999999999994</v>
      </c>
      <c r="Z7" s="99">
        <f t="shared" ref="Z7:Z11" si="8">X7*Y7</f>
        <v>156815.68156799997</v>
      </c>
      <c r="AB7" s="95" t="str">
        <f>IF(INDEX('[20]Master Lookup'!$A$5:$A$16,A7)=0,"",INDEX('[20]Master Lookup'!$A$5:$A$16,A7))</f>
        <v>Direct Care</v>
      </c>
      <c r="AC7" s="126">
        <f t="shared" ref="AC7:AC11" si="9">D7</f>
        <v>43247.567999999999</v>
      </c>
      <c r="AD7" s="98">
        <f>IFERROR(INDEX('[20]Master Lookup'!$I$5:$I$16,MATCH(AB7,'[20]Master Lookup'!$A$5:$A$16,0)),0)</f>
        <v>1.9769999999999999</v>
      </c>
      <c r="AE7" s="99">
        <f t="shared" ref="AE7:AE11" si="10">AC7*AD7</f>
        <v>85500.441935999988</v>
      </c>
    </row>
    <row r="8" spans="1:31" x14ac:dyDescent="0.25">
      <c r="A8">
        <v>3</v>
      </c>
      <c r="C8" s="95" t="str">
        <f>IF(INDEX('[20]Master Lookup'!$A$5:$A$16,A8)=0,"",INDEX('[20]Master Lookup'!$A$5:$A$16,A8))</f>
        <v>Clinical (MA Level)</v>
      </c>
      <c r="D8" s="126">
        <f>'M2023 BLS Chart'!C18</f>
        <v>83639.712</v>
      </c>
      <c r="E8" s="98">
        <f>IFERROR(INDEX('[20]Master Lookup'!$H$5:$H$16,MATCH(C8,'[20]Master Lookup'!$A$5:$A$16,0)),0)</f>
        <v>5.2</v>
      </c>
      <c r="F8" s="99">
        <f t="shared" si="0"/>
        <v>434926.5024</v>
      </c>
      <c r="H8" s="95" t="str">
        <f>IF(INDEX('[20]Master Lookup'!$A$5:$A$16,A8)=0,"",INDEX('[20]Master Lookup'!$A$5:$A$16,A8))</f>
        <v>Clinical (MA Level)</v>
      </c>
      <c r="I8" s="126">
        <f t="shared" si="1"/>
        <v>83639.712</v>
      </c>
      <c r="J8" s="98">
        <f>IFERROR(INDEX('[20]Master Lookup'!$D$5:$D$16,MATCH(H8,'[20]Master Lookup'!$A$5:$A$16,0)),0)</f>
        <v>0</v>
      </c>
      <c r="K8" s="99">
        <f t="shared" si="2"/>
        <v>0</v>
      </c>
      <c r="M8" s="95" t="str">
        <f>IF(INDEX('[20]Master Lookup'!$A$5:$A$16,A8)=0,"",INDEX('[20]Master Lookup'!$A$5:$A$16,A8))</f>
        <v>Clinical (MA Level)</v>
      </c>
      <c r="N8" s="126">
        <f t="shared" si="3"/>
        <v>83639.712</v>
      </c>
      <c r="O8" s="98">
        <f>IFERROR(INDEX('[20]Master Lookup'!$E$5:$E$16,MATCH(M8,'[20]Master Lookup'!$A$5:$A$16,0)),0)</f>
        <v>0</v>
      </c>
      <c r="P8" s="99">
        <f t="shared" si="4"/>
        <v>0</v>
      </c>
      <c r="R8" s="95" t="str">
        <f>IF(INDEX('[20]Master Lookup'!$A$5:$A$16,A8)=0,"",INDEX('[20]Master Lookup'!$A$5:$A$16,A8))</f>
        <v>Clinical (MA Level)</v>
      </c>
      <c r="S8" s="126">
        <f t="shared" si="5"/>
        <v>83639.712</v>
      </c>
      <c r="T8" s="98">
        <f>IFERROR(INDEX('[20]Master Lookup'!$F$5:$F$16,MATCH(R8,'[20]Master Lookup'!$A$5:$A$16,0)),0)</f>
        <v>0</v>
      </c>
      <c r="U8" s="99">
        <f t="shared" si="6"/>
        <v>0</v>
      </c>
      <c r="W8" s="95" t="str">
        <f>IF(INDEX('[20]Master Lookup'!$A$5:$A$16,A8)=0,"",INDEX('[20]Master Lookup'!$A$5:$A$16,A8))</f>
        <v>Clinical (MA Level)</v>
      </c>
      <c r="X8" s="126">
        <f t="shared" si="7"/>
        <v>83639.712</v>
      </c>
      <c r="Y8" s="98">
        <f>IFERROR(INDEX('[20]Master Lookup'!$G$5:$G$16,MATCH(W8,'[20]Master Lookup'!$A$5:$A$16,0)),0)</f>
        <v>0</v>
      </c>
      <c r="Z8" s="99">
        <f t="shared" si="8"/>
        <v>0</v>
      </c>
      <c r="AB8" s="95" t="str">
        <f>IF(INDEX('[20]Master Lookup'!$A$5:$A$16,A8)=0,"",INDEX('[20]Master Lookup'!$A$5:$A$16,A8))</f>
        <v>Clinical (MA Level)</v>
      </c>
      <c r="AC8" s="126">
        <f t="shared" si="9"/>
        <v>83639.712</v>
      </c>
      <c r="AD8" s="98">
        <f>IFERROR(INDEX('[20]Master Lookup'!$I$5:$I$16,MATCH(AB8,'[20]Master Lookup'!$A$5:$A$16,0)),0)</f>
        <v>0</v>
      </c>
      <c r="AE8" s="99">
        <f t="shared" si="10"/>
        <v>0</v>
      </c>
    </row>
    <row r="9" spans="1:31" x14ac:dyDescent="0.25">
      <c r="A9">
        <v>4</v>
      </c>
      <c r="C9" s="95" t="str">
        <f>IF(INDEX('[20]Master Lookup'!$A$5:$A$16,A9)=0,"",INDEX('[20]Master Lookup'!$A$5:$A$16,A9))</f>
        <v>Support Staff</v>
      </c>
      <c r="D9" s="126">
        <f>'M2023 BLS Chart'!C6</f>
        <v>43247.567999999999</v>
      </c>
      <c r="E9" s="98">
        <f>IFERROR(INDEX('[20]Master Lookup'!$H$5:$H$16,MATCH(C9,'[20]Master Lookup'!$A$5:$A$16,0)),0)</f>
        <v>1</v>
      </c>
      <c r="F9" s="99">
        <f t="shared" si="0"/>
        <v>43247.567999999999</v>
      </c>
      <c r="H9" s="95" t="str">
        <f>IF(INDEX('[20]Master Lookup'!$A$5:$A$16,A9)=0,"",INDEX('[20]Master Lookup'!$A$5:$A$16,A9))</f>
        <v>Support Staff</v>
      </c>
      <c r="I9" s="126">
        <f t="shared" si="1"/>
        <v>43247.567999999999</v>
      </c>
      <c r="J9" s="98">
        <f>IFERROR(INDEX('[20]Master Lookup'!$D$5:$D$16,MATCH(H9,'[20]Master Lookup'!$A$5:$A$16,0)),0)</f>
        <v>1</v>
      </c>
      <c r="K9" s="99">
        <f t="shared" si="2"/>
        <v>43247.567999999999</v>
      </c>
      <c r="M9" s="95" t="str">
        <f>IF(INDEX('[20]Master Lookup'!$A$5:$A$16,A9)=0,"",INDEX('[20]Master Lookup'!$A$5:$A$16,A9))</f>
        <v>Support Staff</v>
      </c>
      <c r="N9" s="126">
        <f t="shared" si="3"/>
        <v>43247.567999999999</v>
      </c>
      <c r="O9" s="98">
        <f>IFERROR(INDEX('[20]Master Lookup'!$E$5:$E$16,MATCH(M9,'[20]Master Lookup'!$A$5:$A$16,0)),0)</f>
        <v>0.5</v>
      </c>
      <c r="P9" s="99">
        <f t="shared" si="4"/>
        <v>21623.784</v>
      </c>
      <c r="R9" s="95" t="str">
        <f>IF(INDEX('[20]Master Lookup'!$A$5:$A$16,A9)=0,"",INDEX('[20]Master Lookup'!$A$5:$A$16,A9))</f>
        <v>Support Staff</v>
      </c>
      <c r="S9" s="126">
        <f t="shared" si="5"/>
        <v>43247.567999999999</v>
      </c>
      <c r="T9" s="98">
        <f>IFERROR(INDEX('[20]Master Lookup'!$F$5:$F$16,MATCH(R9,'[20]Master Lookup'!$A$5:$A$16,0)),0)</f>
        <v>0.5</v>
      </c>
      <c r="U9" s="99">
        <f t="shared" si="6"/>
        <v>21623.784</v>
      </c>
      <c r="W9" s="95" t="str">
        <f>IF(INDEX('[20]Master Lookup'!$A$5:$A$16,A9)=0,"",INDEX('[20]Master Lookup'!$A$5:$A$16,A9))</f>
        <v>Support Staff</v>
      </c>
      <c r="X9" s="126">
        <f t="shared" si="7"/>
        <v>43247.567999999999</v>
      </c>
      <c r="Y9" s="98">
        <f>IFERROR(INDEX('[20]Master Lookup'!$G$5:$G$16,MATCH(W9,'[20]Master Lookup'!$A$5:$A$16,0)),0)</f>
        <v>0.5</v>
      </c>
      <c r="Z9" s="99">
        <f t="shared" si="8"/>
        <v>21623.784</v>
      </c>
      <c r="AB9" s="95" t="str">
        <f>IF(INDEX('[20]Master Lookup'!$A$5:$A$16,A9)=0,"",INDEX('[20]Master Lookup'!$A$5:$A$16,A9))</f>
        <v>Support Staff</v>
      </c>
      <c r="AC9" s="126">
        <f t="shared" si="9"/>
        <v>43247.567999999999</v>
      </c>
      <c r="AD9" s="98">
        <f>IFERROR(INDEX('[20]Master Lookup'!$I$5:$I$16,MATCH(AB9,'[20]Master Lookup'!$A$5:$A$16,0)),0)</f>
        <v>0.5</v>
      </c>
      <c r="AE9" s="99">
        <f t="shared" si="10"/>
        <v>21623.784</v>
      </c>
    </row>
    <row r="10" spans="1:31" x14ac:dyDescent="0.25">
      <c r="A10">
        <v>5</v>
      </c>
      <c r="C10" s="95" t="str">
        <f>IF(INDEX('[20]Master Lookup'!$A$5:$A$16,A10)=0,"",INDEX('[20]Master Lookup'!$A$5:$A$16,A10))</f>
        <v>Direct Care III</v>
      </c>
      <c r="D10" s="127">
        <f>'M2023 BLS Chart'!C8</f>
        <v>56217.241600000001</v>
      </c>
      <c r="E10" s="98">
        <f>IFERROR(INDEX('[20]Master Lookup'!$H$5:$H$16,MATCH(C10,'[20]Master Lookup'!$A$5:$A$16,0)),0)</f>
        <v>2.0250000000000004</v>
      </c>
      <c r="F10" s="99">
        <f t="shared" si="0"/>
        <v>113839.91424000003</v>
      </c>
      <c r="H10" s="95" t="str">
        <f>IF(INDEX('[20]Master Lookup'!$A$5:$A$16,A10)=0,"",INDEX('[20]Master Lookup'!$A$5:$A$16,A10))</f>
        <v>Direct Care III</v>
      </c>
      <c r="I10" s="126">
        <f t="shared" si="1"/>
        <v>56217.241600000001</v>
      </c>
      <c r="J10" s="98">
        <f>IFERROR(INDEX('[20]Master Lookup'!$D$5:$D$16,MATCH(H10,'[20]Master Lookup'!$A$5:$A$16,0)),0)</f>
        <v>6.4590000000000014</v>
      </c>
      <c r="K10" s="99">
        <f t="shared" si="2"/>
        <v>363107.1634944001</v>
      </c>
      <c r="M10" s="95" t="str">
        <f>IF(INDEX('[20]Master Lookup'!$A$5:$A$16,A10)=0,"",INDEX('[20]Master Lookup'!$A$5:$A$16,A10))</f>
        <v>Direct Care III</v>
      </c>
      <c r="N10" s="126">
        <f t="shared" si="3"/>
        <v>56217.241600000001</v>
      </c>
      <c r="O10" s="98">
        <f>IFERROR(INDEX('[20]Master Lookup'!$E$5:$E$16,MATCH(M10,'[20]Master Lookup'!$A$5:$A$16,0)),0)</f>
        <v>3.2400000000000011</v>
      </c>
      <c r="P10" s="99">
        <f t="shared" si="4"/>
        <v>182143.86278400006</v>
      </c>
      <c r="R10" s="95" t="str">
        <f>IF(INDEX('[20]Master Lookup'!$A$5:$A$16,A10)=0,"",INDEX('[20]Master Lookup'!$A$5:$A$16,A10))</f>
        <v>Direct Care III</v>
      </c>
      <c r="S10" s="126">
        <f t="shared" si="5"/>
        <v>56217.241600000001</v>
      </c>
      <c r="T10" s="98">
        <f>IFERROR(INDEX('[20]Master Lookup'!$F$5:$F$16,MATCH(R10,'[20]Master Lookup'!$A$5:$A$16,0)),0)</f>
        <v>1.9770000000000003</v>
      </c>
      <c r="U10" s="99">
        <f t="shared" si="6"/>
        <v>111141.48664320003</v>
      </c>
      <c r="W10" s="95" t="str">
        <f>IF(INDEX('[20]Master Lookup'!$A$5:$A$16,A10)=0,"",INDEX('[20]Master Lookup'!$A$5:$A$16,A10))</f>
        <v>Direct Care III</v>
      </c>
      <c r="X10" s="126">
        <f t="shared" si="7"/>
        <v>56217.241600000001</v>
      </c>
      <c r="Y10" s="98">
        <f>IFERROR(INDEX('[20]Master Lookup'!$G$5:$G$16,MATCH(W10,'[20]Master Lookup'!$A$5:$A$16,0)),0)</f>
        <v>1.7540000000000002</v>
      </c>
      <c r="Z10" s="99">
        <f t="shared" si="8"/>
        <v>98605.041766400012</v>
      </c>
      <c r="AB10" s="95" t="str">
        <f>IF(INDEX('[20]Master Lookup'!$A$5:$A$16,A10)=0,"",INDEX('[20]Master Lookup'!$A$5:$A$16,A10))</f>
        <v>Direct Care III</v>
      </c>
      <c r="AC10" s="126">
        <f t="shared" si="9"/>
        <v>56217.241600000001</v>
      </c>
      <c r="AD10" s="98">
        <f>IFERROR(INDEX('[20]Master Lookup'!$I$5:$I$16,MATCH(AB10,'[20]Master Lookup'!$A$5:$A$16,0)),0)</f>
        <v>4.6129999999999995</v>
      </c>
      <c r="AE10" s="99">
        <f t="shared" si="10"/>
        <v>259330.13550079998</v>
      </c>
    </row>
    <row r="11" spans="1:31" x14ac:dyDescent="0.25">
      <c r="A11">
        <v>6</v>
      </c>
      <c r="C11" s="95" t="str">
        <f>IF(INDEX('[20]Master Lookup'!$A$5:$A$16,A11)=0,"",INDEX('[20]Master Lookup'!$A$5:$A$16,A11))</f>
        <v>Community Connector</v>
      </c>
      <c r="D11" s="127">
        <f>'M2023 BLS Chart'!C12</f>
        <v>64438.399999999994</v>
      </c>
      <c r="E11" s="98">
        <f>IFERROR(INDEX('[20]Master Lookup'!$H$5:$H$16,MATCH(C11,'[20]Master Lookup'!$A$5:$A$16,0)),0)</f>
        <v>0.2</v>
      </c>
      <c r="F11" s="99">
        <f t="shared" si="0"/>
        <v>12887.68</v>
      </c>
      <c r="H11" s="95" t="str">
        <f>IF(INDEX('[20]Master Lookup'!$A$5:$A$16,A11)=0,"",INDEX('[20]Master Lookup'!$A$5:$A$16,A11))</f>
        <v>Community Connector</v>
      </c>
      <c r="I11" s="126">
        <f t="shared" si="1"/>
        <v>64438.399999999994</v>
      </c>
      <c r="J11" s="98">
        <f>IFERROR(INDEX('[20]Master Lookup'!$D$5:$D$16,MATCH(H11,'[20]Master Lookup'!$A$5:$A$16,0)),0)</f>
        <v>0.2</v>
      </c>
      <c r="K11" s="99">
        <f t="shared" si="2"/>
        <v>12887.68</v>
      </c>
      <c r="M11" s="95" t="str">
        <f>IF(INDEX('[20]Master Lookup'!$A$5:$A$16,A11)=0,"",INDEX('[20]Master Lookup'!$A$5:$A$16,A11))</f>
        <v>Community Connector</v>
      </c>
      <c r="N11" s="126">
        <f t="shared" si="3"/>
        <v>64438.399999999994</v>
      </c>
      <c r="O11" s="98">
        <f>IFERROR(INDEX('[20]Master Lookup'!$E$5:$E$16,MATCH(M11,'[20]Master Lookup'!$A$5:$A$16,0)),0)</f>
        <v>0.2</v>
      </c>
      <c r="P11" s="99">
        <f t="shared" si="4"/>
        <v>12887.68</v>
      </c>
      <c r="R11" s="95" t="str">
        <f>IF(INDEX('[20]Master Lookup'!$A$5:$A$16,A11)=0,"",INDEX('[20]Master Lookup'!$A$5:$A$16,A11))</f>
        <v>Community Connector</v>
      </c>
      <c r="S11" s="126">
        <f t="shared" si="5"/>
        <v>64438.399999999994</v>
      </c>
      <c r="T11" s="98">
        <f>IFERROR(INDEX('[20]Master Lookup'!$F$5:$F$16,MATCH(R11,'[20]Master Lookup'!$A$5:$A$16,0)),0)</f>
        <v>0.2</v>
      </c>
      <c r="U11" s="99">
        <f t="shared" si="6"/>
        <v>12887.68</v>
      </c>
      <c r="W11" s="95" t="str">
        <f>IF(INDEX('[20]Master Lookup'!$A$5:$A$16,A11)=0,"",INDEX('[20]Master Lookup'!$A$5:$A$16,A11))</f>
        <v>Community Connector</v>
      </c>
      <c r="X11" s="126">
        <f t="shared" si="7"/>
        <v>64438.399999999994</v>
      </c>
      <c r="Y11" s="98">
        <f>IFERROR(INDEX('[20]Master Lookup'!$G$5:$G$16,MATCH(W11,'[20]Master Lookup'!$A$5:$A$16,0)),0)</f>
        <v>0.2</v>
      </c>
      <c r="Z11" s="99">
        <f t="shared" si="8"/>
        <v>12887.68</v>
      </c>
      <c r="AB11" s="95" t="str">
        <f>IF(INDEX('[20]Master Lookup'!$A$5:$A$16,A11)=0,"",INDEX('[20]Master Lookup'!$A$5:$A$16,A11))</f>
        <v>Community Connector</v>
      </c>
      <c r="AC11" s="126">
        <f t="shared" si="9"/>
        <v>64438.399999999994</v>
      </c>
      <c r="AD11" s="98">
        <f>IFERROR(INDEX('[20]Master Lookup'!$I$5:$I$16,MATCH(AB11,'[20]Master Lookup'!$A$5:$A$16,0)),0)</f>
        <v>0.2</v>
      </c>
      <c r="AE11" s="99">
        <f t="shared" si="10"/>
        <v>12887.68</v>
      </c>
    </row>
    <row r="12" spans="1:31" x14ac:dyDescent="0.25">
      <c r="C12" s="112" t="s">
        <v>12</v>
      </c>
      <c r="D12" s="113"/>
      <c r="E12" s="114">
        <f>SUM(E6:E11)</f>
        <v>14.15</v>
      </c>
      <c r="F12" s="115">
        <f>SUM(F6:F11)</f>
        <v>890076.05544000014</v>
      </c>
      <c r="H12" s="112" t="s">
        <v>12</v>
      </c>
      <c r="I12" s="113"/>
      <c r="J12" s="114">
        <f>SUM(J6:J11)</f>
        <v>24.38</v>
      </c>
      <c r="K12" s="115">
        <f>SUM(K6:K11)</f>
        <v>1204395.4016223999</v>
      </c>
      <c r="M12" s="112" t="s">
        <v>12</v>
      </c>
      <c r="N12" s="113"/>
      <c r="O12" s="114">
        <f>SUM(O6:O11)</f>
        <v>12.5</v>
      </c>
      <c r="P12" s="115">
        <f>SUM(P6:P11)</f>
        <v>624436.5728640001</v>
      </c>
      <c r="R12" s="112" t="s">
        <v>12</v>
      </c>
      <c r="S12" s="113"/>
      <c r="T12" s="114">
        <f>SUM(T6:T11)</f>
        <v>8.09</v>
      </c>
      <c r="U12" s="115">
        <f>SUM(U6:U11)</f>
        <v>409817.68742719997</v>
      </c>
      <c r="W12" s="112" t="s">
        <v>12</v>
      </c>
      <c r="X12" s="113"/>
      <c r="Y12" s="114">
        <f>SUM(Y6:Y11)</f>
        <v>6.58</v>
      </c>
      <c r="Z12" s="115">
        <f>SUM(Z6:Z11)</f>
        <v>330347.00333439995</v>
      </c>
      <c r="AB12" s="112" t="s">
        <v>12</v>
      </c>
      <c r="AC12" s="113"/>
      <c r="AD12" s="114">
        <f>SUM(AD6:AD11)</f>
        <v>8.2899999999999991</v>
      </c>
      <c r="AE12" s="115">
        <f>SUM(AE6:AE11)</f>
        <v>460171.67343679996</v>
      </c>
    </row>
    <row r="13" spans="1:31" x14ac:dyDescent="0.25">
      <c r="C13" s="116"/>
      <c r="D13" s="117"/>
      <c r="E13" s="118"/>
      <c r="F13" s="119"/>
      <c r="H13" s="116"/>
      <c r="I13" s="117"/>
      <c r="J13" s="118"/>
      <c r="K13" s="119"/>
      <c r="M13" s="116"/>
      <c r="N13" s="117"/>
      <c r="O13" s="118"/>
      <c r="P13" s="119"/>
      <c r="R13" s="116"/>
      <c r="S13" s="117"/>
      <c r="T13" s="118"/>
      <c r="U13" s="119"/>
      <c r="W13" s="116"/>
      <c r="X13" s="117"/>
      <c r="Y13" s="118"/>
      <c r="Z13" s="119"/>
      <c r="AB13" s="116"/>
      <c r="AC13" s="117"/>
      <c r="AD13" s="118"/>
      <c r="AE13" s="119"/>
    </row>
    <row r="14" spans="1:31" x14ac:dyDescent="0.25">
      <c r="C14" s="100" t="s">
        <v>13</v>
      </c>
      <c r="D14" s="120">
        <f>INDEX('[20]Master Lookup'!$B$20:$B$37,MATCH(C14,'[20]Master Lookup'!$A$20:$A$37,0))</f>
        <v>0.24970000000000001</v>
      </c>
      <c r="E14" s="1"/>
      <c r="F14" s="101">
        <f>F12*D14</f>
        <v>222251.99104336803</v>
      </c>
      <c r="H14" s="100" t="s">
        <v>13</v>
      </c>
      <c r="I14" s="120">
        <f>INDEX('[20]Master Lookup'!$B$20:$B$37,MATCH(H14,'[20]Master Lookup'!$A$20:$A$37,0))</f>
        <v>0.24970000000000001</v>
      </c>
      <c r="J14" s="1"/>
      <c r="K14" s="101">
        <f>K12*I14</f>
        <v>300737.53178511327</v>
      </c>
      <c r="M14" s="100" t="s">
        <v>13</v>
      </c>
      <c r="N14" s="120">
        <f>INDEX('[20]Master Lookup'!$B$20:$B$37,MATCH(M14,'[20]Master Lookup'!$A$20:$A$37,0))</f>
        <v>0.24970000000000001</v>
      </c>
      <c r="O14" s="1"/>
      <c r="P14" s="101">
        <f>P12*N14</f>
        <v>155921.81224414083</v>
      </c>
      <c r="R14" s="100" t="s">
        <v>13</v>
      </c>
      <c r="S14" s="120">
        <f>INDEX('[20]Master Lookup'!$B$20:$B$37,MATCH(R14,'[20]Master Lookup'!$A$20:$A$37,0))</f>
        <v>0.24970000000000001</v>
      </c>
      <c r="T14" s="1"/>
      <c r="U14" s="101">
        <f>U12*S14</f>
        <v>102331.47655057184</v>
      </c>
      <c r="W14" s="100" t="s">
        <v>13</v>
      </c>
      <c r="X14" s="120">
        <f>INDEX('[20]Master Lookup'!$B$20:$B$37,MATCH(W14,'[20]Master Lookup'!$A$20:$A$37,0))</f>
        <v>0.24970000000000001</v>
      </c>
      <c r="Y14" s="1"/>
      <c r="Z14" s="101">
        <f>Z12*X14</f>
        <v>82487.646732599664</v>
      </c>
      <c r="AB14" s="100" t="s">
        <v>13</v>
      </c>
      <c r="AC14" s="120">
        <f>INDEX('[20]Master Lookup'!$B$20:$B$37,MATCH(AB14,'[20]Master Lookup'!$A$20:$A$37,0))</f>
        <v>0.24970000000000001</v>
      </c>
      <c r="AD14" s="1"/>
      <c r="AE14" s="101">
        <f>AE12*AC14</f>
        <v>114904.86685716895</v>
      </c>
    </row>
    <row r="15" spans="1:31" x14ac:dyDescent="0.25">
      <c r="C15" s="102" t="s">
        <v>14</v>
      </c>
      <c r="D15" s="121"/>
      <c r="E15" s="121"/>
      <c r="F15" s="103">
        <f>SUM(F12:F14)</f>
        <v>1112328.0464833681</v>
      </c>
      <c r="H15" s="102" t="s">
        <v>14</v>
      </c>
      <c r="I15" s="121"/>
      <c r="J15" s="121"/>
      <c r="K15" s="103">
        <f>SUM(K12:K14)</f>
        <v>1505132.9334075132</v>
      </c>
      <c r="M15" s="102" t="s">
        <v>14</v>
      </c>
      <c r="N15" s="121"/>
      <c r="O15" s="121"/>
      <c r="P15" s="103">
        <f>SUM(P12:P14)</f>
        <v>780358.385108141</v>
      </c>
      <c r="R15" s="102" t="s">
        <v>14</v>
      </c>
      <c r="S15" s="121"/>
      <c r="T15" s="121"/>
      <c r="U15" s="103">
        <f>SUM(U12:U14)</f>
        <v>512149.16397777182</v>
      </c>
      <c r="W15" s="102" t="s">
        <v>14</v>
      </c>
      <c r="X15" s="121"/>
      <c r="Y15" s="121"/>
      <c r="Z15" s="103">
        <f>SUM(Z12:Z14)</f>
        <v>412834.6500669996</v>
      </c>
      <c r="AB15" s="102" t="s">
        <v>14</v>
      </c>
      <c r="AC15" s="121"/>
      <c r="AD15" s="121"/>
      <c r="AE15" s="103">
        <f>SUM(AE12:AE14)</f>
        <v>575076.54029396886</v>
      </c>
    </row>
    <row r="16" spans="1:31" ht="15.75" thickBot="1" x14ac:dyDescent="0.3">
      <c r="C16" s="122"/>
      <c r="D16" s="123"/>
      <c r="E16" s="123"/>
      <c r="F16" s="124"/>
      <c r="H16" s="122"/>
      <c r="I16" s="123"/>
      <c r="J16" s="123"/>
      <c r="K16" s="124"/>
      <c r="M16" s="122"/>
      <c r="N16" s="123"/>
      <c r="O16" s="123"/>
      <c r="P16" s="124"/>
      <c r="R16" s="122"/>
      <c r="S16" s="123"/>
      <c r="T16" s="123"/>
      <c r="U16" s="124"/>
      <c r="W16" s="122"/>
      <c r="X16" s="123"/>
      <c r="Y16" s="123"/>
      <c r="Z16" s="124"/>
      <c r="AB16" s="122"/>
      <c r="AC16" s="123"/>
      <c r="AD16" s="123"/>
      <c r="AE16" s="124"/>
    </row>
    <row r="17" spans="1:31" ht="15.75" thickBot="1" x14ac:dyDescent="0.3">
      <c r="C17" s="144" t="s">
        <v>15</v>
      </c>
      <c r="D17" s="145"/>
      <c r="E17" s="145"/>
      <c r="F17" s="146"/>
      <c r="H17" s="144" t="s">
        <v>15</v>
      </c>
      <c r="I17" s="145"/>
      <c r="J17" s="145"/>
      <c r="K17" s="146"/>
      <c r="M17" s="144" t="s">
        <v>15</v>
      </c>
      <c r="N17" s="145"/>
      <c r="O17" s="145"/>
      <c r="P17" s="146"/>
      <c r="R17" s="144" t="s">
        <v>15</v>
      </c>
      <c r="S17" s="145"/>
      <c r="T17" s="145"/>
      <c r="U17" s="146"/>
      <c r="W17" s="144" t="s">
        <v>15</v>
      </c>
      <c r="X17" s="145"/>
      <c r="Y17" s="145"/>
      <c r="Z17" s="146"/>
      <c r="AB17" s="144" t="s">
        <v>15</v>
      </c>
      <c r="AC17" s="145"/>
      <c r="AD17" s="145"/>
      <c r="AE17" s="146"/>
    </row>
    <row r="18" spans="1:31" x14ac:dyDescent="0.25">
      <c r="A18">
        <v>1</v>
      </c>
      <c r="C18" s="95" t="str">
        <f>IF(INDEX('[20]Master Lookup'!$A$21:$A$37,A18)=0,"",INDEX('[20]Master Lookup'!$A$21:$A$37,A18))</f>
        <v>OCCUPANCY</v>
      </c>
      <c r="D18" s="2">
        <f>IFERROR(INDEX('[20]Master Lookup'!$B$17:$B$36,MATCH(C18,'[20]Master Lookup'!$A$17:$A$36,0)),0)</f>
        <v>14.053378392488696</v>
      </c>
      <c r="F18" s="105">
        <f t="shared" ref="F18:F23" si="11">D18*$F$3</f>
        <v>70266.891962443478</v>
      </c>
      <c r="H18" s="95" t="str">
        <f>IF(INDEX('[20]Master Lookup'!$A$21:$A$37,A18)=0,"",INDEX('[20]Master Lookup'!$A$21:$A$37,A18))</f>
        <v>OCCUPANCY</v>
      </c>
      <c r="I18" s="2">
        <f>IFERROR(INDEX('[20]Master Lookup'!$B$17:$B$36,MATCH(H18,'[20]Master Lookup'!$A$17:$A$36,0)),0)</f>
        <v>14.053378392488696</v>
      </c>
      <c r="K18" s="105">
        <f t="shared" ref="K18:K23" si="12">I18*$F$3</f>
        <v>70266.891962443478</v>
      </c>
      <c r="M18" s="95" t="str">
        <f>IF(INDEX('[20]Master Lookup'!$A$21:$A$37,A18)=0,"",INDEX('[20]Master Lookup'!$A$21:$A$37,A18))</f>
        <v>OCCUPANCY</v>
      </c>
      <c r="N18" s="2">
        <f>IFERROR(INDEX('[20]Master Lookup'!$B$17:$B$36,MATCH(M18,'[20]Master Lookup'!$A$17:$A$36,0)),0)</f>
        <v>14.053378392488696</v>
      </c>
      <c r="P18" s="105">
        <f t="shared" ref="P18:P23" si="13">N18*$P$3</f>
        <v>70266.891962443478</v>
      </c>
      <c r="R18" s="95" t="str">
        <f>IF(INDEX('[20]Master Lookup'!$A$21:$A$37,A18)=0,"",INDEX('[20]Master Lookup'!$A$21:$A$37,A18))</f>
        <v>OCCUPANCY</v>
      </c>
      <c r="S18" s="2">
        <f>IFERROR(INDEX('[20]Master Lookup'!$B$17:$B$36,MATCH(R18,'[20]Master Lookup'!$A$17:$A$36,0)),0)</f>
        <v>14.053378392488696</v>
      </c>
      <c r="U18" s="105">
        <f t="shared" ref="U18:U23" si="14">S18*$F$3</f>
        <v>70266.891962443478</v>
      </c>
      <c r="W18" s="95" t="str">
        <f>IF(INDEX('[20]Master Lookup'!$A$21:$A$37,A18)=0,"",INDEX('[20]Master Lookup'!$A$21:$A$37,A18))</f>
        <v>OCCUPANCY</v>
      </c>
      <c r="X18" s="2">
        <f>IFERROR(INDEX('[20]Master Lookup'!$B$17:$B$36,MATCH(W18,'[20]Master Lookup'!$A$17:$A$36,0)),0)</f>
        <v>14.053378392488696</v>
      </c>
      <c r="Z18" s="105">
        <f t="shared" ref="Z18:Z23" si="15">X18*$F$3</f>
        <v>70266.891962443478</v>
      </c>
      <c r="AB18" s="95" t="str">
        <f>IF(INDEX('[20]Master Lookup'!$A$21:$A$37,A18)=0,"",INDEX('[20]Master Lookup'!$A$21:$A$37,A18))</f>
        <v>OCCUPANCY</v>
      </c>
      <c r="AC18" s="2">
        <f>IFERROR(INDEX('[20]Master Lookup'!$C$17:$C$36,MATCH(AB18,'[20]Master Lookup'!$A$17:$A$36,0)),0)</f>
        <v>3.513344598122174</v>
      </c>
      <c r="AE18" s="105">
        <f t="shared" ref="AE18:AE23" si="16">AC18*$F$3</f>
        <v>17566.72299061087</v>
      </c>
    </row>
    <row r="19" spans="1:31" x14ac:dyDescent="0.25">
      <c r="A19">
        <v>2</v>
      </c>
      <c r="C19" s="95" t="str">
        <f>IF(INDEX('[20]Master Lookup'!$A$21:$A$37,A19)=0,"",INDEX('[20]Master Lookup'!$A$21:$A$37,A19))</f>
        <v>STAFF TRAINING</v>
      </c>
      <c r="D19" s="2">
        <f>IFERROR(INDEX('[20]Master Lookup'!$B$17:$B$36,MATCH(C19,'[20]Master Lookup'!$A$17:$A$36,0)),0)</f>
        <v>0.66072217748345474</v>
      </c>
      <c r="F19" s="105">
        <f t="shared" si="11"/>
        <v>3303.6108874172737</v>
      </c>
      <c r="H19" s="95" t="str">
        <f>IF(INDEX('[20]Master Lookup'!$A$21:$A$37,A19)=0,"",INDEX('[20]Master Lookup'!$A$21:$A$37,A19))</f>
        <v>STAFF TRAINING</v>
      </c>
      <c r="I19" s="2">
        <f>IFERROR(INDEX('[20]Master Lookup'!$B$17:$B$36,MATCH(H19,'[20]Master Lookup'!$A$17:$A$36,0)),0)</f>
        <v>0.66072217748345474</v>
      </c>
      <c r="K19" s="105">
        <f t="shared" si="12"/>
        <v>3303.6108874172737</v>
      </c>
      <c r="M19" s="95" t="str">
        <f>IF(INDEX('[20]Master Lookup'!$A$21:$A$37,A19)=0,"",INDEX('[20]Master Lookup'!$A$21:$A$37,A19))</f>
        <v>STAFF TRAINING</v>
      </c>
      <c r="N19" s="2">
        <f>IFERROR(INDEX('[20]Master Lookup'!$B$17:$B$36,MATCH(M19,'[20]Master Lookup'!$A$17:$A$36,0)),0)</f>
        <v>0.66072217748345474</v>
      </c>
      <c r="P19" s="105">
        <f t="shared" si="13"/>
        <v>3303.6108874172737</v>
      </c>
      <c r="R19" s="95" t="str">
        <f>IF(INDEX('[20]Master Lookup'!$A$21:$A$37,A19)=0,"",INDEX('[20]Master Lookup'!$A$21:$A$37,A19))</f>
        <v>STAFF TRAINING</v>
      </c>
      <c r="S19" s="2">
        <f>IFERROR(INDEX('[20]Master Lookup'!$B$17:$B$36,MATCH(R19,'[20]Master Lookup'!$A$17:$A$36,0)),0)</f>
        <v>0.66072217748345474</v>
      </c>
      <c r="U19" s="105">
        <f t="shared" si="14"/>
        <v>3303.6108874172737</v>
      </c>
      <c r="W19" s="95" t="str">
        <f>IF(INDEX('[20]Master Lookup'!$A$21:$A$37,A19)=0,"",INDEX('[20]Master Lookup'!$A$21:$A$37,A19))</f>
        <v>STAFF TRAINING</v>
      </c>
      <c r="X19" s="2">
        <f>IFERROR(INDEX('[20]Master Lookup'!$B$17:$B$36,MATCH(W19,'[20]Master Lookup'!$A$17:$A$36,0)),0)</f>
        <v>0.66072217748345474</v>
      </c>
      <c r="Z19" s="105">
        <f t="shared" si="15"/>
        <v>3303.6108874172737</v>
      </c>
      <c r="AB19" s="95" t="str">
        <f>IF(INDEX('[20]Master Lookup'!$A$21:$A$37,A19)=0,"",INDEX('[20]Master Lookup'!$A$21:$A$37,A19))</f>
        <v>STAFF TRAINING</v>
      </c>
      <c r="AC19" s="2">
        <f>IFERROR(INDEX('[20]Master Lookup'!$C$17:$C$36,MATCH(AB19,'[20]Master Lookup'!$A$17:$A$36,0)),0)</f>
        <v>0.66072217748345474</v>
      </c>
      <c r="AE19" s="105">
        <f t="shared" si="16"/>
        <v>3303.6108874172737</v>
      </c>
    </row>
    <row r="20" spans="1:31" x14ac:dyDescent="0.25">
      <c r="A20">
        <v>3</v>
      </c>
      <c r="C20" s="95" t="str">
        <f>IF(INDEX('[20]Master Lookup'!$A$21:$A$37,A20)=0,"",INDEX('[20]Master Lookup'!$A$21:$A$37,A20))</f>
        <v>STAFF MILEAGE</v>
      </c>
      <c r="D20" s="2">
        <f>IFERROR(INDEX('[20]Master Lookup'!$B$17:$B$36,MATCH(C20,'[20]Master Lookup'!$A$17:$A$36,0)),0)</f>
        <v>1.2493975656549228</v>
      </c>
      <c r="F20" s="105">
        <f t="shared" si="11"/>
        <v>6246.987828274614</v>
      </c>
      <c r="H20" s="95" t="str">
        <f>IF(INDEX('[20]Master Lookup'!$A$21:$A$37,A20)=0,"",INDEX('[20]Master Lookup'!$A$21:$A$37,A20))</f>
        <v>STAFF MILEAGE</v>
      </c>
      <c r="I20" s="2">
        <f>IFERROR(INDEX('[20]Master Lookup'!$B$17:$B$36,MATCH(H20,'[20]Master Lookup'!$A$17:$A$36,0)),0)</f>
        <v>1.2493975656549228</v>
      </c>
      <c r="K20" s="105">
        <f t="shared" si="12"/>
        <v>6246.987828274614</v>
      </c>
      <c r="M20" s="95" t="str">
        <f>IF(INDEX('[20]Master Lookup'!$A$21:$A$37,A20)=0,"",INDEX('[20]Master Lookup'!$A$21:$A$37,A20))</f>
        <v>STAFF MILEAGE</v>
      </c>
      <c r="N20" s="2">
        <f>IFERROR(INDEX('[20]Master Lookup'!$B$17:$B$36,MATCH(M20,'[20]Master Lookup'!$A$17:$A$36,0)),0)</f>
        <v>1.2493975656549228</v>
      </c>
      <c r="P20" s="105">
        <f t="shared" si="13"/>
        <v>6246.987828274614</v>
      </c>
      <c r="R20" s="95" t="str">
        <f>IF(INDEX('[20]Master Lookup'!$A$21:$A$37,A20)=0,"",INDEX('[20]Master Lookup'!$A$21:$A$37,A20))</f>
        <v>STAFF MILEAGE</v>
      </c>
      <c r="S20" s="2">
        <f>IFERROR(INDEX('[20]Master Lookup'!$B$17:$B$36,MATCH(R20,'[20]Master Lookup'!$A$17:$A$36,0)),0)</f>
        <v>1.2493975656549228</v>
      </c>
      <c r="U20" s="105">
        <f t="shared" si="14"/>
        <v>6246.987828274614</v>
      </c>
      <c r="W20" s="95" t="str">
        <f>IF(INDEX('[20]Master Lookup'!$A$21:$A$37,A20)=0,"",INDEX('[20]Master Lookup'!$A$21:$A$37,A20))</f>
        <v>STAFF MILEAGE</v>
      </c>
      <c r="X20" s="2">
        <f>IFERROR(INDEX('[20]Master Lookup'!$B$17:$B$36,MATCH(W20,'[20]Master Lookup'!$A$17:$A$36,0)),0)</f>
        <v>1.2493975656549228</v>
      </c>
      <c r="Z20" s="105">
        <f t="shared" si="15"/>
        <v>6246.987828274614</v>
      </c>
      <c r="AB20" s="95" t="str">
        <f>IF(INDEX('[20]Master Lookup'!$A$21:$A$37,A20)=0,"",INDEX('[20]Master Lookup'!$A$21:$A$37,A20))</f>
        <v>STAFF MILEAGE</v>
      </c>
      <c r="AC20" s="2">
        <f>IFERROR(INDEX('[20]Master Lookup'!$C$17:$C$36,MATCH(AB20,'[20]Master Lookup'!$A$17:$A$36,0)),0)</f>
        <v>1.2493975656549228</v>
      </c>
      <c r="AE20" s="105">
        <f t="shared" si="16"/>
        <v>6246.987828274614</v>
      </c>
    </row>
    <row r="21" spans="1:31" x14ac:dyDescent="0.25">
      <c r="A21">
        <v>4</v>
      </c>
      <c r="C21" s="95" t="str">
        <f>IF(INDEX('[20]Master Lookup'!$A$21:$A$37,A21)=0,"",INDEX('[20]Master Lookup'!$A$21:$A$37,A21))</f>
        <v>SUP &amp; MAT</v>
      </c>
      <c r="D21" s="2">
        <f>IFERROR(INDEX('[20]Master Lookup'!$B$17:$B$36,MATCH(C21,'[20]Master Lookup'!$A$17:$A$36,0)),0)</f>
        <v>8.4860695421832872</v>
      </c>
      <c r="F21" s="105">
        <f t="shared" si="11"/>
        <v>42430.347710916438</v>
      </c>
      <c r="H21" s="95" t="str">
        <f>IF(INDEX('[20]Master Lookup'!$A$21:$A$37,A21)=0,"",INDEX('[20]Master Lookup'!$A$21:$A$37,A21))</f>
        <v>SUP &amp; MAT</v>
      </c>
      <c r="I21" s="2">
        <f>IFERROR(INDEX('[20]Master Lookup'!$B$17:$B$36,MATCH(H21,'[20]Master Lookup'!$A$17:$A$36,0)),0)</f>
        <v>8.4860695421832872</v>
      </c>
      <c r="K21" s="105">
        <f t="shared" si="12"/>
        <v>42430.347710916438</v>
      </c>
      <c r="M21" s="95" t="str">
        <f>IF(INDEX('[20]Master Lookup'!$A$21:$A$37,A21)=0,"",INDEX('[20]Master Lookup'!$A$21:$A$37,A21))</f>
        <v>SUP &amp; MAT</v>
      </c>
      <c r="N21" s="2">
        <f>IFERROR(INDEX('[20]Master Lookup'!$B$17:$B$36,MATCH(M21,'[20]Master Lookup'!$A$17:$A$36,0)),0)</f>
        <v>8.4860695421832872</v>
      </c>
      <c r="P21" s="105">
        <f t="shared" si="13"/>
        <v>42430.347710916438</v>
      </c>
      <c r="R21" s="95" t="str">
        <f>IF(INDEX('[20]Master Lookup'!$A$21:$A$37,A21)=0,"",INDEX('[20]Master Lookup'!$A$21:$A$37,A21))</f>
        <v>SUP &amp; MAT</v>
      </c>
      <c r="S21" s="2">
        <f>IFERROR(INDEX('[20]Master Lookup'!$B$17:$B$36,MATCH(R21,'[20]Master Lookup'!$A$17:$A$36,0)),0)</f>
        <v>8.4860695421832872</v>
      </c>
      <c r="U21" s="105">
        <f t="shared" si="14"/>
        <v>42430.347710916438</v>
      </c>
      <c r="W21" s="95" t="str">
        <f>IF(INDEX('[20]Master Lookup'!$A$21:$A$37,A21)=0,"",INDEX('[20]Master Lookup'!$A$21:$A$37,A21))</f>
        <v>SUP &amp; MAT</v>
      </c>
      <c r="X21" s="2">
        <f>IFERROR(INDEX('[20]Master Lookup'!$B$17:$B$36,MATCH(W21,'[20]Master Lookup'!$A$17:$A$36,0)),0)</f>
        <v>8.4860695421832872</v>
      </c>
      <c r="Z21" s="105">
        <f t="shared" si="15"/>
        <v>42430.347710916438</v>
      </c>
      <c r="AB21" s="95" t="str">
        <f>IF(INDEX('[20]Master Lookup'!$A$21:$A$37,A21)=0,"",INDEX('[20]Master Lookup'!$A$21:$A$37,A21))</f>
        <v>SUP &amp; MAT</v>
      </c>
      <c r="AC21" s="2">
        <f>IFERROR(INDEX('[20]Master Lookup'!$C$17:$C$36,MATCH(AB21,'[20]Master Lookup'!$A$17:$A$36,0)),0)</f>
        <v>8.4860695421832872</v>
      </c>
      <c r="AE21" s="105">
        <f t="shared" si="16"/>
        <v>42430.347710916438</v>
      </c>
    </row>
    <row r="22" spans="1:31" x14ac:dyDescent="0.25">
      <c r="A22">
        <v>5</v>
      </c>
      <c r="C22" s="95" t="str">
        <f>IF(INDEX('[20]Master Lookup'!$A$21:$A$37,A22)=0,"",INDEX('[20]Master Lookup'!$A$21:$A$37,A22))</f>
        <v>Community Activities</v>
      </c>
      <c r="D22" s="2">
        <f>IFERROR(INDEX('[20]Master Lookup'!$B$17:$B$36,MATCH(C22,'[20]Master Lookup'!$A$17:$A$36,0)),0)</f>
        <v>2.0708114400000004</v>
      </c>
      <c r="E22" s="125"/>
      <c r="F22" s="105">
        <f t="shared" si="11"/>
        <v>10354.057200000001</v>
      </c>
      <c r="H22" s="95" t="str">
        <f>IF(INDEX('[20]Master Lookup'!$A$21:$A$37,A22)=0,"",INDEX('[20]Master Lookup'!$A$21:$A$37,A22))</f>
        <v>Community Activities</v>
      </c>
      <c r="I22" s="2">
        <f>IFERROR(INDEX('[20]Master Lookup'!$B$17:$B$36,MATCH(H22,'[20]Master Lookup'!$A$17:$A$36,0)),0)</f>
        <v>2.0708114400000004</v>
      </c>
      <c r="J22" s="125"/>
      <c r="K22" s="105">
        <f t="shared" si="12"/>
        <v>10354.057200000001</v>
      </c>
      <c r="M22" s="95" t="str">
        <f>IF(INDEX('[20]Master Lookup'!$A$21:$A$37,A22)=0,"",INDEX('[20]Master Lookup'!$A$21:$A$37,A22))</f>
        <v>Community Activities</v>
      </c>
      <c r="N22" s="2">
        <f>IFERROR(INDEX('[20]Master Lookup'!$B$17:$B$36,MATCH(M22,'[20]Master Lookup'!$A$17:$A$36,0)),0)</f>
        <v>2.0708114400000004</v>
      </c>
      <c r="O22" s="125"/>
      <c r="P22" s="105">
        <f t="shared" si="13"/>
        <v>10354.057200000001</v>
      </c>
      <c r="R22" s="95" t="str">
        <f>IF(INDEX('[20]Master Lookup'!$A$21:$A$37,A22)=0,"",INDEX('[20]Master Lookup'!$A$21:$A$37,A22))</f>
        <v>Community Activities</v>
      </c>
      <c r="S22" s="2">
        <f>IFERROR(INDEX('[20]Master Lookup'!$B$17:$B$36,MATCH(R22,'[20]Master Lookup'!$A$17:$A$36,0)),0)</f>
        <v>2.0708114400000004</v>
      </c>
      <c r="T22" s="3"/>
      <c r="U22" s="105">
        <f t="shared" si="14"/>
        <v>10354.057200000001</v>
      </c>
      <c r="W22" s="95" t="str">
        <f>IF(INDEX('[20]Master Lookup'!$A$21:$A$37,A22)=0,"",INDEX('[20]Master Lookup'!$A$21:$A$37,A22))</f>
        <v>Community Activities</v>
      </c>
      <c r="X22" s="2">
        <f>IFERROR(INDEX('[20]Master Lookup'!$B$17:$B$36,MATCH(W22,'[20]Master Lookup'!$A$17:$A$36,0)),0)</f>
        <v>2.0708114400000004</v>
      </c>
      <c r="Y22" s="125"/>
      <c r="Z22" s="105">
        <f t="shared" si="15"/>
        <v>10354.057200000001</v>
      </c>
      <c r="AB22" s="95" t="str">
        <f>IF(INDEX('[20]Master Lookup'!$A$21:$A$37,A22)=0,"",INDEX('[20]Master Lookup'!$A$21:$A$37,A22))</f>
        <v>Community Activities</v>
      </c>
      <c r="AC22" s="2">
        <f>IFERROR(INDEX('[20]Master Lookup'!$C$17:$C$36,MATCH(AB22,'[20]Master Lookup'!$A$17:$A$36,0)),0)</f>
        <v>3.0708114400000004</v>
      </c>
      <c r="AD22" s="125"/>
      <c r="AE22" s="105">
        <f t="shared" si="16"/>
        <v>15354.057200000001</v>
      </c>
    </row>
    <row r="23" spans="1:31" x14ac:dyDescent="0.25">
      <c r="A23">
        <v>7</v>
      </c>
      <c r="C23" s="95" t="str">
        <f>IF(INDEX('[20]Master Lookup'!$A$21:$A$37,A23)=0,"",INDEX('[20]Master Lookup'!$A$21:$A$37,A23))</f>
        <v>Technology</v>
      </c>
      <c r="D23" s="2">
        <f>IFERROR(INDEX('[20]Master Lookup'!$G$17:$G$36,MATCH(C23,'[20]Master Lookup'!$A$17:$A$36,0)),0)</f>
        <v>1.8500400000000001</v>
      </c>
      <c r="F23" s="105">
        <f t="shared" si="11"/>
        <v>9250.2000000000007</v>
      </c>
      <c r="H23" s="95" t="str">
        <f>IF(INDEX('[20]Master Lookup'!$A$21:$A$37,A23)=0,"",INDEX('[20]Master Lookup'!$A$21:$A$37,A23))</f>
        <v>Technology</v>
      </c>
      <c r="I23" s="2">
        <f>IFERROR(INDEX('[20]Master Lookup'!$C$17:$C$36,MATCH(H23,'[20]Master Lookup'!$A$17:$A$36,0)),0)</f>
        <v>3.90564</v>
      </c>
      <c r="K23" s="105">
        <f t="shared" si="12"/>
        <v>19528.2</v>
      </c>
      <c r="M23" s="95" t="str">
        <f>IF(INDEX('[20]Master Lookup'!$A$21:$A$37,A23)=0,"",INDEX('[20]Master Lookup'!$A$21:$A$37,A23))</f>
        <v>Technology</v>
      </c>
      <c r="N23" s="2">
        <f>IFERROR(INDEX('[20]Master Lookup'!$D$17:$D$36,MATCH(M23,'[20]Master Lookup'!$A$17:$A$36,0)),0)</f>
        <v>2.46672</v>
      </c>
      <c r="P23" s="105">
        <f t="shared" si="13"/>
        <v>12333.6</v>
      </c>
      <c r="R23" s="95" t="str">
        <f>IF(INDEX('[20]Master Lookup'!$A$21:$A$37,A23)=0,"",INDEX('[20]Master Lookup'!$A$21:$A$37,A23))</f>
        <v>Technology</v>
      </c>
      <c r="S23" s="2">
        <f>IFERROR(INDEX('[20]Master Lookup'!$E$17:$E$36,MATCH(R23,'[20]Master Lookup'!$A$17:$A$36,0)),0)</f>
        <v>1.8500400000000001</v>
      </c>
      <c r="U23" s="105">
        <f t="shared" si="14"/>
        <v>9250.2000000000007</v>
      </c>
      <c r="W23" s="95" t="str">
        <f>IF(INDEX('[20]Master Lookup'!$A$21:$A$37,A23)=0,"",INDEX('[20]Master Lookup'!$A$21:$A$37,A23))</f>
        <v>Technology</v>
      </c>
      <c r="X23" s="2">
        <f>IFERROR(INDEX('[20]Master Lookup'!$F$17:$F$36,MATCH(W23,'[20]Master Lookup'!$A$17:$A$36,0)),0)</f>
        <v>1.6444800000000002</v>
      </c>
      <c r="Z23" s="105">
        <f t="shared" si="15"/>
        <v>8222.4000000000015</v>
      </c>
      <c r="AB23" s="95" t="str">
        <f>IF(INDEX('[20]Master Lookup'!$A$21:$A$37,A23)=0,"",INDEX('[20]Master Lookup'!$A$21:$A$37,A23))</f>
        <v>Technology</v>
      </c>
      <c r="AC23" s="2">
        <f>IFERROR(INDEX('[20]Master Lookup'!$H$17:$H$36,MATCH(AB23,'[20]Master Lookup'!$A$17:$A$36,0)),0)</f>
        <v>1.8500400000000001</v>
      </c>
      <c r="AE23" s="105">
        <f t="shared" si="16"/>
        <v>9250.2000000000007</v>
      </c>
    </row>
    <row r="24" spans="1:31" x14ac:dyDescent="0.25">
      <c r="A24">
        <v>8</v>
      </c>
      <c r="C24" s="95" t="str">
        <f>IF(INDEX('[20]Master Lookup'!$A$21:$A$37,A24)=0,"",INDEX('[20]Master Lookup'!$A$21:$A$37,A24))</f>
        <v>Transportation</v>
      </c>
      <c r="D24" s="2">
        <v>11.16</v>
      </c>
      <c r="E24" s="3">
        <f>IFERROR(INDEX('[20]Master Lookup'!$G$28:$G$28,MATCH(C24,'[20]Master Lookup'!$A$28:$A$28,0)),0)</f>
        <v>1</v>
      </c>
      <c r="F24" s="105">
        <f>D24*E24*$F$3</f>
        <v>55800</v>
      </c>
      <c r="H24" s="95" t="str">
        <f>IF(INDEX('[20]Master Lookup'!$A$21:$A$37,A24)=0,"",INDEX('[20]Master Lookup'!$A$21:$A$37,A24))</f>
        <v>Transportation</v>
      </c>
      <c r="I24" s="2">
        <f>IFERROR(INDEX('[20]Master Lookup'!$B$17:$B$36,MATCH(H24,'[20]Master Lookup'!$A$17:$A$36,0)),0)</f>
        <v>11.164076502068774</v>
      </c>
      <c r="J24" s="3">
        <f>IFERROR(INDEX('[20]Master Lookup'!$C$28:$C$28,MATCH(H24,'[20]Master Lookup'!$A$28:$A$28,0)),0)</f>
        <v>1</v>
      </c>
      <c r="K24" s="105">
        <f>I24*J24*$F$3</f>
        <v>55820.382510343872</v>
      </c>
      <c r="M24" s="95" t="str">
        <f>IF(INDEX('[20]Master Lookup'!$A$21:$A$37,A24)=0,"",INDEX('[20]Master Lookup'!$A$21:$A$37,A24))</f>
        <v>Transportation</v>
      </c>
      <c r="N24" s="2">
        <f>IFERROR(INDEX('[20]Master Lookup'!$B$17:$B$36,MATCH(M24,'[20]Master Lookup'!$A$17:$A$36,0)),0)</f>
        <v>11.164076502068774</v>
      </c>
      <c r="O24" s="3">
        <f>IFERROR(INDEX('[20]Master Lookup'!$D$28:$D$28,MATCH(M24,'[20]Master Lookup'!$A$28:$A$28,0)),0)</f>
        <v>1</v>
      </c>
      <c r="P24" s="105">
        <f>N24*O24*$F$3</f>
        <v>55820.382510343872</v>
      </c>
      <c r="R24" s="95" t="str">
        <f>IF(INDEX('[20]Master Lookup'!$A$21:$A$37,A24)=0,"",INDEX('[20]Master Lookup'!$A$21:$A$37,A24))</f>
        <v>Transportation</v>
      </c>
      <c r="S24" s="2">
        <f>IFERROR(INDEX('[20]Master Lookup'!$B$17:$B$36,MATCH(R24,'[20]Master Lookup'!$A$17:$A$36,0)),0)</f>
        <v>11.164076502068774</v>
      </c>
      <c r="T24" s="3">
        <f>IFERROR(INDEX('[20]Master Lookup'!$E$28:$E$28,MATCH(R24,'[20]Master Lookup'!$A$28:$A$28,0)),0)</f>
        <v>0.8</v>
      </c>
      <c r="U24" s="105">
        <f>S24*T24*$F$3</f>
        <v>44656.306008275096</v>
      </c>
      <c r="W24" s="95" t="str">
        <f>IF(INDEX('[20]Master Lookup'!$A$21:$A$37,A24)=0,"",INDEX('[20]Master Lookup'!$A$21:$A$37,A24))</f>
        <v>Transportation</v>
      </c>
      <c r="X24" s="2">
        <f>IFERROR(INDEX('[20]Master Lookup'!$B$17:$B$36,MATCH(W24,'[20]Master Lookup'!$A$17:$A$36,0)),0)</f>
        <v>11.164076502068774</v>
      </c>
      <c r="Y24" s="3">
        <f>IFERROR(INDEX('[20]Master Lookup'!$F$28:$F$28,MATCH(W24,'[20]Master Lookup'!$A$28:$A$28,0)),0)</f>
        <v>0.8</v>
      </c>
      <c r="Z24" s="105">
        <f>X24*Y24*$F$3</f>
        <v>44656.306008275096</v>
      </c>
      <c r="AB24" s="95" t="str">
        <f>IF(INDEX('[20]Master Lookup'!$A$21:$A$37,A24)=0,"",INDEX('[20]Master Lookup'!$A$21:$A$37,A24))</f>
        <v>Transportation</v>
      </c>
      <c r="AC24" s="2">
        <f>IFERROR(INDEX('[20]Master Lookup'!$B$17:$B$36,MATCH(AB24,'[20]Master Lookup'!$A$17:$A$36,0)),0)</f>
        <v>11.164076502068774</v>
      </c>
      <c r="AD24" s="3">
        <f>IFERROR(INDEX('[20]Master Lookup'!$H$28:$H$28,MATCH(AB24,'[20]Master Lookup'!$A$28:$A$28,0)),0)</f>
        <v>2.4</v>
      </c>
      <c r="AE24" s="105">
        <f>AC24*AD24*$F$3</f>
        <v>133968.91802482528</v>
      </c>
    </row>
    <row r="25" spans="1:31" x14ac:dyDescent="0.25">
      <c r="A25">
        <v>9</v>
      </c>
      <c r="C25" s="95" t="str">
        <f>IF(INDEX('[20]Master Lookup'!$A$21:$A$37,A25)=0,"",INDEX('[20]Master Lookup'!$A$21:$A$37,A25))</f>
        <v>New Staff Trainings</v>
      </c>
      <c r="D25" s="2">
        <f>IFERROR(INDEX('[20]Master Lookup'!$B$17:$B$36,MATCH(C25,'[20]Master Lookup'!$A$17:$A$36,0)),0)</f>
        <v>163.37006341463413</v>
      </c>
      <c r="F25" s="105">
        <f>D25*(E12-E6-E9)</f>
        <v>1984.9462704878047</v>
      </c>
      <c r="H25" s="95" t="str">
        <f>IF(INDEX('[20]Master Lookup'!$A$21:$A$37,A25)=0,"",INDEX('[20]Master Lookup'!$A$21:$A$37,A25))</f>
        <v>New Staff Trainings</v>
      </c>
      <c r="I25" s="2">
        <f>IFERROR(INDEX('[20]Master Lookup'!$B$17:$B$36,MATCH(H25,'[20]Master Lookup'!$A$17:$A$36,0)),0)</f>
        <v>163.37006341463413</v>
      </c>
      <c r="K25" s="105">
        <f>I25*(J12-J6-J9)</f>
        <v>3550.0314779999999</v>
      </c>
      <c r="M25" s="95" t="str">
        <f>IF(INDEX('[20]Master Lookup'!$A$21:$A$37,A25)=0,"",INDEX('[20]Master Lookup'!$A$21:$A$37,A25))</f>
        <v>New Staff Trainings</v>
      </c>
      <c r="N25" s="2">
        <f>IFERROR(INDEX('[20]Master Lookup'!$B$17:$B$36,MATCH(M25,'[20]Master Lookup'!$A$17:$A$36,0)),0)</f>
        <v>163.37006341463413</v>
      </c>
      <c r="P25" s="105">
        <f>N25*(O12-O6-O9)</f>
        <v>1797.0706975609755</v>
      </c>
      <c r="R25" s="95" t="str">
        <f>IF(INDEX('[20]Master Lookup'!$A$21:$A$37,A25)=0,"",INDEX('[20]Master Lookup'!$A$21:$A$37,A25))</f>
        <v>New Staff Trainings</v>
      </c>
      <c r="S25" s="2">
        <f>IFERROR(INDEX('[20]Master Lookup'!$B$17:$B$36,MATCH(R25,'[20]Master Lookup'!$A$17:$A$36,0)),0)</f>
        <v>163.37006341463413</v>
      </c>
      <c r="U25" s="105">
        <f>S25*(T12-T6-T9)</f>
        <v>1109.2827305853657</v>
      </c>
      <c r="W25" s="95" t="str">
        <f>IF(INDEX('[20]Master Lookup'!$A$21:$A$37,A25)=0,"",INDEX('[20]Master Lookup'!$A$21:$A$37,A25))</f>
        <v>New Staff Trainings</v>
      </c>
      <c r="X25" s="2">
        <f>IFERROR(INDEX('[20]Master Lookup'!$B$17:$B$36,MATCH(W25,'[20]Master Lookup'!$A$17:$A$36,0)),0)</f>
        <v>163.37006341463413</v>
      </c>
      <c r="Z25" s="105">
        <f>X25*(Y12-Y6-Y9)</f>
        <v>911.60495385365846</v>
      </c>
      <c r="AB25" s="95" t="str">
        <f>IF(INDEX('[20]Master Lookup'!$A$21:$A$37,A25)=0,"",INDEX('[20]Master Lookup'!$A$21:$A$37,A25))</f>
        <v>New Staff Trainings</v>
      </c>
      <c r="AC25" s="2">
        <f>IFERROR(INDEX('[20]Master Lookup'!$B$17:$B$36,MATCH(AB25,'[20]Master Lookup'!$A$17:$A$36,0)),0)</f>
        <v>163.37006341463413</v>
      </c>
      <c r="AE25" s="105">
        <f>AC25*(AD12-AD6-AD9)</f>
        <v>1109.2827305853657</v>
      </c>
    </row>
    <row r="26" spans="1:31" x14ac:dyDescent="0.25">
      <c r="C26" s="102" t="s">
        <v>16</v>
      </c>
      <c r="D26" s="4"/>
      <c r="E26" s="4"/>
      <c r="F26" s="103">
        <f>SUM(F18:F25)</f>
        <v>199637.0418595396</v>
      </c>
      <c r="H26" s="102" t="s">
        <v>16</v>
      </c>
      <c r="I26" s="4"/>
      <c r="J26" s="4"/>
      <c r="K26" s="103">
        <f>SUM(K18:K25)</f>
        <v>211500.50957739569</v>
      </c>
      <c r="M26" s="102" t="s">
        <v>16</v>
      </c>
      <c r="N26" s="4"/>
      <c r="O26" s="4"/>
      <c r="P26" s="103">
        <f>SUM(P18:P25)</f>
        <v>202552.94879695663</v>
      </c>
      <c r="R26" s="102" t="s">
        <v>16</v>
      </c>
      <c r="S26" s="4"/>
      <c r="T26" s="4"/>
      <c r="U26" s="103">
        <f>SUM(U18:U25)</f>
        <v>187617.68432791228</v>
      </c>
      <c r="W26" s="102" t="s">
        <v>16</v>
      </c>
      <c r="X26" s="4"/>
      <c r="Y26" s="4"/>
      <c r="Z26" s="103">
        <f>SUM(Z18:Z25)</f>
        <v>186392.20655118054</v>
      </c>
      <c r="AB26" s="102" t="s">
        <v>16</v>
      </c>
      <c r="AC26" s="4"/>
      <c r="AD26" s="4"/>
      <c r="AE26" s="103">
        <f>SUM(AE18:AE25)</f>
        <v>229230.12737262982</v>
      </c>
    </row>
    <row r="27" spans="1:31" ht="15.75" thickBot="1" x14ac:dyDescent="0.3">
      <c r="C27" s="106" t="s">
        <v>17</v>
      </c>
      <c r="D27" s="5"/>
      <c r="E27" s="5"/>
      <c r="F27" s="107">
        <f>SUM(F15,F26)</f>
        <v>1311965.0883429078</v>
      </c>
      <c r="H27" s="106" t="s">
        <v>17</v>
      </c>
      <c r="I27" s="5"/>
      <c r="J27" s="5"/>
      <c r="K27" s="107">
        <f>SUM(K15,K26)</f>
        <v>1716633.4429849088</v>
      </c>
      <c r="M27" s="106" t="s">
        <v>17</v>
      </c>
      <c r="N27" s="5"/>
      <c r="O27" s="5"/>
      <c r="P27" s="107">
        <f>SUM(P15,P26)</f>
        <v>982911.33390509756</v>
      </c>
      <c r="R27" s="106" t="s">
        <v>17</v>
      </c>
      <c r="S27" s="5"/>
      <c r="T27" s="5"/>
      <c r="U27" s="107">
        <f>SUM(U15,U26)</f>
        <v>699766.84830568405</v>
      </c>
      <c r="W27" s="106" t="s">
        <v>17</v>
      </c>
      <c r="X27" s="5"/>
      <c r="Y27" s="5"/>
      <c r="Z27" s="107">
        <f>SUM(Z15,Z26)</f>
        <v>599226.85661818017</v>
      </c>
      <c r="AB27" s="106" t="s">
        <v>17</v>
      </c>
      <c r="AC27" s="5"/>
      <c r="AD27" s="5"/>
      <c r="AE27" s="107">
        <f>SUM(AE15,AE26)</f>
        <v>804306.66766659869</v>
      </c>
    </row>
    <row r="28" spans="1:31" ht="15.75" thickBot="1" x14ac:dyDescent="0.3">
      <c r="C28" s="95"/>
      <c r="F28" s="97"/>
      <c r="H28" s="95"/>
      <c r="K28" s="97"/>
      <c r="M28" s="95"/>
      <c r="P28" s="97"/>
      <c r="R28" s="95"/>
      <c r="U28" s="97"/>
      <c r="W28" s="95"/>
      <c r="Z28" s="97"/>
      <c r="AB28" s="95"/>
      <c r="AE28" s="97"/>
    </row>
    <row r="29" spans="1:31" ht="15.75" thickBot="1" x14ac:dyDescent="0.3">
      <c r="C29" s="144" t="s">
        <v>18</v>
      </c>
      <c r="D29" s="145"/>
      <c r="E29" s="145"/>
      <c r="F29" s="146"/>
      <c r="H29" s="144" t="s">
        <v>18</v>
      </c>
      <c r="I29" s="145"/>
      <c r="J29" s="145"/>
      <c r="K29" s="146"/>
      <c r="M29" s="144" t="s">
        <v>18</v>
      </c>
      <c r="N29" s="145"/>
      <c r="O29" s="145"/>
      <c r="P29" s="146"/>
      <c r="R29" s="144" t="s">
        <v>18</v>
      </c>
      <c r="S29" s="145"/>
      <c r="T29" s="145"/>
      <c r="U29" s="146"/>
      <c r="W29" s="144" t="s">
        <v>18</v>
      </c>
      <c r="X29" s="145"/>
      <c r="Y29" s="145"/>
      <c r="Z29" s="146"/>
      <c r="AB29" s="144" t="s">
        <v>18</v>
      </c>
      <c r="AC29" s="145"/>
      <c r="AD29" s="145"/>
      <c r="AE29" s="146"/>
    </row>
    <row r="30" spans="1:31" x14ac:dyDescent="0.25">
      <c r="C30" s="95" t="s">
        <v>19</v>
      </c>
      <c r="D30" s="108">
        <f>'M2023 BLS Chart'!C41</f>
        <v>0.12</v>
      </c>
      <c r="F30" s="99">
        <f>D30*F27</f>
        <v>157435.81060114893</v>
      </c>
      <c r="H30" s="95" t="s">
        <v>19</v>
      </c>
      <c r="I30" s="108">
        <f>D30</f>
        <v>0.12</v>
      </c>
      <c r="K30" s="99">
        <f>I30*K27</f>
        <v>205996.01315818905</v>
      </c>
      <c r="M30" s="95" t="s">
        <v>19</v>
      </c>
      <c r="N30" s="108">
        <f>D30</f>
        <v>0.12</v>
      </c>
      <c r="P30" s="99">
        <f>N30*P27</f>
        <v>117949.3600686117</v>
      </c>
      <c r="R30" s="95" t="s">
        <v>19</v>
      </c>
      <c r="S30" s="108">
        <f>D30</f>
        <v>0.12</v>
      </c>
      <c r="U30" s="99">
        <f>S30*U27</f>
        <v>83972.021796682078</v>
      </c>
      <c r="W30" s="95" t="s">
        <v>19</v>
      </c>
      <c r="X30" s="108">
        <f>D30</f>
        <v>0.12</v>
      </c>
      <c r="Z30" s="99">
        <f>X30*Z27</f>
        <v>71907.222794181624</v>
      </c>
      <c r="AB30" s="95" t="s">
        <v>19</v>
      </c>
      <c r="AC30" s="108">
        <f>D30</f>
        <v>0.12</v>
      </c>
      <c r="AE30" s="99">
        <f>AC30*AE27</f>
        <v>96516.800119991836</v>
      </c>
    </row>
    <row r="31" spans="1:31" x14ac:dyDescent="0.25">
      <c r="C31" s="100" t="s">
        <v>20</v>
      </c>
      <c r="D31" s="108">
        <f>'CAF Fall 2024'!CQ28</f>
        <v>3.2549514448865162E-2</v>
      </c>
      <c r="E31" s="1"/>
      <c r="F31" s="101">
        <f>D31*F27</f>
        <v>42703.826599424137</v>
      </c>
      <c r="H31" s="100" t="s">
        <v>20</v>
      </c>
      <c r="I31" s="108">
        <f>D31</f>
        <v>3.2549514448865162E-2</v>
      </c>
      <c r="J31" s="1"/>
      <c r="K31" s="101">
        <f>I31*K27</f>
        <v>55875.585055842443</v>
      </c>
      <c r="M31" s="100" t="s">
        <v>20</v>
      </c>
      <c r="N31" s="108">
        <f>D31</f>
        <v>3.2549514448865162E-2</v>
      </c>
      <c r="O31" s="1"/>
      <c r="P31" s="101">
        <f>N31*P27</f>
        <v>31993.286664897303</v>
      </c>
      <c r="R31" s="100" t="s">
        <v>20</v>
      </c>
      <c r="S31" s="108">
        <f>D31</f>
        <v>3.2549514448865162E-2</v>
      </c>
      <c r="T31" s="1"/>
      <c r="U31" s="101">
        <f>S31*U27</f>
        <v>22777.071139762698</v>
      </c>
      <c r="W31" s="100" t="s">
        <v>20</v>
      </c>
      <c r="X31" s="108">
        <f>D31</f>
        <v>3.2549514448865162E-2</v>
      </c>
      <c r="Y31" s="1"/>
      <c r="Z31" s="101">
        <f>X31*Z27</f>
        <v>19504.543227641509</v>
      </c>
      <c r="AB31" s="100" t="s">
        <v>20</v>
      </c>
      <c r="AC31" s="108">
        <f>D31</f>
        <v>3.2549514448865162E-2</v>
      </c>
      <c r="AD31" s="1"/>
      <c r="AE31" s="101">
        <f>AC31*AE27</f>
        <v>26179.791500532545</v>
      </c>
    </row>
    <row r="32" spans="1:31" ht="15.75" thickBot="1" x14ac:dyDescent="0.3">
      <c r="C32" s="106" t="s">
        <v>21</v>
      </c>
      <c r="D32" s="5"/>
      <c r="E32" s="5"/>
      <c r="F32" s="107">
        <f>SUM(F27,F30:F31)</f>
        <v>1512104.7255434811</v>
      </c>
      <c r="H32" s="106" t="s">
        <v>21</v>
      </c>
      <c r="I32" s="5"/>
      <c r="J32" s="5"/>
      <c r="K32" s="107">
        <f>SUM(K27,K30:K31)</f>
        <v>1978505.0411989405</v>
      </c>
      <c r="M32" s="106" t="s">
        <v>21</v>
      </c>
      <c r="N32" s="5"/>
      <c r="O32" s="5"/>
      <c r="P32" s="107">
        <f>SUM(P27,P30:P31)</f>
        <v>1132853.9806386067</v>
      </c>
      <c r="R32" s="106" t="s">
        <v>21</v>
      </c>
      <c r="S32" s="5"/>
      <c r="T32" s="5"/>
      <c r="U32" s="107">
        <f>SUM(U27,U30:U31)</f>
        <v>806515.94124212873</v>
      </c>
      <c r="W32" s="106" t="s">
        <v>21</v>
      </c>
      <c r="X32" s="5"/>
      <c r="Y32" s="5"/>
      <c r="Z32" s="107">
        <f>SUM(Z27,Z30:Z31)</f>
        <v>690638.62264000333</v>
      </c>
      <c r="AB32" s="106" t="s">
        <v>21</v>
      </c>
      <c r="AC32" s="5"/>
      <c r="AD32" s="5"/>
      <c r="AE32" s="107">
        <f>SUM(AE27,AE30:AE31)</f>
        <v>927003.2592871231</v>
      </c>
    </row>
    <row r="33" spans="2:31" x14ac:dyDescent="0.25">
      <c r="C33" s="95" t="s">
        <v>22</v>
      </c>
      <c r="F33" s="104">
        <f>F32/F3</f>
        <v>302.42094510869623</v>
      </c>
      <c r="H33" s="95" t="s">
        <v>22</v>
      </c>
      <c r="K33" s="104">
        <f>K32/K3</f>
        <v>395.70100823978811</v>
      </c>
      <c r="M33" s="95" t="s">
        <v>22</v>
      </c>
      <c r="P33" s="104">
        <f>P32/P3</f>
        <v>226.57079612772134</v>
      </c>
      <c r="R33" s="95" t="s">
        <v>22</v>
      </c>
      <c r="U33" s="104">
        <f>U32/U3</f>
        <v>161.30318824842576</v>
      </c>
      <c r="W33" s="95" t="s">
        <v>22</v>
      </c>
      <c r="Z33" s="104">
        <f>Z32/Z3</f>
        <v>138.12772452800067</v>
      </c>
      <c r="AB33" s="95" t="s">
        <v>22</v>
      </c>
      <c r="AE33" s="104">
        <f>ROUND(AE32/AE3,2)</f>
        <v>185.4</v>
      </c>
    </row>
    <row r="34" spans="2:31" x14ac:dyDescent="0.25">
      <c r="C34" s="95" t="s">
        <v>23</v>
      </c>
      <c r="F34" s="99">
        <f>F33/6</f>
        <v>50.403490851449369</v>
      </c>
      <c r="H34" s="95" t="s">
        <v>23</v>
      </c>
      <c r="K34" s="99">
        <f>K33/6+0.01</f>
        <v>65.960168039964685</v>
      </c>
      <c r="M34" s="95" t="s">
        <v>23</v>
      </c>
      <c r="P34" s="99">
        <f>P33/6</f>
        <v>37.761799354620223</v>
      </c>
      <c r="R34" s="95" t="s">
        <v>23</v>
      </c>
      <c r="U34" s="99">
        <f>U33/6</f>
        <v>26.883864708070959</v>
      </c>
      <c r="W34" s="95" t="s">
        <v>23</v>
      </c>
      <c r="Z34" s="99">
        <f>Z33/6+0.02</f>
        <v>23.041287421333443</v>
      </c>
      <c r="AB34" s="95" t="s">
        <v>23</v>
      </c>
      <c r="AE34" s="99">
        <f>ROUND(AE33/6,2)+0.02</f>
        <v>30.919999999999998</v>
      </c>
    </row>
    <row r="35" spans="2:31" ht="15.75" thickBot="1" x14ac:dyDescent="0.3">
      <c r="C35" s="109" t="s">
        <v>24</v>
      </c>
      <c r="D35" s="110"/>
      <c r="E35" s="110"/>
      <c r="F35" s="111">
        <f>ROUND(F34/4,2)</f>
        <v>12.6</v>
      </c>
      <c r="H35" s="109" t="str">
        <f>C35</f>
        <v>FY26 Rate</v>
      </c>
      <c r="I35" s="110"/>
      <c r="J35" s="110"/>
      <c r="K35" s="111">
        <f>ROUND(K34/4,2)</f>
        <v>16.489999999999998</v>
      </c>
      <c r="M35" s="109" t="str">
        <f>H35</f>
        <v>FY26 Rate</v>
      </c>
      <c r="N35" s="110"/>
      <c r="O35" s="110"/>
      <c r="P35" s="111">
        <f>ROUND(P34/4,2)</f>
        <v>9.44</v>
      </c>
      <c r="R35" s="109" t="str">
        <f>M35</f>
        <v>FY26 Rate</v>
      </c>
      <c r="S35" s="110"/>
      <c r="T35" s="110"/>
      <c r="U35" s="111">
        <f>ROUND(U34/4,2)</f>
        <v>6.72</v>
      </c>
      <c r="W35" s="109" t="str">
        <f>R35</f>
        <v>FY26 Rate</v>
      </c>
      <c r="X35" s="110"/>
      <c r="Y35" s="110"/>
      <c r="Z35" s="111">
        <f>ROUND(Z34/4,2)</f>
        <v>5.76</v>
      </c>
      <c r="AB35" s="109" t="str">
        <f>W35</f>
        <v>FY26 Rate</v>
      </c>
      <c r="AC35" s="110"/>
      <c r="AD35" s="110"/>
      <c r="AE35" s="111">
        <f>ROUND(AE34/4,2)</f>
        <v>7.73</v>
      </c>
    </row>
    <row r="36" spans="2:31" x14ac:dyDescent="0.25">
      <c r="F36" s="8"/>
      <c r="K36" s="8"/>
      <c r="P36" s="8"/>
      <c r="U36" s="8"/>
      <c r="Z36" s="8"/>
      <c r="AE36" s="8"/>
    </row>
    <row r="37" spans="2:31" ht="15.75" thickBot="1" x14ac:dyDescent="0.3">
      <c r="B37" s="9" t="s">
        <v>25</v>
      </c>
      <c r="C37" s="10" t="s">
        <v>26</v>
      </c>
      <c r="D37" s="10"/>
      <c r="E37" s="10"/>
      <c r="F37" s="11">
        <v>11.32</v>
      </c>
      <c r="H37" s="10" t="s">
        <v>26</v>
      </c>
      <c r="I37" s="10"/>
      <c r="J37" s="10"/>
      <c r="K37" s="11">
        <v>15.02</v>
      </c>
      <c r="M37" s="10" t="s">
        <v>26</v>
      </c>
      <c r="N37" s="10"/>
      <c r="O37" s="10"/>
      <c r="P37" s="11">
        <v>8.6199999999999992</v>
      </c>
      <c r="R37" s="10" t="s">
        <v>26</v>
      </c>
      <c r="S37" s="10"/>
      <c r="T37" s="10"/>
      <c r="U37" s="11">
        <v>6.16</v>
      </c>
      <c r="W37" s="10" t="s">
        <v>26</v>
      </c>
      <c r="X37" s="10"/>
      <c r="Y37" s="10"/>
      <c r="Z37" s="11">
        <v>5.28</v>
      </c>
      <c r="AB37" s="10" t="s">
        <v>26</v>
      </c>
      <c r="AC37" s="10"/>
      <c r="AD37" s="10"/>
      <c r="AE37" s="11">
        <v>7.01</v>
      </c>
    </row>
    <row r="38" spans="2:31" ht="15.75" thickTop="1" x14ac:dyDescent="0.25">
      <c r="C38" t="s">
        <v>27</v>
      </c>
      <c r="F38" s="6">
        <f>(F35-F37)/F37</f>
        <v>0.11307420494699641</v>
      </c>
      <c r="K38" s="6">
        <f>(K35-K37)/K37</f>
        <v>9.78695073235685E-2</v>
      </c>
      <c r="P38" s="6">
        <f>(P35-P37)/P37</f>
        <v>9.5127610208816743E-2</v>
      </c>
      <c r="U38" s="6">
        <f>(U35-U37)/U37</f>
        <v>9.0909090909090842E-2</v>
      </c>
      <c r="Z38" s="6">
        <f>(Z35-Z37)/Z37</f>
        <v>9.0909090909090814E-2</v>
      </c>
      <c r="AE38" s="6">
        <f>(AE35-AE37)/AE37</f>
        <v>0.10271041369472192</v>
      </c>
    </row>
    <row r="41" spans="2:31" x14ac:dyDescent="0.25">
      <c r="AE41" s="7"/>
    </row>
  </sheetData>
  <mergeCells count="24">
    <mergeCell ref="AB29:AE29"/>
    <mergeCell ref="C17:F17"/>
    <mergeCell ref="H17:K17"/>
    <mergeCell ref="M17:P17"/>
    <mergeCell ref="R17:U17"/>
    <mergeCell ref="W17:Z17"/>
    <mergeCell ref="AB17:AE17"/>
    <mergeCell ref="C29:F29"/>
    <mergeCell ref="H29:K29"/>
    <mergeCell ref="M29:P29"/>
    <mergeCell ref="R29:U29"/>
    <mergeCell ref="W29:Z29"/>
    <mergeCell ref="AB4:AE4"/>
    <mergeCell ref="C2:F2"/>
    <mergeCell ref="H2:K2"/>
    <mergeCell ref="M2:P2"/>
    <mergeCell ref="R2:U2"/>
    <mergeCell ref="W2:Z2"/>
    <mergeCell ref="AB2:AE2"/>
    <mergeCell ref="C4:F4"/>
    <mergeCell ref="H4:K4"/>
    <mergeCell ref="M4:P4"/>
    <mergeCell ref="R4:U4"/>
    <mergeCell ref="W4:Z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CAF Fall 2024</vt:lpstr>
      <vt:lpstr>M2023 BLS Chart</vt:lpstr>
      <vt:lpstr>CBDS Models</vt:lpstr>
      <vt:lpstr>'M2023 BLS Chart'!Print_Area</vt:lpstr>
      <vt:lpstr>'CAF Fall 2024'!Print_Titles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Farrell, Conor (EHS)</dc:creator>
  <cp:lastModifiedBy>Harrison, Deborah (EHS)</cp:lastModifiedBy>
  <dcterms:created xsi:type="dcterms:W3CDTF">2025-05-28T17:49:52Z</dcterms:created>
  <dcterms:modified xsi:type="dcterms:W3CDTF">2025-05-29T11:09:54Z</dcterms:modified>
</cp:coreProperties>
</file>