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 activeTab="1"/>
  </bookViews>
  <sheets>
    <sheet name="M2020 BLS Chart" sheetId="1" r:id="rId1"/>
    <sheet name="2022 Clubhouse Models (post PH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lldata" localSheetId="0">#REF!</definedName>
    <definedName name="alldata">#REF!</definedName>
    <definedName name="alled" localSheetId="0">#REF!</definedName>
    <definedName name="alled">#REF!</definedName>
    <definedName name="allstem" localSheetId="0">#REF!</definedName>
    <definedName name="allstem">#REF!</definedName>
    <definedName name="Average">#REF!</definedName>
    <definedName name="CAF_NEW">[5]RawDataCalcs!$L$70:$DB$70</definedName>
    <definedName name="Cap" localSheetId="0">[6]RawDataCalcs!$L$35:$DB$35</definedName>
    <definedName name="Cap">'[7]RawDataCalcs3386&amp;3401'!$L$66:$DB$66</definedName>
    <definedName name="Data">#REF!</definedName>
    <definedName name="Floor" localSheetId="0">[6]RawDataCalcs!$L$34:$DB$34</definedName>
    <definedName name="Floor">'[7]RawDataCalcs3386&amp;3401'!$L$65:$DB$65</definedName>
    <definedName name="Funds">'[8]RawDataCalcs3386&amp;3401'!$L$68:$DB$68</definedName>
    <definedName name="gk">#REF!</definedName>
    <definedName name="JailDAverage">#REF!</definedName>
    <definedName name="JailDCap">[9]ALLRawDataCalcs!$L$80:$DB$80</definedName>
    <definedName name="JailDFloor">[9]ALLRawDataCalcs!$L$79:$DB$79</definedName>
    <definedName name="JailDgk">#REF!</definedName>
    <definedName name="JailDMax">#REF!</definedName>
    <definedName name="JailDMedian">#REF!</definedName>
    <definedName name="Max">#REF!</definedName>
    <definedName name="Median">#REF!</definedName>
    <definedName name="Min">#REF!</definedName>
    <definedName name="new">#REF!</definedName>
    <definedName name="_xlnm.Print_Area" localSheetId="1">'2022 Clubhouse Models (post PH)'!$N$1:$R$61</definedName>
    <definedName name="_xlnm.Print_Area" localSheetId="0">'M2020 BLS Chart'!$B$1:$G$36</definedName>
    <definedName name="Program_File">#REF!</definedName>
    <definedName name="ProvFTE">'[10]FTE Data'!$A$3:$AW$56</definedName>
    <definedName name="PurchasedBy">'[10]FTE Data'!$C$263:$AZ$657</definedName>
    <definedName name="resmay2007">#REF!</definedName>
    <definedName name="sheet1">#REF!</definedName>
    <definedName name="Site_list">[10]Lists!$A$2:$A$53</definedName>
    <definedName name="Source">#REF!</definedName>
    <definedName name="Source_2">#REF!</definedName>
    <definedName name="SourcePathAndFileName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J76" i="2" l="1"/>
  <c r="H76" i="2"/>
  <c r="D76" i="2"/>
  <c r="B76" i="2"/>
  <c r="J75" i="2"/>
  <c r="D75" i="2"/>
  <c r="H63" i="2"/>
  <c r="B63" i="2"/>
  <c r="H62" i="2"/>
  <c r="C62" i="2"/>
  <c r="B62" i="2"/>
  <c r="L59" i="2"/>
  <c r="L73" i="2" s="1"/>
  <c r="J59" i="2"/>
  <c r="C59" i="2"/>
  <c r="F59" i="2" s="1"/>
  <c r="F73" i="2" s="1"/>
  <c r="P42" i="2"/>
  <c r="J79" i="2" s="1"/>
  <c r="J45" i="2"/>
  <c r="H45" i="2"/>
  <c r="D45" i="2"/>
  <c r="B45" i="2"/>
  <c r="J44" i="2"/>
  <c r="D44" i="2"/>
  <c r="P39" i="2"/>
  <c r="K72" i="2" s="1"/>
  <c r="L72" i="2" s="1"/>
  <c r="P38" i="2"/>
  <c r="K71" i="2" s="1"/>
  <c r="K42" i="2"/>
  <c r="P37" i="2"/>
  <c r="E72" i="2" s="1"/>
  <c r="P36" i="2"/>
  <c r="E71" i="2" s="1"/>
  <c r="F71" i="2" s="1"/>
  <c r="P35" i="2"/>
  <c r="J67" i="2" s="1"/>
  <c r="P34" i="2"/>
  <c r="D67" i="2" s="1"/>
  <c r="D36" i="2"/>
  <c r="E34" i="2"/>
  <c r="H32" i="2"/>
  <c r="C32" i="2"/>
  <c r="B32" i="2"/>
  <c r="I31" i="2"/>
  <c r="H31" i="2"/>
  <c r="C31" i="2"/>
  <c r="B31" i="2"/>
  <c r="I28" i="2"/>
  <c r="L28" i="2" s="1"/>
  <c r="C28" i="2"/>
  <c r="F28" i="2" s="1"/>
  <c r="Q9" i="2"/>
  <c r="R9" i="2" s="1"/>
  <c r="Q8" i="2"/>
  <c r="K62" i="2" s="1"/>
  <c r="K8" i="2"/>
  <c r="L8" i="2" s="1"/>
  <c r="E8" i="2"/>
  <c r="F8" i="2" s="1"/>
  <c r="K7" i="2"/>
  <c r="K31" i="2" s="1"/>
  <c r="E7" i="2"/>
  <c r="E62" i="2" s="1"/>
  <c r="Q5" i="2"/>
  <c r="R5" i="2" s="1"/>
  <c r="R17" i="2" s="1"/>
  <c r="P5" i="2"/>
  <c r="L4" i="2"/>
  <c r="L15" i="2" s="1"/>
  <c r="F4" i="2"/>
  <c r="F16" i="2" s="1"/>
  <c r="C30" i="1"/>
  <c r="D26" i="1"/>
  <c r="H25" i="1"/>
  <c r="C25" i="1"/>
  <c r="C26" i="1" s="1"/>
  <c r="E26" i="1" s="1"/>
  <c r="D24" i="1"/>
  <c r="H23" i="1"/>
  <c r="C23" i="1"/>
  <c r="C24" i="1" s="1"/>
  <c r="E24" i="1" s="1"/>
  <c r="D22" i="1"/>
  <c r="H21" i="1"/>
  <c r="C21" i="1"/>
  <c r="C22" i="1" s="1"/>
  <c r="E22" i="1" s="1"/>
  <c r="D20" i="1"/>
  <c r="H19" i="1"/>
  <c r="C19" i="1"/>
  <c r="C20" i="1" s="1"/>
  <c r="E20" i="1" s="1"/>
  <c r="C18" i="1"/>
  <c r="P29" i="2" s="1"/>
  <c r="C17" i="1"/>
  <c r="D16" i="1"/>
  <c r="H15" i="1"/>
  <c r="C15" i="1"/>
  <c r="C16" i="1" s="1"/>
  <c r="E16" i="1" s="1"/>
  <c r="D14" i="1"/>
  <c r="H13" i="1"/>
  <c r="C13" i="1"/>
  <c r="C14" i="1" s="1"/>
  <c r="E14" i="1" s="1"/>
  <c r="D12" i="1"/>
  <c r="C11" i="1"/>
  <c r="C12" i="1" s="1"/>
  <c r="E12" i="1" s="1"/>
  <c r="D10" i="1"/>
  <c r="C10" i="1"/>
  <c r="E10" i="1" s="1"/>
  <c r="H9" i="1"/>
  <c r="C9" i="1"/>
  <c r="J9" i="1" s="1"/>
  <c r="D8" i="1"/>
  <c r="C8" i="1"/>
  <c r="P30" i="2" s="1"/>
  <c r="H7" i="1"/>
  <c r="C7" i="1"/>
  <c r="J7" i="1" s="1"/>
  <c r="D6" i="1"/>
  <c r="C6" i="1"/>
  <c r="H5" i="1"/>
  <c r="C5" i="1"/>
  <c r="J5" i="1" s="1"/>
  <c r="E40" i="2" l="1"/>
  <c r="F72" i="2"/>
  <c r="L71" i="2"/>
  <c r="J36" i="2"/>
  <c r="K40" i="2"/>
  <c r="E41" i="2"/>
  <c r="F41" i="2" s="1"/>
  <c r="L16" i="2"/>
  <c r="F7" i="2"/>
  <c r="F9" i="2" s="1"/>
  <c r="L7" i="2"/>
  <c r="L9" i="2" s="1"/>
  <c r="K9" i="2"/>
  <c r="K41" i="2"/>
  <c r="L41" i="2" s="1"/>
  <c r="E9" i="2"/>
  <c r="D48" i="2"/>
  <c r="J48" i="2"/>
  <c r="C28" i="1"/>
  <c r="J63" i="2"/>
  <c r="L63" i="2" s="1"/>
  <c r="D32" i="2"/>
  <c r="F32" i="2" s="1"/>
  <c r="D63" i="2"/>
  <c r="F63" i="2" s="1"/>
  <c r="J32" i="2"/>
  <c r="L32" i="2" s="1"/>
  <c r="D62" i="2"/>
  <c r="J31" i="2"/>
  <c r="L31" i="2" s="1"/>
  <c r="D31" i="2"/>
  <c r="F31" i="2" s="1"/>
  <c r="J62" i="2"/>
  <c r="L62" i="2" s="1"/>
  <c r="F11" i="2"/>
  <c r="F13" i="2" s="1"/>
  <c r="L11" i="2"/>
  <c r="L13" i="2" s="1"/>
  <c r="L17" i="2" s="1"/>
  <c r="K65" i="2"/>
  <c r="F40" i="2"/>
  <c r="F42" i="2"/>
  <c r="L42" i="2"/>
  <c r="E6" i="1"/>
  <c r="E8" i="1"/>
  <c r="J13" i="1"/>
  <c r="J15" i="1"/>
  <c r="J19" i="1"/>
  <c r="J21" i="1"/>
  <c r="J23" i="1"/>
  <c r="J25" i="1"/>
  <c r="E65" i="2"/>
  <c r="F62" i="2"/>
  <c r="K34" i="2"/>
  <c r="L40" i="2"/>
  <c r="R8" i="2"/>
  <c r="R10" i="2" s="1"/>
  <c r="Q10" i="2"/>
  <c r="F15" i="2"/>
  <c r="R16" i="2"/>
  <c r="D79" i="2"/>
  <c r="L18" i="2" l="1"/>
  <c r="L19" i="2" s="1"/>
  <c r="L20" i="2" s="1"/>
  <c r="L21" i="2" s="1"/>
  <c r="L65" i="2"/>
  <c r="F34" i="2"/>
  <c r="L34" i="2"/>
  <c r="R12" i="2"/>
  <c r="R14" i="2" s="1"/>
  <c r="R18" i="2" s="1"/>
  <c r="F65" i="2"/>
  <c r="F17" i="2"/>
  <c r="L38" i="2" l="1"/>
  <c r="L43" i="2" s="1"/>
  <c r="L36" i="2"/>
  <c r="L45" i="2"/>
  <c r="L67" i="2"/>
  <c r="L69" i="2" s="1"/>
  <c r="L74" i="2" s="1"/>
  <c r="L76" i="2"/>
  <c r="F18" i="2"/>
  <c r="F19" i="2" s="1"/>
  <c r="F20" i="2" s="1"/>
  <c r="F21" i="2" s="1"/>
  <c r="F45" i="2"/>
  <c r="F36" i="2"/>
  <c r="F38" i="2" s="1"/>
  <c r="F43" i="2" s="1"/>
  <c r="F76" i="2"/>
  <c r="F67" i="2"/>
  <c r="F69" i="2" s="1"/>
  <c r="F74" i="2" s="1"/>
  <c r="R19" i="2"/>
  <c r="R20" i="2" s="1"/>
  <c r="R21" i="2" s="1"/>
  <c r="R22" i="2" s="1"/>
  <c r="L75" i="2" l="1"/>
  <c r="L77" i="2" s="1"/>
  <c r="L79" i="2" s="1"/>
  <c r="L81" i="2" s="1"/>
  <c r="L82" i="2" s="1"/>
  <c r="F44" i="2"/>
  <c r="F46" i="2" s="1"/>
  <c r="F48" i="2" s="1"/>
  <c r="F50" i="2" s="1"/>
  <c r="F51" i="2" s="1"/>
  <c r="F75" i="2"/>
  <c r="F77" i="2" s="1"/>
  <c r="F79" i="2" s="1"/>
  <c r="F81" i="2" s="1"/>
  <c r="F82" i="2" s="1"/>
  <c r="L44" i="2"/>
  <c r="L46" i="2" s="1"/>
  <c r="L48" i="2" s="1"/>
  <c r="L50" i="2" s="1"/>
  <c r="L51" i="2" s="1"/>
</calcChain>
</file>

<file path=xl/sharedStrings.xml><?xml version="1.0" encoding="utf-8"?>
<sst xmlns="http://schemas.openxmlformats.org/spreadsheetml/2006/main" count="240" uniqueCount="122">
  <si>
    <t>Source:</t>
  </si>
  <si>
    <t>2017/2018</t>
  </si>
  <si>
    <t>BLS / OES</t>
  </si>
  <si>
    <t>Position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</si>
  <si>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</si>
  <si>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</si>
  <si>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</si>
  <si>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</si>
  <si>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</si>
  <si>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</si>
  <si>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</si>
  <si>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</si>
  <si>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</si>
  <si>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</si>
  <si>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</si>
  <si>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</si>
  <si>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</si>
  <si>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</si>
  <si>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</si>
  <si>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</si>
  <si>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</si>
  <si>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</si>
  <si>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</si>
  <si>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</si>
  <si>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</si>
  <si>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</si>
  <si>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</si>
  <si>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</si>
  <si>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</si>
  <si>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</si>
  <si>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</si>
  <si>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</si>
  <si>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</si>
  <si>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</si>
  <si>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</si>
  <si>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</si>
  <si>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</si>
  <si>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</si>
  <si>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</si>
  <si>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</si>
  <si>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</si>
  <si>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</si>
  <si>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</si>
  <si>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</si>
  <si>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</si>
  <si>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</si>
  <si>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</si>
  <si>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</si>
  <si>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</si>
  <si>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</si>
  <si>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</si>
  <si>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</si>
  <si>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</si>
  <si>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</si>
  <si>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</si>
  <si>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</si>
  <si>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>Overnight staff (asleep or awake) benchmarked to $14.63 / hr (avg CY22 &amp; CY23)</t>
  </si>
  <si>
    <t>CY21 min. wage = $13.50 and CY22 min. wage = $14.25 and CY23 = $15.00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</si>
  <si>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</si>
  <si>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</si>
  <si>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</si>
  <si>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PFMLA</t>
  </si>
  <si>
    <t>Admin Allocation</t>
  </si>
  <si>
    <t>C.257 Benchmark</t>
  </si>
  <si>
    <t>Clubhouse Rate Review - Effective January 2022</t>
  </si>
  <si>
    <t>61+ AVERAGE DAILY ATTENDANCE</t>
  </si>
  <si>
    <t>60 &amp; UNDER  AVERAGE DAILY ATTENDANCE</t>
  </si>
  <si>
    <t>SAMPLE Avg Daily Attendance:</t>
  </si>
  <si>
    <t>Days:</t>
  </si>
  <si>
    <t>Martha's Vineyard Model</t>
  </si>
  <si>
    <t>Clients : FTE</t>
  </si>
  <si>
    <t>Salary</t>
  </si>
  <si>
    <t>FTE</t>
  </si>
  <si>
    <t>Expense</t>
  </si>
  <si>
    <t>Direct Mgmt Staffing</t>
  </si>
  <si>
    <t>Clients: FTE</t>
  </si>
  <si>
    <t>Non-Management Staffing</t>
  </si>
  <si>
    <t>Sub-total Direct Care Staff</t>
  </si>
  <si>
    <t>Factor</t>
  </si>
  <si>
    <t>Taxes &amp; Fringe</t>
  </si>
  <si>
    <t>*</t>
  </si>
  <si>
    <t>Total Staffing Costs</t>
  </si>
  <si>
    <t>Unit Cost</t>
  </si>
  <si>
    <t>Occupancy</t>
  </si>
  <si>
    <t xml:space="preserve">Other Program Exp. </t>
  </si>
  <si>
    <t>Total Reimbursable Exp. Excl. Admin.</t>
  </si>
  <si>
    <t>Admin. Alloc. (M &amp; G)</t>
  </si>
  <si>
    <t>Total</t>
  </si>
  <si>
    <t>Proposed Rate</t>
  </si>
  <si>
    <t>CAF Rate</t>
  </si>
  <si>
    <t>Rate with CAF</t>
  </si>
  <si>
    <t>UNDER 30 AVERAGE DAILY ATTENDANCE (not incl. MV)</t>
  </si>
  <si>
    <t>30 to 70 AVERAGE DAILY ATTENDANCE</t>
  </si>
  <si>
    <t>Clubhouse - Master Data Look-up Table  (3034)</t>
  </si>
  <si>
    <t>Benchmark Salaries</t>
  </si>
  <si>
    <t>Source</t>
  </si>
  <si>
    <t>Management</t>
  </si>
  <si>
    <t>Direct Care III</t>
  </si>
  <si>
    <t>TOTAL FTES</t>
  </si>
  <si>
    <t>Benchmark Expenses</t>
  </si>
  <si>
    <t>Tax &amp; Fringe</t>
  </si>
  <si>
    <t>Per Unit</t>
  </si>
  <si>
    <t>Tax &amp; Fringe- Martha's Vineyard</t>
  </si>
  <si>
    <t>Occupancy (per unit)</t>
  </si>
  <si>
    <t xml:space="preserve">FY20 UFR </t>
  </si>
  <si>
    <t>Other Expense (per unit)</t>
  </si>
  <si>
    <t>Technology Misc Costs</t>
  </si>
  <si>
    <t>MV Occupancy (per unit)</t>
  </si>
  <si>
    <t>MV Other Expense (per unit)</t>
  </si>
  <si>
    <t>Administrative Allocation</t>
  </si>
  <si>
    <t>PFMLA Trust Contribution</t>
  </si>
  <si>
    <t>Per the Grand Bargain Agreement</t>
  </si>
  <si>
    <t xml:space="preserve">Total </t>
  </si>
  <si>
    <t>CAF 1/1/20-12/31/21</t>
  </si>
  <si>
    <t>Base period 2019Q4 - Prospective period 1/1/20 - 12/31/21</t>
  </si>
  <si>
    <t>Benchmarked to 101 CMR 419: Supported Employment</t>
  </si>
  <si>
    <t>TOTAL</t>
  </si>
  <si>
    <t>71+ AVERAGE DAILY ATTENDANCE</t>
  </si>
  <si>
    <t>Finalized models for January 2022</t>
  </si>
  <si>
    <t>c.257 Benchmark</t>
  </si>
  <si>
    <t>c.257 Benchmark For FY22 Rate reviews</t>
  </si>
  <si>
    <t>Benchmark to BLS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</si>
</sst>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* #,##0_);_(* \(#,##0\);_(* &quot;-&quot;??_);_(@_)"/>
    <numFmt numFmtId="168" formatCode="\$#,##0"/>
    <numFmt numFmtId="169" formatCode="_(* #,##0.0_);_(* \(#,##0.0\);_(* &quot;-&quot;??_);_(@_)"/>
    <numFmt numFmtId="170" formatCode="0.0"/>
    <numFmt numFmtId="171" formatCode="_(&quot;$&quot;* #,##0.00_);_(&quot;$&quot;* \(#,##0.00\);_(&quot;$&quot;* &quot;-&quot;_);_(@_)"/>
    <numFmt numFmtId="172" formatCode="_(&quot;$&quot;* #,##0_);_(&quot;$&quot;* \(#,##0\);_(&quot;$&quot;* &quot;-&quot;??_);_(@_)"/>
    <numFmt numFmtId="173" formatCode="_(&quot;$&quot;* #,##0.0000_);_(&quot;$&quot;* \(#,##0.0000\);_(&quot;$&quot;* &quot;-&quot;_);_(@_)"/>
    <numFmt numFmtId="174" formatCode="_(&quot;$&quot;* #,##0.000_);_(&quot;$&quot;* \(#,##0.000\);_(&quot;$&quot;* &quot;-&quot;_);_(@_)"/>
    <numFmt numFmtId="175" formatCode="0.00_);[Red]\(0.00\)"/>
    <numFmt numFmtId="176" formatCode="_(&quot;$&quot;* #,##0.000_);_(&quot;$&quot;* \(#,##0.000\);_(&quot;$&quot;* &quot;-&quot;??_);_(@_)"/>
    <numFmt numFmtId="177" formatCode="0.0%"/>
    <numFmt numFmtId="178" formatCode="_(* #,##0.000_);_(* \(#,##0.000\);_(* &quot;-&quot;??_);_(@_)"/>
  </numFmts>
  <fonts count="46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double">
        <color indexed="64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22" borderId="35" applyNumberFormat="0" applyAlignment="0" applyProtection="0"/>
    <xf numFmtId="0" fontId="27" fillId="23" borderId="36" applyNumberFormat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35" applyNumberFormat="0" applyAlignment="0" applyProtection="0"/>
    <xf numFmtId="0" fontId="38" fillId="0" borderId="40" applyNumberFormat="0" applyFill="0" applyAlignment="0" applyProtection="0"/>
    <xf numFmtId="0" fontId="39" fillId="24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0" fillId="0" borderId="0"/>
    <xf numFmtId="0" fontId="10" fillId="0" borderId="0" applyAlignment="0"/>
    <xf numFmtId="0" fontId="15" fillId="0" borderId="0"/>
    <xf numFmtId="0" fontId="16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30" fillId="0" borderId="0"/>
    <xf numFmtId="0" fontId="23" fillId="0" borderId="0"/>
    <xf numFmtId="0" fontId="2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" fillId="0" borderId="0"/>
    <xf numFmtId="0" fontId="23" fillId="0" borderId="0"/>
    <xf numFmtId="0" fontId="15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2" borderId="1" applyNumberFormat="0" applyFont="0" applyAlignment="0" applyProtection="0"/>
    <xf numFmtId="0" fontId="15" fillId="25" borderId="41" applyNumberFormat="0" applyFont="0" applyAlignment="0" applyProtection="0"/>
    <xf numFmtId="0" fontId="42" fillId="22" borderId="4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3" applyNumberFormat="0" applyFill="0" applyAlignment="0" applyProtection="0"/>
    <xf numFmtId="0" fontId="45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2" fillId="0" borderId="0" xfId="4"/>
    <xf numFmtId="0" fontId="2" fillId="0" borderId="0" xfId="4" applyAlignment="1">
      <alignment wrapText="1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164" fontId="8" fillId="0" borderId="0" xfId="4" applyNumberFormat="1" applyFont="1" applyAlignment="1">
      <alignment horizontal="left" vertical="top"/>
    </xf>
    <xf numFmtId="0" fontId="9" fillId="0" borderId="0" xfId="4" applyFont="1"/>
    <xf numFmtId="0" fontId="9" fillId="0" borderId="0" xfId="4" applyFont="1" applyAlignment="1">
      <alignment wrapText="1"/>
    </xf>
    <xf numFmtId="0" fontId="8" fillId="0" borderId="0" xfId="4" applyFont="1"/>
    <xf numFmtId="9" fontId="8" fillId="0" borderId="0" xfId="4" applyNumberFormat="1" applyFont="1" applyAlignment="1">
      <alignment horizontal="center" wrapText="1"/>
    </xf>
    <xf numFmtId="9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 wrapText="1"/>
    </xf>
    <xf numFmtId="0" fontId="9" fillId="0" borderId="2" xfId="4" applyFont="1" applyBorder="1"/>
    <xf numFmtId="165" fontId="9" fillId="0" borderId="3" xfId="4" applyNumberFormat="1" applyFont="1" applyBorder="1" applyAlignment="1">
      <alignment horizontal="center"/>
    </xf>
    <xf numFmtId="9" fontId="9" fillId="0" borderId="3" xfId="5" applyFont="1" applyBorder="1" applyAlignment="1">
      <alignment horizontal="center"/>
    </xf>
    <xf numFmtId="0" fontId="9" fillId="0" borderId="4" xfId="4" applyFont="1" applyBorder="1" applyAlignment="1">
      <alignment horizontal="left" vertical="top" wrapText="1"/>
    </xf>
    <xf numFmtId="0" fontId="9" fillId="0" borderId="5" xfId="4" applyFont="1" applyBorder="1" applyAlignment="1">
      <alignment horizontal="left" vertical="center" wrapText="1"/>
    </xf>
    <xf numFmtId="165" fontId="2" fillId="0" borderId="6" xfId="4" applyNumberFormat="1" applyBorder="1"/>
    <xf numFmtId="165" fontId="2" fillId="0" borderId="0" xfId="4" applyNumberFormat="1"/>
    <xf numFmtId="0" fontId="9" fillId="0" borderId="7" xfId="4" applyFont="1" applyBorder="1"/>
    <xf numFmtId="166" fontId="9" fillId="0" borderId="8" xfId="4" applyNumberFormat="1" applyFont="1" applyFill="1" applyBorder="1" applyAlignment="1">
      <alignment horizontal="center"/>
    </xf>
    <xf numFmtId="166" fontId="9" fillId="0" borderId="8" xfId="4" applyNumberFormat="1" applyFont="1" applyBorder="1" applyAlignment="1">
      <alignment horizontal="center"/>
    </xf>
    <xf numFmtId="9" fontId="9" fillId="0" borderId="9" xfId="5" applyFont="1" applyBorder="1" applyAlignment="1">
      <alignment horizontal="center"/>
    </xf>
    <xf numFmtId="0" fontId="9" fillId="0" borderId="8" xfId="4" applyFont="1" applyBorder="1" applyAlignment="1">
      <alignment horizontal="left" vertical="top" wrapText="1"/>
    </xf>
    <xf numFmtId="0" fontId="9" fillId="0" borderId="10" xfId="4" applyFont="1" applyBorder="1" applyAlignment="1">
      <alignment horizontal="left" vertical="center" wrapText="1"/>
    </xf>
    <xf numFmtId="166" fontId="2" fillId="0" borderId="11" xfId="4" applyNumberFormat="1" applyBorder="1"/>
    <xf numFmtId="165" fontId="9" fillId="0" borderId="3" xfId="4" applyNumberFormat="1" applyFont="1" applyFill="1" applyBorder="1" applyAlignment="1">
      <alignment horizontal="center"/>
    </xf>
    <xf numFmtId="0" fontId="9" fillId="0" borderId="4" xfId="4" applyFont="1" applyBorder="1"/>
    <xf numFmtId="0" fontId="9" fillId="0" borderId="12" xfId="4" applyFont="1" applyBorder="1"/>
    <xf numFmtId="166" fontId="9" fillId="0" borderId="0" xfId="4" applyNumberFormat="1" applyFont="1" applyFill="1" applyBorder="1" applyAlignment="1">
      <alignment horizontal="center"/>
    </xf>
    <xf numFmtId="166" fontId="9" fillId="0" borderId="0" xfId="4" applyNumberFormat="1" applyFont="1" applyBorder="1" applyAlignment="1">
      <alignment horizontal="center"/>
    </xf>
    <xf numFmtId="9" fontId="9" fillId="0" borderId="13" xfId="5" applyFont="1" applyBorder="1" applyAlignment="1">
      <alignment horizontal="center"/>
    </xf>
    <xf numFmtId="0" fontId="9" fillId="0" borderId="0" xfId="4" applyFont="1" applyBorder="1"/>
    <xf numFmtId="0" fontId="9" fillId="0" borderId="14" xfId="4" applyFont="1" applyBorder="1" applyAlignment="1">
      <alignment horizontal="left" vertical="center" wrapText="1"/>
    </xf>
    <xf numFmtId="0" fontId="9" fillId="0" borderId="4" xfId="4" applyFont="1" applyFill="1" applyBorder="1"/>
    <xf numFmtId="165" fontId="3" fillId="0" borderId="0" xfId="4" applyNumberFormat="1" applyFont="1"/>
    <xf numFmtId="0" fontId="9" fillId="0" borderId="8" xfId="4" applyFont="1" applyBorder="1"/>
    <xf numFmtId="165" fontId="2" fillId="0" borderId="6" xfId="4" applyNumberFormat="1" applyBorder="1" applyAlignment="1">
      <alignment horizontal="right" vertical="center"/>
    </xf>
    <xf numFmtId="165" fontId="2" fillId="0" borderId="11" xfId="4" applyNumberFormat="1" applyBorder="1" applyAlignment="1">
      <alignment horizontal="right" vertical="center"/>
    </xf>
    <xf numFmtId="0" fontId="9" fillId="0" borderId="2" xfId="4" applyFont="1" applyBorder="1" applyAlignment="1">
      <alignment wrapText="1"/>
    </xf>
    <xf numFmtId="0" fontId="9" fillId="0" borderId="7" xfId="4" applyFont="1" applyBorder="1" applyAlignment="1">
      <alignment wrapText="1"/>
    </xf>
    <xf numFmtId="0" fontId="9" fillId="0" borderId="12" xfId="4" applyFont="1" applyFill="1" applyBorder="1"/>
    <xf numFmtId="165" fontId="9" fillId="0" borderId="0" xfId="4" applyNumberFormat="1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0" fontId="9" fillId="0" borderId="0" xfId="4" applyFont="1" applyFill="1" applyBorder="1"/>
    <xf numFmtId="0" fontId="9" fillId="0" borderId="14" xfId="4" applyFont="1" applyFill="1" applyBorder="1" applyAlignment="1">
      <alignment horizontal="left" vertical="center" wrapText="1"/>
    </xf>
    <xf numFmtId="166" fontId="2" fillId="0" borderId="15" xfId="4" applyNumberFormat="1" applyBorder="1"/>
    <xf numFmtId="0" fontId="9" fillId="0" borderId="4" xfId="4" applyFont="1" applyBorder="1" applyAlignment="1">
      <alignment vertical="top" wrapText="1"/>
    </xf>
    <xf numFmtId="0" fontId="9" fillId="0" borderId="8" xfId="4" applyFont="1" applyBorder="1" applyAlignment="1">
      <alignment vertical="top" wrapText="1"/>
    </xf>
    <xf numFmtId="165" fontId="2" fillId="0" borderId="15" xfId="4" applyNumberFormat="1" applyBorder="1"/>
    <xf numFmtId="0" fontId="11" fillId="0" borderId="0" xfId="4" applyFont="1" applyAlignment="1">
      <alignment horizontal="right" wrapText="1"/>
    </xf>
    <xf numFmtId="166" fontId="11" fillId="0" borderId="0" xfId="4" applyNumberFormat="1" applyFont="1"/>
    <xf numFmtId="0" fontId="11" fillId="0" borderId="0" xfId="4" applyFont="1"/>
    <xf numFmtId="0" fontId="11" fillId="0" borderId="0" xfId="4" applyFont="1" applyAlignment="1">
      <alignment wrapText="1"/>
    </xf>
    <xf numFmtId="165" fontId="11" fillId="0" borderId="0" xfId="4" applyNumberFormat="1" applyFont="1"/>
    <xf numFmtId="0" fontId="11" fillId="0" borderId="0" xfId="4" applyFont="1" applyAlignment="1">
      <alignment horizontal="right"/>
    </xf>
    <xf numFmtId="10" fontId="11" fillId="0" borderId="0" xfId="6" applyNumberFormat="1" applyFont="1"/>
    <xf numFmtId="0" fontId="11" fillId="0" borderId="0" xfId="4" applyFont="1" applyFill="1" applyAlignment="1">
      <alignment horizontal="right"/>
    </xf>
    <xf numFmtId="9" fontId="11" fillId="0" borderId="0" xfId="6" applyNumberFormat="1" applyFont="1"/>
    <xf numFmtId="0" fontId="12" fillId="0" borderId="0" xfId="0" applyFont="1" applyFill="1"/>
    <xf numFmtId="0" fontId="13" fillId="0" borderId="0" xfId="0" applyFont="1" applyFill="1"/>
    <xf numFmtId="42" fontId="13" fillId="0" borderId="0" xfId="0" applyNumberFormat="1" applyFont="1" applyFill="1"/>
    <xf numFmtId="0" fontId="14" fillId="0" borderId="0" xfId="0" applyFont="1" applyFill="1" applyAlignment="1">
      <alignment vertical="center"/>
    </xf>
    <xf numFmtId="0" fontId="15" fillId="0" borderId="0" xfId="0" applyFont="1" applyFill="1"/>
    <xf numFmtId="9" fontId="15" fillId="0" borderId="0" xfId="3" applyFont="1" applyFill="1"/>
    <xf numFmtId="42" fontId="15" fillId="0" borderId="0" xfId="0" applyNumberFormat="1" applyFont="1" applyFill="1"/>
    <xf numFmtId="10" fontId="15" fillId="0" borderId="0" xfId="3" applyNumberFormat="1" applyFont="1" applyFill="1"/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0" xfId="7" applyFont="1" applyFill="1" applyBorder="1" applyAlignment="1">
      <alignment horizontal="center"/>
    </xf>
    <xf numFmtId="0" fontId="17" fillId="0" borderId="0" xfId="7" applyFont="1" applyFill="1" applyBorder="1" applyAlignment="1">
      <alignment horizontal="center"/>
    </xf>
    <xf numFmtId="0" fontId="15" fillId="0" borderId="12" xfId="0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167" fontId="15" fillId="0" borderId="0" xfId="1" applyNumberFormat="1" applyFont="1" applyFill="1" applyBorder="1"/>
    <xf numFmtId="167" fontId="15" fillId="0" borderId="5" xfId="1" applyNumberFormat="1" applyFont="1" applyFill="1" applyBorder="1"/>
    <xf numFmtId="43" fontId="15" fillId="0" borderId="0" xfId="8" applyNumberFormat="1" applyFont="1" applyFill="1" applyBorder="1"/>
    <xf numFmtId="0" fontId="17" fillId="0" borderId="16" xfId="7" applyFont="1" applyFill="1" applyBorder="1" applyAlignment="1">
      <alignment horizontal="center"/>
    </xf>
    <xf numFmtId="0" fontId="17" fillId="0" borderId="17" xfId="7" applyFont="1" applyFill="1" applyBorder="1" applyAlignment="1">
      <alignment horizontal="center"/>
    </xf>
    <xf numFmtId="0" fontId="17" fillId="0" borderId="18" xfId="7" applyFont="1" applyFill="1" applyBorder="1" applyAlignment="1">
      <alignment horizontal="center"/>
    </xf>
    <xf numFmtId="168" fontId="15" fillId="0" borderId="12" xfId="0" applyNumberFormat="1" applyFont="1" applyFill="1" applyBorder="1"/>
    <xf numFmtId="168" fontId="15" fillId="0" borderId="0" xfId="0" applyNumberFormat="1" applyFont="1" applyFill="1" applyBorder="1"/>
    <xf numFmtId="42" fontId="17" fillId="0" borderId="14" xfId="0" applyNumberFormat="1" applyFont="1" applyFill="1" applyBorder="1" applyAlignment="1"/>
    <xf numFmtId="42" fontId="17" fillId="0" borderId="0" xfId="7" applyNumberFormat="1" applyFont="1" applyFill="1" applyBorder="1" applyAlignment="1"/>
    <xf numFmtId="168" fontId="15" fillId="0" borderId="0" xfId="7" applyNumberFormat="1" applyFont="1" applyFill="1" applyBorder="1"/>
    <xf numFmtId="0" fontId="15" fillId="0" borderId="0" xfId="7" applyFont="1" applyFill="1" applyBorder="1"/>
    <xf numFmtId="0" fontId="15" fillId="0" borderId="0" xfId="7" applyFont="1" applyFill="1" applyBorder="1" applyAlignment="1">
      <alignment horizontal="right"/>
    </xf>
    <xf numFmtId="167" fontId="15" fillId="0" borderId="0" xfId="8" applyNumberFormat="1" applyFont="1" applyFill="1" applyBorder="1"/>
    <xf numFmtId="43" fontId="15" fillId="0" borderId="5" xfId="8" applyNumberFormat="1" applyFont="1" applyFill="1" applyBorder="1"/>
    <xf numFmtId="0" fontId="15" fillId="0" borderId="12" xfId="0" applyFont="1" applyFill="1" applyBorder="1"/>
    <xf numFmtId="0" fontId="17" fillId="0" borderId="0" xfId="0" applyFont="1" applyFill="1" applyBorder="1" applyAlignment="1">
      <alignment horizontal="center"/>
    </xf>
    <xf numFmtId="168" fontId="17" fillId="0" borderId="0" xfId="0" applyNumberFormat="1" applyFont="1" applyFill="1" applyBorder="1" applyAlignment="1">
      <alignment horizontal="center"/>
    </xf>
    <xf numFmtId="42" fontId="17" fillId="0" borderId="14" xfId="0" applyNumberFormat="1" applyFont="1" applyFill="1" applyBorder="1" applyAlignment="1">
      <alignment horizontal="center"/>
    </xf>
    <xf numFmtId="42" fontId="17" fillId="0" borderId="0" xfId="7" applyNumberFormat="1" applyFont="1" applyFill="1" applyBorder="1" applyAlignment="1">
      <alignment horizontal="center"/>
    </xf>
    <xf numFmtId="168" fontId="15" fillId="0" borderId="12" xfId="7" applyNumberFormat="1" applyFont="1" applyFill="1" applyBorder="1"/>
    <xf numFmtId="42" fontId="17" fillId="0" borderId="14" xfId="7" applyNumberFormat="1" applyFont="1" applyFill="1" applyBorder="1" applyAlignment="1"/>
    <xf numFmtId="169" fontId="15" fillId="0" borderId="0" xfId="1" applyNumberFormat="1" applyFont="1" applyFill="1" applyBorder="1" applyAlignment="1">
      <alignment horizontal="right"/>
    </xf>
    <xf numFmtId="170" fontId="15" fillId="0" borderId="0" xfId="0" applyNumberFormat="1" applyFont="1" applyFill="1" applyBorder="1" applyAlignment="1">
      <alignment horizontal="right"/>
    </xf>
    <xf numFmtId="42" fontId="15" fillId="0" borderId="14" xfId="2" applyNumberFormat="1" applyFont="1" applyFill="1" applyBorder="1"/>
    <xf numFmtId="42" fontId="15" fillId="0" borderId="0" xfId="9" applyNumberFormat="1" applyFont="1" applyFill="1" applyBorder="1"/>
    <xf numFmtId="0" fontId="15" fillId="0" borderId="12" xfId="7" applyFont="1" applyFill="1" applyBorder="1"/>
    <xf numFmtId="168" fontId="17" fillId="0" borderId="0" xfId="7" applyNumberFormat="1" applyFont="1" applyFill="1" applyBorder="1" applyAlignment="1">
      <alignment horizontal="center"/>
    </xf>
    <xf numFmtId="42" fontId="17" fillId="0" borderId="14" xfId="7" applyNumberFormat="1" applyFont="1" applyFill="1" applyBorder="1" applyAlignment="1">
      <alignment horizontal="center"/>
    </xf>
    <xf numFmtId="170" fontId="15" fillId="0" borderId="12" xfId="0" applyNumberFormat="1" applyFont="1" applyFill="1" applyBorder="1"/>
    <xf numFmtId="42" fontId="15" fillId="0" borderId="14" xfId="2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right"/>
    </xf>
    <xf numFmtId="42" fontId="15" fillId="0" borderId="0" xfId="9" applyNumberFormat="1" applyFont="1" applyFill="1" applyBorder="1" applyAlignment="1">
      <alignment horizontal="center"/>
    </xf>
    <xf numFmtId="166" fontId="15" fillId="0" borderId="0" xfId="7" applyNumberFormat="1" applyFont="1" applyFill="1" applyAlignment="1">
      <alignment horizontal="center"/>
    </xf>
    <xf numFmtId="170" fontId="15" fillId="0" borderId="0" xfId="7" applyNumberFormat="1" applyFont="1" applyFill="1" applyBorder="1" applyAlignment="1">
      <alignment horizontal="right"/>
    </xf>
    <xf numFmtId="42" fontId="15" fillId="0" borderId="14" xfId="9" applyNumberFormat="1" applyFont="1" applyFill="1" applyBorder="1"/>
    <xf numFmtId="0" fontId="17" fillId="0" borderId="19" xfId="0" applyFont="1" applyFill="1" applyBorder="1" applyAlignment="1"/>
    <xf numFmtId="168" fontId="17" fillId="0" borderId="20" xfId="0" applyNumberFormat="1" applyFont="1" applyFill="1" applyBorder="1"/>
    <xf numFmtId="169" fontId="17" fillId="0" borderId="20" xfId="1" applyNumberFormat="1" applyFont="1" applyFill="1" applyBorder="1"/>
    <xf numFmtId="42" fontId="17" fillId="0" borderId="21" xfId="2" applyNumberFormat="1" applyFont="1" applyFill="1" applyBorder="1" applyAlignment="1">
      <alignment horizontal="center"/>
    </xf>
    <xf numFmtId="42" fontId="17" fillId="0" borderId="0" xfId="9" applyNumberFormat="1" applyFont="1" applyFill="1" applyBorder="1" applyAlignment="1">
      <alignment horizontal="center"/>
    </xf>
    <xf numFmtId="168" fontId="17" fillId="0" borderId="0" xfId="7" applyNumberFormat="1" applyFont="1" applyFill="1" applyBorder="1" applyAlignment="1"/>
    <xf numFmtId="166" fontId="15" fillId="0" borderId="0" xfId="7" applyNumberFormat="1" applyFont="1" applyFill="1" applyBorder="1" applyAlignment="1">
      <alignment horizontal="center"/>
    </xf>
    <xf numFmtId="42" fontId="15" fillId="0" borderId="14" xfId="9" applyNumberFormat="1" applyFont="1" applyFill="1" applyBorder="1" applyAlignment="1">
      <alignment horizontal="center"/>
    </xf>
    <xf numFmtId="0" fontId="17" fillId="0" borderId="12" xfId="0" applyFont="1" applyFill="1" applyBorder="1"/>
    <xf numFmtId="0" fontId="17" fillId="0" borderId="0" xfId="0" applyFont="1" applyFill="1" applyBorder="1"/>
    <xf numFmtId="42" fontId="15" fillId="0" borderId="14" xfId="0" applyNumberFormat="1" applyFont="1" applyFill="1" applyBorder="1"/>
    <xf numFmtId="42" fontId="15" fillId="0" borderId="0" xfId="7" applyNumberFormat="1" applyFont="1" applyFill="1" applyBorder="1"/>
    <xf numFmtId="0" fontId="17" fillId="0" borderId="0" xfId="7" applyFont="1" applyFill="1" applyBorder="1"/>
    <xf numFmtId="168" fontId="17" fillId="0" borderId="19" xfId="7" applyNumberFormat="1" applyFont="1" applyFill="1" applyBorder="1" applyAlignment="1"/>
    <xf numFmtId="168" fontId="17" fillId="0" borderId="20" xfId="7" applyNumberFormat="1" applyFont="1" applyFill="1" applyBorder="1"/>
    <xf numFmtId="169" fontId="17" fillId="0" borderId="20" xfId="8" applyNumberFormat="1" applyFont="1" applyFill="1" applyBorder="1"/>
    <xf numFmtId="42" fontId="17" fillId="0" borderId="21" xfId="9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/>
    <xf numFmtId="9" fontId="15" fillId="0" borderId="0" xfId="0" applyNumberFormat="1" applyFont="1" applyFill="1" applyBorder="1" applyAlignment="1">
      <alignment horizontal="left"/>
    </xf>
    <xf numFmtId="0" fontId="17" fillId="0" borderId="12" xfId="7" applyFont="1" applyFill="1" applyBorder="1"/>
    <xf numFmtId="42" fontId="15" fillId="0" borderId="14" xfId="7" applyNumberFormat="1" applyFont="1" applyFill="1" applyBorder="1"/>
    <xf numFmtId="10" fontId="15" fillId="0" borderId="0" xfId="7" applyNumberFormat="1" applyFont="1" applyFill="1" applyBorder="1" applyAlignment="1">
      <alignment horizontal="center"/>
    </xf>
    <xf numFmtId="9" fontId="15" fillId="0" borderId="0" xfId="7" applyNumberFormat="1" applyFont="1" applyFill="1" applyBorder="1"/>
    <xf numFmtId="10" fontId="17" fillId="0" borderId="20" xfId="0" applyNumberFormat="1" applyFont="1" applyFill="1" applyBorder="1" applyAlignment="1">
      <alignment horizontal="center"/>
    </xf>
    <xf numFmtId="0" fontId="17" fillId="0" borderId="22" xfId="7" applyFont="1" applyFill="1" applyBorder="1"/>
    <xf numFmtId="10" fontId="17" fillId="0" borderId="20" xfId="7" applyNumberFormat="1" applyFont="1" applyFill="1" applyBorder="1" applyAlignment="1">
      <alignment horizontal="center"/>
    </xf>
    <xf numFmtId="44" fontId="15" fillId="0" borderId="0" xfId="0" applyNumberFormat="1" applyFont="1" applyFill="1" applyBorder="1"/>
    <xf numFmtId="165" fontId="15" fillId="0" borderId="0" xfId="7" applyNumberFormat="1" applyFont="1" applyFill="1" applyBorder="1"/>
    <xf numFmtId="0" fontId="17" fillId="0" borderId="22" xfId="0" applyFont="1" applyFill="1" applyBorder="1"/>
    <xf numFmtId="0" fontId="17" fillId="0" borderId="20" xfId="0" applyFont="1" applyFill="1" applyBorder="1"/>
    <xf numFmtId="10" fontId="15" fillId="0" borderId="20" xfId="0" applyNumberFormat="1" applyFont="1" applyFill="1" applyBorder="1" applyAlignment="1">
      <alignment horizontal="center"/>
    </xf>
    <xf numFmtId="0" fontId="15" fillId="0" borderId="20" xfId="0" applyFont="1" applyFill="1" applyBorder="1"/>
    <xf numFmtId="42" fontId="15" fillId="0" borderId="21" xfId="2" applyNumberFormat="1" applyFont="1" applyFill="1" applyBorder="1"/>
    <xf numFmtId="0" fontId="17" fillId="0" borderId="20" xfId="7" applyFont="1" applyFill="1" applyBorder="1"/>
    <xf numFmtId="10" fontId="15" fillId="0" borderId="20" xfId="7" applyNumberFormat="1" applyFont="1" applyFill="1" applyBorder="1" applyAlignment="1">
      <alignment horizontal="center"/>
    </xf>
    <xf numFmtId="0" fontId="15" fillId="0" borderId="20" xfId="7" applyFont="1" applyFill="1" applyBorder="1"/>
    <xf numFmtId="42" fontId="15" fillId="0" borderId="21" xfId="9" applyNumberFormat="1" applyFont="1" applyFill="1" applyBorder="1"/>
    <xf numFmtId="0" fontId="17" fillId="0" borderId="23" xfId="0" applyFont="1" applyFill="1" applyBorder="1"/>
    <xf numFmtId="0" fontId="15" fillId="0" borderId="24" xfId="0" applyFont="1" applyFill="1" applyBorder="1"/>
    <xf numFmtId="0" fontId="15" fillId="0" borderId="24" xfId="0" applyFont="1" applyFill="1" applyBorder="1" applyAlignment="1">
      <alignment horizontal="center"/>
    </xf>
    <xf numFmtId="42" fontId="17" fillId="0" borderId="25" xfId="0" applyNumberFormat="1" applyFont="1" applyFill="1" applyBorder="1"/>
    <xf numFmtId="5" fontId="17" fillId="0" borderId="0" xfId="7" applyNumberFormat="1" applyFont="1" applyFill="1" applyBorder="1"/>
    <xf numFmtId="0" fontId="15" fillId="0" borderId="0" xfId="0" applyFont="1" applyFill="1" applyBorder="1" applyAlignment="1">
      <alignment horizontal="center"/>
    </xf>
    <xf numFmtId="44" fontId="15" fillId="0" borderId="14" xfId="2" applyFont="1" applyFill="1" applyBorder="1"/>
    <xf numFmtId="44" fontId="15" fillId="0" borderId="0" xfId="9" applyFont="1" applyFill="1" applyBorder="1"/>
    <xf numFmtId="0" fontId="17" fillId="0" borderId="23" xfId="7" applyFont="1" applyFill="1" applyBorder="1"/>
    <xf numFmtId="0" fontId="15" fillId="0" borderId="24" xfId="7" applyFont="1" applyFill="1" applyBorder="1"/>
    <xf numFmtId="0" fontId="15" fillId="0" borderId="24" xfId="7" applyFont="1" applyFill="1" applyBorder="1" applyAlignment="1">
      <alignment horizontal="center"/>
    </xf>
    <xf numFmtId="5" fontId="17" fillId="0" borderId="25" xfId="7" applyNumberFormat="1" applyFont="1" applyFill="1" applyBorder="1"/>
    <xf numFmtId="0" fontId="17" fillId="0" borderId="0" xfId="0" applyFont="1" applyFill="1"/>
    <xf numFmtId="0" fontId="17" fillId="0" borderId="7" xfId="0" applyFont="1" applyFill="1" applyBorder="1"/>
    <xf numFmtId="0" fontId="17" fillId="0" borderId="8" xfId="0" applyFont="1" applyFill="1" applyBorder="1"/>
    <xf numFmtId="10" fontId="15" fillId="0" borderId="8" xfId="3" applyNumberFormat="1" applyFont="1" applyFill="1" applyBorder="1" applyAlignment="1">
      <alignment horizontal="center"/>
    </xf>
    <xf numFmtId="10" fontId="17" fillId="0" borderId="8" xfId="3" applyNumberFormat="1" applyFont="1" applyFill="1" applyBorder="1"/>
    <xf numFmtId="171" fontId="17" fillId="0" borderId="10" xfId="0" applyNumberFormat="1" applyFont="1" applyFill="1" applyBorder="1"/>
    <xf numFmtId="165" fontId="17" fillId="0" borderId="0" xfId="7" applyNumberFormat="1" applyFont="1" applyFill="1" applyBorder="1"/>
    <xf numFmtId="0" fontId="15" fillId="0" borderId="0" xfId="7" applyFont="1" applyFill="1" applyBorder="1" applyAlignment="1">
      <alignment horizontal="center"/>
    </xf>
    <xf numFmtId="44" fontId="15" fillId="0" borderId="14" xfId="9" applyFont="1" applyFill="1" applyBorder="1"/>
    <xf numFmtId="0" fontId="17" fillId="0" borderId="0" xfId="0" applyFont="1" applyFill="1" applyBorder="1" applyAlignment="1"/>
    <xf numFmtId="0" fontId="17" fillId="0" borderId="7" xfId="7" applyFont="1" applyFill="1" applyBorder="1"/>
    <xf numFmtId="10" fontId="15" fillId="0" borderId="8" xfId="10" applyNumberFormat="1" applyFont="1" applyFill="1" applyBorder="1" applyAlignment="1">
      <alignment horizontal="center"/>
    </xf>
    <xf numFmtId="10" fontId="17" fillId="0" borderId="8" xfId="10" applyNumberFormat="1" applyFont="1" applyFill="1" applyBorder="1"/>
    <xf numFmtId="165" fontId="17" fillId="0" borderId="10" xfId="7" applyNumberFormat="1" applyFont="1" applyFill="1" applyBorder="1"/>
    <xf numFmtId="10" fontId="15" fillId="0" borderId="0" xfId="10" applyNumberFormat="1" applyFont="1" applyFill="1" applyBorder="1" applyAlignment="1">
      <alignment horizontal="center"/>
    </xf>
    <xf numFmtId="10" fontId="17" fillId="0" borderId="0" xfId="10" applyNumberFormat="1" applyFont="1" applyFill="1" applyBorder="1"/>
    <xf numFmtId="0" fontId="14" fillId="0" borderId="0" xfId="0" applyFont="1" applyFill="1" applyBorder="1" applyAlignment="1">
      <alignment vertical="center"/>
    </xf>
    <xf numFmtId="168" fontId="17" fillId="0" borderId="0" xfId="0" applyNumberFormat="1" applyFont="1" applyFill="1" applyBorder="1" applyAlignment="1"/>
    <xf numFmtId="42" fontId="17" fillId="0" borderId="0" xfId="2" applyNumberFormat="1" applyFont="1" applyFill="1" applyBorder="1" applyAlignment="1"/>
    <xf numFmtId="168" fontId="18" fillId="0" borderId="16" xfId="11" applyNumberFormat="1" applyFont="1" applyFill="1" applyBorder="1" applyAlignment="1">
      <alignment horizontal="center" vertical="center"/>
    </xf>
    <xf numFmtId="168" fontId="18" fillId="0" borderId="17" xfId="11" applyNumberFormat="1" applyFont="1" applyFill="1" applyBorder="1" applyAlignment="1">
      <alignment horizontal="center" vertical="center"/>
    </xf>
    <xf numFmtId="168" fontId="18" fillId="0" borderId="18" xfId="11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/>
    <xf numFmtId="168" fontId="18" fillId="0" borderId="16" xfId="11" applyNumberFormat="1" applyFont="1" applyFill="1" applyBorder="1" applyAlignment="1">
      <alignment horizontal="center"/>
    </xf>
    <xf numFmtId="168" fontId="18" fillId="0" borderId="17" xfId="11" applyNumberFormat="1" applyFont="1" applyFill="1" applyBorder="1" applyAlignment="1">
      <alignment horizontal="center"/>
    </xf>
    <xf numFmtId="172" fontId="15" fillId="0" borderId="0" xfId="2" applyNumberFormat="1" applyFont="1" applyFill="1" applyBorder="1"/>
    <xf numFmtId="171" fontId="15" fillId="0" borderId="0" xfId="9" applyNumberFormat="1" applyFont="1" applyFill="1" applyBorder="1"/>
    <xf numFmtId="173" fontId="15" fillId="0" borderId="0" xfId="9" applyNumberFormat="1" applyFont="1" applyFill="1" applyBorder="1" applyAlignment="1">
      <alignment horizontal="center"/>
    </xf>
    <xf numFmtId="171" fontId="17" fillId="0" borderId="0" xfId="9" applyNumberFormat="1" applyFont="1" applyFill="1" applyBorder="1" applyAlignment="1">
      <alignment horizontal="center"/>
    </xf>
    <xf numFmtId="169" fontId="17" fillId="0" borderId="20" xfId="1" applyNumberFormat="1" applyFont="1" applyFill="1" applyBorder="1" applyAlignment="1">
      <alignment horizontal="right"/>
    </xf>
    <xf numFmtId="171" fontId="15" fillId="0" borderId="0" xfId="7" applyNumberFormat="1" applyFont="1" applyFill="1" applyBorder="1"/>
    <xf numFmtId="174" fontId="15" fillId="0" borderId="0" xfId="9" applyNumberFormat="1" applyFont="1" applyFill="1" applyBorder="1"/>
    <xf numFmtId="168" fontId="18" fillId="0" borderId="12" xfId="11" applyNumberFormat="1" applyFont="1" applyFill="1" applyBorder="1" applyAlignment="1">
      <alignment horizontal="right"/>
    </xf>
    <xf numFmtId="175" fontId="18" fillId="0" borderId="0" xfId="11" applyNumberFormat="1" applyFont="1" applyFill="1" applyBorder="1" applyAlignment="1">
      <alignment horizontal="center"/>
    </xf>
    <xf numFmtId="168" fontId="19" fillId="0" borderId="12" xfId="11" applyNumberFormat="1" applyFont="1" applyFill="1" applyBorder="1"/>
    <xf numFmtId="168" fontId="18" fillId="0" borderId="0" xfId="11" applyNumberFormat="1" applyFont="1" applyFill="1" applyBorder="1" applyAlignment="1">
      <alignment horizontal="center"/>
    </xf>
    <xf numFmtId="10" fontId="15" fillId="0" borderId="0" xfId="0" applyNumberFormat="1" applyFont="1" applyFill="1" applyBorder="1"/>
    <xf numFmtId="42" fontId="15" fillId="0" borderId="0" xfId="2" applyNumberFormat="1" applyFont="1" applyFill="1" applyBorder="1"/>
    <xf numFmtId="176" fontId="15" fillId="0" borderId="0" xfId="0" applyNumberFormat="1" applyFont="1" applyFill="1"/>
    <xf numFmtId="44" fontId="15" fillId="0" borderId="0" xfId="0" applyNumberFormat="1" applyFont="1" applyFill="1"/>
    <xf numFmtId="0" fontId="19" fillId="0" borderId="12" xfId="11" applyFont="1" applyFill="1" applyBorder="1"/>
    <xf numFmtId="10" fontId="16" fillId="0" borderId="0" xfId="0" applyNumberFormat="1" applyFont="1" applyFill="1" applyBorder="1" applyAlignment="1"/>
    <xf numFmtId="168" fontId="19" fillId="0" borderId="7" xfId="11" applyNumberFormat="1" applyFont="1" applyFill="1" applyBorder="1"/>
    <xf numFmtId="10" fontId="19" fillId="0" borderId="8" xfId="10" applyNumberFormat="1" applyFont="1" applyFill="1" applyBorder="1" applyAlignment="1"/>
    <xf numFmtId="42" fontId="17" fillId="0" borderId="14" xfId="0" applyNumberFormat="1" applyFont="1" applyFill="1" applyBorder="1"/>
    <xf numFmtId="42" fontId="17" fillId="0" borderId="10" xfId="0" applyNumberFormat="1" applyFont="1" applyFill="1" applyBorder="1"/>
    <xf numFmtId="168" fontId="19" fillId="0" borderId="28" xfId="11" applyNumberFormat="1" applyFont="1" applyFill="1" applyBorder="1" applyAlignment="1">
      <alignment wrapText="1"/>
    </xf>
    <xf numFmtId="177" fontId="19" fillId="0" borderId="29" xfId="11" applyNumberFormat="1" applyFont="1" applyFill="1" applyBorder="1"/>
    <xf numFmtId="10" fontId="15" fillId="0" borderId="30" xfId="3" applyNumberFormat="1" applyFont="1" applyFill="1" applyBorder="1" applyAlignment="1">
      <alignment horizontal="center"/>
    </xf>
    <xf numFmtId="8" fontId="19" fillId="0" borderId="30" xfId="11" applyNumberFormat="1" applyFont="1" applyFill="1" applyBorder="1" applyAlignment="1">
      <alignment horizontal="right" wrapText="1"/>
    </xf>
    <xf numFmtId="42" fontId="17" fillId="0" borderId="31" xfId="0" applyNumberFormat="1" applyFont="1" applyFill="1" applyBorder="1"/>
    <xf numFmtId="44" fontId="17" fillId="3" borderId="14" xfId="2" applyFont="1" applyFill="1" applyBorder="1"/>
    <xf numFmtId="0" fontId="20" fillId="0" borderId="0" xfId="0" applyFont="1" applyFill="1" applyBorder="1"/>
    <xf numFmtId="0" fontId="15" fillId="0" borderId="7" xfId="0" applyFont="1" applyFill="1" applyBorder="1"/>
    <xf numFmtId="0" fontId="15" fillId="0" borderId="8" xfId="0" applyFont="1" applyFill="1" applyBorder="1"/>
    <xf numFmtId="42" fontId="15" fillId="0" borderId="10" xfId="0" applyNumberFormat="1" applyFont="1" applyFill="1" applyBorder="1"/>
    <xf numFmtId="0" fontId="21" fillId="0" borderId="0" xfId="0" applyFont="1" applyFill="1" applyBorder="1"/>
    <xf numFmtId="0" fontId="15" fillId="0" borderId="32" xfId="0" applyFont="1" applyFill="1" applyBorder="1"/>
    <xf numFmtId="171" fontId="17" fillId="0" borderId="33" xfId="0" applyNumberFormat="1" applyFont="1" applyFill="1" applyBorder="1"/>
    <xf numFmtId="171" fontId="17" fillId="0" borderId="0" xfId="0" applyNumberFormat="1" applyFont="1" applyFill="1" applyBorder="1"/>
    <xf numFmtId="10" fontId="17" fillId="0" borderId="0" xfId="3" applyNumberFormat="1" applyFont="1" applyFill="1" applyBorder="1"/>
    <xf numFmtId="2" fontId="15" fillId="0" borderId="0" xfId="7" applyNumberFormat="1" applyFont="1" applyFill="1" applyBorder="1"/>
    <xf numFmtId="167" fontId="15" fillId="0" borderId="5" xfId="8" applyNumberFormat="1" applyFont="1" applyFill="1" applyBorder="1"/>
    <xf numFmtId="44" fontId="17" fillId="0" borderId="0" xfId="9" applyNumberFormat="1" applyFont="1" applyFill="1" applyBorder="1" applyAlignment="1">
      <alignment horizontal="center"/>
    </xf>
    <xf numFmtId="170" fontId="15" fillId="0" borderId="0" xfId="7" applyNumberFormat="1" applyFont="1" applyFill="1" applyBorder="1" applyAlignment="1"/>
    <xf numFmtId="43" fontId="15" fillId="0" borderId="0" xfId="1" applyFont="1" applyFill="1" applyBorder="1"/>
    <xf numFmtId="178" fontId="15" fillId="0" borderId="0" xfId="1" applyNumberFormat="1" applyFont="1" applyFill="1"/>
    <xf numFmtId="165" fontId="17" fillId="0" borderId="0" xfId="0" applyNumberFormat="1" applyFont="1" applyFill="1"/>
    <xf numFmtId="170" fontId="15" fillId="0" borderId="0" xfId="0" applyNumberFormat="1" applyFont="1" applyFill="1" applyBorder="1"/>
    <xf numFmtId="42" fontId="15" fillId="0" borderId="34" xfId="2" applyNumberFormat="1" applyFont="1" applyFill="1" applyBorder="1"/>
    <xf numFmtId="43" fontId="15" fillId="0" borderId="0" xfId="1" applyNumberFormat="1" applyFont="1" applyFill="1" applyBorder="1"/>
    <xf numFmtId="42" fontId="17" fillId="0" borderId="0" xfId="0" applyNumberFormat="1" applyFont="1" applyFill="1" applyBorder="1" applyAlignment="1"/>
    <xf numFmtId="42" fontId="17" fillId="0" borderId="25" xfId="7" applyNumberFormat="1" applyFont="1" applyFill="1" applyBorder="1"/>
    <xf numFmtId="44" fontId="15" fillId="0" borderId="14" xfId="9" applyNumberFormat="1" applyFont="1" applyFill="1" applyBorder="1"/>
    <xf numFmtId="42" fontId="15" fillId="0" borderId="0" xfId="2" applyNumberFormat="1" applyFont="1" applyFill="1" applyBorder="1" applyAlignment="1">
      <alignment horizontal="center"/>
    </xf>
    <xf numFmtId="168" fontId="17" fillId="0" borderId="0" xfId="0" applyNumberFormat="1" applyFont="1" applyFill="1" applyBorder="1"/>
    <xf numFmtId="169" fontId="17" fillId="0" borderId="0" xfId="1" applyNumberFormat="1" applyFont="1" applyFill="1" applyBorder="1" applyAlignment="1">
      <alignment horizontal="right"/>
    </xf>
    <xf numFmtId="42" fontId="17" fillId="0" borderId="0" xfId="2" applyNumberFormat="1" applyFont="1" applyFill="1" applyBorder="1" applyAlignment="1">
      <alignment horizontal="center"/>
    </xf>
    <xf numFmtId="42" fontId="15" fillId="0" borderId="0" xfId="0" applyNumberFormat="1" applyFont="1" applyFill="1" applyBorder="1"/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/>
    <xf numFmtId="10" fontId="17" fillId="0" borderId="0" xfId="0" applyNumberFormat="1" applyFont="1" applyFill="1" applyBorder="1" applyAlignment="1">
      <alignment horizontal="center"/>
    </xf>
    <xf numFmtId="42" fontId="17" fillId="0" borderId="0" xfId="0" applyNumberFormat="1" applyFont="1" applyFill="1"/>
    <xf numFmtId="0" fontId="15" fillId="0" borderId="0" xfId="0" applyFont="1" applyFill="1" applyBorder="1" applyAlignment="1">
      <alignment horizontal="left"/>
    </xf>
    <xf numFmtId="171" fontId="17" fillId="0" borderId="0" xfId="0" applyNumberFormat="1" applyFont="1" applyFill="1"/>
    <xf numFmtId="0" fontId="15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10" fontId="17" fillId="0" borderId="0" xfId="3" applyNumberFormat="1" applyFont="1" applyFill="1"/>
    <xf numFmtId="165" fontId="17" fillId="0" borderId="0" xfId="0" applyNumberFormat="1" applyFont="1" applyFill="1" applyAlignment="1">
      <alignment horizontal="right"/>
    </xf>
    <xf numFmtId="171" fontId="15" fillId="0" borderId="0" xfId="0" applyNumberFormat="1" applyFont="1" applyFill="1"/>
    <xf numFmtId="0" fontId="22" fillId="0" borderId="0" xfId="0" applyFont="1" applyFill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42" fontId="15" fillId="0" borderId="0" xfId="0" applyNumberFormat="1" applyFont="1" applyFill="1" applyAlignment="1">
      <alignment vertical="top" wrapText="1"/>
    </xf>
    <xf numFmtId="171" fontId="15" fillId="0" borderId="0" xfId="0" applyNumberFormat="1" applyFont="1" applyFill="1" applyAlignment="1">
      <alignment vertical="top" wrapText="1"/>
    </xf>
    <xf numFmtId="171" fontId="15" fillId="0" borderId="0" xfId="0" applyNumberFormat="1" applyFont="1" applyFill="1" applyBorder="1" applyAlignment="1">
      <alignment vertical="top" wrapText="1"/>
    </xf>
    <xf numFmtId="171" fontId="15" fillId="0" borderId="0" xfId="0" applyNumberFormat="1" applyFont="1" applyFill="1" applyBorder="1"/>
    <xf numFmtId="171" fontId="22" fillId="0" borderId="0" xfId="0" applyNumberFormat="1" applyFont="1" applyFill="1" applyAlignment="1">
      <alignment horizontal="right"/>
    </xf>
    <xf numFmtId="171" fontId="15" fillId="0" borderId="0" xfId="0" applyNumberFormat="1" applyFont="1" applyFill="1" applyBorder="1" applyAlignment="1">
      <alignment horizontal="right"/>
    </xf>
    <xf numFmtId="171" fontId="15" fillId="0" borderId="0" xfId="2" applyNumberFormat="1" applyFont="1" applyFill="1" applyBorder="1" applyAlignment="1">
      <alignment horizontal="center"/>
    </xf>
    <xf numFmtId="42" fontId="15" fillId="0" borderId="0" xfId="0" applyNumberFormat="1" applyFont="1" applyFill="1" applyBorder="1" applyAlignment="1">
      <alignment vertical="top" wrapText="1"/>
    </xf>
    <xf numFmtId="42" fontId="17" fillId="0" borderId="0" xfId="0" applyNumberFormat="1" applyFont="1" applyFill="1" applyBorder="1"/>
    <xf numFmtId="0" fontId="22" fillId="0" borderId="0" xfId="0" applyFont="1" applyFill="1" applyBorder="1" applyAlignment="1">
      <alignment horizontal="right"/>
    </xf>
    <xf numFmtId="165" fontId="15" fillId="0" borderId="0" xfId="0" applyNumberFormat="1" applyFont="1" applyFill="1" applyAlignment="1">
      <alignment horizontal="right"/>
    </xf>
    <xf numFmtId="44" fontId="15" fillId="0" borderId="0" xfId="2" applyFont="1" applyFill="1" applyBorder="1"/>
    <xf numFmtId="10" fontId="15" fillId="0" borderId="0" xfId="3" applyNumberFormat="1" applyFont="1" applyFill="1" applyBorder="1" applyAlignment="1">
      <alignment horizontal="center"/>
    </xf>
    <xf numFmtId="42" fontId="15" fillId="0" borderId="0" xfId="0" applyNumberFormat="1" applyFont="1" applyFill="1" applyAlignment="1">
      <alignment horizontal="right"/>
    </xf>
    <xf numFmtId="170" fontId="15" fillId="0" borderId="12" xfId="7" applyNumberFormat="1" applyFont="1" applyFill="1" applyBorder="1"/>
    <xf numFmtId="165" fontId="15" fillId="0" borderId="8" xfId="0" applyNumberFormat="1" applyFont="1" applyFill="1" applyBorder="1"/>
    <xf numFmtId="168" fontId="18" fillId="0" borderId="27" xfId="11" applyNumberFormat="1" applyFont="1" applyFill="1" applyBorder="1" applyAlignment="1">
      <alignment horizontal="center"/>
    </xf>
    <xf numFmtId="168" fontId="19" fillId="0" borderId="15" xfId="11" applyNumberFormat="1" applyFont="1" applyFill="1" applyBorder="1"/>
    <xf numFmtId="168" fontId="19" fillId="0" borderId="11" xfId="11" applyNumberFormat="1" applyFont="1" applyFill="1" applyBorder="1"/>
    <xf numFmtId="0" fontId="15" fillId="0" borderId="11" xfId="0" applyFont="1" applyFill="1" applyBorder="1"/>
    <xf numFmtId="169" fontId="15" fillId="0" borderId="0" xfId="1" applyNumberFormat="1" applyFont="1" applyFill="1" applyBorder="1" applyAlignment="1">
      <alignment vertical="center"/>
    </xf>
    <xf numFmtId="169" fontId="15" fillId="0" borderId="26" xfId="1" applyNumberFormat="1" applyFont="1" applyFill="1" applyBorder="1" applyAlignment="1">
      <alignment vertical="center"/>
    </xf>
    <xf numFmtId="170" fontId="15" fillId="0" borderId="0" xfId="7" applyNumberFormat="1" applyFont="1" applyFill="1" applyBorder="1" applyAlignment="1">
      <alignment vertical="center"/>
    </xf>
    <xf numFmtId="170" fontId="15" fillId="0" borderId="26" xfId="7" applyNumberFormat="1" applyFont="1" applyFill="1" applyBorder="1" applyAlignment="1">
      <alignment vertical="center"/>
    </xf>
    <xf numFmtId="43" fontId="15" fillId="0" borderId="0" xfId="1" applyNumberFormat="1" applyFont="1" applyFill="1" applyBorder="1" applyAlignment="1">
      <alignment vertical="center"/>
    </xf>
    <xf numFmtId="43" fontId="15" fillId="0" borderId="26" xfId="1" applyNumberFormat="1" applyFont="1" applyFill="1" applyBorder="1" applyAlignment="1">
      <alignment vertical="center"/>
    </xf>
  </cellXfs>
  <cellStyles count="188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 2" xfId="37"/>
    <cellStyle name="Check Cell 2" xfId="38"/>
    <cellStyle name="Comma" xfId="1" builtinId="3"/>
    <cellStyle name="Comma 10" xfId="39"/>
    <cellStyle name="Comma 11" xfId="40"/>
    <cellStyle name="Comma 12" xfId="41"/>
    <cellStyle name="Comma 12 2" xfId="42"/>
    <cellStyle name="Comma 12 2 2" xfId="43"/>
    <cellStyle name="Comma 13" xfId="44"/>
    <cellStyle name="Comma 14" xfId="45"/>
    <cellStyle name="Comma 2" xfId="8"/>
    <cellStyle name="Comma 2 2" xfId="46"/>
    <cellStyle name="Comma 3" xfId="47"/>
    <cellStyle name="Comma 3 2" xfId="48"/>
    <cellStyle name="Comma 3 3" xfId="49"/>
    <cellStyle name="Comma 4" xfId="50"/>
    <cellStyle name="Comma 4 2" xfId="51"/>
    <cellStyle name="Comma 5" xfId="52"/>
    <cellStyle name="Comma 5 2" xfId="53"/>
    <cellStyle name="Comma 6" xfId="54"/>
    <cellStyle name="Comma 6 2" xfId="55"/>
    <cellStyle name="Comma 7" xfId="56"/>
    <cellStyle name="Comma 7 2" xfId="57"/>
    <cellStyle name="Comma 8" xfId="58"/>
    <cellStyle name="Comma 9" xfId="59"/>
    <cellStyle name="Currency" xfId="2" builtinId="4"/>
    <cellStyle name="Currency [0] 2" xfId="60"/>
    <cellStyle name="Currency 10" xfId="61"/>
    <cellStyle name="Currency 2" xfId="9"/>
    <cellStyle name="Currency 2 2" xfId="62"/>
    <cellStyle name="Currency 2 2 2" xfId="63"/>
    <cellStyle name="Currency 2 3" xfId="64"/>
    <cellStyle name="Currency 2 4" xfId="65"/>
    <cellStyle name="Currency 3" xfId="66"/>
    <cellStyle name="Currency 3 2" xfId="67"/>
    <cellStyle name="Currency 3 3" xfId="68"/>
    <cellStyle name="Currency 4" xfId="69"/>
    <cellStyle name="Currency 4 2" xfId="70"/>
    <cellStyle name="Currency 4 2 2" xfId="71"/>
    <cellStyle name="Currency 4 3" xfId="72"/>
    <cellStyle name="Currency 4 4" xfId="73"/>
    <cellStyle name="Currency 5" xfId="74"/>
    <cellStyle name="Currency 5 2" xfId="75"/>
    <cellStyle name="Currency 5 2 2" xfId="76"/>
    <cellStyle name="Currency 5 3" xfId="77"/>
    <cellStyle name="Currency 5 3 2" xfId="78"/>
    <cellStyle name="Currency 5 3 3" xfId="79"/>
    <cellStyle name="Currency 5 4" xfId="80"/>
    <cellStyle name="Currency 5 5" xfId="81"/>
    <cellStyle name="Currency 5 6" xfId="82"/>
    <cellStyle name="Currency 6" xfId="83"/>
    <cellStyle name="Currency 6 2" xfId="84"/>
    <cellStyle name="Currency 7" xfId="85"/>
    <cellStyle name="Currency 8" xfId="86"/>
    <cellStyle name="Currency 9" xfId="87"/>
    <cellStyle name="Explanatory Text 2" xfId="88"/>
    <cellStyle name="Good 2" xfId="89"/>
    <cellStyle name="Heading 1 2" xfId="90"/>
    <cellStyle name="Heading 2 2" xfId="91"/>
    <cellStyle name="Heading 3 2" xfId="92"/>
    <cellStyle name="Heading 4 2" xfId="93"/>
    <cellStyle name="Hyperlink 2" xfId="94"/>
    <cellStyle name="Input 2" xfId="95"/>
    <cellStyle name="Linked Cell 2" xfId="96"/>
    <cellStyle name="Neutral 2" xfId="97"/>
    <cellStyle name="Normal" xfId="0" builtinId="0"/>
    <cellStyle name="Normal 10" xfId="98"/>
    <cellStyle name="Normal 10 2" xfId="99"/>
    <cellStyle name="Normal 10 3" xfId="100"/>
    <cellStyle name="Normal 10 3 2" xfId="101"/>
    <cellStyle name="Normal 11" xfId="102"/>
    <cellStyle name="Normal 11 2" xfId="103"/>
    <cellStyle name="Normal 11 2 2" xfId="104"/>
    <cellStyle name="Normal 12" xfId="105"/>
    <cellStyle name="Normal 13" xfId="106"/>
    <cellStyle name="Normal 13 2" xfId="107"/>
    <cellStyle name="Normal 14" xfId="108"/>
    <cellStyle name="Normal 14 2" xfId="109"/>
    <cellStyle name="Normal 15" xfId="110"/>
    <cellStyle name="Normal 16" xfId="111"/>
    <cellStyle name="Normal 17" xfId="112"/>
    <cellStyle name="Normal 17 2" xfId="113"/>
    <cellStyle name="Normal 18" xfId="114"/>
    <cellStyle name="Normal 19" xfId="115"/>
    <cellStyle name="Normal 2" xfId="7"/>
    <cellStyle name="Normal 2 2" xfId="11"/>
    <cellStyle name="Normal 2 2 2" xfId="116"/>
    <cellStyle name="Normal 2 3" xfId="117"/>
    <cellStyle name="Normal 2 4" xfId="118"/>
    <cellStyle name="Normal 2 5" xfId="119"/>
    <cellStyle name="Normal 2 5 2" xfId="120"/>
    <cellStyle name="Normal 20" xfId="121"/>
    <cellStyle name="Normal 21" xfId="122"/>
    <cellStyle name="Normal 22" xfId="123"/>
    <cellStyle name="Normal 23" xfId="124"/>
    <cellStyle name="Normal 23 2" xfId="125"/>
    <cellStyle name="Normal 23 2 2" xfId="126"/>
    <cellStyle name="Normal 24" xfId="127"/>
    <cellStyle name="Normal 25" xfId="128"/>
    <cellStyle name="Normal 26" xfId="129"/>
    <cellStyle name="Normal 3" xfId="130"/>
    <cellStyle name="Normal 3 2" xfId="131"/>
    <cellStyle name="Normal 3 3" xfId="132"/>
    <cellStyle name="Normal 3 4" xfId="133"/>
    <cellStyle name="Normal 3 5" xfId="134"/>
    <cellStyle name="Normal 3 9" xfId="135"/>
    <cellStyle name="Normal 4" xfId="136"/>
    <cellStyle name="Normal 4 2" xfId="137"/>
    <cellStyle name="Normal 4 2 2" xfId="138"/>
    <cellStyle name="Normal 4 2 2 2" xfId="139"/>
    <cellStyle name="Normal 4 2 3" xfId="140"/>
    <cellStyle name="Normal 4 3" xfId="141"/>
    <cellStyle name="Normal 5" xfId="142"/>
    <cellStyle name="Normal 5 2" xfId="143"/>
    <cellStyle name="Normal 5 3" xfId="4"/>
    <cellStyle name="Normal 6" xfId="144"/>
    <cellStyle name="Normal 6 2" xfId="145"/>
    <cellStyle name="Normal 6 2 2" xfId="146"/>
    <cellStyle name="Normal 6 2 3" xfId="147"/>
    <cellStyle name="Normal 6 3" xfId="148"/>
    <cellStyle name="Normal 7" xfId="149"/>
    <cellStyle name="Normal 7 2" xfId="150"/>
    <cellStyle name="Normal 8" xfId="151"/>
    <cellStyle name="Normal 8 2" xfId="152"/>
    <cellStyle name="Normal 8 3" xfId="153"/>
    <cellStyle name="Normal 8 4" xfId="154"/>
    <cellStyle name="Normal 8 5" xfId="155"/>
    <cellStyle name="Normal 9" xfId="156"/>
    <cellStyle name="Normal 9 2" xfId="157"/>
    <cellStyle name="Normal 9 2 2" xfId="158"/>
    <cellStyle name="Normal 9 2 3" xfId="159"/>
    <cellStyle name="Normal 9 3" xfId="160"/>
    <cellStyle name="Note 2" xfId="161"/>
    <cellStyle name="Note 2 2" xfId="162"/>
    <cellStyle name="Output 2" xfId="163"/>
    <cellStyle name="Percent" xfId="3" builtinId="5"/>
    <cellStyle name="Percent 10" xfId="164"/>
    <cellStyle name="Percent 11" xfId="165"/>
    <cellStyle name="Percent 12" xfId="166"/>
    <cellStyle name="Percent 13" xfId="6"/>
    <cellStyle name="Percent 2" xfId="10"/>
    <cellStyle name="Percent 2 2" xfId="167"/>
    <cellStyle name="Percent 2 3" xfId="5"/>
    <cellStyle name="Percent 3" xfId="168"/>
    <cellStyle name="Percent 3 2" xfId="169"/>
    <cellStyle name="Percent 3 3" xfId="170"/>
    <cellStyle name="Percent 4" xfId="171"/>
    <cellStyle name="Percent 4 2" xfId="172"/>
    <cellStyle name="Percent 5" xfId="173"/>
    <cellStyle name="Percent 5 2" xfId="174"/>
    <cellStyle name="Percent 5 2 2" xfId="175"/>
    <cellStyle name="Percent 5 3" xfId="176"/>
    <cellStyle name="Percent 6" xfId="177"/>
    <cellStyle name="Percent 6 2" xfId="178"/>
    <cellStyle name="Percent 6 3" xfId="179"/>
    <cellStyle name="Percent 7" xfId="180"/>
    <cellStyle name="Percent 7 2" xfId="181"/>
    <cellStyle name="Percent 8" xfId="182"/>
    <cellStyle name="Percent 9" xfId="183"/>
    <cellStyle name="Title 2" xfId="184"/>
    <cellStyle name="Title 2 2" xfId="185"/>
    <cellStyle name="Total 2" xfId="186"/>
    <cellStyle name="Warning Text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Administrative%20Services-POS%20Policy%20Office\Admin%20&amp;%20Staff\Kara\Workforce%20Initiatives\6.%20BLS%20Analysis%20May2020%20for%20Jan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2%20Projects\Service%20Classes\Clubhouse%20Services\Rate%20calculations\Martha's%20Vineyard%20related\Martha's%20V%20Models%20preview%2012%206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2%20Projects\Service%20Classes\Clubhouse%20Services\Rate%20calculations\Martha's%20Vineyard%20related\Clubhouse%20Model%20Budgets%20Final%20Proposed%20Rat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DMH%20-%20Clubhouse-%20CMR%20416\2022%20Rate%20Review\4.%20Post%20Hearing\Clubhouse%20post%20PH%20models%20FY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Adult%20Resi_PP_Jail%20Div_2nd%20Off%20Model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_M2020_dl"/>
      <sheetName val="Field Descriptions"/>
      <sheetName val="UpdateTime"/>
      <sheetName val="Filler"/>
      <sheetName val="Sheet1"/>
      <sheetName val="Management (2)"/>
      <sheetName val="Chart"/>
      <sheetName val="M2020 CHART"/>
      <sheetName val="DC  CNA  DC III"/>
      <sheetName val="Case Social Worker.Manager"/>
      <sheetName val="Clinical"/>
      <sheetName val="Nursing"/>
      <sheetName val="Management"/>
      <sheetName val="Chart (2)"/>
      <sheetName val="Therapies"/>
      <sheetName val="M2020 BLS  SALARY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9">
        <row r="4">
          <cell r="G4">
            <v>21.814999999999998</v>
          </cell>
        </row>
        <row r="10">
          <cell r="G10">
            <v>26.16</v>
          </cell>
        </row>
      </sheetData>
      <sheetData sheetId="10">
        <row r="5">
          <cell r="G5">
            <v>30.59</v>
          </cell>
        </row>
        <row r="9">
          <cell r="G9">
            <v>40.57</v>
          </cell>
        </row>
      </sheetData>
      <sheetData sheetId="11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12">
        <row r="2">
          <cell r="G2">
            <v>33.46153846153846</v>
          </cell>
          <cell r="H2">
            <v>69600</v>
          </cell>
        </row>
      </sheetData>
      <sheetData sheetId="13" refreshError="1"/>
      <sheetData sheetId="14">
        <row r="2">
          <cell r="E2">
            <v>31.99</v>
          </cell>
        </row>
      </sheetData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take on MV options"/>
      <sheetName val="Narrowed, &amp; an MV-specific modl"/>
      <sheetName val="Sheet3"/>
    </sheetNames>
    <sheetDataSet>
      <sheetData sheetId="0" refreshError="1"/>
      <sheetData sheetId="1" refreshError="1">
        <row r="33">
          <cell r="C33" t="str">
            <v>Days: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FI"/>
      <sheetName val="Fiscal Impact"/>
      <sheetName val="Model Budgets"/>
      <sheetName val="FTE Ratios"/>
      <sheetName val="FTE Ratios Sctrplts"/>
      <sheetName val="Revised Contract Budget Data"/>
      <sheetName val="Reg Var"/>
      <sheetName val="FY09 Exp"/>
      <sheetName val="FY09 FTE, Sal"/>
      <sheetName val="FTE, Sal Calcs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P19">
            <v>313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"/>
      <sheetName val="Spring 2019 CAF"/>
      <sheetName val="CAF Spring 2021"/>
      <sheetName val="M2020 BLS Chart"/>
      <sheetName val="Rate Chart"/>
      <sheetName val="RAA"/>
      <sheetName val="wip"/>
      <sheetName val="CURRENT 2018 Review Models "/>
      <sheetName val="Current Models"/>
      <sheetName val="FY15 days &amp; attendance"/>
      <sheetName val="CAF Spring 2015"/>
      <sheetName val="2022 Proposed Models (post PH)"/>
      <sheetName val="DocID Pivot"/>
      <sheetName val="Current Models "/>
      <sheetName val="Fiscal Impact 2020"/>
      <sheetName val="PivotData"/>
      <sheetName val="Sheet3"/>
      <sheetName val="Pivot (2)"/>
      <sheetName val="FTE's"/>
      <sheetName val="Sheet2"/>
      <sheetName val="CAF Fall 2018"/>
      <sheetName val="Excerpt for Reg"/>
      <sheetName val="FY20 UFR BTL"/>
      <sheetName val="Fiscal Impact 2022"/>
      <sheetName val="2022 Proposed Models (at PH)"/>
      <sheetName val="Fiscal Impact Revised DocIDver2"/>
      <sheetName val="FY22 Fiscal Impact-FY21 ProjEXP"/>
      <sheetName val="Proj FY21 Expend detail"/>
    </sheetNames>
    <sheetDataSet>
      <sheetData sheetId="0"/>
      <sheetData sheetId="1"/>
      <sheetData sheetId="2">
        <row r="24">
          <cell r="CB24">
            <v>1.0633805350099574E-2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Q5">
            <v>58</v>
          </cell>
        </row>
        <row r="6">
          <cell r="Q6">
            <v>56</v>
          </cell>
        </row>
        <row r="7">
          <cell r="Q7">
            <v>50</v>
          </cell>
        </row>
        <row r="8">
          <cell r="Q8">
            <v>50</v>
          </cell>
        </row>
        <row r="9">
          <cell r="Q9">
            <v>50</v>
          </cell>
        </row>
        <row r="10">
          <cell r="Q10">
            <v>49</v>
          </cell>
        </row>
        <row r="11">
          <cell r="Q11">
            <v>48</v>
          </cell>
        </row>
        <row r="12">
          <cell r="Q12">
            <v>45</v>
          </cell>
        </row>
        <row r="13">
          <cell r="Q13">
            <v>44</v>
          </cell>
        </row>
        <row r="14">
          <cell r="Q14">
            <v>44</v>
          </cell>
        </row>
        <row r="15">
          <cell r="Q15">
            <v>42</v>
          </cell>
        </row>
        <row r="16">
          <cell r="Q16">
            <v>42</v>
          </cell>
        </row>
        <row r="17">
          <cell r="Q17">
            <v>42</v>
          </cell>
        </row>
        <row r="18">
          <cell r="Q18">
            <v>41</v>
          </cell>
        </row>
        <row r="19">
          <cell r="Q19">
            <v>40</v>
          </cell>
        </row>
        <row r="20">
          <cell r="Q20">
            <v>40</v>
          </cell>
        </row>
        <row r="21">
          <cell r="Q21">
            <v>40</v>
          </cell>
        </row>
        <row r="22">
          <cell r="Q22">
            <v>40</v>
          </cell>
        </row>
        <row r="23">
          <cell r="Q23">
            <v>39</v>
          </cell>
        </row>
        <row r="24">
          <cell r="Q24">
            <v>35</v>
          </cell>
        </row>
        <row r="25">
          <cell r="Q25">
            <v>35</v>
          </cell>
        </row>
        <row r="26">
          <cell r="Q26">
            <v>35</v>
          </cell>
        </row>
        <row r="27">
          <cell r="Q27">
            <v>35</v>
          </cell>
        </row>
        <row r="28">
          <cell r="Q28">
            <v>34</v>
          </cell>
        </row>
        <row r="29">
          <cell r="Q29">
            <v>34</v>
          </cell>
        </row>
        <row r="30">
          <cell r="Q30">
            <v>32</v>
          </cell>
        </row>
        <row r="31">
          <cell r="Q31">
            <v>31</v>
          </cell>
        </row>
        <row r="32">
          <cell r="Q32">
            <v>30</v>
          </cell>
        </row>
        <row r="33">
          <cell r="Q33">
            <v>30</v>
          </cell>
        </row>
        <row r="34">
          <cell r="Q34">
            <v>27</v>
          </cell>
        </row>
        <row r="35">
          <cell r="Q35">
            <v>27</v>
          </cell>
        </row>
        <row r="36">
          <cell r="Q36">
            <v>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0">
          <cell r="D30">
            <v>8.1894287051641808</v>
          </cell>
        </row>
        <row r="31">
          <cell r="AP31">
            <v>4.7179690436894033</v>
          </cell>
        </row>
        <row r="36">
          <cell r="D36">
            <v>21.53632</v>
          </cell>
          <cell r="AP36">
            <v>6.2410500000000004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 Table"/>
      <sheetName val="ADULT RESI MODELS"/>
      <sheetName val="JAIL DIVERSION MODELS"/>
      <sheetName val="2nd OFFENDER MODELS"/>
      <sheetName val="updated CAF"/>
      <sheetName val="FTE Chart"/>
      <sheetName val="Salaries Resi"/>
      <sheetName val="Travel noPP"/>
      <sheetName val="Occupancy "/>
      <sheetName val="OthProgExp&amp;Meals "/>
      <sheetName val="RecSp"/>
      <sheetName val="Counselor"/>
      <sheetName val="CleanData3386&amp;3401"/>
      <sheetName val="RawDataCalcs3386&amp;3401"/>
      <sheetName val="Source3386&amp;3401"/>
      <sheetName val="Preg&amp;PostP Source"/>
      <sheetName val="All Others (WomenNoPP+Men)"/>
      <sheetName val="JailD Travel"/>
      <sheetName val="Source4958"/>
      <sheetName val="2ndOffSource"/>
      <sheetName val="AdminAnlys"/>
      <sheetName val="CAF"/>
      <sheetName val="ALLClea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5">
          <cell r="L65">
            <v>0</v>
          </cell>
          <cell r="M65">
            <v>0.60401394157367827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27001.321817500786</v>
          </cell>
          <cell r="AA65">
            <v>17680</v>
          </cell>
          <cell r="AB65">
            <v>17680</v>
          </cell>
          <cell r="AC65">
            <v>18070.851702516127</v>
          </cell>
          <cell r="AD65">
            <v>0</v>
          </cell>
          <cell r="AE65">
            <v>0</v>
          </cell>
          <cell r="AF65">
            <v>17680</v>
          </cell>
          <cell r="AG65">
            <v>17680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17680</v>
          </cell>
          <cell r="AX65">
            <v>17680</v>
          </cell>
          <cell r="AY65">
            <v>0</v>
          </cell>
          <cell r="AZ65">
            <v>17680</v>
          </cell>
          <cell r="BA65">
            <v>17680</v>
          </cell>
          <cell r="BB65">
            <v>38683.69077867044</v>
          </cell>
          <cell r="BC65">
            <v>17680</v>
          </cell>
          <cell r="BD65">
            <v>17680</v>
          </cell>
          <cell r="BE65">
            <v>17680</v>
          </cell>
          <cell r="BF65">
            <v>17680</v>
          </cell>
          <cell r="BG65">
            <v>17680</v>
          </cell>
          <cell r="BH65">
            <v>20933.577544700503</v>
          </cell>
          <cell r="BI65">
            <v>18113.272969175363</v>
          </cell>
          <cell r="BJ65">
            <v>17680</v>
          </cell>
          <cell r="BK65">
            <v>0</v>
          </cell>
          <cell r="BL65">
            <v>20636.434820465383</v>
          </cell>
          <cell r="BM65">
            <v>17680</v>
          </cell>
          <cell r="BN65">
            <v>25004.04305351575</v>
          </cell>
          <cell r="BO65">
            <v>17680</v>
          </cell>
          <cell r="BP65">
            <v>17680</v>
          </cell>
          <cell r="BQ65">
            <v>0</v>
          </cell>
          <cell r="BR65">
            <v>17680</v>
          </cell>
          <cell r="BS65">
            <v>18141.222518283183</v>
          </cell>
          <cell r="BT65">
            <v>-41676.244265701374</v>
          </cell>
          <cell r="BU65">
            <v>8.7288553321896611E-2</v>
          </cell>
          <cell r="BV65">
            <v>-7668.9054664861869</v>
          </cell>
          <cell r="BW65">
            <v>-42994.589046928275</v>
          </cell>
          <cell r="BX65">
            <v>-31114.543559342434</v>
          </cell>
          <cell r="BY65">
            <v>-56549.921023847928</v>
          </cell>
          <cell r="BZ65">
            <v>-97003.786231626596</v>
          </cell>
          <cell r="CA65">
            <v>-313429.46542299842</v>
          </cell>
          <cell r="CB65">
            <v>-8.2635046624321695E-2</v>
          </cell>
          <cell r="CC65">
            <v>-43306.662961698195</v>
          </cell>
          <cell r="CD65">
            <v>-12782.185157235559</v>
          </cell>
          <cell r="CE65">
            <v>-49503.565553759647</v>
          </cell>
          <cell r="CF65">
            <v>0</v>
          </cell>
          <cell r="CG65">
            <v>-163357.23525071022</v>
          </cell>
          <cell r="CH65">
            <v>-92717.288808833691</v>
          </cell>
          <cell r="CI65">
            <v>-174238.57910238783</v>
          </cell>
          <cell r="CJ65">
            <v>-42994.589046928275</v>
          </cell>
          <cell r="CK65">
            <v>-63601.184466556078</v>
          </cell>
          <cell r="CL65">
            <v>-56549.921023847928</v>
          </cell>
          <cell r="CM65">
            <v>-24625.24467496722</v>
          </cell>
          <cell r="CN65">
            <v>-97003.786231626596</v>
          </cell>
          <cell r="CO65">
            <v>-351019.03335486259</v>
          </cell>
          <cell r="CP65">
            <v>0.29484957486879515</v>
          </cell>
          <cell r="CQ65">
            <v>5.4246351913831613E-2</v>
          </cell>
          <cell r="CR65">
            <v>4.5873466392117951E-2</v>
          </cell>
          <cell r="CS65">
            <v>3.5437273933393951E-2</v>
          </cell>
          <cell r="CT65">
            <v>-1.2333323520703935E-2</v>
          </cell>
          <cell r="CU65">
            <v>2.2913027561376476E-3</v>
          </cell>
          <cell r="CV65">
            <v>-2001.7395150477046</v>
          </cell>
          <cell r="CW65">
            <v>-449.92512739559015</v>
          </cell>
          <cell r="CX65">
            <v>-669.49380618456928</v>
          </cell>
          <cell r="CY65">
            <v>-742.75307693203445</v>
          </cell>
          <cell r="CZ65">
            <v>-28.06467652645356</v>
          </cell>
          <cell r="DA65">
            <v>-1831.0673764395974</v>
          </cell>
          <cell r="DB65">
            <v>-5722.7534056118502</v>
          </cell>
        </row>
        <row r="66">
          <cell r="L66">
            <v>68.638763831408127</v>
          </cell>
          <cell r="M66">
            <v>1.1713867216116371</v>
          </cell>
          <cell r="N66">
            <v>3.5436133878559533</v>
          </cell>
          <cell r="O66">
            <v>0.95881574526748314</v>
          </cell>
          <cell r="P66">
            <v>2.9922523651988402</v>
          </cell>
          <cell r="Q66">
            <v>0</v>
          </cell>
          <cell r="R66">
            <v>22.160404778842953</v>
          </cell>
          <cell r="S66">
            <v>7.4242654635805723</v>
          </cell>
          <cell r="T66">
            <v>2.8643600293925418</v>
          </cell>
          <cell r="U66">
            <v>5.1022146796734415E-3</v>
          </cell>
          <cell r="V66">
            <v>12.069142094975193</v>
          </cell>
          <cell r="W66">
            <v>0</v>
          </cell>
          <cell r="X66">
            <v>9.5889565937970307</v>
          </cell>
          <cell r="Y66">
            <v>7.3186088533890681</v>
          </cell>
          <cell r="Z66">
            <v>89011.525515165966</v>
          </cell>
          <cell r="AA66">
            <v>124711.18739604187</v>
          </cell>
          <cell r="AB66">
            <v>61892.043668045008</v>
          </cell>
          <cell r="AC66">
            <v>87195.593448715823</v>
          </cell>
          <cell r="AD66">
            <v>0</v>
          </cell>
          <cell r="AE66">
            <v>0</v>
          </cell>
          <cell r="AF66">
            <v>167549.29408607361</v>
          </cell>
          <cell r="AG66">
            <v>79437.240789242293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115332.99841003475</v>
          </cell>
          <cell r="AX66">
            <v>90839.543238665152</v>
          </cell>
          <cell r="AY66">
            <v>0</v>
          </cell>
          <cell r="AZ66">
            <v>59076.726041829606</v>
          </cell>
          <cell r="BA66">
            <v>55600.502579381842</v>
          </cell>
          <cell r="BB66">
            <v>46993.941797087129</v>
          </cell>
          <cell r="BC66">
            <v>47942.60200592941</v>
          </cell>
          <cell r="BD66">
            <v>85121.186442077829</v>
          </cell>
          <cell r="BE66">
            <v>60150.264866991725</v>
          </cell>
          <cell r="BF66">
            <v>37107.840583638354</v>
          </cell>
          <cell r="BG66">
            <v>34103.875436210852</v>
          </cell>
          <cell r="BH66">
            <v>43390.477411873391</v>
          </cell>
          <cell r="BI66">
            <v>42074.135709455113</v>
          </cell>
          <cell r="BJ66">
            <v>36682.268470282579</v>
          </cell>
          <cell r="BK66">
            <v>0</v>
          </cell>
          <cell r="BL66">
            <v>44994.274591165755</v>
          </cell>
          <cell r="BM66">
            <v>97222.235686431435</v>
          </cell>
          <cell r="BN66">
            <v>90762.603215714815</v>
          </cell>
          <cell r="BO66">
            <v>119552.2873416293</v>
          </cell>
          <cell r="BP66">
            <v>75684.090495463184</v>
          </cell>
          <cell r="BQ66">
            <v>0</v>
          </cell>
          <cell r="BR66">
            <v>46682.215048048798</v>
          </cell>
          <cell r="BS66">
            <v>41691.468549205456</v>
          </cell>
          <cell r="BT66">
            <v>215813.24914156343</v>
          </cell>
          <cell r="BU66">
            <v>0.38712105109997308</v>
          </cell>
          <cell r="BV66">
            <v>12566.14239091755</v>
          </cell>
          <cell r="BW66">
            <v>212234.356998359</v>
          </cell>
          <cell r="BX66">
            <v>46071.344248997601</v>
          </cell>
          <cell r="BY66">
            <v>226902.57309281343</v>
          </cell>
          <cell r="BZ66">
            <v>349599.7084215752</v>
          </cell>
          <cell r="CA66">
            <v>1685831.3957882223</v>
          </cell>
          <cell r="CB66">
            <v>0.48343558589893837</v>
          </cell>
          <cell r="CC66">
            <v>173231.84261687062</v>
          </cell>
          <cell r="CD66">
            <v>15056.319295166595</v>
          </cell>
          <cell r="CE66">
            <v>70578.736588242406</v>
          </cell>
          <cell r="CF66">
            <v>0</v>
          </cell>
          <cell r="CG66">
            <v>643703.17145760683</v>
          </cell>
          <cell r="CH66">
            <v>168723.38432607506</v>
          </cell>
          <cell r="CI66">
            <v>883865.09565411182</v>
          </cell>
          <cell r="CJ66">
            <v>212234.356998359</v>
          </cell>
          <cell r="CK66">
            <v>311211.60929414228</v>
          </cell>
          <cell r="CL66">
            <v>226902.57309281343</v>
          </cell>
          <cell r="CM66">
            <v>64778.990192208599</v>
          </cell>
          <cell r="CN66">
            <v>349599.7084215752</v>
          </cell>
          <cell r="CO66">
            <v>1940598.0624617594</v>
          </cell>
          <cell r="CP66">
            <v>0.59656020338447291</v>
          </cell>
          <cell r="CQ66">
            <v>0.1566637906768488</v>
          </cell>
          <cell r="CR66">
            <v>0.27180008495921093</v>
          </cell>
          <cell r="CS66">
            <v>0.17157983368640611</v>
          </cell>
          <cell r="CT66">
            <v>6.7111788746459594E-2</v>
          </cell>
          <cell r="CU66">
            <v>0.32064193368800842</v>
          </cell>
          <cell r="CV66">
            <v>2362.7914588359358</v>
          </cell>
          <cell r="CW66">
            <v>531.92173452915699</v>
          </cell>
          <cell r="CX66">
            <v>790.78617106937202</v>
          </cell>
          <cell r="CY66">
            <v>866.65490806017237</v>
          </cell>
          <cell r="CZ66">
            <v>36.082840081274462</v>
          </cell>
          <cell r="DA66">
            <v>2121.643831764482</v>
          </cell>
          <cell r="DB66">
            <v>6709.5907714262949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zoomScale="90" zoomScaleNormal="90" workbookViewId="0">
      <selection activeCell="B27" sqref="B27:F27"/>
    </sheetView>
  </sheetViews>
  <sheetFormatPr defaultColWidth="9.59765625" defaultRowHeight="14.4" x14ac:dyDescent="0.3"/>
  <cols>
    <col min="1" max="1" width="5.5" style="4" customWidth="1"/>
    <col min="2" max="2" width="57.8984375" style="4" customWidth="1"/>
    <col min="3" max="3" width="24" style="4" customWidth="1"/>
    <col min="4" max="5" width="14.59765625" style="4" hidden="1" customWidth="1"/>
    <col min="6" max="6" width="57" style="4" customWidth="1"/>
    <col min="7" max="7" width="62" style="5" customWidth="1"/>
    <col min="8" max="8" width="14.59765625" style="4" hidden="1" customWidth="1"/>
    <col min="9" max="9" width="0" style="4" hidden="1" customWidth="1"/>
    <col min="10" max="10" width="10.8984375" style="4" hidden="1" customWidth="1"/>
    <col min="11" max="11" width="0" style="4" hidden="1" customWidth="1"/>
    <col min="12" max="16384" width="9.59765625" style="4"/>
  </cols>
  <sheetData>
    <row r="1" spans="2:10" ht="21" x14ac:dyDescent="0.4">
      <c r="B1" s="1"/>
      <c r="C1" s="2" t="s">
        <v>0</v>
      </c>
      <c r="D1" s="2" t="s">
        <v>0</v>
      </c>
      <c r="E1" s="3"/>
    </row>
    <row r="2" spans="2:10" ht="21" x14ac:dyDescent="0.4">
      <c r="C2" s="6">
        <v>2020</v>
      </c>
      <c r="D2" s="7" t="s">
        <v>1</v>
      </c>
      <c r="E2" s="8"/>
    </row>
    <row r="3" spans="2:10" ht="21" x14ac:dyDescent="0.4">
      <c r="B3" s="9"/>
      <c r="C3" s="7" t="s">
        <v>2</v>
      </c>
      <c r="D3" s="7" t="s">
        <v>2</v>
      </c>
      <c r="E3" s="7"/>
      <c r="F3" s="10"/>
      <c r="G3" s="11"/>
    </row>
    <row r="4" spans="2:10" ht="19.2" customHeight="1" thickBot="1" x14ac:dyDescent="0.45">
      <c r="B4" s="12" t="s">
        <v>3</v>
      </c>
      <c r="C4" s="13" t="s">
        <v>4</v>
      </c>
      <c r="D4" s="14" t="s">
        <v>5</v>
      </c>
      <c r="E4" s="14" t="s">
        <v>6</v>
      </c>
      <c r="F4" s="12" t="s">
        <v>7</v>
      </c>
      <c r="G4" s="15" t="s">
        <v>8</v>
      </c>
      <c r="H4" s="8" t="s">
        <v>9</v>
      </c>
      <c r="J4" s="4" t="s">
        <v>10</v>
      </c>
    </row>
    <row r="5" spans="2:10" ht="31.2" customHeight="1" x14ac:dyDescent="0.4">
      <c r="B5" s="16" t="s">
        <v>11</v>
      </c>
      <c r="C5" s="17">
        <f>'[1]DC  CNA  DC III'!G7</f>
        <v>16.791999999999998</v>
      </c>
      <c r="D5" s="17">
        <v>15.48</v>
      </c>
      <c r="E5" s="18"/>
      <c r="F5" s="19" t="s">
        <v>12</v>
      </c>
      <c r="G5" s="20" t="s">
        <v>13</v>
      </c>
      <c r="H5" s="21">
        <f>H6/2080</f>
        <v>15.480288461538462</v>
      </c>
      <c r="J5" s="22">
        <f>C5-H5</f>
        <v>1.3117115384615357</v>
      </c>
    </row>
    <row r="6" spans="2:10" ht="31.2" customHeight="1" thickBot="1" x14ac:dyDescent="0.45">
      <c r="B6" s="23" t="s">
        <v>14</v>
      </c>
      <c r="C6" s="24">
        <f>C5*2080</f>
        <v>34927.359999999993</v>
      </c>
      <c r="D6" s="25">
        <f>D5*2080</f>
        <v>32198.400000000001</v>
      </c>
      <c r="E6" s="26">
        <f>(C6-D6)/D6</f>
        <v>8.4754521963824034E-2</v>
      </c>
      <c r="F6" s="27"/>
      <c r="G6" s="28"/>
      <c r="H6" s="29">
        <v>32199</v>
      </c>
      <c r="J6" s="22"/>
    </row>
    <row r="7" spans="2:10" ht="21" x14ac:dyDescent="0.4">
      <c r="B7" s="16" t="s">
        <v>15</v>
      </c>
      <c r="C7" s="30">
        <f>'[1]DC  CNA  DC III'!G20</f>
        <v>21.736000000000001</v>
      </c>
      <c r="D7" s="17">
        <v>19.96</v>
      </c>
      <c r="E7" s="18"/>
      <c r="F7" s="31" t="s">
        <v>16</v>
      </c>
      <c r="G7" s="20" t="s">
        <v>17</v>
      </c>
      <c r="H7" s="21">
        <f>H8/2080</f>
        <v>18.400480769230768</v>
      </c>
      <c r="J7" s="22">
        <f>C7-H7</f>
        <v>3.3355192307692327</v>
      </c>
    </row>
    <row r="8" spans="2:10" ht="21.6" thickBot="1" x14ac:dyDescent="0.45">
      <c r="B8" s="32" t="s">
        <v>18</v>
      </c>
      <c r="C8" s="33">
        <f>C7*2080</f>
        <v>45210.880000000005</v>
      </c>
      <c r="D8" s="34">
        <f>D7*2080</f>
        <v>41516.800000000003</v>
      </c>
      <c r="E8" s="35">
        <f>(C8-D8)/D8</f>
        <v>8.8977955911823683E-2</v>
      </c>
      <c r="F8" s="36"/>
      <c r="G8" s="37"/>
      <c r="H8" s="29">
        <v>38273</v>
      </c>
      <c r="J8" s="22"/>
    </row>
    <row r="9" spans="2:10" ht="21" x14ac:dyDescent="0.4">
      <c r="B9" s="16" t="s">
        <v>19</v>
      </c>
      <c r="C9" s="30">
        <f>'[1]DC  CNA  DC III'!G11</f>
        <v>17.260000000000002</v>
      </c>
      <c r="D9" s="17">
        <v>15.53</v>
      </c>
      <c r="E9" s="18"/>
      <c r="F9" s="38"/>
      <c r="G9" s="20" t="s">
        <v>20</v>
      </c>
      <c r="H9" s="21">
        <f>H10/2080</f>
        <v>20.43028846153846</v>
      </c>
      <c r="J9" s="39">
        <f>C9-H9</f>
        <v>-3.1702884615384583</v>
      </c>
    </row>
    <row r="10" spans="2:10" ht="21.6" thickBot="1" x14ac:dyDescent="0.45">
      <c r="B10" s="23" t="s">
        <v>21</v>
      </c>
      <c r="C10" s="24">
        <f>C9*2080</f>
        <v>35900.800000000003</v>
      </c>
      <c r="D10" s="25">
        <f>D9*2080</f>
        <v>32302.399999999998</v>
      </c>
      <c r="E10" s="26">
        <f>(C10-D10)/D10</f>
        <v>0.11139729555698664</v>
      </c>
      <c r="F10" s="40"/>
      <c r="G10" s="28"/>
      <c r="H10" s="29">
        <v>42495</v>
      </c>
      <c r="J10" s="22"/>
    </row>
    <row r="11" spans="2:10" ht="21" x14ac:dyDescent="0.4">
      <c r="B11" s="16" t="s">
        <v>22</v>
      </c>
      <c r="C11" s="30">
        <f>'[1]Case Social Worker.Manager'!G4</f>
        <v>21.814999999999998</v>
      </c>
      <c r="D11" s="17">
        <v>21.14</v>
      </c>
      <c r="E11" s="18"/>
      <c r="F11" s="31" t="s">
        <v>23</v>
      </c>
      <c r="G11" s="20" t="s">
        <v>24</v>
      </c>
      <c r="H11" s="41" t="s">
        <v>25</v>
      </c>
      <c r="J11" s="22"/>
    </row>
    <row r="12" spans="2:10" ht="21.6" thickBot="1" x14ac:dyDescent="0.45">
      <c r="B12" s="32" t="s">
        <v>26</v>
      </c>
      <c r="C12" s="33">
        <f>C11*2080</f>
        <v>45375.199999999997</v>
      </c>
      <c r="D12" s="34">
        <f>D11*2080</f>
        <v>43971.200000000004</v>
      </c>
      <c r="E12" s="35">
        <f>(C12-D12)/D12</f>
        <v>3.192999053926189E-2</v>
      </c>
      <c r="F12" s="36" t="s">
        <v>27</v>
      </c>
      <c r="G12" s="37"/>
      <c r="H12" s="42"/>
      <c r="J12" s="22"/>
    </row>
    <row r="13" spans="2:10" ht="42" x14ac:dyDescent="0.4">
      <c r="B13" s="43" t="s">
        <v>28</v>
      </c>
      <c r="C13" s="30">
        <f>'[1]Case Social Worker.Manager'!G10</f>
        <v>26.16</v>
      </c>
      <c r="D13" s="17">
        <v>25.32</v>
      </c>
      <c r="E13" s="18"/>
      <c r="F13" s="31" t="s">
        <v>29</v>
      </c>
      <c r="G13" s="20" t="s">
        <v>30</v>
      </c>
      <c r="H13" s="21">
        <f>H14/2080</f>
        <v>19.703365384615385</v>
      </c>
      <c r="J13" s="22">
        <f>C13-H13</f>
        <v>6.4566346153846155</v>
      </c>
    </row>
    <row r="14" spans="2:10" ht="42.6" thickBot="1" x14ac:dyDescent="0.45">
      <c r="B14" s="44" t="s">
        <v>31</v>
      </c>
      <c r="C14" s="24">
        <f>C13*2080</f>
        <v>54412.800000000003</v>
      </c>
      <c r="D14" s="25">
        <f>D13*2080</f>
        <v>52665.599999999999</v>
      </c>
      <c r="E14" s="26">
        <f>(C14-D14)/D14</f>
        <v>3.3175355450237053E-2</v>
      </c>
      <c r="F14" s="40" t="s">
        <v>32</v>
      </c>
      <c r="G14" s="28"/>
      <c r="H14" s="29">
        <v>40983</v>
      </c>
      <c r="J14" s="22"/>
    </row>
    <row r="15" spans="2:10" ht="21" x14ac:dyDescent="0.4">
      <c r="B15" s="16" t="s">
        <v>33</v>
      </c>
      <c r="C15" s="30">
        <f>[1]Clinical!G5</f>
        <v>30.59</v>
      </c>
      <c r="D15" s="17">
        <v>29.29</v>
      </c>
      <c r="E15" s="18"/>
      <c r="F15" s="31" t="s">
        <v>34</v>
      </c>
      <c r="G15" s="20" t="s">
        <v>35</v>
      </c>
      <c r="H15" s="21">
        <f>H16/2080</f>
        <v>27.190865384615385</v>
      </c>
      <c r="J15" s="22">
        <f>C15-H15</f>
        <v>3.3991346153846145</v>
      </c>
    </row>
    <row r="16" spans="2:10" ht="21.6" thickBot="1" x14ac:dyDescent="0.45">
      <c r="B16" s="23" t="s">
        <v>36</v>
      </c>
      <c r="C16" s="24">
        <f>C15*2080</f>
        <v>63627.199999999997</v>
      </c>
      <c r="D16" s="25">
        <f>D15*2080</f>
        <v>60923.199999999997</v>
      </c>
      <c r="E16" s="26">
        <f>(C16-D16)/D16</f>
        <v>4.4383748719699558E-2</v>
      </c>
      <c r="F16" s="40"/>
      <c r="G16" s="28"/>
      <c r="H16" s="29">
        <v>56557</v>
      </c>
      <c r="J16" s="22"/>
    </row>
    <row r="17" spans="2:10" ht="21" x14ac:dyDescent="0.4">
      <c r="B17" s="45" t="s">
        <v>37</v>
      </c>
      <c r="C17" s="46">
        <f>[1]Management!G2</f>
        <v>33.46153846153846</v>
      </c>
      <c r="D17" s="33" t="s">
        <v>25</v>
      </c>
      <c r="E17" s="47"/>
      <c r="F17" s="48" t="s">
        <v>38</v>
      </c>
      <c r="G17" s="49" t="s">
        <v>39</v>
      </c>
      <c r="H17" s="50"/>
      <c r="J17" s="22"/>
    </row>
    <row r="18" spans="2:10" ht="21.6" thickBot="1" x14ac:dyDescent="0.45">
      <c r="B18" s="45" t="s">
        <v>40</v>
      </c>
      <c r="C18" s="33">
        <f>[1]Management!H2</f>
        <v>69600</v>
      </c>
      <c r="D18" s="33" t="s">
        <v>25</v>
      </c>
      <c r="E18" s="47"/>
      <c r="F18" s="48" t="s">
        <v>41</v>
      </c>
      <c r="G18" s="49"/>
      <c r="H18" s="50"/>
      <c r="J18" s="22"/>
    </row>
    <row r="19" spans="2:10" ht="21" x14ac:dyDescent="0.4">
      <c r="B19" s="16" t="s">
        <v>42</v>
      </c>
      <c r="C19" s="30">
        <f>[1]Clinical!G9</f>
        <v>40.57</v>
      </c>
      <c r="D19" s="17">
        <v>40.06</v>
      </c>
      <c r="E19" s="18"/>
      <c r="F19" s="51" t="s">
        <v>43</v>
      </c>
      <c r="G19" s="20" t="s">
        <v>44</v>
      </c>
      <c r="H19" s="21">
        <f>H20/2080</f>
        <v>33.217788461538461</v>
      </c>
      <c r="J19" s="22">
        <f>C19-H19</f>
        <v>7.352211538461539</v>
      </c>
    </row>
    <row r="20" spans="2:10" ht="21.6" thickBot="1" x14ac:dyDescent="0.45">
      <c r="B20" s="23" t="s">
        <v>45</v>
      </c>
      <c r="C20" s="24">
        <f>C19*2080</f>
        <v>84385.600000000006</v>
      </c>
      <c r="D20" s="25">
        <f>D19*2080</f>
        <v>83324.800000000003</v>
      </c>
      <c r="E20" s="26">
        <f>(C20-D20)/D20</f>
        <v>1.2730903644533234E-2</v>
      </c>
      <c r="F20" s="52"/>
      <c r="G20" s="28"/>
      <c r="H20" s="29">
        <v>69093</v>
      </c>
      <c r="J20" s="22"/>
    </row>
    <row r="21" spans="2:10" ht="21" x14ac:dyDescent="0.4">
      <c r="B21" s="16" t="s">
        <v>46</v>
      </c>
      <c r="C21" s="30">
        <f>[1]Nursing!G2</f>
        <v>28.8</v>
      </c>
      <c r="D21" s="17">
        <v>27.62</v>
      </c>
      <c r="E21" s="18"/>
      <c r="F21" s="31"/>
      <c r="G21" s="20" t="s">
        <v>47</v>
      </c>
      <c r="H21" s="21">
        <f>H22/2080</f>
        <v>25.143750000000001</v>
      </c>
      <c r="J21" s="22">
        <f>C21-H21</f>
        <v>3.65625</v>
      </c>
    </row>
    <row r="22" spans="2:10" ht="21.6" thickBot="1" x14ac:dyDescent="0.45">
      <c r="B22" s="23" t="s">
        <v>48</v>
      </c>
      <c r="C22" s="24">
        <f>C21*2080</f>
        <v>59904</v>
      </c>
      <c r="D22" s="25">
        <f>D21*2080</f>
        <v>57449.599999999999</v>
      </c>
      <c r="E22" s="26">
        <f>(C22-D22)/D22</f>
        <v>4.2722664735698794E-2</v>
      </c>
      <c r="F22" s="40"/>
      <c r="G22" s="28"/>
      <c r="H22" s="29">
        <v>52299</v>
      </c>
      <c r="J22" s="22"/>
    </row>
    <row r="23" spans="2:10" ht="21" x14ac:dyDescent="0.4">
      <c r="B23" s="16" t="s">
        <v>49</v>
      </c>
      <c r="C23" s="30">
        <f>[1]Nursing!G6</f>
        <v>43.41</v>
      </c>
      <c r="D23" s="17">
        <v>41.76</v>
      </c>
      <c r="E23" s="18"/>
      <c r="F23" s="31"/>
      <c r="G23" s="20" t="s">
        <v>50</v>
      </c>
      <c r="H23" s="53">
        <f>H24/2080</f>
        <v>33.460576923076921</v>
      </c>
      <c r="J23" s="22">
        <f>C23-H23</f>
        <v>9.9494230769230754</v>
      </c>
    </row>
    <row r="24" spans="2:10" ht="21.6" thickBot="1" x14ac:dyDescent="0.45">
      <c r="B24" s="23" t="s">
        <v>51</v>
      </c>
      <c r="C24" s="24">
        <f>C23*2080</f>
        <v>90292.799999999988</v>
      </c>
      <c r="D24" s="25">
        <f>D23*2080</f>
        <v>86860.800000000003</v>
      </c>
      <c r="E24" s="26">
        <f>(C24-D24)/D24</f>
        <v>3.9511494252873397E-2</v>
      </c>
      <c r="F24" s="40"/>
      <c r="G24" s="28"/>
      <c r="H24" s="29">
        <v>69598</v>
      </c>
      <c r="J24" s="22"/>
    </row>
    <row r="25" spans="2:10" ht="21" x14ac:dyDescent="0.4">
      <c r="B25" s="16" t="s">
        <v>52</v>
      </c>
      <c r="C25" s="30">
        <f>[1]Nursing!G11</f>
        <v>59.6</v>
      </c>
      <c r="D25" s="17">
        <v>57.41</v>
      </c>
      <c r="E25" s="18"/>
      <c r="F25" s="31"/>
      <c r="G25" s="20" t="s">
        <v>53</v>
      </c>
      <c r="H25" s="21">
        <f>H26/2080</f>
        <v>48.354326923076925</v>
      </c>
      <c r="J25" s="22">
        <f>C25-H25</f>
        <v>11.245673076923076</v>
      </c>
    </row>
    <row r="26" spans="2:10" ht="21.6" thickBot="1" x14ac:dyDescent="0.45">
      <c r="B26" s="23" t="s">
        <v>54</v>
      </c>
      <c r="C26" s="24">
        <f>C25*2080</f>
        <v>123968</v>
      </c>
      <c r="D26" s="25">
        <f>D25*2080</f>
        <v>119412.79999999999</v>
      </c>
      <c r="E26" s="26">
        <f>(C26-D26)/D26</f>
        <v>3.8146664344191006E-2</v>
      </c>
      <c r="F26" s="40"/>
      <c r="G26" s="28"/>
      <c r="H26" s="29">
        <v>100577</v>
      </c>
      <c r="J26" s="22"/>
    </row>
    <row r="27" spans="2:10" ht="21" x14ac:dyDescent="0.4">
      <c r="B27" s="10"/>
      <c r="C27" s="10"/>
      <c r="D27" s="10"/>
      <c r="E27" s="10"/>
      <c r="F27" s="10"/>
      <c r="G27" s="11"/>
    </row>
    <row r="28" spans="2:10" ht="36" x14ac:dyDescent="0.35">
      <c r="B28" s="54" t="s">
        <v>55</v>
      </c>
      <c r="C28" s="55">
        <f>C6</f>
        <v>34927.359999999993</v>
      </c>
      <c r="D28" s="56"/>
      <c r="E28" s="56"/>
      <c r="F28" s="56"/>
      <c r="G28" s="57"/>
    </row>
    <row r="29" spans="2:10" ht="18" x14ac:dyDescent="0.35">
      <c r="B29" s="56"/>
      <c r="C29" s="56"/>
      <c r="D29" s="56"/>
      <c r="E29" s="56"/>
      <c r="F29" s="56"/>
      <c r="G29" s="57"/>
    </row>
    <row r="30" spans="2:10" ht="36" x14ac:dyDescent="0.35">
      <c r="B30" s="54" t="s">
        <v>56</v>
      </c>
      <c r="C30" s="58">
        <f>AVERAGE(14.25,15)</f>
        <v>14.625</v>
      </c>
      <c r="D30" s="56"/>
      <c r="E30" s="56"/>
      <c r="F30" s="56" t="s">
        <v>57</v>
      </c>
      <c r="G30" s="57"/>
    </row>
    <row r="31" spans="2:10" ht="18" x14ac:dyDescent="0.35">
      <c r="B31" s="56"/>
      <c r="C31" s="56"/>
      <c r="D31" s="56"/>
      <c r="E31" s="56"/>
      <c r="F31" s="56"/>
      <c r="G31" s="57"/>
    </row>
    <row r="32" spans="2:10" ht="18" x14ac:dyDescent="0.35">
      <c r="B32" s="59" t="s">
        <v>58</v>
      </c>
      <c r="C32" s="60">
        <v>0.224</v>
      </c>
      <c r="D32" s="56"/>
      <c r="E32" s="56"/>
      <c r="F32" s="56" t="s">
        <v>59</v>
      </c>
      <c r="G32" s="57"/>
    </row>
    <row r="33" spans="2:7" ht="54" x14ac:dyDescent="0.35">
      <c r="B33" s="59"/>
      <c r="C33" s="56"/>
      <c r="D33" s="56"/>
      <c r="E33" s="56"/>
      <c r="F33" s="57" t="s">
        <v>60</v>
      </c>
      <c r="G33" s="57"/>
    </row>
    <row r="34" spans="2:7" ht="18" x14ac:dyDescent="0.35">
      <c r="B34" s="61" t="s">
        <v>61</v>
      </c>
      <c r="C34" s="60">
        <v>3.7000000000000002E-3</v>
      </c>
      <c r="D34" s="56"/>
      <c r="E34" s="56"/>
      <c r="F34" s="56"/>
      <c r="G34" s="57"/>
    </row>
    <row r="35" spans="2:7" ht="18" x14ac:dyDescent="0.35">
      <c r="B35" s="56"/>
      <c r="C35" s="56"/>
      <c r="D35" s="56"/>
      <c r="E35" s="56"/>
      <c r="F35" s="56"/>
      <c r="G35" s="57"/>
    </row>
    <row r="36" spans="2:7" ht="18" x14ac:dyDescent="0.35">
      <c r="B36" s="61" t="s">
        <v>62</v>
      </c>
      <c r="C36" s="62">
        <v>0.12</v>
      </c>
      <c r="D36" s="56"/>
      <c r="E36" s="56"/>
      <c r="F36" s="56" t="s">
        <v>63</v>
      </c>
      <c r="G36" s="57"/>
    </row>
  </sheetData>
  <mergeCells count="13">
    <mergeCell ref="G25:G26"/>
    <mergeCell ref="G13:G14"/>
    <mergeCell ref="G15:G16"/>
    <mergeCell ref="F19:F20"/>
    <mergeCell ref="G19:G20"/>
    <mergeCell ref="G21:G22"/>
    <mergeCell ref="G23:G24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57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04"/>
  <sheetViews>
    <sheetView tabSelected="1" zoomScale="85" zoomScaleNormal="85" zoomScaleSheetLayoutView="55" zoomScalePageLayoutView="70" workbookViewId="0">
      <selection activeCell="O50" sqref="O50"/>
    </sheetView>
  </sheetViews>
  <sheetFormatPr defaultColWidth="8.69921875" defaultRowHeight="13.2" x14ac:dyDescent="0.25"/>
  <cols>
    <col min="1" max="1" width="5.69921875" style="67" customWidth="1"/>
    <col min="2" max="2" width="24.69921875" style="67" customWidth="1"/>
    <col min="3" max="3" width="10.69921875" style="67" customWidth="1"/>
    <col min="4" max="4" width="7.69921875" style="67" customWidth="1"/>
    <col min="5" max="5" width="10.5" style="67" bestFit="1" customWidth="1"/>
    <col min="6" max="6" width="11.3984375" style="69" customWidth="1"/>
    <col min="7" max="7" width="2.19921875" style="67" customWidth="1"/>
    <col min="8" max="8" width="24.69921875" style="67" customWidth="1"/>
    <col min="9" max="9" width="10.69921875" style="67" customWidth="1"/>
    <col min="10" max="10" width="7.69921875" style="67" customWidth="1"/>
    <col min="11" max="11" width="8.19921875" style="67" customWidth="1"/>
    <col min="12" max="12" width="9.69921875" style="69" customWidth="1"/>
    <col min="13" max="13" width="8.09765625" style="67" customWidth="1"/>
    <col min="14" max="14" width="8.19921875" style="67" customWidth="1"/>
    <col min="15" max="15" width="30.69921875" style="67" customWidth="1"/>
    <col min="16" max="16" width="12.69921875" style="67" customWidth="1"/>
    <col min="17" max="17" width="54.5" style="67" customWidth="1"/>
    <col min="18" max="18" width="9.19921875" style="67" bestFit="1" customWidth="1"/>
    <col min="19" max="19" width="24.69921875" style="67" customWidth="1"/>
    <col min="20" max="20" width="10.69921875" style="67" customWidth="1"/>
    <col min="21" max="21" width="7.69921875" style="67" customWidth="1"/>
    <col min="22" max="22" width="8.19921875" style="67" customWidth="1"/>
    <col min="23" max="23" width="9.69921875" style="67" customWidth="1"/>
    <col min="24" max="24" width="2.19921875" style="67" customWidth="1"/>
    <col min="25" max="16384" width="8.69921875" style="67"/>
  </cols>
  <sheetData>
    <row r="1" spans="1:24" s="64" customFormat="1" ht="15.6" x14ac:dyDescent="0.3">
      <c r="A1" s="63" t="s">
        <v>64</v>
      </c>
      <c r="F1" s="65"/>
      <c r="L1" s="65"/>
    </row>
    <row r="2" spans="1:24" ht="26.4" customHeight="1" x14ac:dyDescent="0.25">
      <c r="A2" s="66" t="s">
        <v>118</v>
      </c>
      <c r="E2" s="68"/>
      <c r="K2" s="68"/>
      <c r="M2" s="70"/>
    </row>
    <row r="3" spans="1:24" ht="13.95" hidden="1" customHeight="1" x14ac:dyDescent="0.3">
      <c r="B3" s="71" t="s">
        <v>65</v>
      </c>
      <c r="C3" s="72"/>
      <c r="D3" s="72"/>
      <c r="E3" s="72"/>
      <c r="F3" s="73"/>
      <c r="H3" s="71" t="s">
        <v>66</v>
      </c>
      <c r="I3" s="72"/>
      <c r="J3" s="72"/>
      <c r="K3" s="72"/>
      <c r="L3" s="73"/>
      <c r="M3" s="74"/>
      <c r="N3" s="75"/>
      <c r="O3" s="75"/>
      <c r="P3" s="75"/>
      <c r="Q3" s="75"/>
      <c r="X3" s="74"/>
    </row>
    <row r="4" spans="1:24" ht="13.8" hidden="1" thickBot="1" x14ac:dyDescent="0.3">
      <c r="B4" s="76" t="s">
        <v>67</v>
      </c>
      <c r="C4" s="77">
        <v>83</v>
      </c>
      <c r="D4" s="78" t="s">
        <v>68</v>
      </c>
      <c r="E4" s="79">
        <v>312</v>
      </c>
      <c r="F4" s="80">
        <f>E4*C4</f>
        <v>25896</v>
      </c>
      <c r="G4" s="77"/>
      <c r="H4" s="76" t="s">
        <v>67</v>
      </c>
      <c r="I4" s="77">
        <v>46</v>
      </c>
      <c r="J4" s="78" t="s">
        <v>68</v>
      </c>
      <c r="K4" s="79">
        <v>312</v>
      </c>
      <c r="L4" s="80">
        <f>K4*I4</f>
        <v>14352</v>
      </c>
      <c r="M4" s="81"/>
      <c r="N4" s="78"/>
      <c r="O4" s="82" t="s">
        <v>69</v>
      </c>
      <c r="P4" s="83"/>
      <c r="Q4" s="83"/>
      <c r="R4" s="84"/>
      <c r="X4" s="81"/>
    </row>
    <row r="5" spans="1:24" hidden="1" x14ac:dyDescent="0.25">
      <c r="B5" s="85"/>
      <c r="C5" s="77"/>
      <c r="D5" s="86"/>
      <c r="E5" s="86"/>
      <c r="F5" s="87"/>
      <c r="H5" s="85"/>
      <c r="I5" s="86"/>
      <c r="J5" s="86"/>
      <c r="K5" s="86"/>
      <c r="L5" s="87"/>
      <c r="M5" s="88"/>
      <c r="N5" s="89"/>
      <c r="O5" s="76" t="s">
        <v>67</v>
      </c>
      <c r="P5" s="91" t="str">
        <f>'[2]Narrowed, &amp; an MV-specific modl'!$C$33</f>
        <v>Days:</v>
      </c>
      <c r="Q5" s="92">
        <f>'[3]FY09 FTE, Sal'!$P$19</f>
        <v>313</v>
      </c>
      <c r="R5" s="93" t="e">
        <f>#REF!*Q5</f>
        <v>#REF!</v>
      </c>
      <c r="X5" s="88"/>
    </row>
    <row r="6" spans="1:24" hidden="1" x14ac:dyDescent="0.25">
      <c r="B6" s="94"/>
      <c r="C6" s="95" t="s">
        <v>70</v>
      </c>
      <c r="D6" s="96" t="s">
        <v>71</v>
      </c>
      <c r="E6" s="96" t="s">
        <v>72</v>
      </c>
      <c r="F6" s="97" t="s">
        <v>73</v>
      </c>
      <c r="H6" s="94"/>
      <c r="I6" s="95" t="s">
        <v>70</v>
      </c>
      <c r="J6" s="96" t="s">
        <v>71</v>
      </c>
      <c r="K6" s="96" t="s">
        <v>72</v>
      </c>
      <c r="L6" s="97" t="s">
        <v>73</v>
      </c>
      <c r="M6" s="98"/>
      <c r="N6" s="90"/>
      <c r="O6" s="99"/>
      <c r="P6" s="89"/>
      <c r="Q6" s="89"/>
      <c r="R6" s="100"/>
      <c r="X6" s="98"/>
    </row>
    <row r="7" spans="1:24" hidden="1" x14ac:dyDescent="0.25">
      <c r="B7" s="85" t="s">
        <v>74</v>
      </c>
      <c r="C7" s="101">
        <v>64.5</v>
      </c>
      <c r="D7" s="86">
        <v>52598.04</v>
      </c>
      <c r="E7" s="102">
        <f>C4/C7</f>
        <v>1.2868217054263567</v>
      </c>
      <c r="F7" s="103">
        <f>E7*D7</f>
        <v>67684.299534883728</v>
      </c>
      <c r="H7" s="85" t="s">
        <v>74</v>
      </c>
      <c r="I7" s="101">
        <v>36.07971899816738</v>
      </c>
      <c r="J7" s="86">
        <v>52598.04</v>
      </c>
      <c r="K7" s="102">
        <f>I4/I7</f>
        <v>1.2749544973544973</v>
      </c>
      <c r="L7" s="103">
        <f>K7*J7</f>
        <v>67060.107650031743</v>
      </c>
      <c r="M7" s="104"/>
      <c r="N7" s="90"/>
      <c r="O7" s="105"/>
      <c r="P7" s="106" t="s">
        <v>71</v>
      </c>
      <c r="Q7" s="106" t="s">
        <v>72</v>
      </c>
      <c r="R7" s="107" t="s">
        <v>73</v>
      </c>
      <c r="X7" s="104"/>
    </row>
    <row r="8" spans="1:24" hidden="1" x14ac:dyDescent="0.25">
      <c r="B8" s="108" t="s">
        <v>76</v>
      </c>
      <c r="C8" s="101">
        <v>10.37037037037037</v>
      </c>
      <c r="D8" s="86">
        <v>37018.99</v>
      </c>
      <c r="E8" s="102">
        <f>C4/C8</f>
        <v>8.0035714285714281</v>
      </c>
      <c r="F8" s="109">
        <f>E8*D8</f>
        <v>296284.13067857141</v>
      </c>
      <c r="H8" s="108" t="s">
        <v>76</v>
      </c>
      <c r="I8" s="110">
        <v>6.9909208819714665</v>
      </c>
      <c r="J8" s="86">
        <v>37018.99</v>
      </c>
      <c r="K8" s="102">
        <f>I4/I8</f>
        <v>6.5799628942486077</v>
      </c>
      <c r="L8" s="109">
        <f>K8*J8</f>
        <v>243583.58058256024</v>
      </c>
      <c r="M8" s="111"/>
      <c r="N8" s="90"/>
      <c r="O8" s="105" t="s">
        <v>74</v>
      </c>
      <c r="P8" s="112">
        <v>52598.04</v>
      </c>
      <c r="Q8" s="113">
        <f>9.31/140.8</f>
        <v>6.6122159090909086E-2</v>
      </c>
      <c r="R8" s="114">
        <f>Q8*P8</f>
        <v>3477.8959687499996</v>
      </c>
      <c r="X8" s="111"/>
    </row>
    <row r="9" spans="1:24" hidden="1" x14ac:dyDescent="0.25">
      <c r="B9" s="115" t="s">
        <v>77</v>
      </c>
      <c r="C9" s="116"/>
      <c r="D9" s="116"/>
      <c r="E9" s="117">
        <f>SUM(E7:E8)</f>
        <v>9.2903931339977852</v>
      </c>
      <c r="F9" s="118">
        <f>SUM(F7:F8)</f>
        <v>363968.43021345511</v>
      </c>
      <c r="H9" s="115" t="s">
        <v>77</v>
      </c>
      <c r="I9" s="116"/>
      <c r="J9" s="116"/>
      <c r="K9" s="117">
        <f>SUM(K7:K8)</f>
        <v>7.854917391603105</v>
      </c>
      <c r="L9" s="118">
        <f>SUM(L7:L8)</f>
        <v>310643.68823259196</v>
      </c>
      <c r="M9" s="119"/>
      <c r="N9" s="120"/>
      <c r="O9" s="105" t="s">
        <v>76</v>
      </c>
      <c r="P9" s="121">
        <v>37018.99</v>
      </c>
      <c r="Q9" s="113">
        <f>9.31/4.4</f>
        <v>2.1159090909090907</v>
      </c>
      <c r="R9" s="122">
        <f>Q9*P9</f>
        <v>78328.817477272722</v>
      </c>
      <c r="X9" s="119"/>
    </row>
    <row r="10" spans="1:24" hidden="1" x14ac:dyDescent="0.25">
      <c r="B10" s="123"/>
      <c r="C10" s="124"/>
      <c r="D10" s="95" t="s">
        <v>78</v>
      </c>
      <c r="E10" s="124"/>
      <c r="F10" s="125"/>
      <c r="H10" s="123"/>
      <c r="I10" s="124"/>
      <c r="J10" s="95" t="s">
        <v>78</v>
      </c>
      <c r="K10" s="124"/>
      <c r="L10" s="125"/>
      <c r="M10" s="126"/>
      <c r="N10" s="127"/>
      <c r="O10" s="128"/>
      <c r="P10" s="129"/>
      <c r="Q10" s="130">
        <f>SUM(Q8+Q9)</f>
        <v>2.1820312499999996</v>
      </c>
      <c r="R10" s="131">
        <f>SUM(R8+R9)</f>
        <v>81806.713446022724</v>
      </c>
      <c r="X10" s="126"/>
    </row>
    <row r="11" spans="1:24" hidden="1" x14ac:dyDescent="0.25">
      <c r="B11" s="94" t="s">
        <v>79</v>
      </c>
      <c r="C11" s="77"/>
      <c r="D11" s="132">
        <v>0.23499999999999999</v>
      </c>
      <c r="E11" s="133"/>
      <c r="F11" s="103">
        <f>F9*D11</f>
        <v>85532.581100161944</v>
      </c>
      <c r="H11" s="94" t="s">
        <v>79</v>
      </c>
      <c r="I11" s="77"/>
      <c r="J11" s="132">
        <v>0.23499999999999999</v>
      </c>
      <c r="K11" s="134" t="s">
        <v>80</v>
      </c>
      <c r="L11" s="103">
        <f>L9*J11</f>
        <v>73001.266734659104</v>
      </c>
      <c r="M11" s="104"/>
      <c r="N11" s="90"/>
      <c r="O11" s="135"/>
      <c r="P11" s="74"/>
      <c r="Q11" s="127"/>
      <c r="R11" s="136"/>
      <c r="X11" s="104"/>
    </row>
    <row r="12" spans="1:24" hidden="1" x14ac:dyDescent="0.25">
      <c r="B12" s="94"/>
      <c r="C12" s="77"/>
      <c r="D12" s="132"/>
      <c r="E12" s="77"/>
      <c r="F12" s="125"/>
      <c r="H12" s="94"/>
      <c r="I12" s="77"/>
      <c r="J12" s="132"/>
      <c r="K12" s="77"/>
      <c r="L12" s="125"/>
      <c r="M12" s="126"/>
      <c r="N12" s="90"/>
      <c r="O12" s="105" t="s">
        <v>79</v>
      </c>
      <c r="P12" s="137">
        <v>0.23599999999999999</v>
      </c>
      <c r="Q12" s="138"/>
      <c r="R12" s="114">
        <f>R10*P12</f>
        <v>19306.38437326136</v>
      </c>
      <c r="X12" s="126"/>
    </row>
    <row r="13" spans="1:24" hidden="1" x14ac:dyDescent="0.25">
      <c r="B13" s="115" t="s">
        <v>81</v>
      </c>
      <c r="C13" s="116"/>
      <c r="D13" s="139"/>
      <c r="E13" s="116"/>
      <c r="F13" s="118">
        <f>SUM(F9:F11)</f>
        <v>449501.01131361705</v>
      </c>
      <c r="H13" s="115" t="s">
        <v>81</v>
      </c>
      <c r="I13" s="116"/>
      <c r="J13" s="139"/>
      <c r="K13" s="116"/>
      <c r="L13" s="118">
        <f>SUM(L9:L11)</f>
        <v>383644.95496725105</v>
      </c>
      <c r="M13" s="119"/>
      <c r="N13" s="127"/>
      <c r="O13" s="105"/>
      <c r="P13" s="137"/>
      <c r="Q13" s="90"/>
      <c r="R13" s="136"/>
      <c r="X13" s="119"/>
    </row>
    <row r="14" spans="1:24" hidden="1" x14ac:dyDescent="0.25">
      <c r="B14" s="94"/>
      <c r="C14" s="77"/>
      <c r="D14" s="132"/>
      <c r="E14" s="95" t="s">
        <v>82</v>
      </c>
      <c r="F14" s="125"/>
      <c r="H14" s="94"/>
      <c r="I14" s="77"/>
      <c r="J14" s="132"/>
      <c r="K14" s="95" t="s">
        <v>82</v>
      </c>
      <c r="L14" s="125"/>
      <c r="M14" s="126"/>
      <c r="N14" s="90"/>
      <c r="O14" s="140" t="s">
        <v>81</v>
      </c>
      <c r="P14" s="141"/>
      <c r="Q14" s="129"/>
      <c r="R14" s="131">
        <f>SUM(R10+R12)</f>
        <v>101113.09781928408</v>
      </c>
      <c r="X14" s="126"/>
    </row>
    <row r="15" spans="1:24" hidden="1" x14ac:dyDescent="0.25">
      <c r="B15" s="94" t="s">
        <v>83</v>
      </c>
      <c r="C15" s="77"/>
      <c r="D15" s="132"/>
      <c r="E15" s="142">
        <v>5.41</v>
      </c>
      <c r="F15" s="103">
        <f>E15*F4</f>
        <v>140097.36000000002</v>
      </c>
      <c r="H15" s="94" t="s">
        <v>83</v>
      </c>
      <c r="I15" s="77"/>
      <c r="J15" s="132"/>
      <c r="K15" s="142">
        <v>5.41</v>
      </c>
      <c r="L15" s="103">
        <f>K15*L4</f>
        <v>77644.320000000007</v>
      </c>
      <c r="M15" s="104"/>
      <c r="N15" s="90"/>
      <c r="O15" s="105"/>
      <c r="P15" s="137"/>
      <c r="Q15" s="74" t="s">
        <v>82</v>
      </c>
      <c r="R15" s="136"/>
      <c r="X15" s="104"/>
    </row>
    <row r="16" spans="1:24" hidden="1" x14ac:dyDescent="0.25">
      <c r="B16" s="94" t="s">
        <v>84</v>
      </c>
      <c r="C16" s="77"/>
      <c r="D16" s="132"/>
      <c r="E16" s="142">
        <v>3.894876072670558</v>
      </c>
      <c r="F16" s="103">
        <f>E16*F4</f>
        <v>100861.71077787677</v>
      </c>
      <c r="H16" s="94" t="s">
        <v>84</v>
      </c>
      <c r="I16" s="77"/>
      <c r="J16" s="132"/>
      <c r="K16" s="142">
        <v>3.894876072670558</v>
      </c>
      <c r="L16" s="103">
        <f>K16*L4</f>
        <v>55899.261394967849</v>
      </c>
      <c r="M16" s="104"/>
      <c r="N16" s="90"/>
      <c r="O16" s="105" t="s">
        <v>83</v>
      </c>
      <c r="P16" s="137"/>
      <c r="Q16" s="143">
        <v>13.09</v>
      </c>
      <c r="R16" s="114" t="e">
        <f>R5*Q16</f>
        <v>#REF!</v>
      </c>
      <c r="X16" s="104"/>
    </row>
    <row r="17" spans="1:24" hidden="1" x14ac:dyDescent="0.25">
      <c r="B17" s="144" t="s">
        <v>85</v>
      </c>
      <c r="C17" s="145"/>
      <c r="D17" s="146"/>
      <c r="E17" s="147"/>
      <c r="F17" s="148">
        <f>SUM(F13:F16)</f>
        <v>690460.08209149388</v>
      </c>
      <c r="H17" s="144" t="s">
        <v>85</v>
      </c>
      <c r="I17" s="145"/>
      <c r="J17" s="146"/>
      <c r="K17" s="147"/>
      <c r="L17" s="148">
        <f>SUM(L13:L16)</f>
        <v>517188.5363622189</v>
      </c>
      <c r="M17" s="104"/>
      <c r="N17" s="127"/>
      <c r="O17" s="105" t="s">
        <v>84</v>
      </c>
      <c r="P17" s="137"/>
      <c r="Q17" s="143">
        <v>7.07</v>
      </c>
      <c r="R17" s="114" t="e">
        <f>R5*Q17</f>
        <v>#REF!</v>
      </c>
      <c r="X17" s="104"/>
    </row>
    <row r="18" spans="1:24" hidden="1" x14ac:dyDescent="0.25">
      <c r="B18" s="94" t="s">
        <v>86</v>
      </c>
      <c r="C18" s="77"/>
      <c r="D18" s="132">
        <v>0.13452840572852637</v>
      </c>
      <c r="E18" s="77"/>
      <c r="F18" s="103">
        <f>F17*D18</f>
        <v>92886.494062956117</v>
      </c>
      <c r="H18" s="94" t="s">
        <v>86</v>
      </c>
      <c r="I18" s="77"/>
      <c r="J18" s="132">
        <v>0.13452840572852637</v>
      </c>
      <c r="K18" s="77"/>
      <c r="L18" s="103">
        <f>L17*J18</f>
        <v>69576.549257879291</v>
      </c>
      <c r="M18" s="104"/>
      <c r="N18" s="90"/>
      <c r="O18" s="140" t="s">
        <v>85</v>
      </c>
      <c r="P18" s="150"/>
      <c r="Q18" s="151"/>
      <c r="R18" s="152" t="e">
        <f>SUM(R14+R16+R17)</f>
        <v>#REF!</v>
      </c>
      <c r="X18" s="104"/>
    </row>
    <row r="19" spans="1:24" ht="13.8" hidden="1" thickBot="1" x14ac:dyDescent="0.3">
      <c r="B19" s="153" t="s">
        <v>87</v>
      </c>
      <c r="C19" s="154"/>
      <c r="D19" s="155"/>
      <c r="E19" s="154"/>
      <c r="F19" s="156">
        <f>SUM(F17:F18)</f>
        <v>783346.57615444995</v>
      </c>
      <c r="H19" s="153" t="s">
        <v>87</v>
      </c>
      <c r="I19" s="154"/>
      <c r="J19" s="155"/>
      <c r="K19" s="154"/>
      <c r="L19" s="156">
        <f>SUM(L17:L18)</f>
        <v>586765.08562009817</v>
      </c>
      <c r="M19" s="157"/>
      <c r="N19" s="127"/>
      <c r="O19" s="105" t="s">
        <v>86</v>
      </c>
      <c r="P19" s="137">
        <v>0.21970000000000001</v>
      </c>
      <c r="Q19" s="90"/>
      <c r="R19" s="114" t="e">
        <f>R18*P19</f>
        <v>#REF!</v>
      </c>
      <c r="X19" s="157"/>
    </row>
    <row r="20" spans="1:24" ht="13.8" hidden="1" thickBot="1" x14ac:dyDescent="0.3">
      <c r="B20" s="123" t="s">
        <v>88</v>
      </c>
      <c r="C20" s="77"/>
      <c r="D20" s="158"/>
      <c r="E20" s="77"/>
      <c r="F20" s="159">
        <f>F19/F4</f>
        <v>30.249713320761892</v>
      </c>
      <c r="H20" s="123" t="s">
        <v>88</v>
      </c>
      <c r="I20" s="77"/>
      <c r="J20" s="158"/>
      <c r="K20" s="77"/>
      <c r="L20" s="159">
        <f>L19/L4</f>
        <v>40.88385490664006</v>
      </c>
      <c r="M20" s="160"/>
      <c r="N20" s="90"/>
      <c r="O20" s="161" t="s">
        <v>87</v>
      </c>
      <c r="P20" s="163"/>
      <c r="Q20" s="162"/>
      <c r="R20" s="164" t="e">
        <f>SUM(R18+R19)</f>
        <v>#REF!</v>
      </c>
      <c r="X20" s="160"/>
    </row>
    <row r="21" spans="1:24" s="165" customFormat="1" ht="13.8" hidden="1" thickBot="1" x14ac:dyDescent="0.3">
      <c r="B21" s="166" t="s">
        <v>89</v>
      </c>
      <c r="C21" s="167"/>
      <c r="D21" s="168">
        <v>4.1099999999999998E-2</v>
      </c>
      <c r="E21" s="169"/>
      <c r="F21" s="170">
        <f>ROUND(((F20*D21)+F20),2)</f>
        <v>31.49</v>
      </c>
      <c r="H21" s="166" t="s">
        <v>89</v>
      </c>
      <c r="I21" s="167"/>
      <c r="J21" s="168">
        <v>4.1099999999999998E-2</v>
      </c>
      <c r="K21" s="169"/>
      <c r="L21" s="170">
        <f>ROUND(((L20*J21)+L20),2)</f>
        <v>42.56</v>
      </c>
      <c r="M21" s="171"/>
      <c r="N21" s="127"/>
      <c r="O21" s="105" t="s">
        <v>88</v>
      </c>
      <c r="P21" s="172"/>
      <c r="Q21" s="90"/>
      <c r="R21" s="173" t="e">
        <f>R20/R5</f>
        <v>#REF!</v>
      </c>
      <c r="X21" s="171"/>
    </row>
    <row r="22" spans="1:24" ht="13.8" hidden="1" thickBot="1" x14ac:dyDescent="0.3">
      <c r="H22" s="174"/>
      <c r="I22" s="174"/>
      <c r="J22" s="174"/>
      <c r="K22" s="174"/>
      <c r="L22" s="174"/>
      <c r="O22" s="175" t="s">
        <v>90</v>
      </c>
      <c r="P22" s="176">
        <v>4.1099999999999998E-2</v>
      </c>
      <c r="Q22" s="177"/>
      <c r="R22" s="178" t="e">
        <f>ROUND((R21*P22)+R21,2)</f>
        <v>#REF!</v>
      </c>
    </row>
    <row r="23" spans="1:24" hidden="1" x14ac:dyDescent="0.25">
      <c r="H23" s="174"/>
      <c r="I23" s="174"/>
      <c r="J23" s="174"/>
      <c r="K23" s="174"/>
      <c r="L23" s="174"/>
      <c r="O23" s="127"/>
      <c r="P23" s="179"/>
      <c r="Q23" s="180"/>
      <c r="R23" s="171"/>
    </row>
    <row r="24" spans="1:24" hidden="1" x14ac:dyDescent="0.25">
      <c r="H24" s="174"/>
      <c r="I24" s="174"/>
      <c r="J24" s="174"/>
      <c r="K24" s="174"/>
      <c r="L24" s="174"/>
      <c r="O24" s="127"/>
      <c r="P24" s="179"/>
      <c r="Q24" s="180"/>
      <c r="R24" s="171"/>
    </row>
    <row r="25" spans="1:24" hidden="1" x14ac:dyDescent="0.25">
      <c r="H25" s="174"/>
      <c r="I25" s="174"/>
      <c r="J25" s="174"/>
      <c r="K25" s="174"/>
      <c r="L25" s="174"/>
      <c r="O25" s="127"/>
      <c r="P25" s="179"/>
      <c r="Q25" s="180"/>
      <c r="R25" s="171"/>
    </row>
    <row r="26" spans="1:24" ht="13.2" customHeight="1" thickBot="1" x14ac:dyDescent="0.3">
      <c r="A26" s="181"/>
      <c r="I26" s="174"/>
      <c r="J26" s="174"/>
      <c r="K26" s="182"/>
      <c r="L26" s="183"/>
      <c r="R26" s="182"/>
    </row>
    <row r="27" spans="1:24" ht="13.95" customHeight="1" thickBot="1" x14ac:dyDescent="0.3">
      <c r="B27" s="82" t="s">
        <v>91</v>
      </c>
      <c r="C27" s="83"/>
      <c r="D27" s="83"/>
      <c r="E27" s="83"/>
      <c r="F27" s="84"/>
      <c r="H27" s="71" t="s">
        <v>92</v>
      </c>
      <c r="I27" s="72"/>
      <c r="J27" s="72"/>
      <c r="K27" s="72"/>
      <c r="L27" s="73"/>
      <c r="M27" s="74"/>
      <c r="O27" s="184" t="s">
        <v>93</v>
      </c>
      <c r="P27" s="185"/>
      <c r="Q27" s="186"/>
      <c r="S27" s="74"/>
    </row>
    <row r="28" spans="1:24" ht="13.95" customHeight="1" thickBot="1" x14ac:dyDescent="0.35">
      <c r="B28" s="76" t="s">
        <v>67</v>
      </c>
      <c r="C28" s="187">
        <f>AVERAGE('[4]FY15 days &amp; attendance'!Q34:Q36)</f>
        <v>25.333333333333332</v>
      </c>
      <c r="D28" s="78" t="s">
        <v>68</v>
      </c>
      <c r="E28" s="79">
        <v>272</v>
      </c>
      <c r="F28" s="80">
        <f>C28*E28</f>
        <v>6890.6666666666661</v>
      </c>
      <c r="G28" s="77"/>
      <c r="H28" s="76" t="s">
        <v>67</v>
      </c>
      <c r="I28" s="187">
        <f>AVERAGE('[4]FY15 days &amp; attendance'!Q5:Q33)</f>
        <v>41.068965517241381</v>
      </c>
      <c r="J28" s="78" t="s">
        <v>68</v>
      </c>
      <c r="K28" s="79">
        <v>272</v>
      </c>
      <c r="L28" s="80">
        <f>K28*I28</f>
        <v>11170.758620689656</v>
      </c>
      <c r="M28" s="81"/>
      <c r="N28" s="77"/>
      <c r="O28" s="188" t="s">
        <v>94</v>
      </c>
      <c r="P28" s="189"/>
      <c r="Q28" s="273" t="s">
        <v>95</v>
      </c>
      <c r="S28" s="81"/>
    </row>
    <row r="29" spans="1:24" ht="15.6" x14ac:dyDescent="0.3">
      <c r="B29" s="85"/>
      <c r="C29" s="86"/>
      <c r="D29" s="86"/>
      <c r="E29" s="86"/>
      <c r="F29" s="87"/>
      <c r="H29" s="85"/>
      <c r="I29" s="86"/>
      <c r="J29" s="86"/>
      <c r="K29" s="86"/>
      <c r="L29" s="87"/>
      <c r="M29" s="88"/>
      <c r="O29" s="85" t="s">
        <v>96</v>
      </c>
      <c r="P29" s="190">
        <f>'M2020 BLS Chart'!C18</f>
        <v>69600</v>
      </c>
      <c r="Q29" s="274" t="s">
        <v>121</v>
      </c>
      <c r="R29" s="88"/>
    </row>
    <row r="30" spans="1:24" ht="18" customHeight="1" x14ac:dyDescent="0.3">
      <c r="B30" s="94"/>
      <c r="C30" s="95" t="s">
        <v>70</v>
      </c>
      <c r="D30" s="96" t="s">
        <v>71</v>
      </c>
      <c r="E30" s="96" t="s">
        <v>72</v>
      </c>
      <c r="F30" s="97" t="s">
        <v>73</v>
      </c>
      <c r="H30" s="94"/>
      <c r="I30" s="95" t="s">
        <v>70</v>
      </c>
      <c r="J30" s="96" t="s">
        <v>71</v>
      </c>
      <c r="K30" s="96" t="s">
        <v>72</v>
      </c>
      <c r="L30" s="97" t="s">
        <v>73</v>
      </c>
      <c r="M30" s="98"/>
      <c r="O30" s="85" t="s">
        <v>97</v>
      </c>
      <c r="P30" s="190">
        <f>'M2020 BLS Chart'!C8</f>
        <v>45210.880000000005</v>
      </c>
      <c r="Q30" s="274" t="s">
        <v>121</v>
      </c>
      <c r="R30" s="98"/>
    </row>
    <row r="31" spans="1:24" ht="16.2" thickBot="1" x14ac:dyDescent="0.35">
      <c r="B31" s="85" t="str">
        <f>O29</f>
        <v>Management</v>
      </c>
      <c r="C31" s="101">
        <f>I7</f>
        <v>36.07971899816738</v>
      </c>
      <c r="D31" s="86">
        <f>P29</f>
        <v>69600</v>
      </c>
      <c r="E31" s="102">
        <v>1.3</v>
      </c>
      <c r="F31" s="103">
        <f>E31*D31</f>
        <v>90480</v>
      </c>
      <c r="H31" s="85" t="str">
        <f>O29</f>
        <v>Management</v>
      </c>
      <c r="I31" s="101">
        <f t="shared" ref="I31:K31" si="0">I7</f>
        <v>36.07971899816738</v>
      </c>
      <c r="J31" s="86">
        <f>P29</f>
        <v>69600</v>
      </c>
      <c r="K31" s="102">
        <f t="shared" si="0"/>
        <v>1.2749544973544973</v>
      </c>
      <c r="L31" s="103">
        <f>K31*J31</f>
        <v>88736.83301587301</v>
      </c>
      <c r="M31" s="191"/>
      <c r="O31" s="197" t="s">
        <v>98</v>
      </c>
      <c r="P31" s="198"/>
      <c r="Q31" s="274"/>
      <c r="S31" s="119"/>
    </row>
    <row r="32" spans="1:24" ht="12" customHeight="1" thickBot="1" x14ac:dyDescent="0.35">
      <c r="B32" s="85" t="str">
        <f>O30</f>
        <v>Direct Care III</v>
      </c>
      <c r="C32" s="277">
        <f>I8</f>
        <v>6.9909208819714665</v>
      </c>
      <c r="D32" s="86">
        <f>P30</f>
        <v>45210.880000000005</v>
      </c>
      <c r="E32" s="102">
        <v>3.6</v>
      </c>
      <c r="F32" s="103">
        <f>E32*D32</f>
        <v>162759.16800000003</v>
      </c>
      <c r="H32" s="85" t="str">
        <f>O30</f>
        <v>Direct Care III</v>
      </c>
      <c r="I32" s="277">
        <v>7</v>
      </c>
      <c r="J32" s="86">
        <f>P30</f>
        <v>45210.880000000005</v>
      </c>
      <c r="K32" s="102">
        <v>6.6</v>
      </c>
      <c r="L32" s="103">
        <f>K32*J32</f>
        <v>298391.80800000002</v>
      </c>
      <c r="M32" s="192"/>
      <c r="O32" s="188" t="s">
        <v>99</v>
      </c>
      <c r="P32" s="189"/>
      <c r="Q32" s="275"/>
      <c r="S32" s="126"/>
    </row>
    <row r="33" spans="2:19" ht="16.2" hidden="1" customHeight="1" thickBot="1" x14ac:dyDescent="0.3">
      <c r="B33" s="108"/>
      <c r="C33" s="278"/>
      <c r="D33" s="86"/>
      <c r="E33" s="102"/>
      <c r="F33" s="109"/>
      <c r="H33" s="108"/>
      <c r="I33" s="278"/>
      <c r="J33" s="86"/>
      <c r="K33" s="102"/>
      <c r="L33" s="109"/>
      <c r="M33" s="193"/>
      <c r="O33" s="199"/>
      <c r="P33" s="200"/>
      <c r="Q33" s="274"/>
      <c r="S33" s="104"/>
    </row>
    <row r="34" spans="2:19" ht="13.2" customHeight="1" x14ac:dyDescent="0.3">
      <c r="B34" s="115" t="s">
        <v>77</v>
      </c>
      <c r="C34" s="116"/>
      <c r="D34" s="116"/>
      <c r="E34" s="194">
        <f>SUM(E31:E33)</f>
        <v>4.9000000000000004</v>
      </c>
      <c r="F34" s="118">
        <f>SUM(F31:F33)</f>
        <v>253239.16800000003</v>
      </c>
      <c r="H34" s="115" t="s">
        <v>77</v>
      </c>
      <c r="I34" s="116"/>
      <c r="J34" s="116"/>
      <c r="K34" s="117">
        <f>SUM(K31:K33)</f>
        <v>7.8749544973544969</v>
      </c>
      <c r="L34" s="118">
        <f>SUM(L31:L33)</f>
        <v>387128.64101587306</v>
      </c>
      <c r="M34" s="195"/>
      <c r="O34" s="199" t="s">
        <v>100</v>
      </c>
      <c r="P34" s="201">
        <f>'M2020 BLS Chart'!C32</f>
        <v>0.224</v>
      </c>
      <c r="Q34" s="274" t="s">
        <v>120</v>
      </c>
      <c r="S34" s="104"/>
    </row>
    <row r="35" spans="2:19" ht="13.2" customHeight="1" x14ac:dyDescent="0.3">
      <c r="B35" s="123"/>
      <c r="C35" s="124"/>
      <c r="D35" s="95" t="s">
        <v>78</v>
      </c>
      <c r="E35" s="124"/>
      <c r="F35" s="125"/>
      <c r="H35" s="123"/>
      <c r="I35" s="124"/>
      <c r="J35" s="95" t="s">
        <v>78</v>
      </c>
      <c r="K35" s="124"/>
      <c r="L35" s="125"/>
      <c r="M35" s="196"/>
      <c r="O35" s="199" t="s">
        <v>102</v>
      </c>
      <c r="P35" s="201">
        <f>'M2020 BLS Chart'!C32</f>
        <v>0.224</v>
      </c>
      <c r="Q35" s="274" t="s">
        <v>120</v>
      </c>
      <c r="S35" s="104"/>
    </row>
    <row r="36" spans="2:19" ht="13.2" customHeight="1" x14ac:dyDescent="0.3">
      <c r="B36" s="94" t="s">
        <v>79</v>
      </c>
      <c r="C36" s="77"/>
      <c r="D36" s="132">
        <f>P34</f>
        <v>0.224</v>
      </c>
      <c r="E36" s="134"/>
      <c r="F36" s="103">
        <f>F34*D36</f>
        <v>56725.573632000007</v>
      </c>
      <c r="H36" s="94" t="s">
        <v>79</v>
      </c>
      <c r="I36" s="77"/>
      <c r="J36" s="132">
        <f>P34</f>
        <v>0.224</v>
      </c>
      <c r="K36" s="134"/>
      <c r="L36" s="103">
        <f>L34*J36</f>
        <v>86716.815587555568</v>
      </c>
      <c r="M36" s="126"/>
      <c r="O36" s="205" t="s">
        <v>103</v>
      </c>
      <c r="P36" s="142">
        <f>'[4]FY20 UFR BTL'!D30</f>
        <v>8.1894287051641808</v>
      </c>
      <c r="Q36" s="274" t="s">
        <v>104</v>
      </c>
      <c r="R36" s="104"/>
    </row>
    <row r="37" spans="2:19" ht="15.6" x14ac:dyDescent="0.3">
      <c r="B37" s="94"/>
      <c r="C37" s="77"/>
      <c r="D37" s="132"/>
      <c r="E37" s="77"/>
      <c r="F37" s="125"/>
      <c r="H37" s="94"/>
      <c r="I37" s="77"/>
      <c r="J37" s="132"/>
      <c r="K37" s="77"/>
      <c r="L37" s="125"/>
      <c r="M37" s="119"/>
      <c r="O37" s="205" t="s">
        <v>105</v>
      </c>
      <c r="P37" s="142">
        <f>'[4]FY20 UFR BTL'!AP31</f>
        <v>4.7179690436894033</v>
      </c>
      <c r="Q37" s="274" t="s">
        <v>104</v>
      </c>
      <c r="R37" s="157"/>
    </row>
    <row r="38" spans="2:19" ht="16.5" customHeight="1" x14ac:dyDescent="0.3">
      <c r="B38" s="115" t="s">
        <v>81</v>
      </c>
      <c r="C38" s="116"/>
      <c r="D38" s="139"/>
      <c r="E38" s="116"/>
      <c r="F38" s="118">
        <f>SUM(F34:F36)</f>
        <v>309964.74163200002</v>
      </c>
      <c r="H38" s="115" t="s">
        <v>81</v>
      </c>
      <c r="I38" s="116"/>
      <c r="J38" s="139"/>
      <c r="K38" s="116"/>
      <c r="L38" s="118">
        <f>SUM(L34:L36)</f>
        <v>473845.45660342864</v>
      </c>
      <c r="M38" s="126"/>
      <c r="O38" s="205" t="s">
        <v>107</v>
      </c>
      <c r="P38" s="142">
        <f>'[4]FY20 UFR BTL'!D36</f>
        <v>21.53632</v>
      </c>
      <c r="Q38" s="274" t="s">
        <v>104</v>
      </c>
      <c r="R38" s="160"/>
    </row>
    <row r="39" spans="2:19" ht="15.6" x14ac:dyDescent="0.3">
      <c r="B39" s="94"/>
      <c r="C39" s="77"/>
      <c r="D39" s="132"/>
      <c r="E39" s="95" t="s">
        <v>101</v>
      </c>
      <c r="F39" s="125"/>
      <c r="H39" s="94"/>
      <c r="I39" s="77"/>
      <c r="J39" s="132"/>
      <c r="K39" s="95" t="s">
        <v>101</v>
      </c>
      <c r="L39" s="125"/>
      <c r="M39" s="202"/>
      <c r="N39" s="203"/>
      <c r="O39" s="205" t="s">
        <v>108</v>
      </c>
      <c r="P39" s="142">
        <f>'[4]FY20 UFR BTL'!AP36</f>
        <v>6.2410500000000004</v>
      </c>
      <c r="Q39" s="274" t="s">
        <v>104</v>
      </c>
      <c r="R39" s="171"/>
    </row>
    <row r="40" spans="2:19" ht="15.6" x14ac:dyDescent="0.3">
      <c r="B40" s="94" t="s">
        <v>83</v>
      </c>
      <c r="C40" s="77"/>
      <c r="D40" s="132"/>
      <c r="E40" s="142">
        <f>P36</f>
        <v>8.1894287051641808</v>
      </c>
      <c r="F40" s="103">
        <f>F28*E40</f>
        <v>56430.62339771798</v>
      </c>
      <c r="H40" s="94" t="s">
        <v>83</v>
      </c>
      <c r="I40" s="77"/>
      <c r="J40" s="132"/>
      <c r="K40" s="142">
        <f>P36</f>
        <v>8.1894287051641808</v>
      </c>
      <c r="L40" s="103">
        <f>K40*L28</f>
        <v>91482.131306736104</v>
      </c>
      <c r="M40" s="202"/>
      <c r="N40" s="204"/>
      <c r="O40" s="199" t="s">
        <v>109</v>
      </c>
      <c r="P40" s="133">
        <v>0.12</v>
      </c>
      <c r="Q40" s="274" t="s">
        <v>119</v>
      </c>
      <c r="R40" s="68"/>
    </row>
    <row r="41" spans="2:19" ht="13.95" customHeight="1" x14ac:dyDescent="0.3">
      <c r="B41" s="94" t="s">
        <v>84</v>
      </c>
      <c r="C41" s="77"/>
      <c r="D41" s="132"/>
      <c r="E41" s="142">
        <f>P37</f>
        <v>4.7179690436894033</v>
      </c>
      <c r="F41" s="103">
        <f>E41*F28</f>
        <v>32509.952023715778</v>
      </c>
      <c r="H41" s="94" t="s">
        <v>84</v>
      </c>
      <c r="I41" s="77"/>
      <c r="J41" s="132"/>
      <c r="K41" s="142">
        <f>P37</f>
        <v>4.7179690436894033</v>
      </c>
      <c r="L41" s="103">
        <f>K41*L28</f>
        <v>52703.293366940336</v>
      </c>
      <c r="M41" s="104"/>
      <c r="O41" s="199" t="s">
        <v>110</v>
      </c>
      <c r="P41" s="206">
        <v>3.7000000000000002E-3</v>
      </c>
      <c r="Q41" s="274" t="s">
        <v>111</v>
      </c>
      <c r="R41" s="68"/>
    </row>
    <row r="42" spans="2:19" ht="13.95" customHeight="1" thickBot="1" x14ac:dyDescent="0.35">
      <c r="B42" s="94" t="s">
        <v>106</v>
      </c>
      <c r="C42" s="77"/>
      <c r="D42" s="132"/>
      <c r="E42" s="142">
        <v>0.8</v>
      </c>
      <c r="F42" s="103">
        <f>E42*F28</f>
        <v>5512.5333333333328</v>
      </c>
      <c r="H42" s="94" t="s">
        <v>106</v>
      </c>
      <c r="I42" s="77"/>
      <c r="J42" s="132"/>
      <c r="K42" s="142">
        <f>E42</f>
        <v>0.8</v>
      </c>
      <c r="L42" s="103">
        <f>K42*L28</f>
        <v>8936.6068965517243</v>
      </c>
      <c r="M42" s="104"/>
      <c r="O42" s="207" t="s">
        <v>113</v>
      </c>
      <c r="P42" s="208">
        <f>'[4]CAF Spring 2021'!CB24</f>
        <v>1.0633805350099574E-2</v>
      </c>
      <c r="Q42" s="275" t="s">
        <v>114</v>
      </c>
      <c r="R42" s="68"/>
    </row>
    <row r="43" spans="2:19" ht="13.8" thickBot="1" x14ac:dyDescent="0.3">
      <c r="B43" s="144" t="s">
        <v>85</v>
      </c>
      <c r="C43" s="145"/>
      <c r="D43" s="146"/>
      <c r="E43" s="147"/>
      <c r="F43" s="148">
        <f>SUM(F38:F42)</f>
        <v>404417.85038676712</v>
      </c>
      <c r="H43" s="144" t="s">
        <v>85</v>
      </c>
      <c r="I43" s="145"/>
      <c r="J43" s="146"/>
      <c r="K43" s="147"/>
      <c r="L43" s="148">
        <f>SUM(L38:L42)</f>
        <v>626967.48817365675</v>
      </c>
      <c r="M43" s="157"/>
      <c r="O43" s="218" t="s">
        <v>106</v>
      </c>
      <c r="P43" s="272">
        <v>0.8</v>
      </c>
      <c r="Q43" s="276" t="s">
        <v>115</v>
      </c>
      <c r="R43" s="68"/>
    </row>
    <row r="44" spans="2:19" ht="19.5" customHeight="1" x14ac:dyDescent="0.25">
      <c r="B44" s="94" t="s">
        <v>86</v>
      </c>
      <c r="C44" s="77"/>
      <c r="D44" s="132">
        <f>P40</f>
        <v>0.12</v>
      </c>
      <c r="E44" s="77"/>
      <c r="F44" s="103">
        <f>F43*D44</f>
        <v>48530.142046412053</v>
      </c>
      <c r="H44" s="94" t="s">
        <v>86</v>
      </c>
      <c r="I44" s="77"/>
      <c r="J44" s="132">
        <f>P40</f>
        <v>0.12</v>
      </c>
      <c r="K44" s="77"/>
      <c r="L44" s="103">
        <f>L43*J44</f>
        <v>75236.098580838807</v>
      </c>
      <c r="M44" s="160"/>
    </row>
    <row r="45" spans="2:19" s="165" customFormat="1" ht="17.25" customHeight="1" x14ac:dyDescent="0.25">
      <c r="B45" s="85" t="str">
        <f>O41</f>
        <v>PFMLA Trust Contribution</v>
      </c>
      <c r="C45" s="77"/>
      <c r="D45" s="132">
        <f>P41</f>
        <v>3.7000000000000002E-3</v>
      </c>
      <c r="E45" s="77"/>
      <c r="F45" s="103">
        <f>D45*F34</f>
        <v>936.98492160000012</v>
      </c>
      <c r="G45" s="67"/>
      <c r="H45" s="85" t="str">
        <f>O41</f>
        <v>PFMLA Trust Contribution</v>
      </c>
      <c r="I45" s="77"/>
      <c r="J45" s="132">
        <f>P41</f>
        <v>3.7000000000000002E-3</v>
      </c>
      <c r="K45" s="77"/>
      <c r="L45" s="103">
        <f>J45*L34</f>
        <v>1432.3759717587304</v>
      </c>
      <c r="M45" s="171"/>
      <c r="O45" s="67"/>
      <c r="P45" s="67"/>
      <c r="Q45" s="67"/>
      <c r="R45" s="67"/>
      <c r="S45" s="67"/>
    </row>
    <row r="46" spans="2:19" ht="13.8" thickBot="1" x14ac:dyDescent="0.3">
      <c r="B46" s="153" t="s">
        <v>112</v>
      </c>
      <c r="C46" s="154"/>
      <c r="D46" s="155"/>
      <c r="E46" s="154"/>
      <c r="F46" s="156">
        <f>SUM(F43:F45)</f>
        <v>453884.97735477914</v>
      </c>
      <c r="H46" s="153" t="s">
        <v>112</v>
      </c>
      <c r="I46" s="154"/>
      <c r="J46" s="155"/>
      <c r="K46" s="154"/>
      <c r="L46" s="156">
        <f>SUM(L43:L45)</f>
        <v>703635.96272625425</v>
      </c>
    </row>
    <row r="47" spans="2:19" ht="19.5" customHeight="1" thickTop="1" x14ac:dyDescent="0.3">
      <c r="B47" s="123"/>
      <c r="C47" s="77"/>
      <c r="D47" s="158"/>
      <c r="E47" s="77"/>
      <c r="F47" s="209"/>
      <c r="H47" s="123"/>
      <c r="I47" s="77"/>
      <c r="J47" s="158"/>
      <c r="K47" s="77"/>
      <c r="L47" s="209"/>
      <c r="O47" s="217"/>
      <c r="P47" s="77"/>
      <c r="Q47" s="77"/>
    </row>
    <row r="48" spans="2:19" ht="15" thickBot="1" x14ac:dyDescent="0.35">
      <c r="B48" s="166" t="s">
        <v>89</v>
      </c>
      <c r="C48" s="167"/>
      <c r="D48" s="168">
        <f>P42</f>
        <v>1.0633805350099574E-2</v>
      </c>
      <c r="E48" s="169"/>
      <c r="F48" s="210">
        <f>F46*(1+D48)</f>
        <v>458711.50185530423</v>
      </c>
      <c r="H48" s="166" t="s">
        <v>89</v>
      </c>
      <c r="I48" s="167"/>
      <c r="J48" s="168">
        <f>P42</f>
        <v>1.0633805350099574E-2</v>
      </c>
      <c r="K48" s="169"/>
      <c r="L48" s="210">
        <f>L46*(1+J48)</f>
        <v>711118.29059121513</v>
      </c>
      <c r="O48" s="221"/>
      <c r="P48" s="77"/>
      <c r="Q48" s="77"/>
    </row>
    <row r="49" spans="1:19" ht="16.2" thickBot="1" x14ac:dyDescent="0.35">
      <c r="B49" s="211"/>
      <c r="C49" s="212"/>
      <c r="D49" s="213"/>
      <c r="E49" s="214"/>
      <c r="F49" s="215"/>
      <c r="H49" s="211"/>
      <c r="I49" s="212"/>
      <c r="J49" s="213"/>
      <c r="K49" s="214"/>
      <c r="L49" s="215"/>
      <c r="O49" s="221"/>
      <c r="P49" s="77"/>
      <c r="Q49" s="77"/>
    </row>
    <row r="50" spans="1:19" ht="11.4" customHeight="1" thickTop="1" x14ac:dyDescent="0.3">
      <c r="A50" s="66"/>
      <c r="B50" s="123" t="s">
        <v>116</v>
      </c>
      <c r="C50" s="77"/>
      <c r="D50" s="158"/>
      <c r="E50" s="77"/>
      <c r="F50" s="209">
        <f>SUM(F48:F49)</f>
        <v>458711.50185530423</v>
      </c>
      <c r="H50" s="123" t="s">
        <v>116</v>
      </c>
      <c r="I50" s="77"/>
      <c r="J50" s="158"/>
      <c r="K50" s="77"/>
      <c r="L50" s="209">
        <f>SUM(L48:L49)</f>
        <v>711118.29059121513</v>
      </c>
      <c r="O50" s="221"/>
      <c r="P50" s="77"/>
      <c r="Q50" s="77"/>
    </row>
    <row r="51" spans="1:19" ht="15" customHeight="1" x14ac:dyDescent="0.25">
      <c r="B51" s="123" t="s">
        <v>88</v>
      </c>
      <c r="C51" s="77"/>
      <c r="D51" s="158"/>
      <c r="E51" s="77"/>
      <c r="F51" s="216">
        <f>F50/F28</f>
        <v>66.569974146957861</v>
      </c>
      <c r="H51" s="123" t="s">
        <v>88</v>
      </c>
      <c r="I51" s="77"/>
      <c r="J51" s="158"/>
      <c r="K51" s="77"/>
      <c r="L51" s="216">
        <f>L50/L28</f>
        <v>63.658907576262031</v>
      </c>
      <c r="M51" s="74"/>
      <c r="O51" s="77"/>
      <c r="P51" s="77"/>
      <c r="Q51" s="77"/>
    </row>
    <row r="52" spans="1:19" ht="15" customHeight="1" thickBot="1" x14ac:dyDescent="0.35">
      <c r="B52" s="218"/>
      <c r="C52" s="219"/>
      <c r="D52" s="219"/>
      <c r="E52" s="219"/>
      <c r="F52" s="220"/>
      <c r="G52" s="165"/>
      <c r="H52" s="166"/>
      <c r="I52" s="167"/>
      <c r="J52" s="168"/>
      <c r="K52" s="169"/>
      <c r="L52" s="170"/>
      <c r="M52" s="81"/>
      <c r="O52" s="221"/>
      <c r="P52" s="77"/>
      <c r="Q52" s="77"/>
    </row>
    <row r="53" spans="1:19" ht="15" customHeight="1" x14ac:dyDescent="0.25">
      <c r="H53" s="222"/>
      <c r="I53" s="77"/>
      <c r="J53" s="132"/>
      <c r="K53" s="77"/>
      <c r="L53" s="223"/>
      <c r="M53" s="88"/>
    </row>
    <row r="54" spans="1:19" ht="15" customHeight="1" x14ac:dyDescent="0.25">
      <c r="B54" s="77"/>
      <c r="C54" s="77"/>
      <c r="D54" s="132"/>
      <c r="E54" s="77"/>
      <c r="F54" s="224"/>
      <c r="G54" s="77"/>
      <c r="H54" s="77"/>
      <c r="I54" s="77"/>
      <c r="J54" s="132"/>
      <c r="K54" s="77"/>
      <c r="L54" s="224"/>
      <c r="M54" s="98"/>
      <c r="P54" s="165"/>
      <c r="Q54" s="165"/>
    </row>
    <row r="55" spans="1:19" ht="15" customHeight="1" x14ac:dyDescent="0.25">
      <c r="B55" s="77"/>
      <c r="C55" s="77"/>
      <c r="D55" s="132"/>
      <c r="E55" s="77"/>
      <c r="F55" s="225"/>
      <c r="G55" s="77"/>
      <c r="H55" s="77"/>
      <c r="I55" s="77"/>
      <c r="J55" s="132"/>
      <c r="K55" s="77"/>
      <c r="L55" s="225"/>
      <c r="M55" s="104"/>
      <c r="N55" s="204"/>
    </row>
    <row r="56" spans="1:19" x14ac:dyDescent="0.25">
      <c r="M56" s="111"/>
    </row>
    <row r="57" spans="1:19" ht="13.8" thickBot="1" x14ac:dyDescent="0.3">
      <c r="E57" s="68"/>
      <c r="K57" s="68"/>
      <c r="M57" s="119"/>
    </row>
    <row r="58" spans="1:19" ht="13.2" customHeight="1" thickBot="1" x14ac:dyDescent="0.3">
      <c r="B58" s="71" t="s">
        <v>117</v>
      </c>
      <c r="C58" s="72"/>
      <c r="D58" s="72"/>
      <c r="E58" s="72"/>
      <c r="F58" s="73"/>
      <c r="H58" s="82" t="s">
        <v>69</v>
      </c>
      <c r="I58" s="83"/>
      <c r="J58" s="83"/>
      <c r="K58" s="83"/>
      <c r="L58" s="84"/>
      <c r="M58" s="126"/>
    </row>
    <row r="59" spans="1:19" ht="13.2" customHeight="1" x14ac:dyDescent="0.25">
      <c r="B59" s="76" t="s">
        <v>67</v>
      </c>
      <c r="C59" s="77">
        <f>C4</f>
        <v>83</v>
      </c>
      <c r="D59" s="78" t="s">
        <v>68</v>
      </c>
      <c r="E59" s="79">
        <v>272</v>
      </c>
      <c r="F59" s="80">
        <f>E59*C59</f>
        <v>22576</v>
      </c>
      <c r="G59" s="77"/>
      <c r="H59" s="76" t="s">
        <v>67</v>
      </c>
      <c r="I59" s="226">
        <v>10</v>
      </c>
      <c r="J59" s="91" t="str">
        <f>'[2]Narrowed, &amp; an MV-specific modl'!$C$33</f>
        <v>Days:</v>
      </c>
      <c r="K59" s="92">
        <v>272</v>
      </c>
      <c r="L59" s="227">
        <f>I59*K59</f>
        <v>2720</v>
      </c>
      <c r="M59" s="104"/>
    </row>
    <row r="60" spans="1:19" ht="13.2" customHeight="1" x14ac:dyDescent="0.25">
      <c r="B60" s="85"/>
      <c r="C60" s="77"/>
      <c r="D60" s="86"/>
      <c r="E60" s="86"/>
      <c r="F60" s="87"/>
      <c r="H60" s="99"/>
      <c r="I60" s="89"/>
      <c r="J60" s="89"/>
      <c r="K60" s="89"/>
      <c r="L60" s="100"/>
      <c r="M60" s="126"/>
    </row>
    <row r="61" spans="1:19" x14ac:dyDescent="0.25">
      <c r="B61" s="94"/>
      <c r="C61" s="95" t="s">
        <v>70</v>
      </c>
      <c r="D61" s="96" t="s">
        <v>71</v>
      </c>
      <c r="E61" s="96" t="s">
        <v>72</v>
      </c>
      <c r="F61" s="97" t="s">
        <v>73</v>
      </c>
      <c r="H61" s="105"/>
      <c r="I61" s="74" t="s">
        <v>75</v>
      </c>
      <c r="J61" s="106" t="s">
        <v>71</v>
      </c>
      <c r="K61" s="106" t="s">
        <v>72</v>
      </c>
      <c r="L61" s="107" t="s">
        <v>73</v>
      </c>
      <c r="M61" s="228"/>
    </row>
    <row r="62" spans="1:19" ht="13.2" customHeight="1" x14ac:dyDescent="0.25">
      <c r="B62" s="85" t="str">
        <f>O29</f>
        <v>Management</v>
      </c>
      <c r="C62" s="101">
        <f t="shared" ref="C62:E62" si="1">C7</f>
        <v>64.5</v>
      </c>
      <c r="D62" s="86">
        <f>P29</f>
        <v>69600</v>
      </c>
      <c r="E62" s="102">
        <f t="shared" si="1"/>
        <v>1.2868217054263567</v>
      </c>
      <c r="F62" s="103">
        <f>E62*D62</f>
        <v>89562.790697674427</v>
      </c>
      <c r="H62" s="99" t="str">
        <f>O29</f>
        <v>Management</v>
      </c>
      <c r="I62" s="229">
        <v>140.80000000000001</v>
      </c>
      <c r="J62" s="121">
        <f>P29</f>
        <v>69600</v>
      </c>
      <c r="K62" s="113">
        <f>Q8</f>
        <v>6.6122159090909086E-2</v>
      </c>
      <c r="L62" s="114">
        <f>K62*J62</f>
        <v>4602.1022727272721</v>
      </c>
      <c r="M62" s="195"/>
    </row>
    <row r="63" spans="1:19" ht="12" customHeight="1" x14ac:dyDescent="0.25">
      <c r="B63" s="85" t="str">
        <f>O30</f>
        <v>Direct Care III</v>
      </c>
      <c r="C63" s="281">
        <v>8.5</v>
      </c>
      <c r="D63" s="86">
        <f>P30</f>
        <v>45210.880000000005</v>
      </c>
      <c r="E63" s="102">
        <v>9.6</v>
      </c>
      <c r="F63" s="103">
        <f>E63*D63</f>
        <v>434024.44800000003</v>
      </c>
      <c r="H63" s="99" t="str">
        <f>O30</f>
        <v>Direct Care III</v>
      </c>
      <c r="I63" s="279">
        <v>4.4000000000000004</v>
      </c>
      <c r="J63" s="121">
        <f>P30</f>
        <v>45210.880000000005</v>
      </c>
      <c r="K63" s="113">
        <v>2.1</v>
      </c>
      <c r="L63" s="114">
        <f>K63*J63</f>
        <v>94942.848000000013</v>
      </c>
      <c r="M63" s="230"/>
      <c r="R63" s="165"/>
      <c r="S63" s="165"/>
    </row>
    <row r="64" spans="1:19" hidden="1" x14ac:dyDescent="0.25">
      <c r="B64" s="108"/>
      <c r="C64" s="282"/>
      <c r="D64" s="86"/>
      <c r="E64" s="102"/>
      <c r="F64" s="109"/>
      <c r="H64" s="271"/>
      <c r="I64" s="280"/>
      <c r="J64" s="121"/>
      <c r="K64" s="113"/>
      <c r="L64" s="122"/>
      <c r="M64" s="230"/>
    </row>
    <row r="65" spans="2:23" ht="13.95" customHeight="1" x14ac:dyDescent="0.25">
      <c r="B65" s="115" t="s">
        <v>77</v>
      </c>
      <c r="C65" s="116"/>
      <c r="D65" s="116"/>
      <c r="E65" s="117">
        <f>SUM(E62:E64)</f>
        <v>10.886821705426357</v>
      </c>
      <c r="F65" s="118">
        <f>SUM(F62:F64)</f>
        <v>523587.23869767447</v>
      </c>
      <c r="H65" s="128"/>
      <c r="I65" s="129"/>
      <c r="J65" s="129"/>
      <c r="K65" s="130">
        <f>SUM(K62+K64+K63)</f>
        <v>2.166122159090909</v>
      </c>
      <c r="L65" s="131">
        <f>SUM(L62+L64+L63)</f>
        <v>99544.950272727292</v>
      </c>
      <c r="M65" s="230"/>
      <c r="S65" s="74"/>
    </row>
    <row r="66" spans="2:23" ht="13.95" customHeight="1" x14ac:dyDescent="0.25">
      <c r="B66" s="123"/>
      <c r="C66" s="124"/>
      <c r="D66" s="95" t="s">
        <v>78</v>
      </c>
      <c r="E66" s="124"/>
      <c r="F66" s="125"/>
      <c r="H66" s="135"/>
      <c r="I66" s="127"/>
      <c r="J66" s="74"/>
      <c r="K66" s="127"/>
      <c r="L66" s="136"/>
      <c r="M66" s="230"/>
      <c r="N66" s="204"/>
      <c r="S66" s="78"/>
    </row>
    <row r="67" spans="2:23" x14ac:dyDescent="0.25">
      <c r="B67" s="94" t="s">
        <v>79</v>
      </c>
      <c r="C67" s="77"/>
      <c r="D67" s="132">
        <f>P34</f>
        <v>0.224</v>
      </c>
      <c r="E67" s="133"/>
      <c r="F67" s="103">
        <f>F65*D67</f>
        <v>117283.54146827909</v>
      </c>
      <c r="H67" s="105" t="s">
        <v>79</v>
      </c>
      <c r="I67" s="90"/>
      <c r="J67" s="137">
        <f>P35</f>
        <v>0.224</v>
      </c>
      <c r="K67" s="138"/>
      <c r="L67" s="114">
        <f>L65*J67</f>
        <v>22298.068861090913</v>
      </c>
      <c r="M67" s="157"/>
      <c r="N67" s="231"/>
      <c r="S67" s="86"/>
    </row>
    <row r="68" spans="2:23" ht="13.95" customHeight="1" x14ac:dyDescent="0.25">
      <c r="B68" s="94"/>
      <c r="C68" s="77"/>
      <c r="D68" s="132"/>
      <c r="E68" s="77"/>
      <c r="F68" s="125"/>
      <c r="H68" s="105"/>
      <c r="I68" s="90"/>
      <c r="J68" s="137"/>
      <c r="K68" s="90"/>
      <c r="L68" s="136"/>
      <c r="M68" s="160"/>
      <c r="S68" s="77"/>
    </row>
    <row r="69" spans="2:23" s="165" customFormat="1" ht="13.95" customHeight="1" x14ac:dyDescent="0.25">
      <c r="B69" s="115" t="s">
        <v>81</v>
      </c>
      <c r="C69" s="116"/>
      <c r="D69" s="139"/>
      <c r="E69" s="116"/>
      <c r="F69" s="118">
        <f>SUM(F65:F67)</f>
        <v>640870.78016595356</v>
      </c>
      <c r="G69" s="67"/>
      <c r="H69" s="140" t="s">
        <v>81</v>
      </c>
      <c r="I69" s="129"/>
      <c r="J69" s="141"/>
      <c r="K69" s="129"/>
      <c r="L69" s="131">
        <f>SUM(L65+L67)</f>
        <v>121843.0191338182</v>
      </c>
      <c r="M69" s="171"/>
      <c r="N69" s="232"/>
      <c r="O69" s="67"/>
      <c r="P69" s="67"/>
      <c r="Q69" s="67"/>
      <c r="R69" s="67"/>
      <c r="S69" s="86"/>
    </row>
    <row r="70" spans="2:23" x14ac:dyDescent="0.25">
      <c r="B70" s="94"/>
      <c r="C70" s="77"/>
      <c r="D70" s="132"/>
      <c r="E70" s="95" t="s">
        <v>101</v>
      </c>
      <c r="F70" s="125"/>
      <c r="H70" s="105"/>
      <c r="I70" s="90"/>
      <c r="J70" s="137"/>
      <c r="K70" s="95" t="s">
        <v>101</v>
      </c>
      <c r="L70" s="136"/>
      <c r="S70" s="233"/>
    </row>
    <row r="71" spans="2:23" ht="17.25" customHeight="1" x14ac:dyDescent="0.25">
      <c r="B71" s="94" t="s">
        <v>83</v>
      </c>
      <c r="C71" s="77"/>
      <c r="D71" s="132"/>
      <c r="E71" s="142">
        <f>P36</f>
        <v>8.1894287051641808</v>
      </c>
      <c r="F71" s="103">
        <f>E71*F59</f>
        <v>184884.54244778655</v>
      </c>
      <c r="H71" s="105" t="s">
        <v>83</v>
      </c>
      <c r="I71" s="90"/>
      <c r="J71" s="137"/>
      <c r="K71" s="143">
        <f>P38</f>
        <v>21.53632</v>
      </c>
      <c r="L71" s="114">
        <f>K71*L59</f>
        <v>58578.790399999998</v>
      </c>
      <c r="N71" s="77"/>
      <c r="S71" s="174"/>
      <c r="T71" s="74"/>
      <c r="U71" s="74"/>
      <c r="V71" s="74"/>
      <c r="W71" s="74"/>
    </row>
    <row r="72" spans="2:23" ht="17.25" customHeight="1" x14ac:dyDescent="0.25">
      <c r="B72" s="94" t="s">
        <v>84</v>
      </c>
      <c r="C72" s="77"/>
      <c r="D72" s="132"/>
      <c r="E72" s="142">
        <f>P37</f>
        <v>4.7179690436894033</v>
      </c>
      <c r="F72" s="234">
        <f>E72*F59</f>
        <v>106512.86913033196</v>
      </c>
      <c r="H72" s="105" t="s">
        <v>84</v>
      </c>
      <c r="I72" s="90"/>
      <c r="J72" s="137"/>
      <c r="K72" s="143">
        <f>P39</f>
        <v>6.2410500000000004</v>
      </c>
      <c r="L72" s="114">
        <f>K72*L59</f>
        <v>16975.656000000003</v>
      </c>
      <c r="N72" s="77"/>
      <c r="S72" s="174"/>
      <c r="T72" s="74"/>
      <c r="U72" s="74"/>
      <c r="V72" s="74"/>
      <c r="W72" s="74"/>
    </row>
    <row r="73" spans="2:23" ht="27" customHeight="1" x14ac:dyDescent="0.25">
      <c r="B73" s="94" t="s">
        <v>106</v>
      </c>
      <c r="C73" s="77"/>
      <c r="D73" s="132"/>
      <c r="E73" s="142">
        <v>0.8</v>
      </c>
      <c r="F73" s="234">
        <f>E73*F59</f>
        <v>18060.8</v>
      </c>
      <c r="H73" s="94" t="s">
        <v>106</v>
      </c>
      <c r="I73" s="90"/>
      <c r="J73" s="137"/>
      <c r="K73" s="143">
        <v>0.8</v>
      </c>
      <c r="L73" s="114">
        <f>K73*L59</f>
        <v>2176</v>
      </c>
      <c r="N73" s="77"/>
      <c r="S73" s="124"/>
      <c r="T73" s="187"/>
      <c r="U73" s="78"/>
      <c r="V73" s="79"/>
      <c r="W73" s="235"/>
    </row>
    <row r="74" spans="2:23" ht="21.75" customHeight="1" x14ac:dyDescent="0.25">
      <c r="B74" s="144" t="s">
        <v>85</v>
      </c>
      <c r="C74" s="145"/>
      <c r="D74" s="146"/>
      <c r="E74" s="147"/>
      <c r="F74" s="234">
        <f>SUM(F69:F73)</f>
        <v>950328.99174407218</v>
      </c>
      <c r="H74" s="140" t="s">
        <v>85</v>
      </c>
      <c r="I74" s="149"/>
      <c r="J74" s="150"/>
      <c r="K74" s="151"/>
      <c r="L74" s="152">
        <f>SUM(L69+L71+L72+L73)</f>
        <v>199573.46553381823</v>
      </c>
      <c r="N74" s="77"/>
      <c r="S74" s="77"/>
      <c r="T74" s="86"/>
      <c r="U74" s="86"/>
      <c r="V74" s="86"/>
      <c r="W74" s="236"/>
    </row>
    <row r="75" spans="2:23" ht="21.75" customHeight="1" x14ac:dyDescent="0.25">
      <c r="B75" s="94" t="s">
        <v>86</v>
      </c>
      <c r="C75" s="77"/>
      <c r="D75" s="132">
        <f>P40</f>
        <v>0.12</v>
      </c>
      <c r="E75" s="77"/>
      <c r="F75" s="103">
        <f>F74*D75</f>
        <v>114039.47900928865</v>
      </c>
      <c r="H75" s="105" t="s">
        <v>86</v>
      </c>
      <c r="I75" s="90"/>
      <c r="J75" s="137">
        <f>P40</f>
        <v>0.12</v>
      </c>
      <c r="K75" s="90"/>
      <c r="L75" s="114">
        <f>L74*J75</f>
        <v>23948.815864058186</v>
      </c>
      <c r="N75" s="77"/>
      <c r="S75" s="77"/>
      <c r="T75" s="86"/>
      <c r="U75" s="86"/>
      <c r="V75" s="86"/>
      <c r="W75" s="236"/>
    </row>
    <row r="76" spans="2:23" ht="18" customHeight="1" x14ac:dyDescent="0.25">
      <c r="B76" s="85" t="str">
        <f>O41</f>
        <v>PFMLA Trust Contribution</v>
      </c>
      <c r="C76" s="77"/>
      <c r="D76" s="132">
        <f>P41</f>
        <v>3.7000000000000002E-3</v>
      </c>
      <c r="E76" s="77"/>
      <c r="F76" s="103">
        <f>F65*D76</f>
        <v>1937.2727831813957</v>
      </c>
      <c r="H76" s="99" t="str">
        <f>O41</f>
        <v>PFMLA Trust Contribution</v>
      </c>
      <c r="I76" s="90"/>
      <c r="J76" s="137">
        <f>P41</f>
        <v>3.7000000000000002E-3</v>
      </c>
      <c r="K76" s="90"/>
      <c r="L76" s="114">
        <f>J76*L65</f>
        <v>368.316316009091</v>
      </c>
      <c r="N76" s="77"/>
      <c r="S76" s="77"/>
      <c r="T76" s="86"/>
      <c r="U76" s="86"/>
      <c r="V76" s="86"/>
      <c r="W76" s="236"/>
    </row>
    <row r="77" spans="2:23" ht="13.8" thickBot="1" x14ac:dyDescent="0.3">
      <c r="B77" s="153" t="s">
        <v>87</v>
      </c>
      <c r="C77" s="154"/>
      <c r="D77" s="155"/>
      <c r="E77" s="154"/>
      <c r="F77" s="156">
        <f>SUM(F74:F76)</f>
        <v>1066305.7435365422</v>
      </c>
      <c r="H77" s="161" t="s">
        <v>87</v>
      </c>
      <c r="I77" s="162"/>
      <c r="J77" s="163"/>
      <c r="K77" s="162"/>
      <c r="L77" s="237">
        <f>SUM(L74:L76)</f>
        <v>223890.59771388551</v>
      </c>
      <c r="N77" s="77"/>
      <c r="S77" s="174"/>
      <c r="T77" s="101"/>
      <c r="U77" s="86"/>
      <c r="V77" s="102"/>
      <c r="W77" s="202"/>
    </row>
    <row r="78" spans="2:23" ht="14.4" customHeight="1" thickTop="1" x14ac:dyDescent="0.25">
      <c r="B78" s="123"/>
      <c r="C78" s="77"/>
      <c r="D78" s="158"/>
      <c r="E78" s="77"/>
      <c r="F78" s="159"/>
      <c r="H78" s="105"/>
      <c r="I78" s="90"/>
      <c r="J78" s="172"/>
      <c r="K78" s="90"/>
      <c r="L78" s="238"/>
      <c r="N78" s="77"/>
      <c r="S78" s="77"/>
      <c r="T78" s="101"/>
      <c r="U78" s="86"/>
      <c r="V78" s="102"/>
      <c r="W78" s="239"/>
    </row>
    <row r="79" spans="2:23" ht="13.8" thickBot="1" x14ac:dyDescent="0.3">
      <c r="B79" s="166" t="s">
        <v>89</v>
      </c>
      <c r="C79" s="167"/>
      <c r="D79" s="168">
        <f>P42</f>
        <v>1.0633805350099574E-2</v>
      </c>
      <c r="E79" s="169"/>
      <c r="F79" s="210">
        <f>F77*(1+D79)</f>
        <v>1077644.6312570029</v>
      </c>
      <c r="H79" s="166" t="s">
        <v>89</v>
      </c>
      <c r="I79" s="167"/>
      <c r="J79" s="168">
        <f>P42</f>
        <v>1.0633805350099574E-2</v>
      </c>
      <c r="K79" s="169"/>
      <c r="L79" s="210">
        <f>L77*(1+J79)</f>
        <v>226271.40674969243</v>
      </c>
      <c r="N79" s="77"/>
      <c r="S79" s="77"/>
      <c r="T79" s="240"/>
      <c r="U79" s="240"/>
      <c r="V79" s="241"/>
      <c r="W79" s="242"/>
    </row>
    <row r="80" spans="2:23" ht="16.2" thickBot="1" x14ac:dyDescent="0.35">
      <c r="B80" s="211"/>
      <c r="C80" s="212"/>
      <c r="D80" s="213"/>
      <c r="E80" s="214"/>
      <c r="F80" s="215"/>
      <c r="H80" s="211"/>
      <c r="I80" s="212"/>
      <c r="J80" s="213"/>
      <c r="K80" s="214"/>
      <c r="L80" s="215"/>
      <c r="N80" s="77"/>
      <c r="S80" s="77"/>
      <c r="T80" s="124"/>
      <c r="U80" s="95"/>
      <c r="V80" s="124"/>
      <c r="W80" s="243"/>
    </row>
    <row r="81" spans="2:23" ht="13.8" thickTop="1" x14ac:dyDescent="0.25">
      <c r="B81" s="123" t="s">
        <v>116</v>
      </c>
      <c r="C81" s="77"/>
      <c r="D81" s="158"/>
      <c r="E81" s="77"/>
      <c r="F81" s="209">
        <f>SUM(F79:F80)</f>
        <v>1077644.6312570029</v>
      </c>
      <c r="H81" s="123" t="s">
        <v>116</v>
      </c>
      <c r="I81" s="77"/>
      <c r="J81" s="158"/>
      <c r="K81" s="77"/>
      <c r="L81" s="209">
        <f>SUM(L79:L80)</f>
        <v>226271.40674969243</v>
      </c>
      <c r="N81" s="77"/>
      <c r="S81" s="124"/>
      <c r="T81" s="77"/>
      <c r="U81" s="132"/>
      <c r="V81" s="134"/>
      <c r="W81" s="202"/>
    </row>
    <row r="82" spans="2:23" x14ac:dyDescent="0.25">
      <c r="B82" s="123" t="s">
        <v>88</v>
      </c>
      <c r="C82" s="77"/>
      <c r="D82" s="158"/>
      <c r="E82" s="77"/>
      <c r="F82" s="216">
        <f>F81/F59</f>
        <v>47.734081823928193</v>
      </c>
      <c r="H82" s="123" t="s">
        <v>88</v>
      </c>
      <c r="I82" s="77"/>
      <c r="J82" s="158"/>
      <c r="K82" s="77"/>
      <c r="L82" s="216">
        <f>L81/L59</f>
        <v>83.188017187386919</v>
      </c>
      <c r="N82" s="77"/>
      <c r="S82" s="77"/>
      <c r="T82" s="77"/>
      <c r="U82" s="132"/>
      <c r="V82" s="77"/>
      <c r="W82" s="243"/>
    </row>
    <row r="83" spans="2:23" ht="13.8" thickBot="1" x14ac:dyDescent="0.3">
      <c r="B83" s="218"/>
      <c r="C83" s="219"/>
      <c r="D83" s="244"/>
      <c r="E83" s="219"/>
      <c r="F83" s="245"/>
      <c r="H83" s="218"/>
      <c r="I83" s="219"/>
      <c r="J83" s="244"/>
      <c r="K83" s="219"/>
      <c r="L83" s="245"/>
      <c r="N83" s="77"/>
      <c r="S83" s="124"/>
      <c r="T83" s="240"/>
      <c r="U83" s="246"/>
      <c r="V83" s="240"/>
      <c r="W83" s="242"/>
    </row>
    <row r="84" spans="2:23" x14ac:dyDescent="0.25">
      <c r="E84" s="165"/>
      <c r="F84" s="247"/>
      <c r="I84" s="248"/>
      <c r="J84" s="78"/>
      <c r="K84" s="79"/>
      <c r="L84" s="79"/>
      <c r="N84" s="77"/>
      <c r="S84" s="124"/>
      <c r="T84" s="77"/>
      <c r="U84" s="132"/>
      <c r="V84" s="95"/>
      <c r="W84" s="243"/>
    </row>
    <row r="85" spans="2:23" x14ac:dyDescent="0.25">
      <c r="E85" s="165"/>
      <c r="F85" s="249"/>
      <c r="I85" s="250"/>
      <c r="J85" s="251"/>
      <c r="K85" s="251"/>
      <c r="L85" s="251"/>
      <c r="N85" s="77"/>
      <c r="S85" s="124"/>
      <c r="T85" s="77"/>
      <c r="U85" s="132"/>
      <c r="V85" s="142"/>
      <c r="W85" s="202"/>
    </row>
    <row r="86" spans="2:23" x14ac:dyDescent="0.25">
      <c r="E86" s="165"/>
      <c r="F86" s="252"/>
      <c r="J86" s="253"/>
      <c r="K86" s="253"/>
      <c r="L86" s="252"/>
      <c r="N86" s="77"/>
      <c r="S86" s="77"/>
      <c r="T86" s="77"/>
      <c r="U86" s="132"/>
      <c r="V86" s="142"/>
      <c r="W86" s="202"/>
    </row>
    <row r="87" spans="2:23" ht="13.8" x14ac:dyDescent="0.3">
      <c r="F87" s="254"/>
      <c r="I87" s="255"/>
      <c r="J87" s="256"/>
      <c r="K87" s="256"/>
      <c r="L87" s="202"/>
      <c r="N87" s="77"/>
      <c r="T87" s="124"/>
      <c r="U87" s="132"/>
      <c r="V87" s="77"/>
      <c r="W87" s="202"/>
    </row>
    <row r="88" spans="2:23" ht="13.8" x14ac:dyDescent="0.3">
      <c r="D88" s="257"/>
      <c r="E88" s="257"/>
      <c r="F88" s="258"/>
      <c r="G88" s="259"/>
      <c r="H88" s="260"/>
      <c r="I88" s="261"/>
      <c r="J88" s="262"/>
      <c r="K88" s="262"/>
      <c r="L88" s="263"/>
      <c r="N88" s="77"/>
      <c r="T88" s="77"/>
      <c r="U88" s="132"/>
      <c r="V88" s="77"/>
      <c r="W88" s="202"/>
    </row>
    <row r="89" spans="2:23" ht="13.8" x14ac:dyDescent="0.3">
      <c r="D89" s="257"/>
      <c r="E89" s="257"/>
      <c r="F89" s="257"/>
      <c r="G89" s="264"/>
      <c r="H89" s="77"/>
      <c r="I89" s="255"/>
      <c r="J89" s="256"/>
      <c r="K89" s="256"/>
      <c r="L89" s="242"/>
      <c r="N89" s="77"/>
      <c r="T89" s="77"/>
      <c r="U89" s="158"/>
      <c r="V89" s="77"/>
      <c r="W89" s="265"/>
    </row>
    <row r="90" spans="2:23" ht="13.8" x14ac:dyDescent="0.3">
      <c r="D90" s="257"/>
      <c r="E90" s="257"/>
      <c r="F90" s="257"/>
      <c r="G90" s="264"/>
      <c r="H90" s="77"/>
      <c r="I90" s="266"/>
      <c r="J90" s="267"/>
      <c r="K90" s="267"/>
      <c r="L90" s="243"/>
      <c r="N90" s="77"/>
      <c r="T90" s="77"/>
      <c r="U90" s="158"/>
      <c r="V90" s="77"/>
      <c r="W90" s="268"/>
    </row>
    <row r="91" spans="2:23" x14ac:dyDescent="0.25">
      <c r="D91" s="257"/>
      <c r="E91" s="257"/>
      <c r="F91" s="257"/>
      <c r="G91" s="264"/>
      <c r="H91" s="77"/>
      <c r="I91" s="77"/>
      <c r="J91" s="132"/>
      <c r="K91" s="134"/>
      <c r="L91" s="202"/>
      <c r="N91" s="77"/>
      <c r="T91" s="124"/>
      <c r="U91" s="269"/>
      <c r="V91" s="225"/>
      <c r="W91" s="224"/>
    </row>
    <row r="92" spans="2:23" x14ac:dyDescent="0.25">
      <c r="H92" s="77"/>
      <c r="I92" s="77"/>
      <c r="J92" s="132"/>
      <c r="K92" s="77"/>
      <c r="L92" s="243"/>
      <c r="N92" s="77"/>
      <c r="T92" s="77"/>
      <c r="U92" s="132"/>
      <c r="V92" s="77"/>
      <c r="W92" s="224"/>
    </row>
    <row r="93" spans="2:23" x14ac:dyDescent="0.25">
      <c r="H93" s="174"/>
      <c r="I93" s="240"/>
      <c r="J93" s="246"/>
      <c r="K93" s="240"/>
      <c r="L93" s="242"/>
      <c r="N93" s="77"/>
    </row>
    <row r="94" spans="2:23" x14ac:dyDescent="0.25">
      <c r="H94" s="77"/>
      <c r="I94" s="77"/>
      <c r="J94" s="132"/>
      <c r="K94" s="95"/>
      <c r="L94" s="243"/>
    </row>
    <row r="95" spans="2:23" x14ac:dyDescent="0.25">
      <c r="F95" s="270"/>
      <c r="H95" s="77"/>
      <c r="I95" s="77"/>
      <c r="J95" s="132"/>
      <c r="K95" s="142"/>
      <c r="L95" s="202"/>
    </row>
    <row r="96" spans="2:23" x14ac:dyDescent="0.25">
      <c r="H96" s="86"/>
      <c r="I96" s="77"/>
      <c r="J96" s="132"/>
      <c r="K96" s="142"/>
      <c r="L96" s="202"/>
    </row>
    <row r="97" spans="8:12" x14ac:dyDescent="0.25">
      <c r="H97" s="124"/>
      <c r="I97" s="124"/>
      <c r="J97" s="132"/>
      <c r="K97" s="77"/>
      <c r="L97" s="202"/>
    </row>
    <row r="98" spans="8:12" x14ac:dyDescent="0.25">
      <c r="H98" s="77"/>
      <c r="I98" s="77"/>
      <c r="J98" s="132"/>
      <c r="K98" s="77"/>
      <c r="L98" s="202"/>
    </row>
    <row r="99" spans="8:12" x14ac:dyDescent="0.25">
      <c r="H99" s="124"/>
      <c r="I99" s="77"/>
      <c r="J99" s="158"/>
      <c r="K99" s="77"/>
      <c r="L99" s="265"/>
    </row>
    <row r="100" spans="8:12" x14ac:dyDescent="0.25">
      <c r="H100" s="124"/>
      <c r="I100" s="77"/>
      <c r="J100" s="158"/>
      <c r="K100" s="77"/>
      <c r="L100" s="268"/>
    </row>
    <row r="101" spans="8:12" x14ac:dyDescent="0.25">
      <c r="H101" s="124"/>
      <c r="I101" s="124"/>
      <c r="J101" s="269"/>
      <c r="K101" s="225"/>
      <c r="L101" s="224"/>
    </row>
    <row r="102" spans="8:12" x14ac:dyDescent="0.25">
      <c r="H102" s="77"/>
      <c r="I102" s="77"/>
      <c r="J102" s="132"/>
      <c r="K102" s="77"/>
      <c r="L102" s="224"/>
    </row>
    <row r="103" spans="8:12" x14ac:dyDescent="0.25">
      <c r="H103" s="77"/>
      <c r="I103" s="77"/>
      <c r="J103" s="132"/>
      <c r="K103" s="77"/>
      <c r="L103" s="224"/>
    </row>
    <row r="104" spans="8:12" x14ac:dyDescent="0.25">
      <c r="H104" s="77"/>
      <c r="I104" s="77"/>
      <c r="J104" s="77"/>
      <c r="K104" s="77"/>
      <c r="L104" s="243"/>
    </row>
  </sheetData>
  <mergeCells count="11">
    <mergeCell ref="O28:P28"/>
    <mergeCell ref="O32:P32"/>
    <mergeCell ref="B58:F58"/>
    <mergeCell ref="H58:L58"/>
    <mergeCell ref="B3:F3"/>
    <mergeCell ref="H3:L3"/>
    <mergeCell ref="N3:Q3"/>
    <mergeCell ref="O4:R4"/>
    <mergeCell ref="B27:F27"/>
    <mergeCell ref="H27:L27"/>
    <mergeCell ref="O27:Q27"/>
  </mergeCells>
  <pageMargins left="0.25" right="0.25" top="0.25" bottom="0.25" header="0.3" footer="0.3"/>
  <pageSetup scale="96" orientation="landscape" r:id="rId1"/>
  <headerFooter alignWithMargins="0">
    <oddFooter>&amp;R&amp;10CONFIDENTIAL - FOR THE PURPOSES OF POLICY DISCUSSION</oddFooter>
  </headerFooter>
  <ignoredErrors>
    <ignoredError sqref="C62:D62 I31:J31 C31" formula="1"/>
    <ignoredError sqref="C28 I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M2020 BLS Chart</vt:lpstr>
      <vt:lpstr>2022 Clubhouse Models (post PH)</vt:lpstr>
      <vt:lpstr>'2022 Clubhouse Models (post PH)'!Print_Area</vt:lpstr>
      <vt:lpstr>'M2020 BLS Chart'!Print_Area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2021-12-13T13:37:32Z</dcterms:created>
  <dcterms:modified xsi:type="dcterms:W3CDTF">2021-12-13T14:11:59Z</dcterms:modified>
</cp:coreProperties>
</file>